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7A2D7E96-6E34-419A-AE5F-296B3A7E7977}"/>
  <workbookPr codeName="ThisWorkbook" defaultThemeVersion="124226"/>
  <bookViews>
    <workbookView xWindow="10230" yWindow="105" windowWidth="10275" windowHeight="8040" tabRatio="855" activeTab="2"/>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CyP!$A$1:$A$41</definedName>
    <definedName name="_xlnm._FilterDatabase" localSheetId="1" hidden="1">Datos!#REF!</definedName>
    <definedName name="_xlnm._FilterDatabase" localSheetId="2" hidden="1">Propuesta!#REF!</definedName>
    <definedName name="_xlnm._FilterDatabase" localSheetId="5" hidden="1">PTyCI!$D$1:$D$33</definedName>
    <definedName name="A" localSheetId="14">'Transp. Camión con Acoplado'!$O$4</definedName>
    <definedName name="A" localSheetId="13">'Transp. Camión Solo'!$O$4</definedName>
    <definedName name="Anticipo_Financiero">Datos!$C$12</definedName>
    <definedName name="_xlnm.Print_Area" localSheetId="4">AP!$A$1:$G$525</definedName>
    <definedName name="_xlnm.Print_Area" localSheetId="3">CyP!$A$17:$I$41</definedName>
    <definedName name="_xlnm.Print_Area" localSheetId="1">Datos!$B$1:$J$56</definedName>
    <definedName name="_xlnm.Print_Area" localSheetId="2">Propuesta!$A$1:$G$38</definedName>
    <definedName name="_xlnm.Print_Area" localSheetId="5">PTyCI!$A$13:$Q$30</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CyP!$F$28</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CyP!$H$28</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45621"/>
</workbook>
</file>

<file path=xl/calcChain.xml><?xml version="1.0" encoding="utf-8"?>
<calcChain xmlns="http://schemas.openxmlformats.org/spreadsheetml/2006/main">
  <c r="B33" i="2" l="1"/>
  <c r="B37" i="2"/>
  <c r="E37" i="2"/>
  <c r="E33" i="2"/>
  <c r="G520" i="6" l="1"/>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G438" i="6"/>
  <c r="F438" i="6"/>
  <c r="D438" i="6"/>
  <c r="B438" i="6"/>
  <c r="A438" i="6"/>
  <c r="F437" i="6"/>
  <c r="G437" i="6" s="1"/>
  <c r="D437" i="6"/>
  <c r="B437" i="6"/>
  <c r="A437" i="6"/>
  <c r="G436" i="6"/>
  <c r="F436" i="6"/>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G359" i="6"/>
  <c r="F359" i="6"/>
  <c r="D359" i="6"/>
  <c r="B359" i="6"/>
  <c r="A359" i="6"/>
  <c r="F358" i="6"/>
  <c r="G358" i="6" s="1"/>
  <c r="D358" i="6"/>
  <c r="B358" i="6"/>
  <c r="A358" i="6"/>
  <c r="G357" i="6"/>
  <c r="F357" i="6"/>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16" i="9"/>
  <c r="A26" i="2"/>
  <c r="A25" i="2"/>
  <c r="A17" i="2"/>
  <c r="A19" i="2"/>
  <c r="A27" i="2"/>
  <c r="A20" i="2"/>
  <c r="A19" i="9"/>
  <c r="A24" i="2"/>
  <c r="A15" i="9"/>
  <c r="A13" i="9"/>
  <c r="A18" i="2"/>
  <c r="A22" i="2"/>
  <c r="A20" i="9"/>
  <c r="A17" i="9"/>
  <c r="A23" i="2"/>
  <c r="A21" i="9"/>
  <c r="A22" i="9"/>
  <c r="A21" i="2"/>
  <c r="A18" i="9"/>
  <c r="A14" i="9"/>
  <c r="G493" i="6" l="1"/>
  <c r="G494" i="6"/>
  <c r="E323" i="6"/>
  <c r="G345" i="6"/>
  <c r="G346" i="6"/>
  <c r="G348" i="6"/>
  <c r="G349" i="6"/>
  <c r="G419" i="6"/>
  <c r="G420" i="6"/>
  <c r="G421" i="6"/>
  <c r="G423" i="6"/>
  <c r="G343" i="6"/>
  <c r="G344" i="6"/>
  <c r="G347" i="6"/>
  <c r="G495" i="6"/>
  <c r="G496" i="6"/>
  <c r="G498" i="6"/>
  <c r="G499" i="6"/>
  <c r="G473" i="6"/>
  <c r="G365" i="6"/>
  <c r="G418" i="6"/>
  <c r="G515" i="6"/>
  <c r="G272" i="6"/>
  <c r="G371" i="6"/>
  <c r="E398" i="6"/>
  <c r="G422" i="6"/>
  <c r="G424" i="6"/>
  <c r="G521" i="6"/>
  <c r="G446" i="6"/>
  <c r="E473" i="6"/>
  <c r="G497" i="6"/>
  <c r="G398" i="6"/>
  <c r="G440"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350" i="6" l="1"/>
  <c r="G500"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36" i="2" l="1"/>
  <c r="B36" i="2"/>
  <c r="E34" i="2"/>
  <c r="B34" i="2"/>
  <c r="E31" i="2"/>
  <c r="B31"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D183" i="15" l="1"/>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C28" i="15"/>
  <c r="A34" i="15" l="1"/>
  <c r="A35" i="15" s="1"/>
  <c r="G70" i="6"/>
  <c r="G69" i="6"/>
  <c r="G64" i="6"/>
  <c r="G63" i="6"/>
  <c r="G62" i="6"/>
  <c r="G61" i="6"/>
  <c r="G60" i="6"/>
  <c r="G59" i="6"/>
  <c r="G56" i="6"/>
  <c r="G54" i="6"/>
  <c r="E23" i="6"/>
  <c r="G21" i="6"/>
  <c r="G20" i="6"/>
  <c r="G19" i="6"/>
  <c r="G18" i="6"/>
  <c r="G17" i="6"/>
  <c r="G16" i="6"/>
  <c r="G15" i="6"/>
  <c r="G14" i="6"/>
  <c r="G13" i="6"/>
  <c r="G12" i="6"/>
  <c r="B5" i="6"/>
  <c r="G4" i="6"/>
  <c r="B4" i="6"/>
  <c r="B3" i="6"/>
  <c r="B2" i="6"/>
  <c r="A36" i="15" l="1"/>
  <c r="G71" i="6"/>
  <c r="G57" i="6"/>
  <c r="G55" i="6"/>
  <c r="G48" i="6"/>
  <c r="G58" i="6"/>
  <c r="G23" i="6"/>
  <c r="A37" i="15" l="1"/>
  <c r="E330" i="6"/>
  <c r="G330" i="6" s="1"/>
  <c r="E405" i="6"/>
  <c r="G405" i="6" s="1"/>
  <c r="E480" i="6"/>
  <c r="G480" i="6" s="1"/>
  <c r="E105" i="6"/>
  <c r="E255" i="6"/>
  <c r="E180" i="6"/>
  <c r="F105" i="6"/>
  <c r="F118" i="6"/>
  <c r="G118" i="6" s="1"/>
  <c r="G125" i="6" s="1"/>
  <c r="G65" i="6"/>
  <c r="G50" i="6"/>
  <c r="G105" i="6" l="1"/>
  <c r="G114" i="6" s="1"/>
  <c r="A38" i="15"/>
  <c r="G489" i="6"/>
  <c r="G523" i="6" s="1"/>
  <c r="G524" i="6" s="1"/>
  <c r="G339" i="6"/>
  <c r="G373" i="6" s="1"/>
  <c r="G374" i="6" s="1"/>
  <c r="G414" i="6"/>
  <c r="G448" i="6" s="1"/>
  <c r="G449" i="6" s="1"/>
  <c r="B35" i="18"/>
  <c r="A6" i="18"/>
  <c r="A5" i="18"/>
  <c r="A4" i="18"/>
  <c r="A3" i="18"/>
  <c r="A2" i="18"/>
  <c r="A1" i="18"/>
  <c r="I13" i="18"/>
  <c r="I14" i="18"/>
  <c r="O7" i="21"/>
  <c r="O7" i="20"/>
  <c r="P64" i="21"/>
  <c r="G64" i="21"/>
  <c r="F64" i="21"/>
  <c r="C64" i="21"/>
  <c r="E64" i="21" s="1"/>
  <c r="N63" i="21"/>
  <c r="G63" i="21"/>
  <c r="F63" i="21"/>
  <c r="P63" i="21" s="1"/>
  <c r="C63" i="21"/>
  <c r="E63" i="21" s="1"/>
  <c r="G62" i="21"/>
  <c r="F62" i="21"/>
  <c r="P62" i="21" s="1"/>
  <c r="C62" i="21"/>
  <c r="E62" i="21" s="1"/>
  <c r="G61" i="21"/>
  <c r="F61" i="21"/>
  <c r="P61" i="21" s="1"/>
  <c r="C61" i="21"/>
  <c r="G60" i="21"/>
  <c r="F60" i="21"/>
  <c r="P60" i="21" s="1"/>
  <c r="C60" i="21"/>
  <c r="E60" i="21" s="1"/>
  <c r="N59" i="21"/>
  <c r="G59" i="21"/>
  <c r="F59" i="21"/>
  <c r="P59" i="21" s="1"/>
  <c r="C59" i="21"/>
  <c r="E59" i="21" s="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N50" i="21"/>
  <c r="G50" i="21"/>
  <c r="F50" i="21"/>
  <c r="C50" i="21"/>
  <c r="E50" i="21" s="1"/>
  <c r="P49" i="21"/>
  <c r="G49" i="21"/>
  <c r="F49" i="21"/>
  <c r="C49" i="21"/>
  <c r="P48" i="21"/>
  <c r="G48" i="21"/>
  <c r="F48" i="21"/>
  <c r="C48" i="21"/>
  <c r="E48" i="21" s="1"/>
  <c r="G47" i="21"/>
  <c r="F47" i="21"/>
  <c r="P47" i="21" s="1"/>
  <c r="C47" i="21"/>
  <c r="E47" i="21" s="1"/>
  <c r="P46" i="21"/>
  <c r="G46" i="21"/>
  <c r="F46" i="21"/>
  <c r="C46" i="21"/>
  <c r="E46" i="21" s="1"/>
  <c r="N46" i="21" s="1"/>
  <c r="P45" i="21"/>
  <c r="G45" i="21"/>
  <c r="F45" i="21"/>
  <c r="E45" i="21"/>
  <c r="C45" i="21"/>
  <c r="G44" i="21"/>
  <c r="F44" i="21"/>
  <c r="P44" i="21" s="1"/>
  <c r="E44" i="21"/>
  <c r="C44" i="21"/>
  <c r="G43" i="21"/>
  <c r="F43" i="21"/>
  <c r="P43" i="21" s="1"/>
  <c r="E43" i="21"/>
  <c r="N43" i="21" s="1"/>
  <c r="C43" i="21"/>
  <c r="G42" i="21"/>
  <c r="F42" i="21"/>
  <c r="P42" i="21" s="1"/>
  <c r="C42" i="21"/>
  <c r="E42" i="21" s="1"/>
  <c r="G41" i="21"/>
  <c r="F41" i="21"/>
  <c r="P41" i="21" s="1"/>
  <c r="E41" i="21"/>
  <c r="N41" i="21" s="1"/>
  <c r="C41" i="21"/>
  <c r="G40" i="21"/>
  <c r="F40" i="21"/>
  <c r="P40" i="21" s="1"/>
  <c r="C40" i="21"/>
  <c r="E40" i="21" s="1"/>
  <c r="N39" i="21"/>
  <c r="G39" i="21"/>
  <c r="F39" i="21"/>
  <c r="P39" i="21" s="1"/>
  <c r="E39" i="21"/>
  <c r="C39" i="2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P30" i="21"/>
  <c r="G30" i="21"/>
  <c r="F30" i="2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6" i="18"/>
  <c r="A22" i="18"/>
  <c r="A17" i="18"/>
  <c r="A19" i="18"/>
  <c r="A21" i="18"/>
  <c r="A20" i="18"/>
  <c r="A18" i="18"/>
  <c r="A24" i="18"/>
  <c r="A25" i="18"/>
  <c r="A23" i="18"/>
  <c r="G148" i="6" l="1"/>
  <c r="G149" i="6" s="1"/>
  <c r="A39" i="15"/>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0" i="15" l="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A41" i="15" l="1"/>
  <c r="F268" i="6"/>
  <c r="G268" i="6" s="1"/>
  <c r="G275" i="6" s="1"/>
  <c r="F255" i="6"/>
  <c r="G255" i="6" s="1"/>
  <c r="G264" i="6" s="1"/>
  <c r="S704" i="12"/>
  <c r="Q704" i="12"/>
  <c r="R704" i="12" s="1"/>
  <c r="S703" i="12"/>
  <c r="R703" i="12"/>
  <c r="Q703" i="12"/>
  <c r="S700" i="12"/>
  <c r="Q700" i="12"/>
  <c r="R700" i="12" s="1"/>
  <c r="S692" i="12"/>
  <c r="Q692" i="12"/>
  <c r="R692" i="12" s="1"/>
  <c r="B691" i="12"/>
  <c r="B690" i="12"/>
  <c r="S689" i="12"/>
  <c r="R689" i="12"/>
  <c r="Q689" i="12"/>
  <c r="S686" i="12"/>
  <c r="Q686" i="12"/>
  <c r="R686" i="12" s="1"/>
  <c r="S679" i="12"/>
  <c r="Q679" i="12"/>
  <c r="R679" i="12" s="1"/>
  <c r="S678" i="12"/>
  <c r="R678" i="12"/>
  <c r="Q678" i="12"/>
  <c r="S671" i="12"/>
  <c r="Q671" i="12"/>
  <c r="R671" i="12" s="1"/>
  <c r="S663" i="12"/>
  <c r="Q663" i="12"/>
  <c r="R663" i="12" s="1"/>
  <c r="S659" i="12"/>
  <c r="R659" i="12"/>
  <c r="Q659" i="12"/>
  <c r="S648" i="12"/>
  <c r="Q648" i="12"/>
  <c r="R648" i="12" s="1"/>
  <c r="S646" i="12"/>
  <c r="R646" i="12"/>
  <c r="Q646" i="12"/>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R579" i="12"/>
  <c r="Q579" i="12"/>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R325" i="12"/>
  <c r="Q325" i="12"/>
  <c r="S316" i="12"/>
  <c r="Q316" i="12"/>
  <c r="R316" i="12" s="1"/>
  <c r="S314" i="12"/>
  <c r="R314" i="12"/>
  <c r="Q314" i="12"/>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R278" i="12"/>
  <c r="Q278" i="12"/>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40" i="18"/>
  <c r="A42" i="15" l="1"/>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43" i="15" l="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24" i="2"/>
  <c r="D23" i="2"/>
  <c r="B26" i="2"/>
  <c r="B25" i="2"/>
  <c r="D24" i="2"/>
  <c r="D26" i="2"/>
  <c r="B22" i="2"/>
  <c r="E22" i="2"/>
  <c r="E24" i="2"/>
  <c r="E26" i="2"/>
  <c r="E23" i="2"/>
  <c r="D22" i="2"/>
  <c r="D25" i="2"/>
  <c r="B23" i="2"/>
  <c r="E25" i="2"/>
  <c r="A95" i="15" l="1"/>
  <c r="D25" i="18"/>
  <c r="D21" i="18"/>
  <c r="D22" i="18"/>
  <c r="D24" i="18"/>
  <c r="D23"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G39" i="6" l="1"/>
  <c r="G73" i="6" s="1"/>
  <c r="G74" i="6" s="1"/>
  <c r="B17" i="18"/>
  <c r="B18" i="18"/>
  <c r="B19" i="18"/>
  <c r="B20" i="18"/>
  <c r="B21" i="18"/>
  <c r="B22" i="18"/>
  <c r="B23" i="18"/>
  <c r="B24" i="18"/>
  <c r="B25" i="18"/>
  <c r="C17" i="18"/>
  <c r="C18" i="18"/>
  <c r="C19" i="18"/>
  <c r="C20" i="18"/>
  <c r="C21" i="18"/>
  <c r="C22" i="18"/>
  <c r="C23" i="18"/>
  <c r="C24" i="18"/>
  <c r="C25" i="18"/>
  <c r="C16" i="18"/>
  <c r="B16" i="18"/>
  <c r="B14" i="9"/>
  <c r="B22" i="9"/>
  <c r="B19" i="9"/>
  <c r="B18" i="9"/>
  <c r="B16" i="9"/>
  <c r="B15" i="9"/>
  <c r="B17" i="9"/>
  <c r="B20" i="9"/>
  <c r="B21" i="9"/>
  <c r="B13" i="9"/>
  <c r="D17" i="18" l="1"/>
  <c r="D16" i="18"/>
  <c r="H17" i="2" l="1"/>
  <c r="F16" i="18" l="1"/>
  <c r="E16" i="18" s="1"/>
  <c r="G16" i="18" l="1"/>
  <c r="F25" i="2" l="1"/>
  <c r="G25" i="2" s="1"/>
  <c r="H25" i="2" s="1"/>
  <c r="F26" i="2"/>
  <c r="G26" i="2" s="1"/>
  <c r="H26" i="2" s="1"/>
  <c r="F25" i="18" l="1"/>
  <c r="F24" i="18"/>
  <c r="E24" i="18" l="1"/>
  <c r="G24" i="18"/>
  <c r="E25" i="18"/>
  <c r="G25" i="18"/>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C157" i="6"/>
  <c r="B223" i="6" s="1"/>
  <c r="C382" i="6"/>
  <c r="B448" i="6" s="1"/>
  <c r="G232" i="6"/>
  <c r="G307" i="6"/>
  <c r="C82" i="6"/>
  <c r="B148" i="6" s="1"/>
  <c r="C81" i="6"/>
  <c r="C307" i="6"/>
  <c r="B373" i="6" s="1"/>
  <c r="G82" i="6"/>
  <c r="G457" i="6"/>
  <c r="C457" i="6"/>
  <c r="B523" i="6" s="1"/>
  <c r="C6" i="6"/>
  <c r="C156" i="6"/>
  <c r="F374" i="6" l="1"/>
  <c r="E325" i="6"/>
  <c r="F373" i="6"/>
  <c r="E175" i="6"/>
  <c r="F224" i="6"/>
  <c r="F223" i="6"/>
  <c r="F524" i="6"/>
  <c r="E475" i="6"/>
  <c r="F523" i="6"/>
  <c r="F149" i="6"/>
  <c r="E100" i="6"/>
  <c r="F148" i="6"/>
  <c r="E250" i="6"/>
  <c r="F299" i="6"/>
  <c r="F298" i="6"/>
  <c r="F449" i="6"/>
  <c r="E400" i="6"/>
  <c r="F448" i="6"/>
  <c r="E25" i="6"/>
  <c r="F74" i="6"/>
  <c r="F73" i="6"/>
  <c r="F24" i="2"/>
  <c r="G24" i="2" s="1"/>
  <c r="H24" i="2" s="1"/>
  <c r="H28" i="2" l="1"/>
  <c r="I24" i="2" s="1"/>
  <c r="D20" i="9" s="1"/>
  <c r="C381" i="6"/>
  <c r="F23" i="18"/>
  <c r="G23" i="18" s="1"/>
  <c r="G27" i="18" s="1"/>
  <c r="E29" i="9"/>
  <c r="E30" i="9" s="1"/>
  <c r="H39" i="2"/>
  <c r="C11" i="2"/>
  <c r="A29" i="18"/>
  <c r="E23" i="18"/>
  <c r="A41" i="2"/>
  <c r="I26" i="2" l="1"/>
  <c r="D22" i="9" s="1"/>
  <c r="C231" i="6"/>
  <c r="C306" i="6"/>
  <c r="C456" i="6"/>
  <c r="H30" i="2"/>
  <c r="I17" i="2"/>
  <c r="I19" i="2"/>
  <c r="D15" i="9" s="1"/>
  <c r="I21" i="2"/>
  <c r="D17" i="9" s="1"/>
  <c r="I23" i="2"/>
  <c r="D19" i="9" s="1"/>
  <c r="I25" i="2"/>
  <c r="D21" i="9" s="1"/>
  <c r="I18" i="2"/>
  <c r="D14" i="9" s="1"/>
  <c r="I20" i="2"/>
  <c r="D16" i="9" s="1"/>
  <c r="I22" i="2"/>
  <c r="D18" i="9" s="1"/>
  <c r="D13" i="9" l="1"/>
  <c r="I28" i="2"/>
  <c r="H31" i="2"/>
  <c r="H32" i="2" s="1"/>
  <c r="H33" i="2" l="1"/>
  <c r="H34" i="2"/>
  <c r="D24" i="9"/>
  <c r="M26" i="9"/>
  <c r="M29" i="9" s="1"/>
  <c r="J26" i="9"/>
  <c r="J29" i="9" s="1"/>
  <c r="Q26" i="9"/>
  <c r="Q29" i="9" s="1"/>
  <c r="G26" i="9"/>
  <c r="G29" i="9" s="1"/>
  <c r="H26" i="9"/>
  <c r="H29" i="9" s="1"/>
  <c r="I26" i="9"/>
  <c r="I29" i="9" s="1"/>
  <c r="L26" i="9"/>
  <c r="L29" i="9" s="1"/>
  <c r="K26" i="9"/>
  <c r="K29" i="9" s="1"/>
  <c r="N26" i="9"/>
  <c r="N29" i="9" s="1"/>
  <c r="O26" i="9"/>
  <c r="O29" i="9" s="1"/>
  <c r="F26" i="9"/>
  <c r="P26" i="9"/>
  <c r="P29" i="9" s="1"/>
  <c r="H35" i="2" l="1"/>
  <c r="H37" i="2" s="1"/>
  <c r="F27" i="9"/>
  <c r="G27" i="9" s="1"/>
  <c r="H27" i="9" s="1"/>
  <c r="I27" i="9" s="1"/>
  <c r="J27" i="9" s="1"/>
  <c r="K27" i="9" s="1"/>
  <c r="L27" i="9" s="1"/>
  <c r="M27" i="9" s="1"/>
  <c r="N27" i="9" s="1"/>
  <c r="O27" i="9" s="1"/>
  <c r="P27" i="9" s="1"/>
  <c r="Q27" i="9" s="1"/>
  <c r="F29" i="9"/>
  <c r="F30" i="9" s="1"/>
  <c r="G30" i="9" s="1"/>
  <c r="H30" i="9" s="1"/>
  <c r="I30" i="9" s="1"/>
  <c r="J30" i="9" s="1"/>
  <c r="K30" i="9" s="1"/>
  <c r="L30" i="9" s="1"/>
  <c r="M30" i="9" s="1"/>
  <c r="N30" i="9" s="1"/>
  <c r="O30" i="9" s="1"/>
  <c r="P30" i="9" s="1"/>
  <c r="Q30" i="9" s="1"/>
  <c r="H36" i="2" l="1"/>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<sst xmlns="http://schemas.openxmlformats.org/spreadsheetml/2006/main" count="5167" uniqueCount="2101">
  <si>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</si>
  <si>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</si>
  <si>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</si>
  <si>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</si>
  <si>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</si>
  <si>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</si>
  <si>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</si>
  <si>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</si>
  <si>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</si>
  <si>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</si>
  <si>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</si>
  <si>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</si>
  <si>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</si>
  <si>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</si>
  <si>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</si>
  <si>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</si>
  <si>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</si>
  <si>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</si>
  <si>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</si>
  <si>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</si>
  <si>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</si>
  <si>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</si>
  <si>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</si>
  <si>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</si>
  <si>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</si>
  <si>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</si>
  <si>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</si>
  <si>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</si>
  <si>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</si>
  <si>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</si>
  <si>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</si>
  <si>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</si>
  <si>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</si>
  <si>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</si>
  <si>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</si>
  <si>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</si>
  <si>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</si>
  <si>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</si>
  <si>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</si>
  <si>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</si>
  <si>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</si>
  <si>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</si>
  <si>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</si>
  <si>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</si>
  <si>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</si>
  <si>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</si>
  <si>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</si>
  <si>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</si>
  <si>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</si>
  <si>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</si>
  <si>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</si>
  <si>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</si>
  <si>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</si>
  <si>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</si>
  <si>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</si>
  <si>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</si>
  <si>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</si>
  <si>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</si>
  <si>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</si>
  <si>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</si>
  <si>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</si>
  <si>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</si>
  <si>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</si>
  <si>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</si>
  <si>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</si>
  <si>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</si>
  <si>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</si>
  <si>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</si>
  <si>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</si>
  <si>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</si>
  <si>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</si>
  <si>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</si>
  <si>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</si>
  <si>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</si>
  <si>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</si>
  <si>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</si>
  <si>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</si>
  <si>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</si>
  <si>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</si>
  <si>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</si>
  <si>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</si>
  <si>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</si>
  <si>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</si>
  <si>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</si>
  <si>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</si>
  <si>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</si>
  <si>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</si>
  <si>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</si>
  <si>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</si>
  <si>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</si>
  <si>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</si>
  <si>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</si>
  <si>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</si>
  <si>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</si>
  <si>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</si>
  <si>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</si>
  <si>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</si>
  <si>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</si>
  <si>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</si>
  <si>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</si>
  <si>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</si>
  <si>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</si>
  <si>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</si>
  <si>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</si>
  <si>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</si>
  <si>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</si>
  <si>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</si>
  <si>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</si>
  <si>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</si>
  <si>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</si>
  <si>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</si>
  <si>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</si>
  <si>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</si>
  <si>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</si>
  <si>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</si>
  <si>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</si>
  <si>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</si>
  <si>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</si>
  <si>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</si>
  <si>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</si>
  <si>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</si>
  <si>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</si>
  <si>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</si>
  <si>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</si>
  <si>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</si>
  <si>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</si>
  <si>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</si>
  <si>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</si>
  <si>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</si>
  <si>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</si>
  <si>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</si>
  <si>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</si>
  <si>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</si>
  <si>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</si>
  <si>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</si>
  <si>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</si>
  <si>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</si>
  <si>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</si>
  <si>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</si>
  <si>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</si>
  <si>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</si>
  <si>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</si>
  <si>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</si>
  <si>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</si>
  <si>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</si>
  <si>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</si>
  <si>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</si>
  <si>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</si>
  <si>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</si>
  <si>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</si>
  <si>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</si>
  <si>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</si>
  <si>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</si>
  <si>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</si>
  <si>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</si>
  <si>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</si>
  <si>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</si>
  <si>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</si>
  <si>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</si>
  <si>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</si>
  <si>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</si>
  <si>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</si>
  <si>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</si>
  <si>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</si>
  <si>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</si>
  <si>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</si>
  <si>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</si>
  <si>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</si>
  <si>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</si>
  <si>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</si>
  <si>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</si>
  <si>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</si>
  <si>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</si>
  <si>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</si>
  <si>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</si>
  <si>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</si>
  <si>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</si>
  <si>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</si>
  <si>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</si>
  <si>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</si>
  <si>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</si>
  <si>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</si>
  <si>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</si>
  <si>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</si>
  <si>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</si>
  <si>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</si>
  <si>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</si>
  <si>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</si>
  <si>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</si>
  <si>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</si>
  <si>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</si>
  <si>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</si>
  <si>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</si>
  <si>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</si>
  <si>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</si>
  <si>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</si>
  <si>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</si>
  <si>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</si>
  <si>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</si>
  <si>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</si>
  <si>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</si>
  <si>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</si>
  <si>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</si>
  <si>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</si>
  <si>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</si>
  <si>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</si>
  <si>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</si>
  <si>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</si>
  <si>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</si>
  <si>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</si>
  <si>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</si>
  <si>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</si>
  <si>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</si>
  <si>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</si>
  <si>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</si>
  <si>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</si>
  <si>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</si>
  <si>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</si>
  <si>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</si>
  <si>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</si>
  <si>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</si>
  <si>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</si>
  <si>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</si>
  <si>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</si>
  <si>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</si>
  <si>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</si>
  <si>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</si>
  <si>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</si>
  <si>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</si>
  <si>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</si>
  <si>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</si>
  <si>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</si>
  <si>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</si>
  <si>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</si>
  <si>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</si>
  <si>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</si>
  <si>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</si>
  <si>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</si>
  <si>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</si>
  <si>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</si>
  <si>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</si>
  <si>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</si>
  <si>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</si>
  <si>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</si>
  <si>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</si>
  <si>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</si>
  <si>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</si>
  <si>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</si>
  <si>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</si>
  <si>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</si>
  <si>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</si>
  <si>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</si>
  <si>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</si>
  <si>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</si>
  <si>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</si>
  <si>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</si>
  <si>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</si>
  <si>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</si>
  <si>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</si>
  <si>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</si>
  <si>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</si>
  <si>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</si>
  <si>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</si>
  <si>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</si>
  <si>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</si>
  <si>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</si>
  <si>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</si>
  <si>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</si>
  <si>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</si>
  <si>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</si>
  <si>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</si>
  <si>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</si>
  <si>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</si>
  <si>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</si>
  <si>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</si>
  <si>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</si>
  <si>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</si>
  <si>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</si>
  <si>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</si>
  <si>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</si>
  <si>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</si>
  <si>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</si>
  <si>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</si>
  <si>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</si>
  <si>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</si>
  <si>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</si>
  <si>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</si>
  <si>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</si>
  <si>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</si>
  <si>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</si>
  <si>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</si>
  <si>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</si>
  <si>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</si>
  <si>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</si>
  <si>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</si>
  <si>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</si>
  <si>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</si>
  <si>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</si>
  <si>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</si>
  <si>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</si>
  <si>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</si>
  <si>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</si>
  <si>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</si>
  <si>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</si>
  <si>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</si>
  <si>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</si>
  <si>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</si>
  <si>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</si>
  <si>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</si>
  <si>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</si>
  <si>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</si>
  <si>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</si>
  <si>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</si>
  <si>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</si>
  <si>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</si>
  <si>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</si>
  <si>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</si>
  <si>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</si>
  <si>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</si>
  <si>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</si>
  <si>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</si>
  <si>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</si>
  <si>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</si>
  <si>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</si>
  <si>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</si>
  <si>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</si>
  <si>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</si>
  <si>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</si>
  <si>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</si>
  <si>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</si>
  <si>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</si>
  <si>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</si>
  <si>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</si>
  <si>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</si>
  <si>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</si>
  <si>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</si>
  <si>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</si>
  <si>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</si>
  <si>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</si>
  <si>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</si>
  <si>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</si>
  <si>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</si>
  <si>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</si>
  <si>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</si>
  <si>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</si>
  <si>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</si>
  <si>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</si>
  <si>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</si>
  <si>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</si>
  <si>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</si>
  <si>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</si>
  <si>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</si>
  <si>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</si>
  <si>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</si>
  <si>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</si>
  <si>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</si>
  <si>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</si>
  <si>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</si>
  <si>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</si>
  <si>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</si>
  <si>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</si>
  <si>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</si>
  <si>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</si>
  <si>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</si>
  <si>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</si>
  <si>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</si>
  <si>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</si>
  <si>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</si>
  <si>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</si>
  <si>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</si>
  <si>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</si>
  <si>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</si>
  <si>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</si>
  <si>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</si>
  <si>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</si>
  <si>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</si>
  <si>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</si>
  <si>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</si>
  <si>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</si>
  <si>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</si>
  <si>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</si>
  <si>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</si>
  <si>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</si>
  <si>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</si>
  <si>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</si>
  <si>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</si>
  <si>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</si>
  <si>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</si>
  <si>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</si>
  <si>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</si>
  <si>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</si>
  <si>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</si>
  <si>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</si>
  <si>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</si>
  <si>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</si>
  <si>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</si>
  <si>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</si>
  <si>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</si>
  <si>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</si>
  <si>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</si>
  <si>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</si>
  <si>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</si>
  <si>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</si>
  <si>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</si>
  <si>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</si>
  <si>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</si>
  <si>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</si>
  <si>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</si>
  <si>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</si>
  <si>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</si>
  <si>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</si>
  <si>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</si>
  <si>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</si>
  <si>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</si>
  <si>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</si>
  <si>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</si>
  <si>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</si>
  <si>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</si>
  <si>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</si>
  <si>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</si>
  <si>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</si>
  <si>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</si>
  <si>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</si>
  <si>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</si>
  <si>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</si>
  <si>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</si>
  <si>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</si>
  <si>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</si>
  <si>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</si>
  <si>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</si>
  <si>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</si>
  <si>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</si>
  <si>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</si>
  <si>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</si>
  <si>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</si>
  <si>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</si>
  <si>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</si>
  <si>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</si>
  <si>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</si>
  <si>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</si>
  <si>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</si>
  <si>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</si>
  <si>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</si>
  <si>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</si>
  <si>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</si>
  <si>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</si>
  <si>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</si>
  <si>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</si>
  <si>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</si>
  <si>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</si>
  <si>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</si>
  <si>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</si>
  <si>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</si>
  <si>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</si>
  <si>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</si>
  <si>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</si>
  <si>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</si>
  <si>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</si>
  <si>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</si>
  <si>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</si>
  <si>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</si>
  <si>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</si>
  <si>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</si>
  <si>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</si>
  <si>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</si>
  <si>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</si>
  <si>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</si>
  <si>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</si>
  <si>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</si>
  <si>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</si>
  <si>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</si>
  <si>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</si>
  <si>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</si>
  <si>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</si>
  <si>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</si>
  <si>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</si>
  <si>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</si>
  <si>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</si>
  <si>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</si>
  <si>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</si>
  <si>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</si>
  <si>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</si>
  <si>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</si>
  <si>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</si>
  <si>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</si>
  <si>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</si>
  <si>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</si>
  <si>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</si>
  <si>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</si>
  <si>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</si>
  <si>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</si>
  <si>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</si>
  <si>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</si>
  <si>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</si>
  <si>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</si>
  <si>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</si>
  <si>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</si>
  <si>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</si>
  <si>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</si>
  <si>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</si>
  <si>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</si>
  <si>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</si>
  <si>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</si>
  <si>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</si>
  <si>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</si>
  <si>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</si>
  <si>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</si>
  <si>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</si>
  <si>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</si>
  <si>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</si>
  <si>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</si>
  <si>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</si>
  <si>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</si>
  <si>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</si>
  <si>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</si>
  <si>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</si>
  <si>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</si>
  <si>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</si>
  <si>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</si>
  <si>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</si>
  <si>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</si>
  <si>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</si>
  <si>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</si>
  <si>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</si>
  <si>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</si>
  <si>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</si>
  <si>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</si>
  <si>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</si>
  <si>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</si>
  <si>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</si>
  <si>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</si>
  <si>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</si>
  <si>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</si>
  <si>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</si>
  <si>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</si>
  <si>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</si>
  <si>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</si>
  <si>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</si>
  <si>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</si>
  <si>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</si>
  <si>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</si>
  <si>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</si>
  <si>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</si>
  <si>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</si>
  <si>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</si>
  <si>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</si>
  <si>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</si>
  <si>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</si>
  <si>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</si>
  <si>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</si>
  <si>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</si>
  <si>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</si>
  <si>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</si>
  <si>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</si>
  <si>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</si>
  <si>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</si>
  <si>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</si>
  <si>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</si>
  <si>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</si>
  <si>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</si>
  <si>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</si>
  <si>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</si>
  <si>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</si>
  <si>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</si>
  <si>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</si>
  <si>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</si>
  <si>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</si>
  <si>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</si>
  <si>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</si>
  <si>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</si>
  <si>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</si>
  <si>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</si>
  <si>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</si>
  <si>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</si>
  <si>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</si>
  <si>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</si>
  <si>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</si>
  <si>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</si>
  <si>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</si>
  <si>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</si>
  <si>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</si>
  <si>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</si>
  <si>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</si>
  <si>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</si>
  <si>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</si>
  <si>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</si>
  <si>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</si>
  <si>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</si>
  <si>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</si>
  <si>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</si>
  <si>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</si>
  <si>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</si>
  <si>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</si>
  <si>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</si>
  <si>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</si>
  <si>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</si>
  <si>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</si>
  <si>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</si>
  <si>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</si>
  <si>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</si>
  <si>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</si>
  <si>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</si>
  <si>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</si>
  <si>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</si>
  <si>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</si>
  <si>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</si>
  <si>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</si>
  <si>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</si>
  <si>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</si>
  <si>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</si>
  <si>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</si>
  <si>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</si>
  <si>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</si>
  <si>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</si>
  <si>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</si>
  <si>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</si>
  <si>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</si>
  <si>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</si>
  <si>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</si>
  <si>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</si>
  <si>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</si>
  <si>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</si>
  <si>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</si>
  <si>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</si>
  <si>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</si>
  <si>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</si>
  <si>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</si>
  <si>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</si>
  <si>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</si>
  <si>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</si>
  <si>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</si>
  <si>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</si>
  <si>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</si>
  <si>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</si>
  <si>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</si>
  <si>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</si>
  <si>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</si>
  <si>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</si>
  <si>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</si>
  <si>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</si>
  <si>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</si>
  <si>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</si>
  <si>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</si>
  <si>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</si>
  <si>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</si>
  <si>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</si>
  <si>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</si>
  <si>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</si>
  <si>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</si>
  <si>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</si>
  <si>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</si>
  <si>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</si>
  <si>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</si>
  <si>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</si>
  <si>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</si>
  <si>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</si>
  <si>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</si>
  <si>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</si>
  <si>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</si>
  <si>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</si>
  <si>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</si>
  <si>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</si>
  <si>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</si>
  <si>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</si>
  <si>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</si>
  <si>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</si>
  <si>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</si>
  <si>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</si>
  <si>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</si>
  <si>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</si>
  <si>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</si>
  <si>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</si>
  <si>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</si>
  <si>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</si>
  <si>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</si>
  <si>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</si>
  <si>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</si>
  <si>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</si>
  <si>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</si>
  <si>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</si>
  <si>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</si>
  <si>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</si>
  <si>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</si>
  <si>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</si>
  <si>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</si>
  <si>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</si>
  <si>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</si>
  <si>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</si>
  <si>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</si>
  <si>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</si>
  <si>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</si>
  <si>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</si>
  <si>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</si>
  <si>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</si>
  <si>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</si>
  <si>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</si>
  <si>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</si>
  <si>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</si>
  <si>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</si>
  <si>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</si>
  <si>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</si>
  <si>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</si>
  <si>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</si>
  <si>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</si>
  <si>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</si>
  <si>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</si>
  <si>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</si>
  <si>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</si>
  <si>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</si>
  <si>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</si>
  <si>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</si>
  <si>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</si>
  <si>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</si>
  <si>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</si>
  <si>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</si>
  <si>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</si>
  <si>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</si>
  <si>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</si>
  <si>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</si>
  <si>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</si>
  <si>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</si>
  <si>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</si>
  <si>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</si>
  <si>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</si>
  <si>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</si>
  <si>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</si>
  <si>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</si>
  <si>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</si>
  <si>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</si>
  <si>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</si>
  <si>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</si>
  <si>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</si>
  <si>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</si>
  <si>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</si>
  <si>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</si>
  <si>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</si>
  <si>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</si>
  <si>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</si>
  <si>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</si>
  <si>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</si>
  <si>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</si>
  <si>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</si>
  <si>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</si>
  <si>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</si>
  <si>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</si>
  <si>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</si>
  <si>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</si>
  <si>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</si>
  <si>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</si>
  <si>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</si>
  <si>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</si>
  <si>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</si>
  <si>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</si>
  <si>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</si>
  <si>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</si>
  <si>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</si>
  <si>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</si>
  <si>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</si>
  <si>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</si>
  <si>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</si>
  <si>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</si>
  <si>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</si>
  <si>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</si>
  <si>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</si>
  <si>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</si>
  <si>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</si>
  <si>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</si>
  <si>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</si>
  <si>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</si>
  <si>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</si>
  <si>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</si>
  <si>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</si>
  <si>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</si>
  <si>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</si>
  <si>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</si>
  <si>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</si>
  <si>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</si>
  <si>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</si>
  <si>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</si>
  <si>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</si>
  <si>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</si>
  <si>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</si>
  <si>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</si>
  <si>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</si>
  <si>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</si>
  <si>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</si>
  <si>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</si>
  <si>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</si>
  <si>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</si>
  <si>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</si>
  <si>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</si>
  <si>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</si>
  <si>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</si>
  <si>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</si>
  <si>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</si>
  <si>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</si>
  <si>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</si>
  <si>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</si>
  <si>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</si>
  <si>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</si>
  <si>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</si>
  <si>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</si>
  <si>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</si>
  <si>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</si>
  <si>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</si>
  <si>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</si>
  <si>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</si>
  <si>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</si>
  <si>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</si>
  <si>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</si>
  <si>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</si>
  <si>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</si>
  <si>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</si>
  <si>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</si>
  <si>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</si>
  <si>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</si>
  <si>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</si>
  <si>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</si>
  <si>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</si>
  <si>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</si>
  <si>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</si>
  <si>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</si>
  <si>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</si>
  <si>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</si>
  <si>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</si>
  <si>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</si>
  <si>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</si>
  <si>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</si>
  <si>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</si>
  <si>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</si>
  <si>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</si>
  <si>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</si>
  <si>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</si>
  <si>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</si>
  <si>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</si>
  <si>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</si>
  <si>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</si>
  <si>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</si>
  <si>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</si>
  <si>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</si>
  <si>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</si>
  <si>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</si>
  <si>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</si>
  <si>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</si>
  <si>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</si>
  <si>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</si>
  <si>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</si>
  <si>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</si>
  <si>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</si>
  <si>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</si>
  <si>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</si>
  <si>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</si>
  <si>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</si>
  <si>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</si>
  <si>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</si>
  <si>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</si>
  <si>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</si>
  <si>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</si>
  <si>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</si>
  <si>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</si>
  <si>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</si>
  <si>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</si>
  <si>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</si>
  <si>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</si>
  <si>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</si>
  <si>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</si>
  <si>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</si>
  <si>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</si>
  <si>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</si>
  <si>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</si>
  <si>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</si>
  <si>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</si>
  <si>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</si>
  <si>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</si>
  <si>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</si>
  <si>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</si>
  <si>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</si>
  <si>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</si>
  <si>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</si>
  <si>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</si>
  <si>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</si>
  <si>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</si>
  <si>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</si>
  <si>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</si>
  <si>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</si>
  <si>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</si>
  <si>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</si>
  <si>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</si>
  <si>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</si>
  <si>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</si>
  <si>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</si>
  <si>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</si>
  <si>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</si>
  <si>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</si>
  <si>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</si>
  <si>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</si>
  <si>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</si>
  <si>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</si>
  <si>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</si>
  <si>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</si>
  <si>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</si>
  <si>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</si>
  <si>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</si>
  <si>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</si>
  <si>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</si>
  <si>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</si>
  <si>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</si>
  <si>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</si>
  <si>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</si>
  <si>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</si>
  <si>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</si>
  <si>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</si>
  <si>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</si>
  <si>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</si>
  <si>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</si>
  <si>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</si>
  <si>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</si>
  <si>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</si>
  <si>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</si>
  <si>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</si>
  <si>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</si>
  <si>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</si>
  <si>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</si>
  <si>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</si>
  <si>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</si>
  <si>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</si>
  <si>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</si>
  <si>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</si>
  <si>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</si>
  <si>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</si>
  <si>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</si>
  <si>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</si>
  <si>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</si>
  <si>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</si>
  <si>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</si>
  <si>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</si>
  <si>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</si>
  <si>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</si>
  <si>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</si>
  <si>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</si>
  <si>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</si>
  <si>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</si>
  <si>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</si>
  <si>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</si>
  <si>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</si>
  <si>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</si>
  <si>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</si>
  <si>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</si>
  <si>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</si>
  <si>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</si>
  <si>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</si>
  <si>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</si>
  <si>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</si>
  <si>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</si>
  <si>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</si>
  <si>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</si>
  <si>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</si>
  <si>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</si>
  <si>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</si>
  <si>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</si>
  <si>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</si>
  <si>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</si>
  <si>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</si>
  <si>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</si>
  <si>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</si>
  <si>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</si>
  <si>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</si>
  <si>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</si>
  <si>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</si>
  <si>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</si>
  <si>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</si>
  <si>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</si>
  <si>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</si>
  <si>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</si>
  <si>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</si>
  <si>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</si>
  <si>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</si>
  <si>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</si>
  <si>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</si>
  <si>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</si>
  <si>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</si>
  <si>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</si>
  <si>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</si>
  <si>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</si>
  <si>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</si>
  <si>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</si>
  <si>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</si>
  <si>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</si>
  <si>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</si>
  <si>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</si>
  <si>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</si>
  <si>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</si>
  <si>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</si>
  <si>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</si>
  <si>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</si>
  <si>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</si>
  <si>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</si>
  <si>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</si>
  <si>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</si>
  <si>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</si>
  <si>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</si>
  <si>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</si>
  <si>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</si>
  <si>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</si>
  <si>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</si>
  <si>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</si>
  <si>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</si>
  <si>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</si>
  <si>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</si>
  <si>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</si>
  <si>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</si>
  <si>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</si>
  <si>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</si>
  <si>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</si>
  <si>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</si>
  <si>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</si>
  <si>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</si>
  <si>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</si>
  <si>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</si>
  <si>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</si>
  <si>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</si>
  <si>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</si>
  <si>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</si>
  <si>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</si>
  <si>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</si>
  <si>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</si>
  <si>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</si>
  <si>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</si>
  <si>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</si>
  <si>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</si>
  <si>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</si>
  <si>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</si>
  <si>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</si>
  <si>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</si>
  <si>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</si>
  <si>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</si>
  <si>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</si>
  <si>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</si>
  <si>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</si>
  <si>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</si>
  <si>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</si>
  <si>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</si>
  <si>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</si>
  <si>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</si>
  <si>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</si>
  <si>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</si>
  <si>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</si>
  <si>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</si>
  <si>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</si>
  <si>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</si>
  <si>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</si>
  <si>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</si>
  <si>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</si>
  <si>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</si>
  <si>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</si>
  <si>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</si>
  <si>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</si>
  <si>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</si>
  <si>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</si>
  <si>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</si>
  <si>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</si>
  <si>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</si>
  <si>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</si>
  <si>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</si>
  <si>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</si>
  <si>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</si>
  <si>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</si>
  <si>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</si>
  <si>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</si>
  <si>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</si>
  <si>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</si>
  <si>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</si>
  <si>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</si>
  <si>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</si>
  <si>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</si>
  <si>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</si>
  <si>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</si>
  <si>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</si>
  <si>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</si>
  <si>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</si>
  <si>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</si>
  <si>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</si>
  <si>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</si>
  <si>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</si>
  <si>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</si>
  <si>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</si>
  <si>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</si>
  <si>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</si>
  <si>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</si>
  <si>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</si>
  <si>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</si>
  <si>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</si>
  <si>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</si>
  <si>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</si>
  <si>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</si>
  <si>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</si>
  <si>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</si>
  <si>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</si>
  <si>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</si>
  <si>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</si>
  <si>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</si>
  <si>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</si>
  <si>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</si>
  <si>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</si>
  <si>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</si>
  <si>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</si>
  <si>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</si>
  <si>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</si>
  <si>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</si>
  <si>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</si>
  <si>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</si>
  <si>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</si>
  <si>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</si>
  <si>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</si>
  <si>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</si>
  <si>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</si>
  <si>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</si>
  <si>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</si>
  <si>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</si>
  <si>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</si>
  <si>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</si>
  <si>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</si>
  <si>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</si>
  <si>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</si>
  <si>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</si>
  <si>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</si>
  <si>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</si>
  <si>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</si>
  <si>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</si>
  <si>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</si>
  <si>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</si>
  <si>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</si>
  <si>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</si>
  <si>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</si>
  <si>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</si>
  <si>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</si>
  <si>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</si>
  <si>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</si>
  <si>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</si>
  <si>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</si>
  <si>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</si>
  <si>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</si>
  <si>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</si>
  <si>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</si>
  <si>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</si>
  <si>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</si>
  <si>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</si>
  <si>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</si>
  <si>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</si>
  <si>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</si>
  <si>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</si>
  <si>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</si>
  <si>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</si>
  <si>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</si>
  <si>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</si>
  <si>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</si>
  <si>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</si>
  <si>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</si>
  <si>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</si>
  <si>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</si>
  <si>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</si>
  <si>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</si>
  <si>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</si>
  <si>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</si>
  <si>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</si>
  <si>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</si>
  <si>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</si>
  <si>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</si>
  <si>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</si>
  <si>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</si>
  <si>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</si>
  <si>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</si>
  <si>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</si>
  <si>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</si>
  <si>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</si>
  <si>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</si>
  <si>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</si>
  <si>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</si>
  <si>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</si>
  <si>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</si>
  <si>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</si>
  <si>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</si>
  <si>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</si>
  <si>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</si>
  <si>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</si>
  <si>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</si>
  <si>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</si>
  <si>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</si>
  <si>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</si>
  <si>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</si>
  <si>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</si>
  <si>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</si>
  <si>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</si>
  <si>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</si>
  <si>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</si>
  <si>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</si>
  <si>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</si>
  <si>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</si>
  <si>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</si>
  <si>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</si>
  <si>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</si>
  <si>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</si>
  <si>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</si>
  <si>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</si>
  <si>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</si>
  <si>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</si>
  <si>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</si>
  <si>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</si>
  <si>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</si>
  <si>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</si>
  <si>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</si>
  <si>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</si>
  <si>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</si>
  <si>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</si>
  <si>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</si>
  <si>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</si>
  <si>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</si>
  <si>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</si>
  <si>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</si>
  <si>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</si>
  <si>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</si>
  <si>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</si>
  <si>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</si>
  <si>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</si>
  <si>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</si>
  <si>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</si>
  <si>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</si>
  <si>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</si>
  <si>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</si>
  <si>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</si>
  <si>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</si>
  <si>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</si>
  <si>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</si>
  <si>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</si>
  <si>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</si>
  <si>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</si>
  <si>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</si>
  <si>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</si>
  <si>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</si>
  <si>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</si>
  <si>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</si>
  <si>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</si>
  <si>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</si>
  <si>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</si>
  <si>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</si>
  <si>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</si>
  <si>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</si>
  <si>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</si>
  <si>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</si>
  <si>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</si>
  <si>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</si>
  <si>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</si>
  <si>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</si>
  <si>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</si>
  <si>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</si>
  <si>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</si>
  <si>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</si>
  <si>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</si>
  <si>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</si>
  <si>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</si>
  <si>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</si>
  <si>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</si>
  <si>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</si>
  <si>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</si>
  <si>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</si>
  <si>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</si>
  <si>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</si>
  <si>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</si>
  <si>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</si>
  <si>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</si>
  <si>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</si>
  <si>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</si>
  <si>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</si>
  <si>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</si>
  <si>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</si>
  <si>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</si>
  <si>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</si>
  <si>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</si>
  <si>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</si>
  <si>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</si>
  <si>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</si>
  <si>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</si>
  <si>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</si>
  <si>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</si>
  <si>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</si>
  <si>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</si>
  <si>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</si>
  <si>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</si>
  <si>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</si>
  <si>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</si>
  <si>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</si>
  <si>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</si>
  <si>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</si>
  <si>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</si>
  <si>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</si>
  <si>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</si>
  <si>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</si>
  <si>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</si>
  <si>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</si>
  <si>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</si>
  <si>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</si>
  <si>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</si>
  <si>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</si>
  <si>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</si>
  <si>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</si>
  <si>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</si>
  <si>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</si>
  <si>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</si>
  <si>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</si>
  <si>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</si>
  <si>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</si>
  <si>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</si>
  <si>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</si>
  <si>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</si>
  <si>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</si>
  <si>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</si>
  <si>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</si>
  <si>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</si>
  <si>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</si>
  <si>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</si>
  <si>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</si>
  <si>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</si>
  <si>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</si>
  <si>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</si>
  <si>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</si>
  <si>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</si>
  <si>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</si>
  <si>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</si>
  <si>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</si>
  <si>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</si>
  <si>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</si>
  <si>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</si>
  <si>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</si>
  <si>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</si>
  <si>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</si>
  <si>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</si>
  <si>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</si>
  <si>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</si>
  <si>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</si>
  <si>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</si>
  <si>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</si>
  <si>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</si>
  <si>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</si>
  <si>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</si>
  <si>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</si>
  <si>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</si>
  <si>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</si>
  <si>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</si>
  <si>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</si>
  <si>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</si>
  <si>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</si>
  <si>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</si>
  <si>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</si>
  <si>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</si>
  <si>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</si>
  <si>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</si>
  <si>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</si>
  <si>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</si>
  <si>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</si>
  <si>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</si>
  <si>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</si>
  <si>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</si>
  <si>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</si>
  <si>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</si>
  <si>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</si>
  <si>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</si>
  <si>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</si>
  <si>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</si>
  <si>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</si>
  <si>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</si>
  <si>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</si>
  <si>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</si>
  <si>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</si>
  <si>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</si>
  <si>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</si>
  <si>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</si>
  <si>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</si>
  <si>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</si>
  <si>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</si>
  <si>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</si>
  <si>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</si>
  <si>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</si>
  <si>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</si>
  <si>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</si>
  <si>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</si>
  <si>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</si>
  <si>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</si>
  <si>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</si>
  <si>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</si>
  <si>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</si>
  <si>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</si>
  <si>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</si>
  <si>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</si>
  <si>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</si>
  <si>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</si>
  <si>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</si>
  <si>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</si>
  <si>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</si>
  <si>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</si>
  <si>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</si>
  <si>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</si>
  <si>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</si>
  <si>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</si>
  <si>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</si>
  <si>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</si>
  <si>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</si>
  <si>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</si>
  <si>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</si>
  <si>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</si>
  <si>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</si>
  <si>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</si>
  <si>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</si>
  <si>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</si>
  <si>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</si>
  <si>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</si>
  <si>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</si>
  <si>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</si>
  <si>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</si>
  <si>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</si>
  <si>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</si>
  <si>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</si>
  <si>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</si>
  <si>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</si>
  <si>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</si>
  <si>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</si>
  <si>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</si>
  <si>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</si>
  <si>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</si>
  <si>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</si>
  <si>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</si>
  <si>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</si>
  <si>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</si>
  <si>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</si>
  <si>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</si>
  <si>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</si>
  <si>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</si>
  <si>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</si>
  <si>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</si>
  <si>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</si>
  <si>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</si>
  <si>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</si>
  <si>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</si>
  <si>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</si>
  <si>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</si>
  <si>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</si>
  <si>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</si>
  <si>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</si>
  <si>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</si>
  <si>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</si>
  <si>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</si>
  <si>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</si>
  <si>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</si>
  <si>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</si>
  <si>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</si>
  <si>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</si>
  <si>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</si>
  <si>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</si>
  <si>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</si>
  <si>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</si>
  <si>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</si>
  <si>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</si>
  <si>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</si>
  <si>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</si>
  <si>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</si>
  <si>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</si>
  <si>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</si>
  <si>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</si>
  <si>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</si>
  <si>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</si>
  <si>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</si>
  <si>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</si>
  <si>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</si>
  <si>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</si>
  <si>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</si>
  <si>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</si>
  <si>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</si>
  <si>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</si>
  <si>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</si>
  <si>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</si>
  <si>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</si>
  <si>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</si>
  <si>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</si>
  <si>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</si>
  <si>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</si>
  <si>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</si>
  <si>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</si>
  <si>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</si>
  <si>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</si>
  <si>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</si>
  <si>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</si>
  <si>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</si>
  <si>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</si>
  <si>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</si>
  <si>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</si>
  <si>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</si>
  <si>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</si>
  <si>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</si>
  <si>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</si>
  <si>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</si>
  <si>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</si>
  <si>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</si>
  <si>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</si>
  <si>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</si>
  <si>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</si>
  <si>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</si>
  <si>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</si>
  <si>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</si>
  <si>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</si>
  <si>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</si>
  <si>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</si>
  <si>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</si>
  <si>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</si>
  <si>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</si>
  <si>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</si>
  <si>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</si>
  <si>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</si>
  <si>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</si>
  <si>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</si>
  <si>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</si>
  <si>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</si>
  <si>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</si>
  <si>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</si>
  <si>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</si>
  <si>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</si>
  <si>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</si>
  <si>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</si>
  <si>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</si>
  <si>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</si>
  <si>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</si>
  <si>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</si>
  <si>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</si>
  <si>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</si>
  <si>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</si>
  <si>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</si>
  <si>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</si>
  <si>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</si>
  <si>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</si>
  <si>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</si>
  <si>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</si>
  <si>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</si>
  <si>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</si>
  <si>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</si>
  <si>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</si>
  <si>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</si>
  <si>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</si>
  <si>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</si>
  <si>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</si>
  <si>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</si>
  <si>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</si>
  <si>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</si>
  <si>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</si>
  <si>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</si>
  <si>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</si>
  <si>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</si>
  <si>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</si>
  <si>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</si>
  <si>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</si>
  <si>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</si>
  <si>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</si>
  <si>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</si>
  <si>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</si>
  <si>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</si>
  <si>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</si>
  <si>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</si>
  <si>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</si>
  <si>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</si>
  <si>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</si>
  <si>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</si>
  <si>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</si>
  <si>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</si>
  <si>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</si>
  <si>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</si>
  <si>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</si>
  <si>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</si>
  <si>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</si>
  <si>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</si>
  <si>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</si>
  <si>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</si>
  <si>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</si>
  <si>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</si>
  <si>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</si>
  <si>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</si>
  <si>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</si>
  <si>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</si>
  <si>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</si>
  <si>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</si>
  <si>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</si>
  <si>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</si>
  <si>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</si>
  <si>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</si>
  <si>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</si>
  <si>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</si>
  <si>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</si>
  <si>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</si>
  <si>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</si>
  <si>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</si>
  <si>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</si>
  <si>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</si>
  <si>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</si>
  <si>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</si>
  <si>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</si>
  <si>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</si>
  <si>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</si>
  <si>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</si>
  <si>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</si>
  <si>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</si>
  <si>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</si>
  <si>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</si>
  <si>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</si>
  <si>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</si>
  <si>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</si>
  <si>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</si>
  <si>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</si>
  <si>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</si>
  <si>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</si>
  <si>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</si>
  <si>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</si>
  <si>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</si>
  <si>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</si>
  <si>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</si>
  <si>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</si>
  <si>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</si>
  <si>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</si>
  <si>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</si>
  <si>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</si>
  <si>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</si>
  <si>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</si>
  <si>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</si>
  <si>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</si>
  <si>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</si>
  <si>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</si>
  <si>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</si>
  <si>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</si>
  <si>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</si>
  <si>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</si>
  <si>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</si>
  <si>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</si>
  <si>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</si>
  <si>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</si>
  <si>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</si>
  <si>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</si>
  <si>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</si>
  <si>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</si>
  <si>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</si>
  <si>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</si>
  <si>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</si>
  <si>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</si>
  <si>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</si>
  <si>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</si>
  <si>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</si>
  <si>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</si>
  <si>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</si>
  <si>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</si>
  <si>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</si>
  <si>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</si>
  <si>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</si>
  <si>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</si>
  <si>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</si>
  <si>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</si>
  <si>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</si>
  <si>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</si>
  <si>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</si>
  <si>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</si>
  <si>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</si>
  <si>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</si>
  <si>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</si>
  <si>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</si>
  <si>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</si>
  <si>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</si>
  <si>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</si>
  <si>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</si>
  <si>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</si>
  <si>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</si>
  <si>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</si>
  <si>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</si>
  <si>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</si>
  <si>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</si>
  <si>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</si>
  <si>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</si>
  <si>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</si>
  <si>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</si>
  <si>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</si>
  <si>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</si>
  <si>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</si>
  <si>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</si>
  <si>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</si>
  <si>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</si>
  <si>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</si>
  <si>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</si>
  <si>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</si>
  <si>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</si>
  <si>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</si>
  <si>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</si>
  <si>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</si>
  <si>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</si>
  <si>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</si>
  <si>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</si>
  <si>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</si>
  <si>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</si>
  <si>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</si>
  <si>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</si>
  <si>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</si>
  <si>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</si>
  <si>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</si>
  <si>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</si>
  <si>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</si>
  <si>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</si>
  <si>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</si>
  <si>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</si>
  <si>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</si>
  <si>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</si>
  <si>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</si>
  <si>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</si>
  <si>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</si>
  <si>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</si>
  <si>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</si>
  <si>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</si>
  <si>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</si>
  <si>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</si>
  <si>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</si>
  <si>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</si>
  <si>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</si>
  <si>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</si>
  <si>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</si>
  <si>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</si>
  <si>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</si>
  <si>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</si>
  <si>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</si>
  <si>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</si>
  <si>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</si>
  <si>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</si>
  <si>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</si>
  <si>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</si>
  <si>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</si>
  <si>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</si>
  <si>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</si>
  <si>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</si>
  <si>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</si>
  <si>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</si>
  <si>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</si>
  <si>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</si>
  <si>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</si>
  <si>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</si>
  <si>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</si>
  <si>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</si>
  <si>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</si>
  <si>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</si>
  <si>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</si>
  <si>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</si>
  <si>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</si>
  <si>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</si>
  <si>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</si>
  <si>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</si>
  <si>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</si>
  <si>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</si>
  <si>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</si>
  <si>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</si>
  <si>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</si>
  <si>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</si>
  <si>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</si>
  <si>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</si>
  <si>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</si>
  <si>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</si>
  <si>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</si>
  <si>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</si>
  <si>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</si>
  <si>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</si>
  <si>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</si>
  <si>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</si>
  <si>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</si>
  <si>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</si>
  <si>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</si>
  <si>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</si>
  <si>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</si>
  <si>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</si>
  <si>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</si>
  <si>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</si>
  <si>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</si>
  <si>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</si>
  <si>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</si>
  <si>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</si>
  <si>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</si>
  <si>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</si>
  <si>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</si>
  <si>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</si>
  <si>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</si>
  <si>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</si>
  <si>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</si>
  <si>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</si>
  <si>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</si>
  <si>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</si>
  <si>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</si>
  <si>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</si>
  <si>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</si>
  <si>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</si>
  <si>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</si>
  <si>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</si>
  <si>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</si>
  <si>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</si>
  <si>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</si>
  <si>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</si>
  <si>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</si>
  <si>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</si>
  <si>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</si>
  <si>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</si>
  <si>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</si>
  <si>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</si>
  <si>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</si>
  <si>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</si>
  <si>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</si>
  <si>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</si>
  <si>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</si>
  <si>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</si>
  <si>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</si>
  <si>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</si>
  <si>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</si>
  <si>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</si>
  <si>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</si>
  <si>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</si>
  <si>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</si>
  <si>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</si>
  <si>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</si>
  <si>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</si>
  <si>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</si>
  <si>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</si>
  <si>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</si>
  <si>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</si>
  <si>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</si>
  <si>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</si>
  <si>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</si>
  <si>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</si>
  <si>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</si>
  <si>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</si>
  <si>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</si>
  <si>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</si>
  <si>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</si>
  <si>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</si>
  <si>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</si>
  <si>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</si>
  <si>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</si>
  <si>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</si>
  <si>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</si>
  <si>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</si>
  <si>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</si>
  <si>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</si>
  <si>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</si>
  <si>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</si>
  <si>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</si>
  <si>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</si>
  <si>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</si>
  <si>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</si>
  <si>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</si>
  <si>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</si>
  <si>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</si>
  <si>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</si>
  <si>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</si>
  <si>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</si>
  <si>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</si>
  <si>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</si>
  <si>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</si>
  <si>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</si>
  <si>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</si>
  <si>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</si>
  <si>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</si>
  <si>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</si>
  <si>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</si>
  <si>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</si>
  <si>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</si>
  <si>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</si>
  <si>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</si>
  <si>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</si>
  <si>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</si>
  <si>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</si>
  <si>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</si>
  <si>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</si>
  <si>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</si>
  <si>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</si>
  <si>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</si>
  <si>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</si>
  <si>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</si>
  <si>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</si>
  <si>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</si>
  <si>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</si>
  <si>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</si>
  <si>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</si>
  <si>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</si>
  <si>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</si>
  <si>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</si>
  <si>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</si>
  <si>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</si>
  <si>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</si>
  <si>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</si>
  <si>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</si>
  <si>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</si>
  <si>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</si>
  <si>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</si>
  <si>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</si>
  <si>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</si>
  <si>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</si>
  <si>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</si>
  <si>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</si>
  <si>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</si>
  <si>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</si>
  <si>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</si>
  <si>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</si>
  <si>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</si>
  <si>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</si>
  <si>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</si>
  <si>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</si>
  <si>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</si>
  <si>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</si>
  <si>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</si>
  <si>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</si>
  <si>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</si>
  <si>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</si>
  <si>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</si>
  <si>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</si>
  <si>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</si>
  <si>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</si>
  <si>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</si>
  <si>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</si>
  <si>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</si>
  <si>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</si>
  <si>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</si>
  <si>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</si>
  <si>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</si>
  <si>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</si>
  <si>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</si>
  <si>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</si>
  <si>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</si>
  <si>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</si>
  <si>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</si>
  <si>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</si>
  <si>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</si>
  <si>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</si>
  <si>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</si>
  <si>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</si>
  <si>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</si>
  <si>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</si>
  <si>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</si>
  <si>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</si>
  <si>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</si>
  <si>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</si>
  <si>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</si>
  <si>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</si>
  <si>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</si>
  <si>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</si>
  <si>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</si>
  <si>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</si>
  <si>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</si>
  <si>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</si>
  <si>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</si>
  <si>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</si>
  <si>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</si>
  <si>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</si>
  <si>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</si>
  <si>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</si>
  <si>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</si>
  <si>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</si>
  <si>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</si>
  <si>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</si>
  <si>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</si>
  <si>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</si>
  <si>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</si>
  <si>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</si>
  <si>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</si>
  <si>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</si>
  <si>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</si>
  <si>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</si>
  <si>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</si>
  <si>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</si>
  <si>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</si>
  <si>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</si>
  <si>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</si>
  <si>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</si>
  <si>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</si>
  <si>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</si>
  <si>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</si>
  <si>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</si>
  <si>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</si>
  <si>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</si>
  <si>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</si>
  <si>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</si>
  <si>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</si>
  <si>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</si>
  <si>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</si>
  <si>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</si>
  <si>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</si>
  <si>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</si>
  <si>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</si>
  <si>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</si>
  <si>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</si>
  <si>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</si>
  <si>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</si>
  <si>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</si>
  <si>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</si>
  <si>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</si>
  <si>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</si>
  <si>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</si>
  <si>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</si>
  <si>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</si>
  <si>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</si>
  <si>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</si>
  <si>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</si>
  <si>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</si>
  <si>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</si>
  <si>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</si>
  <si>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</si>
  <si>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</si>
  <si>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</si>
  <si>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</si>
  <si>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</si>
  <si>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</si>
  <si>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</si>
  <si>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</si>
  <si>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</si>
  <si>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</si>
  <si>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</si>
  <si>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</si>
  <si>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</si>
  <si>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</si>
  <si>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</si>
  <si>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</si>
  <si>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</si>
  <si>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</si>
  <si>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</si>
  <si>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</si>
  <si>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</si>
  <si>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</si>
  <si>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</si>
  <si>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</si>
  <si>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</si>
  <si>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</si>
  <si>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</si>
  <si>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</si>
  <si>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</si>
  <si>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</si>
  <si>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</si>
  <si>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</si>
  <si>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</si>
  <si>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</si>
  <si>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</si>
  <si>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</si>
  <si>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</si>
  <si>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</si>
  <si>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</si>
  <si>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</si>
  <si>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</si>
  <si>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</si>
  <si>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</si>
  <si>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</si>
  <si>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</si>
  <si>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</si>
  <si>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</si>
  <si>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</si>
  <si>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</si>
  <si>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</si>
  <si>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</si>
  <si>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</si>
  <si>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</si>
  <si>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</si>
  <si>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</si>
  <si>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</si>
  <si>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</si>
  <si>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</si>
  <si>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</si>
  <si>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</si>
  <si>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</si>
  <si>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</si>
  <si>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</si>
  <si>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</si>
  <si>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</si>
  <si>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</si>
  <si>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</si>
  <si>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</si>
  <si>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</si>
  <si>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</si>
  <si>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</si>
  <si>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SEÑALIZACION HORIZONTAL - PROVISION Y COLOCACION DE TACHAS REFLECTIVAS Y SEÑALAMIENTO VERTICAL</t>
  </si>
  <si>
    <t>DEPARTAMENTOS VARIOS</t>
  </si>
  <si>
    <t>180 DIAS</t>
  </si>
  <si>
    <t>SEÑALIZACION HORIZONTAL</t>
  </si>
  <si>
    <t>CON MATERIAL TERMOPLASTICO REFLECTANTE</t>
  </si>
  <si>
    <t>Por Pulverización</t>
  </si>
  <si>
    <t>Por Extrusión</t>
  </si>
  <si>
    <t>CON PINTURA ACRILICA PARA PARA PAVIMENTOS APLICADA A TEMPERATURA AMBIENTE CON EQUIPO MECÁNICO</t>
  </si>
  <si>
    <t>PROVISION Y COLOCACION DE TACHAS REFLECTIVAS</t>
  </si>
  <si>
    <t>MOVILIDAD PARA EL PERSONAL AUXILIAR DE SUPERVISIÓN</t>
  </si>
  <si>
    <t>Cuota Fija</t>
  </si>
  <si>
    <t>Cuota Adicional</t>
  </si>
  <si>
    <t>n°</t>
  </si>
  <si>
    <t>Mes</t>
  </si>
  <si>
    <t>Km</t>
  </si>
  <si>
    <t>1.a.1</t>
  </si>
  <si>
    <t>1.a.2</t>
  </si>
  <si>
    <t>1.b</t>
  </si>
  <si>
    <t>1.a</t>
  </si>
  <si>
    <t>4.a</t>
  </si>
  <si>
    <t>4.b</t>
  </si>
  <si>
    <t>510-003789-2018</t>
  </si>
  <si>
    <t>5-2019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</si>
</sst>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77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3" xfId="1" applyNumberFormat="1" applyFont="1" applyFill="1" applyBorder="1" applyAlignment="1" applyProtection="1">
      <alignment vertical="center"/>
      <protection hidden="1"/>
    </xf>
    <xf numFmtId="167" fontId="11" fillId="0" borderId="3" xfId="1" applyNumberFormat="1" applyFont="1" applyFill="1" applyBorder="1" applyAlignment="1" applyProtection="1">
      <alignment vertical="center"/>
      <protection hidden="1"/>
    </xf>
    <xf numFmtId="0" fontId="8" fillId="0" borderId="0" xfId="19" applyFont="1" applyFill="1" applyBorder="1" applyAlignment="1" applyProtection="1">
      <alignment horizontal="left" vertical="center"/>
    </xf>
    <xf numFmtId="0" fontId="8" fillId="0" borderId="0" xfId="19" applyFont="1" applyFill="1" applyBorder="1" applyAlignment="1">
      <alignment horizontal="center" vertical="center"/>
    </xf>
    <xf numFmtId="0" fontId="8" fillId="0" borderId="0" xfId="19" applyFont="1" applyFill="1" applyBorder="1" applyAlignment="1">
      <alignment vertical="center"/>
    </xf>
    <xf numFmtId="1" fontId="8" fillId="0" borderId="0" xfId="19" applyNumberFormat="1" applyFont="1" applyFill="1" applyBorder="1" applyAlignment="1">
      <alignment horizontal="center" vertical="center"/>
    </xf>
    <xf numFmtId="0" fontId="16" fillId="0" borderId="4" xfId="7" applyFont="1" applyFill="1" applyBorder="1" applyAlignment="1" applyProtection="1">
      <alignment horizontal="center" vertical="center"/>
      <protection hidden="1"/>
    </xf>
    <xf numFmtId="0" fontId="16" fillId="0" borderId="6" xfId="7" applyFont="1" applyFill="1" applyBorder="1" applyAlignment="1" applyProtection="1">
      <alignment horizontal="center" vertical="center"/>
      <protection hidden="1"/>
    </xf>
    <xf numFmtId="0" fontId="12" fillId="0" borderId="6" xfId="7" applyFont="1" applyFill="1" applyBorder="1" applyAlignment="1" applyProtection="1">
      <alignment vertical="center"/>
      <protection hidden="1"/>
    </xf>
    <xf numFmtId="9" fontId="12" fillId="0" borderId="3" xfId="7" applyNumberFormat="1" applyFont="1" applyFill="1" applyBorder="1" applyAlignment="1" applyProtection="1">
      <alignment vertical="center"/>
      <protection hidden="1"/>
    </xf>
    <xf numFmtId="9" fontId="12" fillId="0" borderId="6"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3" xfId="7" applyNumberFormat="1" applyFont="1" applyFill="1" applyBorder="1" applyAlignment="1" applyProtection="1">
      <alignment horizontal="center" vertical="center"/>
      <protection hidden="1"/>
    </xf>
    <xf numFmtId="0" fontId="11" fillId="0" borderId="5" xfId="7" applyFont="1" applyFill="1" applyBorder="1" applyAlignment="1" applyProtection="1">
      <alignment horizontal="center" vertical="center" wrapText="1"/>
      <protection hidden="1"/>
    </xf>
    <xf numFmtId="174" fontId="11" fillId="0" borderId="5" xfId="7" applyNumberFormat="1" applyFont="1" applyFill="1" applyBorder="1" applyAlignment="1" applyProtection="1">
      <alignment horizontal="center" vertical="center"/>
      <protection hidden="1"/>
    </xf>
    <xf numFmtId="0" fontId="7" fillId="0" borderId="5" xfId="7" applyFont="1" applyFill="1" applyBorder="1" applyAlignment="1" applyProtection="1">
      <alignment vertical="center"/>
      <protection hidden="1"/>
    </xf>
    <xf numFmtId="0" fontId="11" fillId="0" borderId="11" xfId="7" applyFont="1" applyFill="1" applyBorder="1" applyAlignment="1" applyProtection="1">
      <alignment horizontal="left" vertical="center" wrapText="1"/>
      <protection hidden="1"/>
    </xf>
    <xf numFmtId="0" fontId="7" fillId="0" borderId="8"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3"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3" xfId="7" applyFont="1" applyFill="1" applyBorder="1" applyAlignment="1" applyProtection="1">
      <alignment horizontal="right" vertical="center"/>
      <protection hidden="1"/>
    </xf>
    <xf numFmtId="10" fontId="7" fillId="0" borderId="3"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5" xfId="7" applyNumberFormat="1" applyFont="1" applyFill="1" applyBorder="1" applyAlignment="1" applyProtection="1">
      <alignment vertical="center"/>
      <protection hidden="1"/>
    </xf>
    <xf numFmtId="0" fontId="26" fillId="0" borderId="0" xfId="19" applyFont="1" applyFill="1" applyBorder="1" applyAlignment="1">
      <alignment vertical="center"/>
    </xf>
    <xf numFmtId="0" fontId="27"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167" fontId="11" fillId="0" borderId="3" xfId="16" applyNumberFormat="1" applyFont="1" applyFill="1" applyBorder="1" applyAlignment="1" applyProtection="1">
      <alignment vertical="center"/>
      <protection hidden="1"/>
    </xf>
    <xf numFmtId="0" fontId="11" fillId="0" borderId="8" xfId="7"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0" fontId="7" fillId="0" borderId="5" xfId="7" applyFont="1" applyFill="1" applyBorder="1" applyAlignment="1" applyProtection="1">
      <alignment horizontal="center" vertical="center"/>
      <protection hidden="1"/>
    </xf>
    <xf numFmtId="167" fontId="7" fillId="0" borderId="11" xfId="7" applyNumberFormat="1" applyFont="1" applyFill="1" applyBorder="1" applyAlignment="1" applyProtection="1">
      <alignment vertical="center"/>
      <protection hidden="1"/>
    </xf>
    <xf numFmtId="0" fontId="11" fillId="0" borderId="11" xfId="7" applyFont="1" applyFill="1" applyBorder="1" applyAlignment="1" applyProtection="1">
      <alignment vertical="center"/>
      <protection hidden="1"/>
    </xf>
    <xf numFmtId="9" fontId="7" fillId="0" borderId="5" xfId="16" applyFont="1" applyFill="1" applyBorder="1" applyAlignment="1" applyProtection="1">
      <alignment vertical="center"/>
      <protection hidden="1"/>
    </xf>
    <xf numFmtId="9" fontId="7" fillId="0" borderId="8" xfId="16" applyFont="1" applyFill="1" applyBorder="1" applyAlignment="1" applyProtection="1">
      <alignment vertical="center"/>
      <protection hidden="1"/>
    </xf>
    <xf numFmtId="174" fontId="11" fillId="0" borderId="8" xfId="7" applyNumberFormat="1" applyFont="1" applyFill="1" applyBorder="1" applyAlignment="1" applyProtection="1">
      <alignment horizontal="center" vertical="center"/>
      <protection hidden="1"/>
    </xf>
    <xf numFmtId="167" fontId="11"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1" fillId="0" borderId="11"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0" fontId="12" fillId="0" borderId="3" xfId="0" applyFont="1" applyFill="1" applyBorder="1" applyAlignment="1">
      <alignment vertical="center"/>
    </xf>
    <xf numFmtId="0" fontId="12" fillId="0" borderId="3" xfId="0" applyFont="1" applyFill="1" applyBorder="1" applyAlignment="1">
      <alignment horizontal="center" vertical="center"/>
    </xf>
    <xf numFmtId="2" fontId="12" fillId="0" borderId="3" xfId="0" applyNumberFormat="1" applyFont="1" applyBorder="1" applyAlignment="1">
      <alignment vertical="center"/>
    </xf>
    <xf numFmtId="2" fontId="12" fillId="0" borderId="3" xfId="0" applyNumberFormat="1" applyFont="1" applyFill="1" applyBorder="1" applyAlignment="1">
      <alignment vertical="center"/>
    </xf>
    <xf numFmtId="0" fontId="11" fillId="0" borderId="8"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3"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3" xfId="2" applyNumberFormat="1" applyFont="1" applyFill="1" applyBorder="1" applyAlignment="1" applyProtection="1">
      <alignment vertical="center"/>
      <protection hidden="1"/>
    </xf>
    <xf numFmtId="180" fontId="7" fillId="0" borderId="3"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6"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7" fillId="0" borderId="5" xfId="6" applyFont="1" applyFill="1" applyBorder="1" applyAlignment="1" applyProtection="1">
      <alignment horizontal="left" vertical="center"/>
      <protection locked="0"/>
    </xf>
    <xf numFmtId="10" fontId="7" fillId="0" borderId="11" xfId="1" applyNumberFormat="1" applyFont="1" applyFill="1" applyBorder="1" applyAlignment="1" applyProtection="1">
      <alignment horizontal="left" vertical="center"/>
      <protection locked="0"/>
    </xf>
    <xf numFmtId="166" fontId="7" fillId="0" borderId="3" xfId="49" applyFont="1" applyFill="1" applyBorder="1" applyAlignment="1" applyProtection="1">
      <alignment vertical="center"/>
      <protection hidden="1"/>
    </xf>
    <xf numFmtId="0" fontId="7" fillId="0" borderId="11" xfId="6" applyFont="1" applyFill="1" applyBorder="1" applyAlignment="1" applyProtection="1">
      <alignment horizontal="left" vertical="center"/>
      <protection locked="0"/>
    </xf>
    <xf numFmtId="0" fontId="7" fillId="0" borderId="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166" fontId="7" fillId="0" borderId="3"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49" fontId="7" fillId="0" borderId="0" xfId="0" applyNumberFormat="1" applyFont="1" applyFill="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8"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5" xfId="0" applyFont="1" applyFill="1" applyBorder="1" applyAlignment="1" applyProtection="1">
      <alignment horizontal="centerContinuous" vertical="center"/>
    </xf>
    <xf numFmtId="0" fontId="14"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4" fillId="0" borderId="11" xfId="0" applyFont="1" applyFill="1" applyBorder="1" applyAlignment="1" applyProtection="1">
      <alignment horizontal="centerContinuous" vertical="center"/>
    </xf>
    <xf numFmtId="0" fontId="11" fillId="0" borderId="11"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4" fontId="7" fillId="0" borderId="3" xfId="0" applyNumberFormat="1" applyFont="1" applyFill="1" applyBorder="1" applyAlignment="1" applyProtection="1">
      <alignment horizontal="center" vertical="center"/>
    </xf>
    <xf numFmtId="2" fontId="7" fillId="0" borderId="5" xfId="0" applyNumberFormat="1" applyFont="1" applyFill="1" applyBorder="1" applyAlignment="1" applyProtection="1">
      <alignment horizontal="right" vertical="center" indent="1"/>
    </xf>
    <xf numFmtId="179" fontId="7" fillId="0" borderId="3" xfId="2" applyNumberFormat="1" applyFont="1" applyFill="1" applyBorder="1" applyAlignment="1" applyProtection="1">
      <alignment vertical="center"/>
    </xf>
    <xf numFmtId="167" fontId="7" fillId="0" borderId="3" xfId="1" applyNumberFormat="1" applyFont="1" applyFill="1" applyBorder="1" applyAlignment="1" applyProtection="1">
      <alignment vertical="center"/>
    </xf>
    <xf numFmtId="0" fontId="7" fillId="0" borderId="8" xfId="0" applyFont="1" applyFill="1" applyBorder="1" applyAlignment="1" applyProtection="1">
      <alignment horizontal="left" vertical="center"/>
    </xf>
    <xf numFmtId="0" fontId="7" fillId="0" borderId="8" xfId="0" applyFont="1" applyFill="1" applyBorder="1" applyAlignment="1" applyProtection="1">
      <alignment horizontal="left" vertical="center" wrapText="1"/>
    </xf>
    <xf numFmtId="4" fontId="7" fillId="0" borderId="8" xfId="0" applyNumberFormat="1" applyFont="1" applyFill="1" applyBorder="1" applyAlignment="1" applyProtection="1">
      <alignment horizontal="center" vertical="center"/>
    </xf>
    <xf numFmtId="4" fontId="7" fillId="0" borderId="8" xfId="0" applyNumberFormat="1" applyFont="1" applyFill="1" applyBorder="1" applyAlignment="1" applyProtection="1">
      <alignment vertical="center"/>
    </xf>
    <xf numFmtId="166" fontId="7" fillId="0" borderId="8" xfId="0" applyNumberFormat="1" applyFont="1" applyFill="1" applyBorder="1" applyAlignment="1" applyProtection="1">
      <alignment vertical="center"/>
    </xf>
    <xf numFmtId="167" fontId="7" fillId="0" borderId="11" xfId="1" applyNumberFormat="1" applyFont="1" applyFill="1" applyBorder="1" applyAlignment="1" applyProtection="1">
      <alignment vertical="center"/>
    </xf>
    <xf numFmtId="0" fontId="11" fillId="0" borderId="13" xfId="0" applyFont="1" applyFill="1" applyBorder="1" applyAlignment="1" applyProtection="1">
      <alignment horizontal="center" vertical="center"/>
    </xf>
    <xf numFmtId="167" fontId="11" fillId="0" borderId="3" xfId="1"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3"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3" xfId="0" applyFont="1" applyFill="1" applyBorder="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3"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8" xfId="0" applyFont="1" applyFill="1" applyBorder="1" applyAlignment="1" applyProtection="1">
      <alignment horizontal="center" vertical="center" wrapText="1"/>
      <protection hidden="1"/>
    </xf>
    <xf numFmtId="0" fontId="7" fillId="0" borderId="3" xfId="0" applyNumberFormat="1" applyFont="1" applyFill="1" applyBorder="1" applyAlignment="1" applyProtection="1">
      <alignment horizontal="center" vertical="center"/>
      <protection hidden="1"/>
    </xf>
    <xf numFmtId="4" fontId="7" fillId="0" borderId="3" xfId="0" applyNumberFormat="1" applyFont="1" applyFill="1" applyBorder="1" applyAlignment="1" applyProtection="1">
      <alignment horizontal="center" vertical="center"/>
      <protection hidden="1"/>
    </xf>
    <xf numFmtId="0" fontId="7" fillId="0" borderId="8" xfId="0" applyFont="1" applyFill="1" applyBorder="1" applyAlignment="1" applyProtection="1">
      <alignment horizontal="left" vertical="center"/>
      <protection hidden="1"/>
    </xf>
    <xf numFmtId="4" fontId="7" fillId="0" borderId="8" xfId="0" applyNumberFormat="1" applyFont="1" applyFill="1" applyBorder="1" applyAlignment="1" applyProtection="1">
      <alignment horizontal="center" vertical="center"/>
      <protection hidden="1"/>
    </xf>
    <xf numFmtId="166" fontId="7" fillId="0" borderId="8" xfId="0" applyNumberFormat="1" applyFont="1" applyFill="1" applyBorder="1" applyAlignment="1" applyProtection="1">
      <alignment vertical="center"/>
      <protection hidden="1"/>
    </xf>
    <xf numFmtId="166" fontId="11" fillId="0" borderId="3" xfId="0" applyNumberFormat="1" applyFont="1" applyFill="1" applyBorder="1" applyAlignment="1" applyProtection="1">
      <alignment vertical="center"/>
      <protection hidden="1"/>
    </xf>
    <xf numFmtId="0" fontId="12"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6" fillId="0" borderId="0" xfId="0" applyFont="1" applyFill="1" applyAlignment="1" applyProtection="1">
      <alignment vertical="center"/>
      <protection hidden="1"/>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89" fontId="11" fillId="4" borderId="25" xfId="63" applyNumberFormat="1" applyFont="1" applyFill="1" applyBorder="1" applyAlignment="1">
      <alignment horizontal="center" vertical="center"/>
    </xf>
    <xf numFmtId="0" fontId="7" fillId="4" borderId="23" xfId="63" applyFont="1" applyFill="1" applyBorder="1" applyAlignment="1">
      <alignment horizontal="center" vertical="center"/>
    </xf>
    <xf numFmtId="0" fontId="7" fillId="4" borderId="26" xfId="63" applyFont="1"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ont="1"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Font="1" applyBorder="1" applyAlignment="1">
      <alignment horizontal="center" vertical="center"/>
    </xf>
    <xf numFmtId="0" fontId="7" fillId="0" borderId="13" xfId="63" applyFont="1" applyBorder="1" applyAlignment="1">
      <alignment horizontal="center" vertical="center"/>
    </xf>
    <xf numFmtId="0" fontId="37" fillId="0" borderId="13" xfId="63" applyFont="1" applyFill="1" applyBorder="1" applyAlignment="1">
      <alignment horizontal="left" vertical="center"/>
    </xf>
    <xf numFmtId="0" fontId="7" fillId="0" borderId="13" xfId="63" applyFont="1" applyBorder="1" applyAlignment="1">
      <alignment vertical="center"/>
    </xf>
    <xf numFmtId="0" fontId="11" fillId="0" borderId="2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6"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37" fillId="0" borderId="2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7" xfId="63" applyFont="1" applyBorder="1" applyAlignment="1">
      <alignment horizontal="center" vertical="center"/>
    </xf>
    <xf numFmtId="0" fontId="7" fillId="0" borderId="12" xfId="63" applyFont="1"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Font="1"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Font="1" applyBorder="1" applyAlignment="1">
      <alignment horizontal="center" vertical="center"/>
    </xf>
    <xf numFmtId="0" fontId="7" fillId="0" borderId="32" xfId="63" applyFont="1" applyBorder="1" applyAlignment="1">
      <alignment horizontal="center" vertical="center"/>
    </xf>
    <xf numFmtId="0" fontId="7" fillId="0" borderId="2" xfId="63" applyFont="1"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ont="1" applyFill="1" applyBorder="1" applyAlignment="1">
      <alignment horizontal="center" vertical="center"/>
    </xf>
    <xf numFmtId="0" fontId="7" fillId="4" borderId="12" xfId="63" applyFont="1"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Font="1" applyBorder="1" applyAlignment="1">
      <alignment horizontal="center" vertical="center"/>
    </xf>
    <xf numFmtId="0" fontId="7" fillId="0" borderId="24" xfId="63" applyFont="1" applyBorder="1" applyAlignment="1">
      <alignment horizontal="center" vertical="center"/>
    </xf>
    <xf numFmtId="0" fontId="37" fillId="0" borderId="24" xfId="63" applyFont="1" applyBorder="1" applyAlignment="1">
      <alignment horizontal="left" vertical="center"/>
    </xf>
    <xf numFmtId="0" fontId="7" fillId="0" borderId="24" xfId="63" applyFont="1" applyBorder="1" applyAlignment="1">
      <alignment vertical="center"/>
    </xf>
    <xf numFmtId="0" fontId="37" fillId="0" borderId="39" xfId="63" applyFont="1" applyFill="1" applyBorder="1" applyAlignment="1">
      <alignment horizontal="center" vertical="center"/>
    </xf>
    <xf numFmtId="0" fontId="37" fillId="0" borderId="0" xfId="63" applyFont="1" applyBorder="1" applyAlignment="1">
      <alignment horizontal="left" vertical="center"/>
    </xf>
    <xf numFmtId="0" fontId="37" fillId="0" borderId="20" xfId="63" applyFont="1" applyFill="1" applyBorder="1" applyAlignment="1">
      <alignment horizontal="center" vertical="center"/>
    </xf>
    <xf numFmtId="0" fontId="37" fillId="4" borderId="12" xfId="63" applyFont="1" applyFill="1" applyBorder="1" applyAlignment="1">
      <alignment horizontal="left" vertical="center"/>
    </xf>
    <xf numFmtId="0" fontId="7" fillId="4" borderId="12" xfId="63" applyFont="1"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Border="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Font="1" applyBorder="1" applyAlignment="1">
      <alignment vertical="center"/>
    </xf>
    <xf numFmtId="0" fontId="37" fillId="0" borderId="42" xfId="63" applyFont="1" applyBorder="1" applyAlignment="1">
      <alignment horizontal="center" vertical="center"/>
    </xf>
    <xf numFmtId="0" fontId="37" fillId="0" borderId="39"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Font="1" applyBorder="1" applyAlignment="1">
      <alignment horizontal="center" vertical="center"/>
    </xf>
    <xf numFmtId="0" fontId="7" fillId="0" borderId="44" xfId="63" applyFont="1" applyBorder="1" applyAlignment="1">
      <alignment horizontal="center" vertical="center"/>
    </xf>
    <xf numFmtId="0" fontId="7" fillId="0" borderId="10" xfId="63" applyFont="1"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Border="1" applyAlignment="1">
      <alignment horizontal="center" vertical="center"/>
    </xf>
    <xf numFmtId="0" fontId="7" fillId="0" borderId="9" xfId="63" applyFont="1" applyBorder="1" applyAlignment="1">
      <alignment horizontal="center" vertical="center"/>
    </xf>
    <xf numFmtId="0" fontId="11" fillId="0" borderId="41" xfId="63" applyFont="1" applyBorder="1" applyAlignment="1">
      <alignment horizontal="center" vertical="center"/>
    </xf>
    <xf numFmtId="0" fontId="7" fillId="0" borderId="0" xfId="63" applyFont="1" applyFill="1" applyAlignment="1">
      <alignment vertical="center"/>
    </xf>
    <xf numFmtId="189" fontId="11" fillId="0" borderId="45" xfId="63" applyNumberFormat="1" applyFont="1" applyBorder="1" applyAlignment="1">
      <alignment horizontal="center" vertical="center"/>
    </xf>
    <xf numFmtId="0" fontId="7" fillId="0" borderId="12" xfId="63" applyFont="1" applyFill="1" applyBorder="1" applyAlignment="1">
      <alignment horizontal="center" vertical="center"/>
    </xf>
    <xf numFmtId="0" fontId="37" fillId="0" borderId="12" xfId="63" applyFont="1" applyFill="1" applyBorder="1" applyAlignment="1">
      <alignment horizontal="left" vertical="center" wrapText="1"/>
    </xf>
    <xf numFmtId="0" fontId="37" fillId="0" borderId="12" xfId="63" applyFont="1" applyFill="1" applyBorder="1" applyAlignment="1">
      <alignment horizontal="center" vertical="center" wrapText="1"/>
    </xf>
    <xf numFmtId="0" fontId="11" fillId="0" borderId="41" xfId="63" applyFont="1" applyFill="1" applyBorder="1" applyAlignment="1">
      <alignment horizontal="center" vertical="center"/>
    </xf>
    <xf numFmtId="0" fontId="11" fillId="0" borderId="42" xfId="63" applyFont="1" applyFill="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Fill="1" applyBorder="1" applyAlignment="1">
      <alignment horizontal="center" vertical="center"/>
    </xf>
    <xf numFmtId="0" fontId="11" fillId="0" borderId="20" xfId="63" applyFont="1" applyFill="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Fill="1" applyBorder="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ont="1" applyFill="1" applyBorder="1" applyAlignment="1">
      <alignment horizontal="center" vertical="center"/>
    </xf>
    <xf numFmtId="0" fontId="7" fillId="4" borderId="1" xfId="63" applyFont="1" applyFill="1" applyBorder="1" applyAlignment="1">
      <alignment vertical="center"/>
    </xf>
    <xf numFmtId="0" fontId="11" fillId="4" borderId="0" xfId="63" applyFont="1" applyFill="1" applyBorder="1" applyAlignment="1">
      <alignment vertical="center"/>
    </xf>
    <xf numFmtId="0" fontId="11" fillId="4" borderId="49" xfId="63" applyFont="1" applyFill="1" applyBorder="1" applyAlignment="1">
      <alignment horizontal="center" vertical="center"/>
    </xf>
    <xf numFmtId="0" fontId="11" fillId="0" borderId="42" xfId="63" applyFont="1" applyBorder="1" applyAlignment="1">
      <alignment horizontal="center" vertical="center"/>
    </xf>
    <xf numFmtId="189" fontId="11" fillId="0" borderId="19" xfId="63" applyNumberFormat="1" applyFont="1" applyFill="1" applyBorder="1" applyAlignment="1">
      <alignment horizontal="center" vertical="center"/>
    </xf>
    <xf numFmtId="0" fontId="7" fillId="0" borderId="3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4" borderId="35" xfId="63" applyFont="1"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ont="1" applyFill="1" applyBorder="1" applyAlignment="1">
      <alignment horizontal="center" vertical="center"/>
    </xf>
    <xf numFmtId="0" fontId="7" fillId="4" borderId="51" xfId="63" applyFont="1"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189"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4" borderId="12" xfId="63" applyFont="1" applyFill="1" applyBorder="1" applyAlignment="1">
      <alignment vertical="center"/>
    </xf>
    <xf numFmtId="0" fontId="7" fillId="0" borderId="6" xfId="63" applyFont="1" applyFill="1" applyBorder="1" applyAlignment="1">
      <alignment horizontal="center" vertical="center"/>
    </xf>
    <xf numFmtId="0" fontId="7" fillId="0" borderId="7" xfId="63" applyFont="1" applyFill="1" applyBorder="1" applyAlignment="1">
      <alignment horizontal="center" vertical="center"/>
    </xf>
    <xf numFmtId="0" fontId="11" fillId="0" borderId="12" xfId="63" applyFont="1" applyFill="1" applyBorder="1" applyAlignment="1">
      <alignment vertical="center"/>
    </xf>
    <xf numFmtId="0" fontId="7" fillId="0" borderId="12" xfId="63" applyFont="1" applyFill="1" applyBorder="1" applyAlignment="1">
      <alignment vertical="center"/>
    </xf>
    <xf numFmtId="0" fontId="7" fillId="0" borderId="5" xfId="63" applyFont="1" applyFill="1" applyBorder="1" applyAlignment="1">
      <alignment horizontal="center" vertical="center"/>
    </xf>
    <xf numFmtId="189" fontId="11" fillId="0" borderId="31" xfId="63" applyNumberFormat="1" applyFont="1" applyFill="1" applyBorder="1" applyAlignment="1">
      <alignment horizontal="center" vertical="center"/>
    </xf>
    <xf numFmtId="0" fontId="7" fillId="0" borderId="2" xfId="63" applyFont="1" applyFill="1" applyBorder="1" applyAlignment="1">
      <alignment horizontal="center" vertical="center"/>
    </xf>
    <xf numFmtId="0" fontId="7" fillId="0" borderId="32" xfId="63" applyFont="1" applyFill="1" applyBorder="1" applyAlignment="1">
      <alignment horizontal="center" vertical="center"/>
    </xf>
    <xf numFmtId="0" fontId="11" fillId="0" borderId="2" xfId="63" applyFont="1" applyFill="1" applyBorder="1" applyAlignment="1">
      <alignment vertical="center"/>
    </xf>
    <xf numFmtId="0" fontId="7" fillId="0" borderId="2" xfId="63" applyFont="1" applyFill="1" applyBorder="1" applyAlignment="1">
      <alignment vertical="center"/>
    </xf>
    <xf numFmtId="0" fontId="11" fillId="0" borderId="47" xfId="63" applyFont="1" applyBorder="1" applyAlignment="1">
      <alignment horizontal="center" vertical="center"/>
    </xf>
    <xf numFmtId="0" fontId="11" fillId="0" borderId="39" xfId="63" applyFont="1" applyBorder="1" applyAlignment="1">
      <alignment horizontal="center" vertical="center"/>
    </xf>
    <xf numFmtId="0" fontId="7" fillId="0" borderId="53" xfId="63" applyFont="1" applyBorder="1" applyAlignment="1">
      <alignment horizontal="center" vertical="center"/>
    </xf>
    <xf numFmtId="0" fontId="11" fillId="0" borderId="22" xfId="63" applyFont="1" applyBorder="1" applyAlignment="1">
      <alignment horizontal="center" vertical="center"/>
    </xf>
    <xf numFmtId="0" fontId="7" fillId="4" borderId="0" xfId="63" applyFont="1" applyFill="1" applyBorder="1" applyAlignment="1">
      <alignment horizontal="center" vertical="center"/>
    </xf>
    <xf numFmtId="0" fontId="7" fillId="4" borderId="0" xfId="63" applyFont="1" applyFill="1" applyBorder="1" applyAlignment="1">
      <alignment vertical="center"/>
    </xf>
    <xf numFmtId="0" fontId="11" fillId="4" borderId="20" xfId="63" applyFont="1" applyFill="1" applyBorder="1" applyAlignment="1">
      <alignment horizontal="center" vertical="center"/>
    </xf>
    <xf numFmtId="0" fontId="11" fillId="0" borderId="8" xfId="63" applyFont="1" applyFill="1" applyBorder="1" applyAlignment="1">
      <alignment vertical="center"/>
    </xf>
    <xf numFmtId="0" fontId="7" fillId="0" borderId="54" xfId="63" applyFont="1" applyBorder="1" applyAlignment="1">
      <alignment horizontal="center" vertical="center"/>
    </xf>
    <xf numFmtId="0" fontId="11" fillId="0" borderId="0" xfId="63" applyFont="1"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ont="1" applyFill="1" applyBorder="1" applyAlignment="1">
      <alignment horizontal="center" vertical="center"/>
    </xf>
    <xf numFmtId="0" fontId="7" fillId="4" borderId="2" xfId="63" applyFont="1"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ont="1" applyFill="1" applyBorder="1" applyAlignment="1">
      <alignment horizontal="center" vertical="center"/>
    </xf>
    <xf numFmtId="0" fontId="7" fillId="4" borderId="57" xfId="63" applyFont="1"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Font="1"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8" xfId="63" applyFont="1" applyFill="1" applyBorder="1" applyAlignment="1">
      <alignment vertical="center"/>
    </xf>
    <xf numFmtId="0" fontId="7" fillId="0" borderId="17" xfId="63" applyFont="1" applyBorder="1" applyAlignment="1">
      <alignment horizontal="center" vertical="center"/>
    </xf>
    <xf numFmtId="0" fontId="7" fillId="0" borderId="16" xfId="63" applyFont="1" applyBorder="1" applyAlignment="1">
      <alignment horizontal="center" vertical="center"/>
    </xf>
    <xf numFmtId="0" fontId="7" fillId="0" borderId="8" xfId="63" applyFont="1" applyBorder="1" applyAlignment="1">
      <alignment horizontal="center" vertical="center"/>
    </xf>
    <xf numFmtId="189" fontId="11" fillId="0" borderId="62" xfId="63" applyNumberFormat="1" applyFont="1" applyFill="1" applyBorder="1" applyAlignment="1">
      <alignment horizontal="center" vertical="center"/>
    </xf>
    <xf numFmtId="0" fontId="7" fillId="0" borderId="63" xfId="63" applyFont="1" applyFill="1" applyBorder="1" applyAlignment="1">
      <alignment horizontal="center" vertical="center"/>
    </xf>
    <xf numFmtId="0" fontId="7" fillId="0" borderId="35" xfId="63" applyFont="1" applyFill="1" applyBorder="1" applyAlignment="1">
      <alignment vertical="center"/>
    </xf>
    <xf numFmtId="0" fontId="11" fillId="0" borderId="35" xfId="63" applyFont="1" applyFill="1" applyBorder="1" applyAlignment="1">
      <alignment vertical="center"/>
    </xf>
    <xf numFmtId="0" fontId="11" fillId="0" borderId="36" xfId="63" applyFont="1" applyFill="1" applyBorder="1" applyAlignment="1">
      <alignment horizontal="center" vertical="center"/>
    </xf>
    <xf numFmtId="189" fontId="11" fillId="0" borderId="34" xfId="63" applyNumberFormat="1" applyFont="1" applyFill="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Font="1" applyBorder="1" applyAlignment="1">
      <alignment vertical="center"/>
    </xf>
    <xf numFmtId="189" fontId="11" fillId="0" borderId="31" xfId="63" applyNumberFormat="1" applyFont="1" applyBorder="1" applyAlignment="1">
      <alignment vertical="center"/>
    </xf>
    <xf numFmtId="0" fontId="7" fillId="0" borderId="32" xfId="63" applyFont="1" applyBorder="1" applyAlignment="1">
      <alignment vertical="center"/>
    </xf>
    <xf numFmtId="189" fontId="11" fillId="0" borderId="19" xfId="63" applyNumberFormat="1" applyFont="1" applyFill="1" applyBorder="1" applyAlignment="1">
      <alignment vertical="center"/>
    </xf>
    <xf numFmtId="189" fontId="11" fillId="0" borderId="31" xfId="63" applyNumberFormat="1" applyFont="1" applyFill="1" applyBorder="1" applyAlignment="1">
      <alignment vertical="center"/>
    </xf>
    <xf numFmtId="0" fontId="7" fillId="0" borderId="16" xfId="63" applyFont="1" applyFill="1" applyBorder="1" applyAlignment="1">
      <alignment horizontal="center" vertical="center"/>
    </xf>
    <xf numFmtId="0" fontId="40" fillId="0" borderId="0" xfId="63" applyFont="1" applyFill="1" applyAlignment="1">
      <alignment vertical="center"/>
    </xf>
    <xf numFmtId="0" fontId="37" fillId="0" borderId="0" xfId="63" applyFont="1" applyFill="1" applyBorder="1" applyAlignment="1">
      <alignment horizontal="left" vertical="center"/>
    </xf>
    <xf numFmtId="0" fontId="37" fillId="0" borderId="8" xfId="63" applyFont="1" applyFill="1" applyBorder="1" applyAlignment="1">
      <alignment horizontal="left" vertical="center"/>
    </xf>
    <xf numFmtId="0" fontId="37" fillId="0" borderId="24" xfId="63" applyFont="1" applyFill="1" applyBorder="1" applyAlignment="1">
      <alignment horizontal="left" vertical="center"/>
    </xf>
    <xf numFmtId="0" fontId="11" fillId="0" borderId="24" xfId="63" applyFont="1" applyFill="1" applyBorder="1" applyAlignment="1">
      <alignment vertical="center"/>
    </xf>
    <xf numFmtId="189" fontId="11" fillId="0" borderId="0" xfId="63" applyNumberFormat="1" applyFont="1" applyAlignment="1">
      <alignment horizontal="center" vertical="center"/>
    </xf>
    <xf numFmtId="0" fontId="41" fillId="0" borderId="0" xfId="19" applyFont="1" applyFill="1" applyBorder="1" applyAlignment="1">
      <alignment vertical="center"/>
    </xf>
    <xf numFmtId="190" fontId="7" fillId="0" borderId="3" xfId="20" applyNumberFormat="1" applyFont="1" applyFill="1" applyBorder="1" applyAlignment="1">
      <alignment horizontal="left" vertical="center" wrapText="1"/>
    </xf>
    <xf numFmtId="0" fontId="7" fillId="0" borderId="3" xfId="20" applyFont="1" applyBorder="1" applyAlignment="1">
      <alignment horizontal="center" vertical="center"/>
    </xf>
    <xf numFmtId="4" fontId="7" fillId="0" borderId="3" xfId="20" applyNumberFormat="1" applyFont="1" applyBorder="1" applyAlignment="1">
      <alignment horizontal="left" vertical="center" wrapText="1"/>
    </xf>
    <xf numFmtId="190" fontId="7" fillId="0" borderId="3" xfId="20" applyNumberFormat="1" applyFon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4"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8"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5" xfId="20" applyFont="1" applyFill="1" applyBorder="1" applyAlignment="1" applyProtection="1">
      <alignment horizontal="left" vertical="center"/>
    </xf>
    <xf numFmtId="0" fontId="8" fillId="0" borderId="11" xfId="20" applyFont="1" applyFill="1" applyBorder="1" applyProtection="1"/>
    <xf numFmtId="191" fontId="8" fillId="0" borderId="3" xfId="20" applyNumberFormat="1" applyFont="1" applyFill="1" applyBorder="1" applyAlignment="1" applyProtection="1">
      <alignment horizontal="center" vertical="center"/>
      <protection locked="0"/>
    </xf>
    <xf numFmtId="9" fontId="8" fillId="0" borderId="3" xfId="81" applyFont="1" applyFill="1" applyBorder="1" applyAlignment="1" applyProtection="1">
      <alignment horizontal="center" vertical="center"/>
      <protection locked="0"/>
    </xf>
    <xf numFmtId="0" fontId="8" fillId="0" borderId="5" xfId="20" applyFont="1" applyFill="1" applyBorder="1" applyAlignment="1" applyProtection="1">
      <alignment vertical="center"/>
    </xf>
    <xf numFmtId="192" fontId="8" fillId="0" borderId="3" xfId="20" applyNumberFormat="1" applyFont="1" applyFill="1" applyBorder="1" applyAlignment="1" applyProtection="1">
      <alignment horizontal="center" vertical="center"/>
      <protection locked="0"/>
    </xf>
    <xf numFmtId="193" fontId="8" fillId="0" borderId="3" xfId="81" applyNumberFormat="1" applyFont="1" applyFill="1" applyBorder="1" applyAlignment="1" applyProtection="1">
      <alignment horizontal="center" vertical="center"/>
      <protection locked="0"/>
    </xf>
    <xf numFmtId="194" fontId="8" fillId="0" borderId="3" xfId="20" applyNumberFormat="1" applyFont="1" applyFill="1" applyBorder="1" applyAlignment="1" applyProtection="1">
      <alignment horizontal="center" vertical="center"/>
    </xf>
    <xf numFmtId="195" fontId="8" fillId="0" borderId="3" xfId="20" applyNumberFormat="1" applyFont="1" applyFill="1" applyBorder="1" applyAlignment="1" applyProtection="1">
      <alignment horizontal="center" vertical="center"/>
    </xf>
    <xf numFmtId="0" fontId="8" fillId="0" borderId="5" xfId="20" applyFont="1" applyFill="1" applyBorder="1" applyProtection="1"/>
    <xf numFmtId="196" fontId="8" fillId="0" borderId="3" xfId="20" applyNumberFormat="1" applyFont="1" applyFill="1" applyBorder="1" applyProtection="1">
      <protection locked="0"/>
    </xf>
    <xf numFmtId="197" fontId="8" fillId="0" borderId="3" xfId="20" applyNumberFormat="1" applyFont="1" applyFill="1" applyBorder="1" applyProtection="1">
      <protection locked="0"/>
    </xf>
    <xf numFmtId="198" fontId="8" fillId="0" borderId="3" xfId="20" applyNumberFormat="1" applyFont="1" applyFill="1" applyBorder="1" applyAlignment="1" applyProtection="1">
      <alignment horizontal="center" vertical="center"/>
      <protection locked="0"/>
    </xf>
    <xf numFmtId="199" fontId="8" fillId="0" borderId="3" xfId="81" applyNumberFormat="1" applyFont="1" applyFill="1" applyBorder="1" applyAlignment="1" applyProtection="1">
      <alignment horizontal="center" vertical="center"/>
      <protection locked="0"/>
    </xf>
    <xf numFmtId="200" fontId="8" fillId="0" borderId="3" xfId="81" applyNumberFormat="1" applyFont="1" applyFill="1" applyBorder="1" applyAlignment="1" applyProtection="1">
      <alignment horizontal="center" vertical="center"/>
      <protection locked="0"/>
    </xf>
    <xf numFmtId="201" fontId="8" fillId="0" borderId="3" xfId="20" applyNumberFormat="1" applyFont="1" applyFill="1" applyBorder="1" applyAlignment="1" applyProtection="1">
      <alignment horizontal="center" vertical="center"/>
    </xf>
    <xf numFmtId="202" fontId="8" fillId="0" borderId="3" xfId="20" applyNumberFormat="1" applyFont="1" applyFill="1" applyBorder="1" applyAlignment="1" applyProtection="1">
      <alignment horizontal="center" vertical="center"/>
    </xf>
    <xf numFmtId="202" fontId="8" fillId="0" borderId="0" xfId="20" applyNumberFormat="1" applyFont="1" applyFill="1" applyBorder="1" applyAlignment="1" applyProtection="1">
      <alignment horizontal="center" vertical="center"/>
    </xf>
    <xf numFmtId="202" fontId="8" fillId="0" borderId="0" xfId="20" applyNumberFormat="1" applyFont="1" applyFill="1" applyBorder="1" applyAlignment="1" applyProtection="1">
      <alignment horizontal="right" vertical="center"/>
    </xf>
    <xf numFmtId="203" fontId="8" fillId="0" borderId="3" xfId="20" applyNumberFormat="1" applyFont="1" applyFill="1" applyBorder="1" applyProtection="1">
      <protection locked="0"/>
    </xf>
    <xf numFmtId="204" fontId="8" fillId="0" borderId="3" xfId="81" applyNumberFormat="1" applyFont="1" applyFill="1" applyBorder="1" applyAlignment="1" applyProtection="1">
      <alignment horizontal="center" vertical="center"/>
      <protection locked="0"/>
    </xf>
    <xf numFmtId="188" fontId="12" fillId="0" borderId="3" xfId="0" applyNumberFormat="1" applyFont="1" applyBorder="1" applyAlignment="1">
      <alignment vertical="center"/>
    </xf>
    <xf numFmtId="166" fontId="11" fillId="0" borderId="3"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6" fontId="7" fillId="0" borderId="3" xfId="20" applyNumberFormat="1" applyFont="1" applyBorder="1" applyAlignment="1" applyProtection="1">
      <alignment horizontal="center" vertical="center"/>
      <protection hidden="1"/>
    </xf>
    <xf numFmtId="0" fontId="7" fillId="0" borderId="0" xfId="20" applyFont="1" applyBorder="1" applyProtection="1">
      <protection hidden="1"/>
    </xf>
    <xf numFmtId="206" fontId="7" fillId="0" borderId="0" xfId="20" applyNumberFormat="1" applyFont="1" applyAlignment="1" applyProtection="1">
      <protection hidden="1"/>
    </xf>
    <xf numFmtId="207" fontId="7" fillId="0" borderId="0" xfId="20" applyNumberFormat="1" applyFont="1" applyBorder="1" applyAlignment="1" applyProtection="1">
      <alignment shrinkToFit="1"/>
      <protection hidden="1"/>
    </xf>
    <xf numFmtId="208"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09"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2" fontId="7" fillId="0" borderId="0" xfId="20" applyNumberFormat="1" applyFont="1" applyBorder="1" applyProtection="1">
      <protection hidden="1"/>
    </xf>
    <xf numFmtId="213" fontId="7" fillId="0" borderId="0" xfId="20" applyNumberFormat="1" applyFont="1" applyBorder="1" applyAlignment="1" applyProtection="1">
      <alignment horizontal="center"/>
      <protection hidden="1"/>
    </xf>
    <xf numFmtId="214" fontId="7" fillId="0" borderId="0" xfId="20" applyNumberFormat="1" applyFont="1" applyBorder="1" applyAlignment="1" applyProtection="1">
      <alignment horizontal="center" vertical="center" shrinkToFit="1"/>
      <protection hidden="1"/>
    </xf>
    <xf numFmtId="216" fontId="7" fillId="0" borderId="0" xfId="20" applyNumberFormat="1" applyFont="1" applyAlignment="1" applyProtection="1">
      <alignment shrinkToFit="1"/>
      <protection hidden="1"/>
    </xf>
    <xf numFmtId="217" fontId="7" fillId="0" borderId="0" xfId="20" applyNumberFormat="1" applyFont="1" applyAlignment="1" applyProtection="1">
      <alignment horizontal="center" shrinkToFit="1"/>
      <protection hidden="1"/>
    </xf>
    <xf numFmtId="218"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19"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7" fillId="0" borderId="0" xfId="20" applyNumberFormat="1" applyFont="1" applyBorder="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Fon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5" fontId="7" fillId="0" borderId="0" xfId="20" applyNumberFormat="1" applyFont="1" applyBorder="1" applyAlignment="1" applyProtection="1">
      <alignment vertical="center"/>
      <protection hidden="1"/>
    </xf>
    <xf numFmtId="226" fontId="7" fillId="0" borderId="3" xfId="20" applyNumberFormat="1" applyFont="1" applyBorder="1" applyAlignment="1" applyProtection="1">
      <alignment horizontal="center" vertical="center"/>
      <protection hidden="1"/>
    </xf>
    <xf numFmtId="0" fontId="7" fillId="0" borderId="5" xfId="7" applyFont="1" applyFill="1" applyBorder="1" applyAlignment="1" applyProtection="1">
      <alignment vertical="center" wrapText="1"/>
      <protection hidden="1"/>
    </xf>
    <xf numFmtId="2" fontId="7" fillId="0" borderId="3" xfId="0" applyNumberFormat="1" applyFont="1" applyFill="1" applyBorder="1" applyAlignment="1" applyProtection="1">
      <alignment vertical="center"/>
      <protection hidden="1"/>
    </xf>
    <xf numFmtId="179" fontId="12" fillId="0" borderId="3" xfId="49" applyNumberFormat="1" applyFont="1" applyFill="1" applyBorder="1" applyAlignment="1" applyProtection="1">
      <alignment vertical="center" wrapText="1"/>
      <protection hidden="1"/>
    </xf>
    <xf numFmtId="179" fontId="7" fillId="0" borderId="3" xfId="49" applyNumberFormat="1" applyFont="1" applyFill="1" applyBorder="1" applyAlignment="1" applyProtection="1">
      <alignment vertical="center"/>
      <protection hidden="1"/>
    </xf>
    <xf numFmtId="4" fontId="7" fillId="0" borderId="8" xfId="0" applyNumberFormat="1" applyFont="1" applyFill="1" applyBorder="1" applyAlignment="1" applyProtection="1">
      <alignment vertical="center"/>
      <protection hidden="1"/>
    </xf>
    <xf numFmtId="44" fontId="7" fillId="0" borderId="8"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1" fillId="0" borderId="11" xfId="0" applyNumberFormat="1" applyFont="1" applyFill="1" applyBorder="1" applyAlignment="1" applyProtection="1">
      <alignment vertical="center"/>
      <protection hidden="1"/>
    </xf>
    <xf numFmtId="166"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Fill="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Fill="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6"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Fill="1" applyBorder="1" applyProtection="1">
      <protection hidden="1"/>
    </xf>
    <xf numFmtId="211" fontId="7" fillId="0" borderId="3" xfId="20" applyNumberFormat="1" applyFont="1" applyBorder="1" applyProtection="1">
      <protection hidden="1"/>
    </xf>
    <xf numFmtId="213" fontId="11" fillId="0" borderId="3" xfId="20" applyNumberFormat="1" applyFont="1" applyBorder="1" applyProtection="1">
      <protection hidden="1"/>
    </xf>
    <xf numFmtId="196" fontId="7" fillId="0" borderId="3" xfId="20" applyNumberFormat="1" applyFont="1" applyBorder="1" applyProtection="1">
      <protection hidden="1"/>
    </xf>
    <xf numFmtId="198" fontId="7" fillId="0" borderId="3" xfId="20" applyNumberFormat="1" applyFont="1" applyBorder="1" applyProtection="1">
      <protection hidden="1"/>
    </xf>
    <xf numFmtId="215" fontId="11" fillId="0" borderId="3" xfId="20" applyNumberFormat="1" applyFont="1" applyFill="1" applyBorder="1" applyProtection="1">
      <protection hidden="1"/>
    </xf>
    <xf numFmtId="220" fontId="7" fillId="0" borderId="3" xfId="20" applyNumberFormat="1" applyFont="1" applyBorder="1" applyProtection="1">
      <protection hidden="1"/>
    </xf>
    <xf numFmtId="208" fontId="11" fillId="0" borderId="3" xfId="20" applyNumberFormat="1" applyFont="1" applyBorder="1" applyProtection="1">
      <protection hidden="1"/>
    </xf>
    <xf numFmtId="0" fontId="7" fillId="0" borderId="12" xfId="20" applyFont="1" applyBorder="1" applyProtection="1">
      <protection hidden="1"/>
    </xf>
    <xf numFmtId="0" fontId="7" fillId="0" borderId="13" xfId="20" applyFont="1" applyBorder="1" applyProtection="1">
      <protection hidden="1"/>
    </xf>
    <xf numFmtId="0" fontId="11" fillId="0" borderId="8"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7" fillId="0" borderId="5" xfId="16" applyNumberFormat="1" applyFont="1" applyFill="1" applyBorder="1" applyAlignment="1" applyProtection="1">
      <alignment vertical="center"/>
      <protection locked="0"/>
    </xf>
    <xf numFmtId="228" fontId="7"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6" fontId="11" fillId="0" borderId="8" xfId="0" applyNumberFormat="1" applyFont="1" applyFill="1" applyBorder="1" applyAlignment="1" applyProtection="1">
      <alignment vertical="center"/>
    </xf>
    <xf numFmtId="179" fontId="7" fillId="2" borderId="3" xfId="2" applyNumberFormat="1" applyFont="1" applyFill="1" applyBorder="1" applyAlignment="1" applyProtection="1">
      <alignment vertical="center"/>
    </xf>
    <xf numFmtId="0" fontId="11" fillId="0" borderId="8" xfId="0" applyFont="1" applyFill="1" applyBorder="1" applyAlignment="1" applyProtection="1">
      <alignment horizontal="center" vertical="center"/>
    </xf>
    <xf numFmtId="16" fontId="7" fillId="0" borderId="3" xfId="0"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0" fontId="11" fillId="0" borderId="6" xfId="0" applyFont="1" applyFill="1" applyBorder="1" applyAlignment="1" applyProtection="1">
      <alignment vertical="center"/>
    </xf>
    <xf numFmtId="0" fontId="11" fillId="0" borderId="6" xfId="0"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xf>
    <xf numFmtId="2" fontId="7" fillId="2" borderId="0" xfId="0" applyNumberFormat="1" applyFont="1" applyFill="1" applyBorder="1" applyAlignment="1" applyProtection="1">
      <alignment vertical="center"/>
      <protection locked="0"/>
    </xf>
    <xf numFmtId="0" fontId="11" fillId="0" borderId="3"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3" xfId="0"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xf>
    <xf numFmtId="0" fontId="11" fillId="0" borderId="18" xfId="0" applyFont="1" applyFill="1" applyBorder="1" applyAlignment="1" applyProtection="1">
      <alignment horizontal="center" vertical="center" wrapText="1"/>
    </xf>
    <xf numFmtId="0" fontId="12" fillId="0" borderId="0" xfId="0" applyFont="1" applyFill="1" applyAlignment="1" applyProtection="1">
      <alignment vertical="center"/>
    </xf>
    <xf numFmtId="0" fontId="12" fillId="0" borderId="0" xfId="0" applyFont="1" applyFill="1" applyAlignment="1" applyProtection="1">
      <alignment vertical="center"/>
      <protection locked="0"/>
    </xf>
    <xf numFmtId="14" fontId="16" fillId="0" borderId="0" xfId="0" applyNumberFormat="1" applyFont="1" applyFill="1" applyBorder="1" applyAlignment="1" applyProtection="1">
      <alignment vertical="center"/>
      <protection hidden="1"/>
    </xf>
    <xf numFmtId="16" fontId="16"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horizontal="center" vertical="center"/>
      <protection hidden="1"/>
    </xf>
    <xf numFmtId="16" fontId="16" fillId="0" borderId="0"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vertical="center" wrapText="1"/>
      <protection hidden="1"/>
    </xf>
    <xf numFmtId="0" fontId="16"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2" fontId="12" fillId="0" borderId="0" xfId="0" applyNumberFormat="1" applyFont="1" applyFill="1" applyBorder="1" applyAlignment="1" applyProtection="1">
      <alignment horizontal="right" vertical="center"/>
      <protection hidden="1"/>
    </xf>
    <xf numFmtId="39" fontId="12" fillId="0" borderId="0" xfId="0" applyNumberFormat="1" applyFont="1" applyFill="1" applyBorder="1" applyAlignment="1" applyProtection="1">
      <alignment vertical="center"/>
      <protection hidden="1"/>
    </xf>
    <xf numFmtId="0" fontId="12" fillId="0" borderId="0" xfId="7" applyNumberFormat="1" applyFont="1" applyFill="1" applyBorder="1" applyAlignment="1" applyProtection="1">
      <alignment horizontal="left" vertical="center"/>
    </xf>
    <xf numFmtId="0" fontId="12" fillId="0" borderId="0" xfId="0" applyFont="1" applyFill="1" applyBorder="1" applyAlignment="1" applyProtection="1">
      <alignment vertical="center"/>
      <protection hidden="1"/>
    </xf>
    <xf numFmtId="0" fontId="12" fillId="0" borderId="0" xfId="0" quotePrefix="1" applyNumberFormat="1" applyFont="1" applyFill="1" applyBorder="1" applyAlignment="1" applyProtection="1">
      <alignment horizontal="left" vertical="center"/>
    </xf>
    <xf numFmtId="0" fontId="16" fillId="0" borderId="0" xfId="0" applyFont="1" applyFill="1" applyBorder="1" applyAlignment="1" applyProtection="1">
      <alignment horizontal="centerContinuous" vertical="center"/>
      <protection hidden="1"/>
    </xf>
    <xf numFmtId="0" fontId="16" fillId="0" borderId="0" xfId="0" applyFont="1" applyFill="1" applyBorder="1" applyAlignment="1" applyProtection="1">
      <alignment horizontal="left" vertical="center"/>
      <protection hidden="1"/>
    </xf>
    <xf numFmtId="49" fontId="12" fillId="0" borderId="0" xfId="0" applyNumberFormat="1" applyFont="1" applyFill="1" applyBorder="1" applyAlignment="1" applyProtection="1">
      <alignment horizontal="left" vertical="center"/>
      <protection hidden="1"/>
    </xf>
    <xf numFmtId="0" fontId="16" fillId="0" borderId="3" xfId="0" applyFont="1" applyFill="1" applyBorder="1" applyAlignment="1" applyProtection="1">
      <alignment horizontal="center" vertical="center"/>
      <protection hidden="1"/>
    </xf>
    <xf numFmtId="2" fontId="16" fillId="0" borderId="3" xfId="0" applyNumberFormat="1" applyFont="1" applyFill="1" applyBorder="1" applyAlignment="1" applyProtection="1">
      <alignment horizontal="center" vertical="center"/>
      <protection hidden="1"/>
    </xf>
    <xf numFmtId="0" fontId="12" fillId="0" borderId="3" xfId="0" applyFont="1" applyFill="1" applyBorder="1" applyAlignment="1" applyProtection="1">
      <alignment vertical="center"/>
      <protection locked="0"/>
    </xf>
    <xf numFmtId="2" fontId="12" fillId="0" borderId="3" xfId="0" applyNumberFormat="1" applyFont="1" applyFill="1" applyBorder="1" applyAlignment="1" applyProtection="1">
      <alignment horizontal="right" vertical="center"/>
      <protection locked="0"/>
    </xf>
    <xf numFmtId="187" fontId="12" fillId="0" borderId="3" xfId="0" applyNumberFormat="1" applyFont="1" applyFill="1" applyBorder="1" applyAlignment="1" applyProtection="1">
      <alignment horizontal="center" vertical="center"/>
      <protection locked="0"/>
    </xf>
    <xf numFmtId="179" fontId="12" fillId="0" borderId="3" xfId="49" applyNumberFormat="1" applyFont="1" applyFill="1" applyBorder="1" applyAlignment="1" applyProtection="1">
      <alignment vertical="center"/>
      <protection hidden="1"/>
    </xf>
    <xf numFmtId="187" fontId="12"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protection hidden="1"/>
    </xf>
    <xf numFmtId="0" fontId="12" fillId="0" borderId="3" xfId="0" applyFont="1" applyFill="1" applyBorder="1" applyAlignment="1" applyProtection="1">
      <alignment horizontal="center" vertical="center"/>
      <protection locked="0"/>
    </xf>
    <xf numFmtId="2" fontId="12" fillId="0" borderId="0" xfId="0" applyNumberFormat="1" applyFont="1" applyFill="1" applyBorder="1" applyAlignment="1" applyProtection="1">
      <alignment horizontal="left" vertical="center"/>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vertical="center"/>
      <protection hidden="1"/>
    </xf>
    <xf numFmtId="188" fontId="12" fillId="0" borderId="3" xfId="0" applyNumberFormat="1" applyFont="1" applyFill="1" applyBorder="1" applyAlignment="1" applyProtection="1">
      <alignment horizontal="right" vertical="center"/>
    </xf>
    <xf numFmtId="0" fontId="12" fillId="0" borderId="3" xfId="6" applyFont="1" applyFill="1" applyBorder="1" applyAlignment="1" applyProtection="1">
      <alignment horizontal="left" vertical="center"/>
      <protection locked="0"/>
    </xf>
    <xf numFmtId="186" fontId="12" fillId="0" borderId="15" xfId="0" applyNumberFormat="1" applyFont="1" applyFill="1" applyBorder="1" applyAlignment="1" applyProtection="1">
      <alignment horizontal="center" vertical="center"/>
      <protection hidden="1"/>
    </xf>
    <xf numFmtId="0" fontId="12" fillId="0" borderId="3" xfId="5" applyFont="1" applyFill="1" applyBorder="1" applyAlignment="1" applyProtection="1">
      <alignment horizontal="left" vertical="center"/>
      <protection locked="0"/>
    </xf>
    <xf numFmtId="9" fontId="12" fillId="0" borderId="3" xfId="1"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hidden="1"/>
    </xf>
    <xf numFmtId="0" fontId="12" fillId="0" borderId="0" xfId="0" applyFont="1" applyFill="1" applyAlignment="1" applyProtection="1">
      <alignment horizontal="center" vertical="center"/>
      <protection locked="0"/>
    </xf>
    <xf numFmtId="2" fontId="12" fillId="0" borderId="3" xfId="0" applyNumberFormat="1" applyFont="1" applyFill="1" applyBorder="1" applyAlignment="1" applyProtection="1">
      <alignment vertical="center"/>
      <protection locked="0"/>
    </xf>
    <xf numFmtId="178" fontId="12" fillId="0" borderId="0" xfId="0" applyNumberFormat="1" applyFont="1" applyFill="1" applyAlignment="1" applyProtection="1">
      <alignment vertical="center"/>
      <protection locked="0"/>
    </xf>
    <xf numFmtId="0" fontId="7" fillId="0" borderId="3" xfId="0" applyFont="1" applyFill="1" applyBorder="1" applyAlignment="1" applyProtection="1">
      <alignment horizontal="left" vertical="center"/>
    </xf>
    <xf numFmtId="0" fontId="7" fillId="0" borderId="0" xfId="0" applyFont="1" applyAlignment="1">
      <alignment vertical="center"/>
    </xf>
    <xf numFmtId="0" fontId="11" fillId="0" borderId="16" xfId="0" applyFont="1" applyFill="1" applyBorder="1" applyAlignment="1" applyProtection="1">
      <alignment horizontal="center" vertical="center"/>
    </xf>
    <xf numFmtId="0" fontId="11" fillId="0" borderId="13" xfId="0" applyFont="1" applyFill="1" applyBorder="1" applyAlignment="1" applyProtection="1">
      <alignment horizontal="left" vertical="center"/>
    </xf>
    <xf numFmtId="0" fontId="11" fillId="0" borderId="13" xfId="0" applyFont="1" applyFill="1" applyBorder="1" applyAlignment="1" applyProtection="1">
      <alignment horizontal="right" vertical="center"/>
    </xf>
    <xf numFmtId="0" fontId="11" fillId="0" borderId="13" xfId="0" applyFont="1" applyFill="1" applyBorder="1" applyAlignment="1" applyProtection="1">
      <alignment vertical="center"/>
    </xf>
    <xf numFmtId="166" fontId="11" fillId="0" borderId="14" xfId="0" applyNumberFormat="1" applyFont="1" applyFill="1" applyBorder="1" applyAlignment="1" applyProtection="1">
      <alignment vertical="center"/>
    </xf>
    <xf numFmtId="0" fontId="11" fillId="0" borderId="6" xfId="0"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166" fontId="11" fillId="0" borderId="17" xfId="0" applyNumberFormat="1" applyFont="1" applyFill="1" applyBorder="1" applyAlignment="1" applyProtection="1">
      <alignment vertical="center"/>
    </xf>
    <xf numFmtId="0" fontId="11" fillId="0" borderId="7" xfId="0" applyFont="1" applyFill="1" applyBorder="1" applyAlignment="1" applyProtection="1">
      <alignment horizontal="center" vertical="center"/>
    </xf>
    <xf numFmtId="10" fontId="11" fillId="0" borderId="12" xfId="0" applyNumberFormat="1" applyFont="1" applyFill="1" applyBorder="1" applyAlignment="1" applyProtection="1">
      <alignment horizontal="left" vertical="center"/>
    </xf>
    <xf numFmtId="10" fontId="11" fillId="0" borderId="12" xfId="0" applyNumberFormat="1" applyFont="1" applyFill="1" applyBorder="1" applyAlignment="1" applyProtection="1">
      <alignment horizontal="right" vertical="center"/>
    </xf>
    <xf numFmtId="0" fontId="11" fillId="0" borderId="12" xfId="0" applyFont="1" applyFill="1" applyBorder="1" applyAlignment="1" applyProtection="1">
      <alignment vertical="center"/>
    </xf>
    <xf numFmtId="166" fontId="11" fillId="0" borderId="9" xfId="0" applyNumberFormat="1" applyFont="1" applyFill="1" applyBorder="1" applyAlignment="1" applyProtection="1">
      <alignment vertical="center"/>
    </xf>
    <xf numFmtId="0" fontId="7" fillId="0" borderId="3" xfId="0" applyFont="1" applyBorder="1" applyAlignment="1">
      <alignment horizontal="center" vertical="center"/>
    </xf>
    <xf numFmtId="14" fontId="16" fillId="0" borderId="6" xfId="0" applyNumberFormat="1" applyFont="1" applyFill="1" applyBorder="1" applyAlignment="1" applyProtection="1">
      <alignment vertical="center"/>
      <protection hidden="1"/>
    </xf>
    <xf numFmtId="16" fontId="16" fillId="0" borderId="17" xfId="0" applyNumberFormat="1" applyFont="1" applyFill="1" applyBorder="1" applyAlignment="1" applyProtection="1">
      <alignment horizontal="center" vertical="center"/>
      <protection hidden="1"/>
    </xf>
    <xf numFmtId="14" fontId="16" fillId="0" borderId="17" xfId="0" applyNumberFormat="1" applyFont="1" applyFill="1" applyBorder="1" applyAlignment="1" applyProtection="1">
      <alignment vertical="center"/>
      <protection hidden="1"/>
    </xf>
    <xf numFmtId="0" fontId="16" fillId="0" borderId="6" xfId="0" applyFont="1" applyFill="1" applyBorder="1" applyAlignment="1" applyProtection="1">
      <alignment vertical="center"/>
      <protection hidden="1"/>
    </xf>
    <xf numFmtId="186" fontId="12" fillId="0" borderId="17" xfId="0" applyNumberFormat="1" applyFont="1" applyFill="1" applyBorder="1" applyAlignment="1" applyProtection="1">
      <alignment vertical="center"/>
      <protection hidden="1"/>
    </xf>
    <xf numFmtId="0" fontId="12" fillId="0" borderId="17" xfId="0" applyFont="1" applyFill="1" applyBorder="1" applyAlignment="1" applyProtection="1">
      <alignment horizontal="center" vertical="center"/>
      <protection hidden="1"/>
    </xf>
    <xf numFmtId="0" fontId="12" fillId="0" borderId="17" xfId="0" applyFont="1" applyFill="1" applyBorder="1" applyAlignment="1" applyProtection="1">
      <alignment vertical="center"/>
      <protection hidden="1"/>
    </xf>
    <xf numFmtId="0" fontId="16" fillId="0" borderId="6" xfId="0" applyFont="1" applyFill="1" applyBorder="1" applyAlignment="1" applyProtection="1">
      <alignment horizontal="centerContinuous" vertical="center"/>
      <protection hidden="1"/>
    </xf>
    <xf numFmtId="0" fontId="16" fillId="0" borderId="17" xfId="0" applyFont="1" applyFill="1" applyBorder="1" applyAlignment="1" applyProtection="1">
      <alignment horizontal="centerContinuous" vertical="center"/>
      <protection hidden="1"/>
    </xf>
    <xf numFmtId="166" fontId="12" fillId="0" borderId="17" xfId="0" applyNumberFormat="1" applyFont="1" applyFill="1" applyBorder="1" applyAlignment="1" applyProtection="1">
      <alignment horizontal="center" vertical="center"/>
      <protection hidden="1"/>
    </xf>
    <xf numFmtId="0" fontId="12" fillId="0" borderId="6"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6" xfId="0" applyFont="1" applyFill="1" applyBorder="1" applyAlignment="1" applyProtection="1">
      <alignment vertical="center"/>
      <protection hidden="1"/>
    </xf>
    <xf numFmtId="186" fontId="12" fillId="0" borderId="17" xfId="0" applyNumberFormat="1" applyFont="1" applyFill="1" applyBorder="1" applyAlignment="1" applyProtection="1">
      <alignment horizontal="right" vertical="center"/>
      <protection hidden="1"/>
    </xf>
    <xf numFmtId="0" fontId="12" fillId="0" borderId="3" xfId="0" applyFont="1" applyFill="1" applyBorder="1" applyAlignment="1" applyProtection="1">
      <alignment horizontal="left" vertical="center"/>
      <protection locked="0"/>
    </xf>
    <xf numFmtId="0" fontId="12" fillId="0" borderId="6" xfId="0" applyFont="1" applyFill="1" applyBorder="1" applyAlignment="1" applyProtection="1">
      <alignment horizontal="center" vertical="center"/>
      <protection hidden="1"/>
    </xf>
    <xf numFmtId="227" fontId="12" fillId="0" borderId="15" xfId="49" applyNumberFormat="1" applyFont="1" applyFill="1" applyBorder="1" applyAlignment="1" applyProtection="1">
      <alignment horizontal="right" vertical="center"/>
      <protection hidden="1"/>
    </xf>
    <xf numFmtId="166" fontId="12" fillId="0" borderId="15" xfId="49" applyNumberFormat="1" applyFont="1" applyFill="1" applyBorder="1" applyAlignment="1" applyProtection="1">
      <alignment horizontal="right" vertical="center"/>
      <protection hidden="1"/>
    </xf>
    <xf numFmtId="166" fontId="12" fillId="0" borderId="15" xfId="49" applyFont="1" applyFill="1" applyBorder="1" applyAlignment="1" applyProtection="1">
      <alignment horizontal="right" vertical="center"/>
      <protection hidden="1"/>
    </xf>
    <xf numFmtId="49" fontId="12" fillId="0" borderId="7" xfId="0" applyNumberFormat="1" applyFont="1" applyFill="1" applyBorder="1" applyAlignment="1" applyProtection="1">
      <alignment horizontal="center" vertical="center"/>
      <protection hidden="1"/>
    </xf>
    <xf numFmtId="0" fontId="12" fillId="0" borderId="12" xfId="0"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2" fontId="12" fillId="0" borderId="12" xfId="0" applyNumberFormat="1" applyFont="1" applyFill="1" applyBorder="1" applyAlignment="1" applyProtection="1">
      <alignment horizontal="center" vertical="center"/>
      <protection hidden="1"/>
    </xf>
    <xf numFmtId="166" fontId="12" fillId="0" borderId="3" xfId="49" applyFont="1" applyFill="1" applyBorder="1" applyAlignment="1" applyProtection="1">
      <alignment horizontal="right" vertical="center"/>
      <protection hidden="1"/>
    </xf>
    <xf numFmtId="187" fontId="12" fillId="0" borderId="3" xfId="0" applyNumberFormat="1" applyFont="1" applyFill="1" applyBorder="1" applyAlignment="1" applyProtection="1">
      <alignment horizontal="center" vertical="center"/>
      <protection hidden="1"/>
    </xf>
    <xf numFmtId="166" fontId="12" fillId="0" borderId="3" xfId="0" applyNumberFormat="1" applyFont="1" applyFill="1" applyBorder="1" applyAlignment="1" applyProtection="1">
      <alignment horizontal="center" vertical="center"/>
      <protection hidden="1"/>
    </xf>
    <xf numFmtId="179" fontId="12" fillId="0" borderId="3" xfId="49" applyNumberFormat="1" applyFont="1" applyFill="1" applyBorder="1" applyAlignment="1" applyProtection="1">
      <alignment horizontal="center" vertical="center"/>
      <protection hidden="1"/>
    </xf>
    <xf numFmtId="179" fontId="7" fillId="0" borderId="3" xfId="49" applyNumberFormat="1" applyFont="1" applyFill="1" applyBorder="1" applyAlignment="1" applyProtection="1">
      <alignment vertical="center"/>
    </xf>
    <xf numFmtId="0" fontId="7" fillId="0" borderId="13" xfId="0"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10" fontId="7" fillId="0" borderId="0" xfId="1" applyNumberFormat="1" applyFont="1" applyFill="1" applyBorder="1" applyAlignment="1" applyProtection="1">
      <alignment vertical="center"/>
    </xf>
    <xf numFmtId="10" fontId="7" fillId="0" borderId="12" xfId="1" applyNumberFormat="1" applyFont="1" applyFill="1" applyBorder="1" applyAlignment="1" applyProtection="1">
      <alignment vertical="center"/>
    </xf>
    <xf numFmtId="0" fontId="7" fillId="0" borderId="12" xfId="0" applyFont="1" applyFill="1" applyBorder="1" applyAlignment="1" applyProtection="1">
      <alignment vertical="center"/>
    </xf>
    <xf numFmtId="166" fontId="9" fillId="0" borderId="0" xfId="0" applyNumberFormat="1" applyFont="1" applyFill="1" applyBorder="1" applyAlignment="1" applyProtection="1">
      <alignment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vertical="center" wrapText="1"/>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6" borderId="0" xfId="7" applyFont="1" applyFill="1" applyBorder="1" applyAlignment="1">
      <alignment horizontal="center" vertical="center"/>
    </xf>
    <xf numFmtId="0" fontId="8" fillId="6" borderId="0" xfId="7" applyFont="1" applyFill="1" applyBorder="1" applyAlignment="1">
      <alignment vertical="center"/>
    </xf>
    <xf numFmtId="0" fontId="8" fillId="6" borderId="0" xfId="7" quotePrefix="1" applyFont="1" applyFill="1" applyBorder="1" applyAlignment="1">
      <alignment horizontal="left" vertical="center"/>
    </xf>
    <xf numFmtId="0" fontId="10" fillId="0" borderId="0" xfId="19" applyFont="1" applyFill="1" applyBorder="1" applyAlignment="1">
      <alignment horizontal="center" vertical="center"/>
    </xf>
    <xf numFmtId="49" fontId="8" fillId="0" borderId="0" xfId="19" applyNumberFormat="1" applyFont="1" applyFill="1" applyBorder="1" applyAlignment="1">
      <alignment horizontal="center"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6" borderId="0" xfId="7" applyFont="1" applyFill="1" applyBorder="1" applyAlignment="1" applyProtection="1">
      <alignment horizontal="left" vertical="center"/>
    </xf>
    <xf numFmtId="0" fontId="8" fillId="0" borderId="0" xfId="19" quotePrefix="1" applyFont="1" applyFill="1" applyBorder="1" applyAlignment="1" applyProtection="1">
      <alignment horizontal="left" vertical="center"/>
    </xf>
    <xf numFmtId="0" fontId="8" fillId="0" borderId="0" xfId="19" quotePrefix="1" applyFont="1" applyFill="1" applyBorder="1" applyAlignment="1" applyProtection="1">
      <alignment horizontal="center" vertical="center"/>
    </xf>
    <xf numFmtId="0" fontId="10" fillId="0" borderId="0" xfId="19" applyFont="1" applyFill="1" applyBorder="1" applyAlignment="1">
      <alignment vertical="center"/>
    </xf>
    <xf numFmtId="0" fontId="10" fillId="0" borderId="0" xfId="19" applyFont="1" applyFill="1" applyBorder="1" applyAlignment="1">
      <alignment vertical="center" wrapText="1"/>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19" applyNumberFormat="1" applyFont="1" applyFill="1" applyBorder="1" applyAlignment="1">
      <alignment vertical="center" wrapText="1"/>
    </xf>
    <xf numFmtId="1" fontId="10" fillId="0" borderId="0" xfId="19" applyNumberFormat="1" applyFont="1" applyFill="1" applyBorder="1" applyAlignment="1">
      <alignment horizontal="center" vertical="center" wrapText="1"/>
    </xf>
    <xf numFmtId="4" fontId="8" fillId="0" borderId="0" xfId="19" applyNumberFormat="1" applyFont="1" applyFill="1" applyBorder="1" applyAlignment="1">
      <alignment vertical="center"/>
    </xf>
    <xf numFmtId="4" fontId="8" fillId="6" borderId="0" xfId="19" applyNumberFormat="1" applyFont="1" applyFill="1" applyBorder="1" applyAlignment="1">
      <alignment vertical="center"/>
    </xf>
    <xf numFmtId="1" fontId="10" fillId="0" borderId="0" xfId="19" applyNumberFormat="1" applyFont="1" applyFill="1" applyBorder="1" applyAlignment="1">
      <alignment horizontal="right" vertical="center"/>
    </xf>
    <xf numFmtId="4" fontId="10" fillId="0" borderId="0" xfId="19" applyNumberFormat="1" applyFont="1" applyFill="1" applyBorder="1" applyAlignment="1">
      <alignment vertical="center"/>
    </xf>
    <xf numFmtId="1" fontId="8" fillId="0" borderId="0" xfId="19" applyNumberFormat="1" applyFont="1" applyFill="1" applyBorder="1" applyAlignment="1">
      <alignment horizontal="right" vertical="center"/>
    </xf>
    <xf numFmtId="0" fontId="8" fillId="0" borderId="0" xfId="19"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8" fillId="0" borderId="0" xfId="7" applyNumberFormat="1" applyFont="1" applyFill="1" applyBorder="1" applyAlignment="1">
      <alignment horizontal="center" vertical="center"/>
    </xf>
    <xf numFmtId="9" fontId="8" fillId="0" borderId="0" xfId="71" applyFont="1" applyFill="1" applyBorder="1" applyAlignment="1">
      <alignment vertical="center"/>
    </xf>
    <xf numFmtId="0" fontId="12" fillId="0" borderId="0" xfId="0" applyFont="1" applyFill="1" applyBorder="1" applyAlignment="1" applyProtection="1">
      <alignment horizontal="left" vertical="center"/>
      <protection hidden="1"/>
    </xf>
    <xf numFmtId="2" fontId="12" fillId="0" borderId="0" xfId="0" applyNumberFormat="1" applyFont="1" applyFill="1" applyBorder="1" applyAlignment="1" applyProtection="1">
      <alignment horizontal="center" vertical="center"/>
      <protection hidden="1"/>
    </xf>
    <xf numFmtId="39" fontId="12" fillId="0" borderId="0" xfId="0" applyNumberFormat="1" applyFont="1" applyFill="1" applyBorder="1" applyAlignment="1" applyProtection="1">
      <alignment horizontal="center" vertical="center"/>
      <protection hidden="1"/>
    </xf>
    <xf numFmtId="49" fontId="12" fillId="0" borderId="6" xfId="0" applyNumberFormat="1" applyFont="1" applyFill="1" applyBorder="1" applyAlignment="1" applyProtection="1">
      <alignment horizontal="center" vertical="center"/>
      <protection hidden="1"/>
    </xf>
    <xf numFmtId="39" fontId="12" fillId="0" borderId="9" xfId="0" applyNumberFormat="1" applyFont="1" applyFill="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Fill="1" applyAlignment="1" applyProtection="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Fill="1" applyAlignment="1" applyProtection="1">
      <alignment horizontal="center" vertical="center" wrapText="1"/>
    </xf>
    <xf numFmtId="0" fontId="13" fillId="0" borderId="0" xfId="20" applyFont="1" applyFill="1" applyAlignment="1" applyProtection="1">
      <alignment vertical="center" wrapText="1"/>
    </xf>
    <xf numFmtId="0" fontId="18" fillId="0" borderId="0" xfId="20" applyFont="1" applyFill="1" applyAlignment="1" applyProtection="1">
      <alignment wrapText="1"/>
    </xf>
    <xf numFmtId="0" fontId="7" fillId="6" borderId="0" xfId="0" applyFont="1" applyFill="1" applyAlignment="1" applyProtection="1">
      <alignment vertical="center"/>
    </xf>
    <xf numFmtId="49" fontId="7" fillId="3" borderId="3" xfId="0" applyNumberFormat="1" applyFont="1" applyFill="1" applyBorder="1" applyAlignment="1" applyProtection="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pplyProtection="1">
      <alignment horizontal="center" vertical="center"/>
    </xf>
    <xf numFmtId="0" fontId="11" fillId="6" borderId="0" xfId="7" applyFont="1" applyFill="1" applyBorder="1" applyAlignment="1" applyProtection="1">
      <alignment vertical="center" shrinkToFit="1"/>
    </xf>
    <xf numFmtId="0" fontId="7" fillId="0" borderId="3" xfId="20" applyFont="1" applyBorder="1" applyAlignment="1">
      <alignment horizontal="center" vertical="center" wrapText="1"/>
    </xf>
    <xf numFmtId="0" fontId="11" fillId="0" borderId="0" xfId="20" applyFont="1"/>
    <xf numFmtId="0" fontId="7" fillId="0" borderId="3" xfId="20" applyFont="1" applyBorder="1"/>
    <xf numFmtId="187" fontId="7" fillId="0" borderId="3" xfId="0" applyNumberFormat="1" applyFont="1" applyFill="1" applyBorder="1" applyAlignment="1" applyProtection="1">
      <alignment horizontal="right" vertical="center"/>
      <protection locked="0"/>
    </xf>
    <xf numFmtId="178" fontId="7" fillId="0" borderId="3" xfId="49" applyNumberFormat="1" applyFont="1" applyFill="1" applyBorder="1" applyAlignment="1" applyProtection="1">
      <alignment vertical="center"/>
      <protection locked="0"/>
    </xf>
    <xf numFmtId="0" fontId="7" fillId="0" borderId="0" xfId="20" applyFont="1"/>
    <xf numFmtId="178" fontId="7" fillId="0" borderId="3" xfId="49" applyNumberFormat="1" applyFont="1" applyFill="1" applyBorder="1" applyAlignment="1" applyProtection="1">
      <alignment horizontal="center" vertical="center"/>
      <protection locked="0"/>
    </xf>
    <xf numFmtId="0" fontId="7" fillId="0" borderId="3" xfId="20" applyFont="1" applyBorder="1" applyAlignment="1">
      <alignment horizontal="center"/>
    </xf>
    <xf numFmtId="187" fontId="7" fillId="0" borderId="3" xfId="20" applyNumberFormat="1" applyFont="1" applyFill="1" applyBorder="1" applyAlignment="1" applyProtection="1">
      <alignment horizontal="center" vertical="center"/>
      <protection locked="0"/>
    </xf>
    <xf numFmtId="166" fontId="7" fillId="0" borderId="3" xfId="49" applyFont="1" applyBorder="1"/>
    <xf numFmtId="0" fontId="7" fillId="0" borderId="0" xfId="20" applyFont="1" applyAlignment="1">
      <alignment horizontal="center" vertical="center"/>
    </xf>
    <xf numFmtId="0" fontId="7" fillId="0" borderId="8" xfId="0" applyFont="1" applyFill="1" applyBorder="1" applyAlignment="1" applyProtection="1">
      <alignment vertical="center"/>
    </xf>
    <xf numFmtId="0" fontId="7" fillId="6" borderId="0" xfId="0" applyFont="1" applyFill="1" applyAlignment="1">
      <alignment vertical="center"/>
    </xf>
    <xf numFmtId="0" fontId="7" fillId="6" borderId="0" xfId="0" applyFont="1" applyFill="1" applyAlignment="1">
      <alignment horizontal="center" vertical="center"/>
    </xf>
    <xf numFmtId="0" fontId="7" fillId="0" borderId="0" xfId="0" applyFont="1" applyAlignment="1">
      <alignment horizontal="center"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11" fillId="0" borderId="3"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8"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3" fillId="0" borderId="0" xfId="0" applyFont="1" applyFill="1" applyAlignment="1" applyProtection="1">
      <alignment horizontal="center" vertical="center" wrapText="1"/>
      <protection hidden="1"/>
    </xf>
    <xf numFmtId="0" fontId="11" fillId="0" borderId="16"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6" fillId="0" borderId="16" xfId="0" applyFont="1" applyFill="1" applyBorder="1" applyAlignment="1" applyProtection="1">
      <alignment horizontal="center" vertical="center"/>
      <protection hidden="1"/>
    </xf>
    <xf numFmtId="0" fontId="16" fillId="0" borderId="13"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2" fillId="0" borderId="0" xfId="0" applyFont="1" applyFill="1" applyBorder="1" applyAlignment="1" applyProtection="1">
      <alignment horizontal="left" vertical="center" wrapText="1"/>
      <protection hidden="1"/>
    </xf>
    <xf numFmtId="0" fontId="12" fillId="0" borderId="5" xfId="0" applyFont="1" applyFill="1" applyBorder="1" applyAlignment="1" applyProtection="1">
      <alignment horizontal="center" vertical="center" wrapText="1"/>
      <protection hidden="1"/>
    </xf>
    <xf numFmtId="0" fontId="12" fillId="0" borderId="11" xfId="0" applyFont="1" applyFill="1" applyBorder="1" applyAlignment="1" applyProtection="1">
      <alignment horizontal="center" vertical="center" wrapText="1"/>
      <protection hidden="1"/>
    </xf>
    <xf numFmtId="0" fontId="12" fillId="0" borderId="18"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2" fontId="12" fillId="0" borderId="18" xfId="0" applyNumberFormat="1" applyFont="1" applyFill="1" applyBorder="1" applyAlignment="1" applyProtection="1">
      <alignment horizontal="center" vertical="center"/>
      <protection hidden="1"/>
    </xf>
    <xf numFmtId="2" fontId="12" fillId="0" borderId="15" xfId="0" applyNumberFormat="1" applyFont="1" applyFill="1" applyBorder="1" applyAlignment="1" applyProtection="1">
      <alignment horizontal="center" vertical="center"/>
      <protection hidden="1"/>
    </xf>
    <xf numFmtId="39" fontId="12" fillId="0" borderId="18" xfId="0" applyNumberFormat="1" applyFont="1" applyFill="1" applyBorder="1" applyAlignment="1" applyProtection="1">
      <alignment horizontal="center" vertical="center"/>
      <protection hidden="1"/>
    </xf>
    <xf numFmtId="39" fontId="12" fillId="0" borderId="15" xfId="0" applyNumberFormat="1" applyFont="1" applyFill="1" applyBorder="1" applyAlignment="1" applyProtection="1">
      <alignment horizontal="center" vertical="center"/>
      <protection hidden="1"/>
    </xf>
    <xf numFmtId="186" fontId="12" fillId="0" borderId="18" xfId="0" applyNumberFormat="1" applyFont="1" applyFill="1" applyBorder="1" applyAlignment="1" applyProtection="1">
      <alignment horizontal="center" vertical="center"/>
      <protection hidden="1"/>
    </xf>
    <xf numFmtId="186" fontId="12" fillId="0" borderId="15" xfId="0" applyNumberFormat="1" applyFont="1" applyFill="1" applyBorder="1" applyAlignment="1" applyProtection="1">
      <alignment horizontal="center" vertical="center"/>
      <protection hidden="1"/>
    </xf>
    <xf numFmtId="2" fontId="12" fillId="0" borderId="18" xfId="0" applyNumberFormat="1" applyFont="1" applyFill="1" applyBorder="1" applyAlignment="1" applyProtection="1">
      <alignment horizontal="center" vertical="center" wrapText="1"/>
      <protection hidden="1"/>
    </xf>
    <xf numFmtId="2" fontId="12" fillId="0" borderId="15" xfId="0" applyNumberFormat="1"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protection hidden="1"/>
    </xf>
    <xf numFmtId="0" fontId="14" fillId="0" borderId="8" xfId="0" applyFont="1" applyFill="1" applyBorder="1" applyAlignment="1" applyProtection="1">
      <alignment horizontal="center" vertical="center"/>
      <protection hidden="1"/>
    </xf>
    <xf numFmtId="0" fontId="14" fillId="0" borderId="11" xfId="0" applyFont="1" applyFill="1" applyBorder="1" applyAlignment="1" applyProtection="1">
      <alignment horizontal="center" vertical="center"/>
      <protection hidden="1"/>
    </xf>
    <xf numFmtId="0" fontId="11" fillId="0" borderId="3" xfId="7" applyFont="1" applyFill="1" applyBorder="1" applyAlignment="1" applyProtection="1">
      <alignment horizontal="center" vertical="center"/>
      <protection hidden="1"/>
    </xf>
    <xf numFmtId="0" fontId="16" fillId="0" borderId="3" xfId="7" applyFont="1" applyFill="1" applyBorder="1" applyAlignment="1" applyProtection="1">
      <alignment horizontal="center" vertical="center" wrapText="1"/>
      <protection hidden="1"/>
    </xf>
    <xf numFmtId="0" fontId="11" fillId="0" borderId="3" xfId="7" applyFont="1" applyFill="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1" fillId="0" borderId="5"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right" vertical="center" indent="2"/>
      <protection hidden="1"/>
    </xf>
    <xf numFmtId="0" fontId="11" fillId="0" borderId="5" xfId="0" applyFont="1" applyFill="1" applyBorder="1" applyAlignment="1" applyProtection="1">
      <alignment horizontal="left" vertical="center"/>
      <protection hidden="1"/>
    </xf>
    <xf numFmtId="0" fontId="11"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4" xfId="0" applyFont="1" applyFill="1" applyBorder="1" applyAlignment="1" applyProtection="1">
      <alignment horizontal="center" vertical="center"/>
      <protection hidden="1"/>
    </xf>
    <xf numFmtId="0" fontId="7" fillId="0" borderId="7" xfId="0" applyFont="1" applyFill="1" applyBorder="1" applyAlignment="1" applyProtection="1">
      <alignment horizontal="center" vertical="center"/>
      <protection hidden="1"/>
    </xf>
    <xf numFmtId="0" fontId="7"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0" fillId="0" borderId="0" xfId="20" applyFont="1" applyFill="1" applyBorder="1" applyAlignment="1" applyProtection="1">
      <alignment horizontal="center" vertical="center"/>
    </xf>
    <xf numFmtId="0" fontId="11"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0" xfId="20" applyFont="1" applyBorder="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196" fontId="7" fillId="0" borderId="0" xfId="20" applyNumberFormat="1" applyFont="1" applyBorder="1" applyAlignment="1" applyProtection="1">
      <alignment horizontal="center"/>
      <protection hidden="1"/>
    </xf>
    <xf numFmtId="0" fontId="8" fillId="0" borderId="3" xfId="20" applyFont="1" applyBorder="1" applyAlignment="1" applyProtection="1">
      <alignment horizontal="center" vertical="center" wrapText="1"/>
      <protection hidden="1"/>
    </xf>
    <xf numFmtId="0" fontId="7" fillId="0" borderId="5" xfId="20" applyFont="1" applyBorder="1" applyAlignment="1" applyProtection="1">
      <alignment horizontal="left"/>
      <protection hidden="1"/>
    </xf>
    <xf numFmtId="0" fontId="7" fillId="0" borderId="8" xfId="20" applyFont="1" applyBorder="1" applyAlignment="1" applyProtection="1">
      <alignment horizontal="left"/>
      <protection hidden="1"/>
    </xf>
    <xf numFmtId="0" fontId="7" fillId="0" borderId="11" xfId="20" applyFont="1"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7" fillId="0" borderId="3"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Fill="1" applyBorder="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3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PTyCI!$E$26:$Q$26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PTyCI!$E$27:$Q$27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77773056"/>
        <c:axId val="77783424"/>
      </c:lineChart>
      <c:catAx>
        <c:axId val="7777305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7783424"/>
        <c:crossesAt val="0"/>
        <c:auto val="1"/>
        <c:lblAlgn val="ctr"/>
        <c:lblOffset val="100"/>
        <c:noMultiLvlLbl val="0"/>
      </c:catAx>
      <c:valAx>
        <c:axId val="77783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777305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PTyCI!$E$29:$Q$29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PTyCI!$E$30:$Q$30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77399936"/>
        <c:axId val="77418496"/>
      </c:lineChart>
      <c:catAx>
        <c:axId val="77399936"/>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7418496"/>
        <c:crosses val="autoZero"/>
        <c:auto val="1"/>
        <c:lblAlgn val="ctr"/>
        <c:lblOffset val="100"/>
        <c:noMultiLvlLbl val="0"/>
      </c:catAx>
      <c:valAx>
        <c:axId val="774184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773999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40" t="str">
        <f>"OBRA: " &amp; UPPER(Obra)</f>
        <v>OBRA: SEÑALIZACION HORIZONTAL - PROVISION Y COLOCACION DE TACHAS REFLECTIVAS Y SEÑALAMIENTO VERTICAL</v>
      </c>
      <c r="D1" s="740"/>
      <c r="E1" s="740"/>
      <c r="F1" s="740"/>
      <c r="G1" s="740"/>
      <c r="H1" s="740"/>
      <c r="I1" s="740"/>
      <c r="J1" s="740"/>
    </row>
    <row r="2" spans="3:10" ht="23.25" x14ac:dyDescent="0.35">
      <c r="C2" s="739" t="s">
        <v>957</v>
      </c>
      <c r="D2" s="739"/>
      <c r="E2" s="739"/>
      <c r="F2" s="739"/>
      <c r="G2" s="739"/>
      <c r="H2" s="739"/>
      <c r="I2" s="739"/>
      <c r="J2" s="739"/>
    </row>
    <row r="3" spans="3:10" ht="23.25" x14ac:dyDescent="0.35">
      <c r="C3" s="739" t="s">
        <v>958</v>
      </c>
      <c r="D3" s="739"/>
      <c r="E3" s="739"/>
      <c r="F3" s="739"/>
      <c r="G3" s="739"/>
      <c r="H3" s="739"/>
      <c r="I3" s="739"/>
      <c r="J3" s="73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SEÑALIZACION HORIZONTAL - PROVISION Y COLOCACION DE TACHAS REFLECTIVAS Y SEÑALAMIENTO VERTICAL</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t="str">
        <f>Licitación_N°</f>
        <v>5-2019</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45" t="s">
        <v>34</v>
      </c>
      <c r="B7" s="746"/>
      <c r="C7" s="746"/>
      <c r="D7" s="746"/>
      <c r="E7" s="747"/>
    </row>
    <row r="8" spans="1:6" ht="20.100000000000001" customHeight="1" x14ac:dyDescent="0.2">
      <c r="A8" s="748" t="s">
        <v>708</v>
      </c>
      <c r="B8" s="749"/>
      <c r="C8" s="750"/>
      <c r="D8" s="750"/>
      <c r="E8" s="751"/>
    </row>
    <row r="10" spans="1:6" ht="20.100000000000001" customHeight="1" x14ac:dyDescent="0.2">
      <c r="A10" s="743"/>
      <c r="B10" s="744"/>
      <c r="C10" s="62" t="s">
        <v>38</v>
      </c>
      <c r="D10" s="63" t="s">
        <v>35</v>
      </c>
      <c r="E10" s="63" t="s">
        <v>36</v>
      </c>
    </row>
    <row r="11" spans="1:6" ht="20.100000000000001" customHeight="1" x14ac:dyDescent="0.2">
      <c r="A11" s="741" t="s">
        <v>945</v>
      </c>
      <c r="B11" s="742"/>
      <c r="C11" s="85">
        <f>ROUND(SUBTOTAL(9,C12:C34),2)</f>
        <v>0</v>
      </c>
      <c r="D11" s="16">
        <f>SUBTOTAL(9,D12:D34)</f>
        <v>0</v>
      </c>
      <c r="E11" s="12"/>
    </row>
    <row r="12" spans="1:6" ht="20.100000000000001" customHeight="1" x14ac:dyDescent="0.2">
      <c r="A12" s="112"/>
      <c r="B12" s="113"/>
      <c r="C12" s="114"/>
      <c r="D12" s="15">
        <f t="shared" ref="D12:D34" si="0">IFERROR(C12/GG_Obra,0)</f>
        <v>0</v>
      </c>
      <c r="E12" s="15">
        <f t="shared" ref="E12:E34" si="1">IFERROR(C12/GG_Pesos,0)</f>
        <v>0</v>
      </c>
    </row>
    <row r="13" spans="1:6" ht="20.100000000000001" customHeight="1" x14ac:dyDescent="0.2">
      <c r="A13" s="112"/>
      <c r="B13" s="113"/>
      <c r="C13" s="114"/>
      <c r="D13" s="15">
        <f t="shared" si="0"/>
        <v>0</v>
      </c>
      <c r="E13" s="15">
        <f t="shared" si="1"/>
        <v>0</v>
      </c>
    </row>
    <row r="14" spans="1:6" ht="20.100000000000001" customHeight="1" x14ac:dyDescent="0.2">
      <c r="A14" s="112"/>
      <c r="B14" s="113"/>
      <c r="C14" s="114"/>
      <c r="D14" s="15">
        <f t="shared" si="0"/>
        <v>0</v>
      </c>
      <c r="E14" s="15">
        <f t="shared" si="1"/>
        <v>0</v>
      </c>
    </row>
    <row r="15" spans="1:6" ht="20.100000000000001" customHeight="1" x14ac:dyDescent="0.2">
      <c r="A15" s="112"/>
      <c r="B15" s="113"/>
      <c r="C15" s="114"/>
      <c r="D15" s="15">
        <f t="shared" si="0"/>
        <v>0</v>
      </c>
      <c r="E15" s="15">
        <f t="shared" si="1"/>
        <v>0</v>
      </c>
    </row>
    <row r="16" spans="1:6" ht="20.100000000000001" customHeight="1" x14ac:dyDescent="0.2">
      <c r="A16" s="112"/>
      <c r="B16" s="113"/>
      <c r="C16" s="114"/>
      <c r="D16" s="15">
        <f t="shared" si="0"/>
        <v>0</v>
      </c>
      <c r="E16" s="15">
        <f t="shared" si="1"/>
        <v>0</v>
      </c>
    </row>
    <row r="17" spans="1:5" ht="20.100000000000001" customHeight="1" x14ac:dyDescent="0.2">
      <c r="A17" s="743"/>
      <c r="B17" s="744"/>
      <c r="C17" s="86"/>
      <c r="D17" s="15">
        <f t="shared" si="0"/>
        <v>0</v>
      </c>
      <c r="E17" s="15">
        <f t="shared" si="1"/>
        <v>0</v>
      </c>
    </row>
    <row r="18" spans="1:5" ht="20.100000000000001" customHeight="1" x14ac:dyDescent="0.2">
      <c r="A18" s="743"/>
      <c r="B18" s="744"/>
      <c r="C18" s="86"/>
      <c r="D18" s="15">
        <f t="shared" si="0"/>
        <v>0</v>
      </c>
      <c r="E18" s="15">
        <f t="shared" si="1"/>
        <v>0</v>
      </c>
    </row>
    <row r="19" spans="1:5" ht="20.100000000000001" customHeight="1" x14ac:dyDescent="0.2">
      <c r="A19" s="743"/>
      <c r="B19" s="744"/>
      <c r="C19" s="86"/>
      <c r="D19" s="15">
        <f t="shared" si="0"/>
        <v>0</v>
      </c>
      <c r="E19" s="15">
        <f t="shared" si="1"/>
        <v>0</v>
      </c>
    </row>
    <row r="20" spans="1:5" ht="20.100000000000001" customHeight="1" x14ac:dyDescent="0.2">
      <c r="A20" s="743"/>
      <c r="B20" s="744"/>
      <c r="C20" s="86"/>
      <c r="D20" s="15">
        <f t="shared" si="0"/>
        <v>0</v>
      </c>
      <c r="E20" s="15">
        <f t="shared" si="1"/>
        <v>0</v>
      </c>
    </row>
    <row r="21" spans="1:5" ht="20.100000000000001" customHeight="1" x14ac:dyDescent="0.2">
      <c r="A21" s="743"/>
      <c r="B21" s="744"/>
      <c r="C21" s="86"/>
      <c r="D21" s="15">
        <f t="shared" si="0"/>
        <v>0</v>
      </c>
      <c r="E21" s="15">
        <f t="shared" si="1"/>
        <v>0</v>
      </c>
    </row>
    <row r="22" spans="1:5" ht="20.100000000000001" customHeight="1" x14ac:dyDescent="0.2">
      <c r="A22" s="743"/>
      <c r="B22" s="744"/>
      <c r="C22" s="86"/>
      <c r="D22" s="15">
        <f t="shared" si="0"/>
        <v>0</v>
      </c>
      <c r="E22" s="15">
        <f t="shared" si="1"/>
        <v>0</v>
      </c>
    </row>
    <row r="23" spans="1:5" ht="20.100000000000001" customHeight="1" x14ac:dyDescent="0.2">
      <c r="A23" s="743"/>
      <c r="B23" s="744"/>
      <c r="C23" s="86"/>
      <c r="D23" s="15">
        <f t="shared" si="0"/>
        <v>0</v>
      </c>
      <c r="E23" s="15">
        <f t="shared" si="1"/>
        <v>0</v>
      </c>
    </row>
    <row r="24" spans="1:5" ht="20.100000000000001" customHeight="1" x14ac:dyDescent="0.2">
      <c r="A24" s="743"/>
      <c r="B24" s="744"/>
      <c r="C24" s="86"/>
      <c r="D24" s="15">
        <f t="shared" si="0"/>
        <v>0</v>
      </c>
      <c r="E24" s="15">
        <f t="shared" si="1"/>
        <v>0</v>
      </c>
    </row>
    <row r="25" spans="1:5" ht="20.100000000000001" customHeight="1" x14ac:dyDescent="0.2">
      <c r="A25" s="743"/>
      <c r="B25" s="744"/>
      <c r="C25" s="86"/>
      <c r="D25" s="15">
        <f t="shared" ref="D25:D28" si="2">IFERROR(C25/GG_Obra,0)</f>
        <v>0</v>
      </c>
      <c r="E25" s="15">
        <f t="shared" ref="E25:E28" si="3">IFERROR(C25/GG_Pesos,0)</f>
        <v>0</v>
      </c>
    </row>
    <row r="26" spans="1:5" ht="20.100000000000001" customHeight="1" x14ac:dyDescent="0.2">
      <c r="A26" s="743"/>
      <c r="B26" s="744"/>
      <c r="C26" s="86"/>
      <c r="D26" s="15">
        <f t="shared" si="2"/>
        <v>0</v>
      </c>
      <c r="E26" s="15">
        <f t="shared" si="3"/>
        <v>0</v>
      </c>
    </row>
    <row r="27" spans="1:5" ht="20.100000000000001" customHeight="1" x14ac:dyDescent="0.2">
      <c r="A27" s="743"/>
      <c r="B27" s="744"/>
      <c r="C27" s="86"/>
      <c r="D27" s="15">
        <f t="shared" si="2"/>
        <v>0</v>
      </c>
      <c r="E27" s="15">
        <f t="shared" si="3"/>
        <v>0</v>
      </c>
    </row>
    <row r="28" spans="1:5" ht="20.100000000000001" customHeight="1" x14ac:dyDescent="0.2">
      <c r="A28" s="743"/>
      <c r="B28" s="744"/>
      <c r="C28" s="86"/>
      <c r="D28" s="15">
        <f t="shared" si="2"/>
        <v>0</v>
      </c>
      <c r="E28" s="15">
        <f t="shared" si="3"/>
        <v>0</v>
      </c>
    </row>
    <row r="29" spans="1:5" ht="20.100000000000001" customHeight="1" x14ac:dyDescent="0.2">
      <c r="A29" s="743"/>
      <c r="B29" s="744"/>
      <c r="C29" s="86"/>
      <c r="D29" s="15">
        <f t="shared" si="0"/>
        <v>0</v>
      </c>
      <c r="E29" s="15">
        <f t="shared" si="1"/>
        <v>0</v>
      </c>
    </row>
    <row r="30" spans="1:5" ht="20.100000000000001" customHeight="1" x14ac:dyDescent="0.2">
      <c r="A30" s="743"/>
      <c r="B30" s="744"/>
      <c r="C30" s="86"/>
      <c r="D30" s="15">
        <f t="shared" si="0"/>
        <v>0</v>
      </c>
      <c r="E30" s="15">
        <f t="shared" si="1"/>
        <v>0</v>
      </c>
    </row>
    <row r="31" spans="1:5" ht="20.100000000000001" customHeight="1" x14ac:dyDescent="0.2">
      <c r="A31" s="743"/>
      <c r="B31" s="744"/>
      <c r="C31" s="86"/>
      <c r="D31" s="15">
        <f t="shared" si="0"/>
        <v>0</v>
      </c>
      <c r="E31" s="15">
        <f t="shared" si="1"/>
        <v>0</v>
      </c>
    </row>
    <row r="32" spans="1:5" ht="20.100000000000001" customHeight="1" x14ac:dyDescent="0.2">
      <c r="A32" s="743"/>
      <c r="B32" s="744"/>
      <c r="C32" s="86"/>
      <c r="D32" s="15">
        <f t="shared" si="0"/>
        <v>0</v>
      </c>
      <c r="E32" s="15">
        <f t="shared" si="1"/>
        <v>0</v>
      </c>
    </row>
    <row r="33" spans="1:5" ht="20.100000000000001" customHeight="1" x14ac:dyDescent="0.2">
      <c r="A33" s="743"/>
      <c r="B33" s="744"/>
      <c r="C33" s="86"/>
      <c r="D33" s="15">
        <f t="shared" si="0"/>
        <v>0</v>
      </c>
      <c r="E33" s="15">
        <f t="shared" si="1"/>
        <v>0</v>
      </c>
    </row>
    <row r="34" spans="1:5" ht="20.100000000000001" customHeight="1" x14ac:dyDescent="0.2">
      <c r="A34" s="743"/>
      <c r="B34" s="744"/>
      <c r="C34" s="86"/>
      <c r="D34" s="15">
        <f t="shared" si="0"/>
        <v>0</v>
      </c>
      <c r="E34" s="15">
        <f t="shared" si="1"/>
        <v>0</v>
      </c>
    </row>
    <row r="35" spans="1:5" ht="20.100000000000001" customHeight="1" x14ac:dyDescent="0.2">
      <c r="A35" s="64"/>
      <c r="B35" s="5"/>
      <c r="C35" s="5"/>
      <c r="D35" s="5"/>
      <c r="E35" s="65"/>
    </row>
    <row r="36" spans="1:5" ht="20.100000000000001" customHeight="1" x14ac:dyDescent="0.2">
      <c r="A36" s="741" t="s">
        <v>37</v>
      </c>
      <c r="B36" s="742"/>
      <c r="C36" s="85">
        <f>ROUND(SUBTOTAL(9,C37:C73),2)</f>
        <v>0</v>
      </c>
      <c r="D36" s="59">
        <f>SUBTOTAL(9,D37:D80)</f>
        <v>0</v>
      </c>
      <c r="E36" s="65"/>
    </row>
    <row r="37" spans="1:5" ht="20.100000000000001" customHeight="1" x14ac:dyDescent="0.2">
      <c r="A37" s="108"/>
      <c r="B37" s="109"/>
      <c r="C37" s="110"/>
      <c r="D37" s="15">
        <f t="shared" ref="D37:D73" si="4">IFERROR(C37/GG_Empresa,0)</f>
        <v>0</v>
      </c>
      <c r="E37" s="15">
        <f t="shared" ref="E37:E73" si="5">IFERROR(C37/GG_Pesos,0)</f>
        <v>0</v>
      </c>
    </row>
    <row r="38" spans="1:5" ht="20.100000000000001" customHeight="1" x14ac:dyDescent="0.2">
      <c r="A38" s="108"/>
      <c r="B38" s="109"/>
      <c r="C38" s="110"/>
      <c r="D38" s="15">
        <f t="shared" si="4"/>
        <v>0</v>
      </c>
      <c r="E38" s="15">
        <f t="shared" si="5"/>
        <v>0</v>
      </c>
    </row>
    <row r="39" spans="1:5" ht="20.100000000000001" customHeight="1" x14ac:dyDescent="0.2">
      <c r="A39" s="108"/>
      <c r="B39" s="109"/>
      <c r="C39" s="110"/>
      <c r="D39" s="15">
        <f t="shared" si="4"/>
        <v>0</v>
      </c>
      <c r="E39" s="15">
        <f t="shared" si="5"/>
        <v>0</v>
      </c>
    </row>
    <row r="40" spans="1:5" ht="20.100000000000001" customHeight="1" x14ac:dyDescent="0.2">
      <c r="A40" s="108"/>
      <c r="B40" s="109"/>
      <c r="C40" s="110"/>
      <c r="D40" s="15">
        <f t="shared" si="4"/>
        <v>0</v>
      </c>
      <c r="E40" s="15">
        <f t="shared" si="5"/>
        <v>0</v>
      </c>
    </row>
    <row r="41" spans="1:5" ht="20.100000000000001" customHeight="1" x14ac:dyDescent="0.2">
      <c r="A41" s="108"/>
      <c r="B41" s="109"/>
      <c r="C41" s="110"/>
      <c r="D41" s="15">
        <f t="shared" ref="D41:D60" si="6">IFERROR(C41/GG_Empresa,0)</f>
        <v>0</v>
      </c>
      <c r="E41" s="15">
        <f t="shared" ref="E41:E60" si="7">IFERROR(C41/GG_Pesos,0)</f>
        <v>0</v>
      </c>
    </row>
    <row r="42" spans="1:5" ht="20.100000000000001" customHeight="1" x14ac:dyDescent="0.2">
      <c r="A42" s="108"/>
      <c r="B42" s="109"/>
      <c r="C42" s="110"/>
      <c r="D42" s="15">
        <f t="shared" si="6"/>
        <v>0</v>
      </c>
      <c r="E42" s="15">
        <f t="shared" si="7"/>
        <v>0</v>
      </c>
    </row>
    <row r="43" spans="1:5" ht="20.100000000000001" customHeight="1" x14ac:dyDescent="0.2">
      <c r="A43" s="108"/>
      <c r="B43" s="109"/>
      <c r="C43" s="110"/>
      <c r="D43" s="15">
        <f t="shared" si="6"/>
        <v>0</v>
      </c>
      <c r="E43" s="15">
        <f t="shared" si="7"/>
        <v>0</v>
      </c>
    </row>
    <row r="44" spans="1:5" ht="20.100000000000001" customHeight="1" x14ac:dyDescent="0.2">
      <c r="A44" s="108"/>
      <c r="B44" s="109"/>
      <c r="C44" s="110"/>
      <c r="D44" s="15">
        <f t="shared" si="6"/>
        <v>0</v>
      </c>
      <c r="E44" s="15">
        <f t="shared" si="7"/>
        <v>0</v>
      </c>
    </row>
    <row r="45" spans="1:5" ht="20.100000000000001" customHeight="1" x14ac:dyDescent="0.2">
      <c r="A45" s="108"/>
      <c r="B45" s="109"/>
      <c r="C45" s="110"/>
      <c r="D45" s="15">
        <f t="shared" si="6"/>
        <v>0</v>
      </c>
      <c r="E45" s="15">
        <f t="shared" si="7"/>
        <v>0</v>
      </c>
    </row>
    <row r="46" spans="1:5" ht="20.100000000000001" customHeight="1" x14ac:dyDescent="0.2">
      <c r="A46" s="108"/>
      <c r="B46" s="109"/>
      <c r="C46" s="110"/>
      <c r="D46" s="15">
        <f t="shared" si="6"/>
        <v>0</v>
      </c>
      <c r="E46" s="15">
        <f t="shared" si="7"/>
        <v>0</v>
      </c>
    </row>
    <row r="47" spans="1:5" ht="20.100000000000001" customHeight="1" x14ac:dyDescent="0.2">
      <c r="A47" s="108"/>
      <c r="B47" s="109"/>
      <c r="C47" s="110"/>
      <c r="D47" s="15">
        <f t="shared" si="6"/>
        <v>0</v>
      </c>
      <c r="E47" s="15">
        <f t="shared" si="7"/>
        <v>0</v>
      </c>
    </row>
    <row r="48" spans="1:5" ht="20.100000000000001" customHeight="1" x14ac:dyDescent="0.2">
      <c r="A48" s="108"/>
      <c r="B48" s="109"/>
      <c r="C48" s="110"/>
      <c r="D48" s="15">
        <f t="shared" si="6"/>
        <v>0</v>
      </c>
      <c r="E48" s="15">
        <f t="shared" si="7"/>
        <v>0</v>
      </c>
    </row>
    <row r="49" spans="1:5" ht="20.100000000000001" customHeight="1" x14ac:dyDescent="0.2">
      <c r="A49" s="108"/>
      <c r="B49" s="109"/>
      <c r="C49" s="110"/>
      <c r="D49" s="15">
        <f t="shared" si="6"/>
        <v>0</v>
      </c>
      <c r="E49" s="15">
        <f t="shared" si="7"/>
        <v>0</v>
      </c>
    </row>
    <row r="50" spans="1:5" ht="20.100000000000001" customHeight="1" x14ac:dyDescent="0.2">
      <c r="A50" s="108"/>
      <c r="B50" s="109"/>
      <c r="C50" s="110"/>
      <c r="D50" s="15">
        <f t="shared" si="6"/>
        <v>0</v>
      </c>
      <c r="E50" s="15">
        <f t="shared" si="7"/>
        <v>0</v>
      </c>
    </row>
    <row r="51" spans="1:5" ht="20.100000000000001" customHeight="1" x14ac:dyDescent="0.2">
      <c r="A51" s="108"/>
      <c r="B51" s="109"/>
      <c r="C51" s="110"/>
      <c r="D51" s="15">
        <f t="shared" si="6"/>
        <v>0</v>
      </c>
      <c r="E51" s="15">
        <f t="shared" si="7"/>
        <v>0</v>
      </c>
    </row>
    <row r="52" spans="1:5" ht="20.100000000000001" customHeight="1" x14ac:dyDescent="0.2">
      <c r="A52" s="108"/>
      <c r="B52" s="109"/>
      <c r="C52" s="110"/>
      <c r="D52" s="15">
        <f t="shared" si="6"/>
        <v>0</v>
      </c>
      <c r="E52" s="15">
        <f t="shared" si="7"/>
        <v>0</v>
      </c>
    </row>
    <row r="53" spans="1:5" ht="20.100000000000001" customHeight="1" x14ac:dyDescent="0.2">
      <c r="A53" s="108"/>
      <c r="B53" s="109"/>
      <c r="C53" s="110"/>
      <c r="D53" s="15">
        <f t="shared" si="6"/>
        <v>0</v>
      </c>
      <c r="E53" s="15">
        <f t="shared" si="7"/>
        <v>0</v>
      </c>
    </row>
    <row r="54" spans="1:5" ht="20.100000000000001" customHeight="1" x14ac:dyDescent="0.2">
      <c r="A54" s="108"/>
      <c r="B54" s="109"/>
      <c r="C54" s="110"/>
      <c r="D54" s="15">
        <f t="shared" si="6"/>
        <v>0</v>
      </c>
      <c r="E54" s="15">
        <f t="shared" si="7"/>
        <v>0</v>
      </c>
    </row>
    <row r="55" spans="1:5" ht="20.100000000000001" customHeight="1" x14ac:dyDescent="0.2">
      <c r="A55" s="108"/>
      <c r="B55" s="109"/>
      <c r="C55" s="110"/>
      <c r="D55" s="15">
        <f t="shared" si="6"/>
        <v>0</v>
      </c>
      <c r="E55" s="15">
        <f t="shared" si="7"/>
        <v>0</v>
      </c>
    </row>
    <row r="56" spans="1:5" ht="20.100000000000001" customHeight="1" x14ac:dyDescent="0.2">
      <c r="A56" s="108"/>
      <c r="B56" s="109"/>
      <c r="C56" s="110"/>
      <c r="D56" s="15">
        <f t="shared" si="6"/>
        <v>0</v>
      </c>
      <c r="E56" s="15">
        <f t="shared" si="7"/>
        <v>0</v>
      </c>
    </row>
    <row r="57" spans="1:5" ht="20.100000000000001" customHeight="1" x14ac:dyDescent="0.2">
      <c r="A57" s="108"/>
      <c r="B57" s="109"/>
      <c r="C57" s="110"/>
      <c r="D57" s="15">
        <f t="shared" si="6"/>
        <v>0</v>
      </c>
      <c r="E57" s="15">
        <f t="shared" si="7"/>
        <v>0</v>
      </c>
    </row>
    <row r="58" spans="1:5" ht="20.100000000000001" customHeight="1" x14ac:dyDescent="0.2">
      <c r="A58" s="108"/>
      <c r="B58" s="111"/>
      <c r="C58" s="110"/>
      <c r="D58" s="15">
        <f t="shared" si="6"/>
        <v>0</v>
      </c>
      <c r="E58" s="15">
        <f t="shared" si="7"/>
        <v>0</v>
      </c>
    </row>
    <row r="59" spans="1:5" ht="20.100000000000001" customHeight="1" x14ac:dyDescent="0.2">
      <c r="A59" s="108"/>
      <c r="B59" s="111"/>
      <c r="C59" s="110"/>
      <c r="D59" s="15">
        <f t="shared" si="6"/>
        <v>0</v>
      </c>
      <c r="E59" s="15">
        <f t="shared" si="7"/>
        <v>0</v>
      </c>
    </row>
    <row r="60" spans="1:5" ht="20.100000000000001" customHeight="1" x14ac:dyDescent="0.2">
      <c r="A60" s="108"/>
      <c r="B60" s="111"/>
      <c r="C60" s="110"/>
      <c r="D60" s="15">
        <f t="shared" si="6"/>
        <v>0</v>
      </c>
      <c r="E60" s="15">
        <f t="shared" si="7"/>
        <v>0</v>
      </c>
    </row>
    <row r="61" spans="1:5" ht="20.100000000000001" customHeight="1" x14ac:dyDescent="0.2">
      <c r="A61" s="108"/>
      <c r="B61" s="111"/>
      <c r="C61" s="110"/>
      <c r="D61" s="15">
        <f t="shared" si="4"/>
        <v>0</v>
      </c>
      <c r="E61" s="15">
        <f t="shared" si="5"/>
        <v>0</v>
      </c>
    </row>
    <row r="62" spans="1:5" ht="20.100000000000001" customHeight="1" x14ac:dyDescent="0.2">
      <c r="A62" s="108"/>
      <c r="B62" s="111"/>
      <c r="C62" s="110"/>
      <c r="D62" s="15">
        <f t="shared" si="4"/>
        <v>0</v>
      </c>
      <c r="E62" s="15">
        <f t="shared" si="5"/>
        <v>0</v>
      </c>
    </row>
    <row r="63" spans="1:5" ht="20.100000000000001" customHeight="1" x14ac:dyDescent="0.2">
      <c r="A63" s="108"/>
      <c r="B63" s="111"/>
      <c r="C63" s="110"/>
      <c r="D63" s="15">
        <f t="shared" si="4"/>
        <v>0</v>
      </c>
      <c r="E63" s="15">
        <f t="shared" si="5"/>
        <v>0</v>
      </c>
    </row>
    <row r="64" spans="1:5" ht="20.100000000000001" customHeight="1" x14ac:dyDescent="0.2">
      <c r="A64" s="108"/>
      <c r="B64" s="111"/>
      <c r="C64" s="110"/>
      <c r="D64" s="15">
        <f t="shared" si="4"/>
        <v>0</v>
      </c>
      <c r="E64" s="15">
        <f t="shared" si="5"/>
        <v>0</v>
      </c>
    </row>
    <row r="65" spans="1:5" ht="20.100000000000001" customHeight="1" x14ac:dyDescent="0.2">
      <c r="A65" s="108"/>
      <c r="B65" s="111"/>
      <c r="C65" s="110"/>
      <c r="D65" s="15">
        <f t="shared" si="4"/>
        <v>0</v>
      </c>
      <c r="E65" s="15">
        <f t="shared" si="5"/>
        <v>0</v>
      </c>
    </row>
    <row r="66" spans="1:5" ht="20.100000000000001" customHeight="1" x14ac:dyDescent="0.2">
      <c r="A66" s="108"/>
      <c r="B66" s="111"/>
      <c r="C66" s="110"/>
      <c r="D66" s="15">
        <f t="shared" si="4"/>
        <v>0</v>
      </c>
      <c r="E66" s="15">
        <f t="shared" si="5"/>
        <v>0</v>
      </c>
    </row>
    <row r="67" spans="1:5" ht="20.100000000000001" customHeight="1" x14ac:dyDescent="0.2">
      <c r="A67" s="108"/>
      <c r="B67" s="111"/>
      <c r="C67" s="110"/>
      <c r="D67" s="15">
        <f t="shared" si="4"/>
        <v>0</v>
      </c>
      <c r="E67" s="15">
        <f t="shared" si="5"/>
        <v>0</v>
      </c>
    </row>
    <row r="68" spans="1:5" ht="20.100000000000001" customHeight="1" x14ac:dyDescent="0.2">
      <c r="A68" s="108"/>
      <c r="B68" s="111"/>
      <c r="C68" s="110"/>
      <c r="D68" s="15">
        <f t="shared" si="4"/>
        <v>0</v>
      </c>
      <c r="E68" s="15">
        <f t="shared" si="5"/>
        <v>0</v>
      </c>
    </row>
    <row r="69" spans="1:5" ht="20.100000000000001" customHeight="1" x14ac:dyDescent="0.2">
      <c r="A69" s="108"/>
      <c r="B69" s="111"/>
      <c r="C69" s="110"/>
      <c r="D69" s="15">
        <f t="shared" si="4"/>
        <v>0</v>
      </c>
      <c r="E69" s="15">
        <f t="shared" si="5"/>
        <v>0</v>
      </c>
    </row>
    <row r="70" spans="1:5" ht="20.100000000000001" customHeight="1" x14ac:dyDescent="0.2">
      <c r="A70" s="108"/>
      <c r="B70" s="111"/>
      <c r="C70" s="110"/>
      <c r="D70" s="15">
        <f t="shared" ref="D70:D72" si="8">IFERROR(C70/GG_Empresa,0)</f>
        <v>0</v>
      </c>
      <c r="E70" s="15">
        <f t="shared" ref="E70:E72" si="9">IFERROR(C70/GG_Pesos,0)</f>
        <v>0</v>
      </c>
    </row>
    <row r="71" spans="1:5" ht="20.100000000000001" customHeight="1" x14ac:dyDescent="0.2">
      <c r="A71" s="108"/>
      <c r="B71" s="111"/>
      <c r="C71" s="110"/>
      <c r="D71" s="15">
        <f t="shared" si="8"/>
        <v>0</v>
      </c>
      <c r="E71" s="15">
        <f t="shared" si="9"/>
        <v>0</v>
      </c>
    </row>
    <row r="72" spans="1:5" ht="20.100000000000001" customHeight="1" x14ac:dyDescent="0.2">
      <c r="A72" s="108"/>
      <c r="B72" s="111"/>
      <c r="C72" s="110"/>
      <c r="D72" s="15">
        <f t="shared" si="8"/>
        <v>0</v>
      </c>
      <c r="E72" s="15">
        <f t="shared" si="9"/>
        <v>0</v>
      </c>
    </row>
    <row r="73" spans="1:5" ht="20.100000000000001" customHeight="1" x14ac:dyDescent="0.2">
      <c r="A73" s="108"/>
      <c r="B73" s="111"/>
      <c r="C73" s="110"/>
      <c r="D73" s="15">
        <f t="shared" si="4"/>
        <v>0</v>
      </c>
      <c r="E73" s="15">
        <f t="shared" si="5"/>
        <v>0</v>
      </c>
    </row>
    <row r="74" spans="1:5" ht="20.100000000000001" customHeight="1" x14ac:dyDescent="0.2">
      <c r="A74" s="64"/>
      <c r="B74" s="5"/>
      <c r="C74" s="5"/>
      <c r="D74" s="5"/>
      <c r="E74" s="65"/>
    </row>
    <row r="75" spans="1:5" ht="20.100000000000001" customHeight="1" x14ac:dyDescent="0.2">
      <c r="A75" s="741" t="s">
        <v>709</v>
      </c>
      <c r="B75" s="742"/>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0">
        <f>Equipo_Amortización+Equipo_Interés</f>
        <v>9.6000000000000002E-4</v>
      </c>
      <c r="D14" s="74" t="s">
        <v>1617</v>
      </c>
      <c r="E14" s="74" t="str">
        <f t="shared" si="0"/>
        <v>Equipo - Amortización de equipo</v>
      </c>
    </row>
    <row r="15" spans="1:5" x14ac:dyDescent="0.2">
      <c r="A15" s="74" t="s">
        <v>1696</v>
      </c>
      <c r="B15" s="72" t="s">
        <v>1694</v>
      </c>
      <c r="C15" s="430">
        <f>Equipo_Amortización</f>
        <v>8.0000000000000004E-4</v>
      </c>
      <c r="D15" s="74" t="s">
        <v>1617</v>
      </c>
      <c r="E15" s="74" t="str">
        <f t="shared" si="0"/>
        <v>Equipo - Amortización de equipo</v>
      </c>
    </row>
    <row r="16" spans="1:5" x14ac:dyDescent="0.2">
      <c r="A16" s="74" t="s">
        <v>1697</v>
      </c>
      <c r="B16" s="72" t="s">
        <v>1694</v>
      </c>
      <c r="C16" s="430">
        <f>Equipo_Interés</f>
        <v>1.6000000000000001E-4</v>
      </c>
      <c r="D16" s="74" t="s">
        <v>1617</v>
      </c>
      <c r="E16" s="74" t="str">
        <f t="shared" si="0"/>
        <v>Equipo - Amortización de equipo</v>
      </c>
    </row>
    <row r="17" spans="1:5" x14ac:dyDescent="0.2">
      <c r="A17" s="74" t="s">
        <v>1698</v>
      </c>
      <c r="B17" s="72" t="s">
        <v>1694</v>
      </c>
      <c r="C17" s="430">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0">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0">
        <f>Camioneta_Amortización</f>
        <v>0</v>
      </c>
      <c r="D22" s="74" t="s">
        <v>1617</v>
      </c>
      <c r="E22" s="74" t="str">
        <f t="shared" si="0"/>
        <v>Equipo - Amortización de equipo</v>
      </c>
    </row>
    <row r="23" spans="1:5" x14ac:dyDescent="0.2">
      <c r="A23" s="74" t="s">
        <v>1702</v>
      </c>
      <c r="B23" s="72" t="s">
        <v>1694</v>
      </c>
      <c r="C23" s="430">
        <f>Camioneta_Interés</f>
        <v>3.3333333333333335E-3</v>
      </c>
      <c r="D23" s="74" t="s">
        <v>1617</v>
      </c>
      <c r="E23" s="74" t="str">
        <f t="shared" si="0"/>
        <v>Equipo - Amortización de equipo</v>
      </c>
    </row>
    <row r="24" spans="1:5" x14ac:dyDescent="0.2">
      <c r="A24" s="74" t="s">
        <v>1703</v>
      </c>
      <c r="B24" s="72" t="s">
        <v>1694</v>
      </c>
      <c r="C24" s="430">
        <f>Camioneta_Seguro</f>
        <v>0</v>
      </c>
      <c r="D24" s="74" t="s">
        <v>1617</v>
      </c>
      <c r="E24" s="74" t="str">
        <f t="shared" si="0"/>
        <v>Equipo - Amortización de equipo</v>
      </c>
    </row>
    <row r="25" spans="1:5" x14ac:dyDescent="0.2">
      <c r="A25" s="74" t="s">
        <v>1704</v>
      </c>
      <c r="B25" s="72" t="s">
        <v>1694</v>
      </c>
      <c r="C25" s="430">
        <f>Camioneta_Patente</f>
        <v>0</v>
      </c>
      <c r="D25" s="74" t="s">
        <v>1617</v>
      </c>
      <c r="E25" s="74" t="str">
        <f t="shared" si="0"/>
        <v>Equipo - Amortización de equipo</v>
      </c>
    </row>
    <row r="26" spans="1:5" x14ac:dyDescent="0.2">
      <c r="A26" s="74" t="s">
        <v>1705</v>
      </c>
      <c r="B26" s="72" t="s">
        <v>1694</v>
      </c>
      <c r="C26" s="430">
        <f>Camioneta_Combustibles_Lubricantes</f>
        <v>0</v>
      </c>
      <c r="D26" s="74" t="s">
        <v>1618</v>
      </c>
      <c r="E26" s="74" t="str">
        <f t="shared" si="0"/>
        <v xml:space="preserve">Gas oil                                                                </v>
      </c>
    </row>
    <row r="27" spans="1:5" x14ac:dyDescent="0.2">
      <c r="A27" s="74" t="s">
        <v>1706</v>
      </c>
      <c r="B27" s="72" t="s">
        <v>1694</v>
      </c>
      <c r="C27" s="430">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8"/>
      <c r="D36" s="75" t="s">
        <v>1621</v>
      </c>
      <c r="E36" s="74" t="str">
        <f t="shared" si="0"/>
        <v xml:space="preserve">Máquinas viales autopropulsadas                                        </v>
      </c>
    </row>
    <row r="37" spans="1:5" ht="12.75" x14ac:dyDescent="0.2">
      <c r="A37" s="74" t="s">
        <v>793</v>
      </c>
      <c r="B37" s="72"/>
      <c r="C37" s="378"/>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9"/>
      <c r="E42" s="74" t="str">
        <f t="shared" si="0"/>
        <v/>
      </c>
    </row>
    <row r="43" spans="1:5" x14ac:dyDescent="0.2">
      <c r="A43" s="74" t="s">
        <v>870</v>
      </c>
      <c r="B43" s="72"/>
      <c r="C43" s="77"/>
      <c r="D43" s="169"/>
      <c r="E43" s="74" t="str">
        <f t="shared" si="0"/>
        <v/>
      </c>
    </row>
    <row r="44" spans="1:5" x14ac:dyDescent="0.2">
      <c r="A44" s="74" t="s">
        <v>1012</v>
      </c>
      <c r="B44" s="72"/>
      <c r="C44" s="77"/>
      <c r="D44" s="169"/>
      <c r="E44" s="74" t="str">
        <f t="shared" si="0"/>
        <v/>
      </c>
    </row>
    <row r="45" spans="1:5" x14ac:dyDescent="0.2">
      <c r="A45" s="74"/>
      <c r="B45" s="72"/>
      <c r="C45" s="77"/>
      <c r="D45" s="74"/>
      <c r="E45" s="74" t="str">
        <f t="shared" si="0"/>
        <v/>
      </c>
    </row>
    <row r="46" spans="1:5" ht="12.75" x14ac:dyDescent="0.2">
      <c r="A46" s="74" t="s">
        <v>1784</v>
      </c>
      <c r="B46" s="72" t="s">
        <v>1868</v>
      </c>
      <c r="C46" s="378">
        <v>10</v>
      </c>
      <c r="D46" s="75" t="s">
        <v>921</v>
      </c>
      <c r="E46" s="74" t="str">
        <f t="shared" si="0"/>
        <v>Acero aletado conformado, en barra</v>
      </c>
    </row>
    <row r="47" spans="1:5" ht="12.75" x14ac:dyDescent="0.2">
      <c r="A47" s="74" t="s">
        <v>1785</v>
      </c>
      <c r="B47" s="72"/>
      <c r="C47" s="378"/>
      <c r="D47" s="75" t="s">
        <v>921</v>
      </c>
      <c r="E47" s="74" t="str">
        <f t="shared" si="0"/>
        <v>Acero aletado conformado, en barra</v>
      </c>
    </row>
    <row r="48" spans="1:5" ht="12.75" x14ac:dyDescent="0.2">
      <c r="A48" s="74" t="s">
        <v>731</v>
      </c>
      <c r="B48" s="379"/>
      <c r="C48" s="378"/>
      <c r="D48" s="75" t="s">
        <v>930</v>
      </c>
      <c r="E48" s="74" t="str">
        <f t="shared" si="0"/>
        <v xml:space="preserve">Perfiles de hierro                                                     </v>
      </c>
    </row>
    <row r="49" spans="1:5" ht="12.75" x14ac:dyDescent="0.2">
      <c r="A49" s="74" t="s">
        <v>1786</v>
      </c>
      <c r="B49" s="379"/>
      <c r="C49" s="378"/>
      <c r="D49" s="75" t="s">
        <v>921</v>
      </c>
      <c r="E49" s="74" t="str">
        <f t="shared" si="0"/>
        <v>Acero aletado conformado, en barra</v>
      </c>
    </row>
    <row r="50" spans="1:5" ht="12.75" x14ac:dyDescent="0.2">
      <c r="A50" s="74" t="s">
        <v>1787</v>
      </c>
      <c r="B50" s="380"/>
      <c r="C50" s="378"/>
      <c r="D50" s="75" t="s">
        <v>1624</v>
      </c>
      <c r="E50" s="74" t="str">
        <f t="shared" si="0"/>
        <v>Productos químicos</v>
      </c>
    </row>
    <row r="51" spans="1:5" ht="12.75" x14ac:dyDescent="0.2">
      <c r="A51" s="74" t="s">
        <v>1788</v>
      </c>
      <c r="B51" s="379"/>
      <c r="C51" s="378"/>
      <c r="D51" s="75" t="s">
        <v>1625</v>
      </c>
      <c r="E51" s="74" t="str">
        <f t="shared" si="0"/>
        <v xml:space="preserve">Tejidos de alambre                                                     </v>
      </c>
    </row>
    <row r="52" spans="1:5" ht="12.75" x14ac:dyDescent="0.2">
      <c r="A52" s="74" t="s">
        <v>1789</v>
      </c>
      <c r="B52" s="379"/>
      <c r="C52" s="378"/>
      <c r="D52" s="75" t="s">
        <v>920</v>
      </c>
      <c r="E52" s="74" t="str">
        <f t="shared" si="0"/>
        <v xml:space="preserve">Alambres de acero                                                      </v>
      </c>
    </row>
    <row r="53" spans="1:5" ht="12.75" x14ac:dyDescent="0.2">
      <c r="A53" s="74" t="s">
        <v>746</v>
      </c>
      <c r="B53" s="379"/>
      <c r="C53" s="378"/>
      <c r="D53" s="75" t="s">
        <v>1626</v>
      </c>
      <c r="E53" s="74" t="str">
        <f t="shared" si="0"/>
        <v xml:space="preserve">Lingotes y perfiles de aluminio y sus aleaciones                       </v>
      </c>
    </row>
    <row r="54" spans="1:5" ht="12.75" x14ac:dyDescent="0.2">
      <c r="A54" s="74" t="s">
        <v>1790</v>
      </c>
      <c r="B54" s="380"/>
      <c r="C54" s="378"/>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1"/>
      <c r="C56" s="382"/>
      <c r="D56" s="75" t="s">
        <v>927</v>
      </c>
      <c r="E56" s="74" t="str">
        <f t="shared" si="0"/>
        <v>Arena clasificada lavada</v>
      </c>
    </row>
    <row r="57" spans="1:5" ht="12.75" x14ac:dyDescent="0.2">
      <c r="A57" s="74" t="s">
        <v>1630</v>
      </c>
      <c r="B57" s="381"/>
      <c r="C57" s="382"/>
      <c r="D57" s="75" t="s">
        <v>927</v>
      </c>
      <c r="E57" s="74" t="str">
        <f t="shared" si="0"/>
        <v>Arena clasificada lavada</v>
      </c>
    </row>
    <row r="58" spans="1:5" ht="12.75" x14ac:dyDescent="0.2">
      <c r="A58" s="74" t="s">
        <v>1791</v>
      </c>
      <c r="B58" s="381"/>
      <c r="C58" s="382"/>
      <c r="D58" s="75" t="s">
        <v>1631</v>
      </c>
      <c r="E58" s="74" t="str">
        <f t="shared" si="0"/>
        <v>Asfaliq EM1</v>
      </c>
    </row>
    <row r="59" spans="1:5" ht="12.75" x14ac:dyDescent="0.2">
      <c r="A59" s="74" t="s">
        <v>1792</v>
      </c>
      <c r="B59" s="379"/>
      <c r="C59" s="378"/>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9"/>
      <c r="C61" s="378"/>
      <c r="D61" s="75" t="s">
        <v>931</v>
      </c>
      <c r="E61" s="74" t="str">
        <f t="shared" si="0"/>
        <v xml:space="preserve">Chapas metálicas                                                       </v>
      </c>
    </row>
    <row r="62" spans="1:5" ht="12.75" x14ac:dyDescent="0.2">
      <c r="A62" s="74" t="s">
        <v>1793</v>
      </c>
      <c r="B62" s="379"/>
      <c r="C62" s="378"/>
      <c r="D62" s="75" t="s">
        <v>929</v>
      </c>
      <c r="E62" s="74" t="str">
        <f t="shared" si="0"/>
        <v>Caño de hierro galvanizado</v>
      </c>
    </row>
    <row r="63" spans="1:5" ht="12.75" x14ac:dyDescent="0.2">
      <c r="A63" s="74" t="s">
        <v>1794</v>
      </c>
      <c r="B63" s="379"/>
      <c r="C63" s="378"/>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7"/>
      <c r="C66" s="378"/>
      <c r="D66" s="75" t="s">
        <v>1638</v>
      </c>
      <c r="E66" s="74" t="str">
        <f t="shared" si="0"/>
        <v xml:space="preserve">Clavos                                                                 </v>
      </c>
    </row>
    <row r="67" spans="1:5" ht="12.75" x14ac:dyDescent="0.2">
      <c r="A67" s="74" t="s">
        <v>1796</v>
      </c>
      <c r="B67" s="379"/>
      <c r="C67" s="378"/>
      <c r="D67" s="75" t="s">
        <v>930</v>
      </c>
      <c r="E67" s="74" t="str">
        <f t="shared" si="0"/>
        <v xml:space="preserve">Perfiles de hierro                                                     </v>
      </c>
    </row>
    <row r="68" spans="1:5" ht="12.75" x14ac:dyDescent="0.2">
      <c r="A68" s="74" t="s">
        <v>1797</v>
      </c>
      <c r="B68" s="379"/>
      <c r="C68" s="378"/>
      <c r="D68" s="75" t="s">
        <v>1639</v>
      </c>
      <c r="E68" s="74" t="str">
        <f t="shared" si="0"/>
        <v xml:space="preserve">Conductores eléctricos                                                 </v>
      </c>
    </row>
    <row r="69" spans="1:5" x14ac:dyDescent="0.2">
      <c r="A69" s="74" t="s">
        <v>1640</v>
      </c>
      <c r="B69" s="383"/>
      <c r="C69" s="384"/>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3"/>
      <c r="C71" s="384"/>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1"/>
      <c r="C74" s="382"/>
      <c r="D74" s="75" t="s">
        <v>1645</v>
      </c>
      <c r="E74" s="74" t="str">
        <f t="shared" si="2"/>
        <v>Emulsion EBCR</v>
      </c>
    </row>
    <row r="75" spans="1:5" ht="12.75" x14ac:dyDescent="0.2">
      <c r="A75" s="74" t="s">
        <v>922</v>
      </c>
      <c r="B75" s="379"/>
      <c r="C75" s="378"/>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9"/>
      <c r="C78" s="378"/>
      <c r="D78" s="75" t="s">
        <v>1618</v>
      </c>
      <c r="E78" s="74" t="str">
        <f t="shared" si="2"/>
        <v xml:space="preserve">Gas oil                                                                </v>
      </c>
    </row>
    <row r="79" spans="1:5" ht="12.75" x14ac:dyDescent="0.2">
      <c r="A79" s="74" t="s">
        <v>1800</v>
      </c>
      <c r="B79" s="380"/>
      <c r="C79" s="378"/>
      <c r="D79" s="75" t="s">
        <v>1624</v>
      </c>
      <c r="E79" s="74" t="str">
        <f t="shared" si="2"/>
        <v>Productos químicos</v>
      </c>
    </row>
    <row r="80" spans="1:5" ht="12.75" x14ac:dyDescent="0.2">
      <c r="A80" s="74" t="s">
        <v>1801</v>
      </c>
      <c r="B80" s="380"/>
      <c r="C80" s="378"/>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1"/>
      <c r="C83" s="382"/>
      <c r="D83" s="75" t="s">
        <v>919</v>
      </c>
      <c r="E83" s="74" t="str">
        <f t="shared" si="2"/>
        <v>Hormigón elaborado</v>
      </c>
    </row>
    <row r="84" spans="1:5" ht="12.75" x14ac:dyDescent="0.2">
      <c r="A84" s="74" t="s">
        <v>1654</v>
      </c>
      <c r="B84" s="381"/>
      <c r="C84" s="382"/>
      <c r="D84" s="75" t="s">
        <v>925</v>
      </c>
      <c r="E84" s="74" t="str">
        <f t="shared" si="2"/>
        <v>Ladrillón de 1°</v>
      </c>
    </row>
    <row r="85" spans="1:5" ht="12.75" x14ac:dyDescent="0.2">
      <c r="A85" s="74" t="s">
        <v>1802</v>
      </c>
      <c r="B85" s="379"/>
      <c r="C85" s="378"/>
      <c r="D85" s="75" t="s">
        <v>933</v>
      </c>
      <c r="E85" s="74" t="str">
        <f t="shared" si="2"/>
        <v>Artefacto de iluminación</v>
      </c>
    </row>
    <row r="86" spans="1:5" ht="12.75" x14ac:dyDescent="0.2">
      <c r="A86" s="74" t="s">
        <v>1803</v>
      </c>
      <c r="B86" s="379"/>
      <c r="C86" s="378"/>
      <c r="D86" s="75" t="s">
        <v>933</v>
      </c>
      <c r="E86" s="74" t="str">
        <f t="shared" si="2"/>
        <v>Artefacto de iluminación</v>
      </c>
    </row>
    <row r="87" spans="1:5" ht="12.75" x14ac:dyDescent="0.2">
      <c r="A87" s="74" t="s">
        <v>325</v>
      </c>
      <c r="B87" s="380"/>
      <c r="C87" s="378"/>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7"/>
      <c r="C90" s="378"/>
      <c r="D90" s="75" t="s">
        <v>1659</v>
      </c>
      <c r="E90" s="74" t="str">
        <f t="shared" si="2"/>
        <v xml:space="preserve">Canto rodado natural </v>
      </c>
    </row>
    <row r="91" spans="1:5" ht="12.75" x14ac:dyDescent="0.2">
      <c r="A91" s="74" t="s">
        <v>1804</v>
      </c>
      <c r="B91" s="380"/>
      <c r="C91" s="378"/>
      <c r="D91" s="75" t="s">
        <v>1624</v>
      </c>
      <c r="E91" s="74" t="str">
        <f t="shared" si="2"/>
        <v>Productos químicos</v>
      </c>
    </row>
    <row r="92" spans="1:5" ht="12.75" x14ac:dyDescent="0.2">
      <c r="A92" s="74" t="s">
        <v>1805</v>
      </c>
      <c r="B92" s="380"/>
      <c r="C92" s="378"/>
      <c r="D92" s="75" t="s">
        <v>1624</v>
      </c>
      <c r="E92" s="74" t="str">
        <f t="shared" si="2"/>
        <v>Productos químicos</v>
      </c>
    </row>
    <row r="93" spans="1:5" ht="12.75" x14ac:dyDescent="0.2">
      <c r="A93" s="74" t="s">
        <v>739</v>
      </c>
      <c r="B93" s="380"/>
      <c r="C93" s="378"/>
      <c r="D93" s="75" t="s">
        <v>1660</v>
      </c>
      <c r="E93" s="74" t="str">
        <f t="shared" si="2"/>
        <v xml:space="preserve">Membranas asfálticas                                                   </v>
      </c>
    </row>
    <row r="94" spans="1:5" ht="12.75" x14ac:dyDescent="0.2">
      <c r="A94" s="74" t="s">
        <v>1661</v>
      </c>
      <c r="B94" s="381"/>
      <c r="C94" s="382"/>
      <c r="D94" s="75" t="s">
        <v>1662</v>
      </c>
      <c r="E94" s="74" t="str">
        <f t="shared" si="2"/>
        <v>Mezcla 70/30</v>
      </c>
    </row>
    <row r="95" spans="1:5" ht="12.75" x14ac:dyDescent="0.2">
      <c r="A95" s="74" t="s">
        <v>1806</v>
      </c>
      <c r="B95" s="379"/>
      <c r="C95" s="378"/>
      <c r="D95" s="75" t="s">
        <v>1663</v>
      </c>
      <c r="E95" s="74" t="str">
        <f t="shared" si="2"/>
        <v xml:space="preserve">Naftas                                                                 </v>
      </c>
    </row>
    <row r="96" spans="1:5" ht="12.75" x14ac:dyDescent="0.2">
      <c r="A96" s="74" t="s">
        <v>1807</v>
      </c>
      <c r="B96" s="380"/>
      <c r="C96" s="378"/>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9"/>
      <c r="C98" s="378"/>
      <c r="D98" s="75" t="s">
        <v>930</v>
      </c>
      <c r="E98" s="74" t="str">
        <f t="shared" si="2"/>
        <v xml:space="preserve">Perfiles de hierro                                                     </v>
      </c>
    </row>
    <row r="99" spans="1:5" ht="12.75" x14ac:dyDescent="0.2">
      <c r="A99" s="74" t="s">
        <v>1809</v>
      </c>
      <c r="B99" s="380"/>
      <c r="C99" s="378"/>
      <c r="D99" s="75" t="s">
        <v>1665</v>
      </c>
      <c r="E99" s="74" t="str">
        <f t="shared" si="2"/>
        <v xml:space="preserve">Maderas aserradas                                                      </v>
      </c>
    </row>
    <row r="100" spans="1:5" ht="12.75" x14ac:dyDescent="0.2">
      <c r="A100" s="74" t="s">
        <v>1810</v>
      </c>
      <c r="B100" s="380"/>
      <c r="C100" s="378"/>
      <c r="D100" s="75" t="s">
        <v>1624</v>
      </c>
      <c r="E100" s="74" t="str">
        <f t="shared" si="2"/>
        <v>Productos químicos</v>
      </c>
    </row>
    <row r="101" spans="1:5" ht="12.75" x14ac:dyDescent="0.2">
      <c r="A101" s="74" t="s">
        <v>1811</v>
      </c>
      <c r="B101" s="380"/>
      <c r="C101" s="378"/>
      <c r="D101" s="75" t="s">
        <v>1624</v>
      </c>
      <c r="E101" s="74" t="str">
        <f t="shared" si="2"/>
        <v>Productos químicos</v>
      </c>
    </row>
    <row r="102" spans="1:5" ht="12.75" x14ac:dyDescent="0.2">
      <c r="A102" s="74" t="s">
        <v>1812</v>
      </c>
      <c r="B102" s="380"/>
      <c r="C102" s="378"/>
      <c r="D102" s="75" t="s">
        <v>1624</v>
      </c>
      <c r="E102" s="74" t="str">
        <f t="shared" si="2"/>
        <v>Productos químicos</v>
      </c>
    </row>
    <row r="103" spans="1:5" ht="12.75" x14ac:dyDescent="0.2">
      <c r="A103" s="74" t="s">
        <v>1813</v>
      </c>
      <c r="B103" s="379"/>
      <c r="C103" s="378"/>
      <c r="D103" s="75" t="s">
        <v>932</v>
      </c>
      <c r="E103" s="74" t="str">
        <f t="shared" si="2"/>
        <v xml:space="preserve">Interruptores eléctricos                                               </v>
      </c>
    </row>
    <row r="104" spans="1:5" ht="12.75" x14ac:dyDescent="0.2">
      <c r="A104" s="74" t="s">
        <v>1814</v>
      </c>
      <c r="B104" s="380"/>
      <c r="C104" s="378"/>
      <c r="D104" s="75" t="s">
        <v>1627</v>
      </c>
      <c r="E104" s="74" t="str">
        <f t="shared" si="2"/>
        <v xml:space="preserve">Cauchos sintéticos                                                     </v>
      </c>
    </row>
    <row r="105" spans="1:5" ht="12.75" x14ac:dyDescent="0.2">
      <c r="A105" s="74" t="s">
        <v>1815</v>
      </c>
      <c r="B105" s="379"/>
      <c r="C105" s="378"/>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85" customWidth="1"/>
    <col min="2" max="2" width="19.140625" style="385" customWidth="1"/>
    <col min="3" max="3" width="37.7109375" style="385" customWidth="1"/>
    <col min="4" max="4" width="12.42578125" style="385" customWidth="1"/>
    <col min="5" max="5" width="11.42578125" style="385"/>
    <col min="6" max="6" width="12" style="385" bestFit="1" customWidth="1"/>
    <col min="7" max="7" width="12.7109375" style="385" customWidth="1"/>
    <col min="8" max="8" width="11.42578125" style="385"/>
    <col min="9" max="9" width="12.85546875" style="385" bestFit="1" customWidth="1"/>
    <col min="10" max="10" width="13.28515625" style="385" bestFit="1" customWidth="1"/>
    <col min="11" max="16384" width="11.42578125" style="385"/>
  </cols>
  <sheetData>
    <row r="1" spans="1:7" x14ac:dyDescent="0.2">
      <c r="A1" s="752" t="s">
        <v>1667</v>
      </c>
      <c r="B1" s="752"/>
      <c r="C1" s="752"/>
      <c r="D1" s="752"/>
      <c r="E1" s="752"/>
      <c r="F1" s="752"/>
      <c r="G1" s="752"/>
    </row>
    <row r="2" spans="1:7" x14ac:dyDescent="0.2">
      <c r="A2" s="386" t="s">
        <v>711</v>
      </c>
      <c r="B2" s="386" t="str">
        <f>Comitente</f>
        <v>DIRECCIÓN PROVINCIAL DE VIALIDAD</v>
      </c>
      <c r="C2" s="387"/>
      <c r="D2" s="388"/>
      <c r="E2" s="388"/>
      <c r="F2" s="389"/>
      <c r="G2" s="389"/>
    </row>
    <row r="3" spans="1:7" x14ac:dyDescent="0.2">
      <c r="A3" s="386" t="s">
        <v>712</v>
      </c>
      <c r="B3" s="386">
        <f>Contratista</f>
        <v>0</v>
      </c>
      <c r="C3" s="390"/>
      <c r="D3" s="390"/>
      <c r="E3" s="390"/>
      <c r="F3" s="386"/>
      <c r="G3" s="386"/>
    </row>
    <row r="4" spans="1:7" x14ac:dyDescent="0.2">
      <c r="A4" s="386" t="s">
        <v>21</v>
      </c>
      <c r="B4" s="386" t="str">
        <f>Obra</f>
        <v>SEÑALIZACION HORIZONTAL - PROVISION Y COLOCACION DE TACHAS REFLECTIVAS Y SEÑALAMIENTO VERTICAL</v>
      </c>
      <c r="C4" s="390"/>
      <c r="D4" s="386" t="s">
        <v>32</v>
      </c>
      <c r="E4" s="386">
        <f>Fecha_Base</f>
        <v>43579</v>
      </c>
    </row>
    <row r="5" spans="1:7" x14ac:dyDescent="0.2">
      <c r="A5" s="391" t="s">
        <v>710</v>
      </c>
      <c r="B5" s="391" t="str">
        <f>Ubicación</f>
        <v>DEPARTAMENTOS VARIOS</v>
      </c>
      <c r="C5" s="391"/>
      <c r="D5" s="392"/>
      <c r="E5" s="393"/>
      <c r="F5" s="394"/>
      <c r="G5" s="395"/>
    </row>
    <row r="6" spans="1:7" x14ac:dyDescent="0.2">
      <c r="A6" s="391"/>
      <c r="B6" s="391"/>
      <c r="C6" s="391"/>
      <c r="D6" s="392"/>
      <c r="E6" s="393"/>
      <c r="F6" s="394"/>
      <c r="G6" s="395"/>
    </row>
    <row r="7" spans="1:7" x14ac:dyDescent="0.2">
      <c r="A7" s="391"/>
      <c r="B7" s="396"/>
      <c r="C7" s="397" t="s">
        <v>1668</v>
      </c>
      <c r="D7" s="392"/>
      <c r="E7" s="393"/>
      <c r="F7" s="391"/>
      <c r="G7" s="398"/>
    </row>
    <row r="8" spans="1:7" x14ac:dyDescent="0.2">
      <c r="A8" s="391"/>
      <c r="B8" s="396"/>
      <c r="C8" s="399"/>
      <c r="D8" s="400" t="s">
        <v>1669</v>
      </c>
      <c r="F8" s="391"/>
      <c r="G8" s="398"/>
    </row>
    <row r="9" spans="1:7" x14ac:dyDescent="0.2">
      <c r="A9" s="391"/>
      <c r="B9" s="396"/>
      <c r="C9" s="399"/>
      <c r="D9" s="393"/>
      <c r="F9" s="391"/>
      <c r="G9" s="398"/>
    </row>
    <row r="10" spans="1:7" x14ac:dyDescent="0.2">
      <c r="A10" s="401" t="s">
        <v>1670</v>
      </c>
      <c r="C10" s="385" t="s">
        <v>1009</v>
      </c>
      <c r="D10" s="425">
        <f>IF(V_U_Equipo+8*Interés_Anual/(2*2000)=0,0,8*Porcentaje_amortizaciónl_Equipo/V_U_Equipo)</f>
        <v>8.0000000000000004E-4</v>
      </c>
      <c r="F10" s="402"/>
      <c r="G10" s="398"/>
    </row>
    <row r="11" spans="1:7" x14ac:dyDescent="0.2">
      <c r="A11" s="403"/>
      <c r="C11" s="396"/>
      <c r="D11" s="426"/>
      <c r="F11" s="405"/>
      <c r="G11" s="398"/>
    </row>
    <row r="12" spans="1:7" x14ac:dyDescent="0.2">
      <c r="A12" s="391"/>
      <c r="D12" s="427"/>
      <c r="F12" s="391"/>
      <c r="G12" s="398"/>
    </row>
    <row r="13" spans="1:7" x14ac:dyDescent="0.2">
      <c r="A13" s="401" t="s">
        <v>1010</v>
      </c>
      <c r="C13" s="385" t="s">
        <v>1010</v>
      </c>
      <c r="D13" s="425">
        <f>IF(V_U_Equipo+8*Interés_Anual/(2*2000)=0,0,8*Interés_Anual/(2*2000))</f>
        <v>1.6000000000000001E-4</v>
      </c>
      <c r="F13" s="402"/>
      <c r="G13" s="398"/>
    </row>
    <row r="14" spans="1:7" x14ac:dyDescent="0.2">
      <c r="A14" s="403"/>
      <c r="C14" s="396"/>
      <c r="D14" s="426"/>
      <c r="F14" s="405"/>
      <c r="G14" s="398"/>
    </row>
    <row r="15" spans="1:7" x14ac:dyDescent="0.2">
      <c r="A15" s="403"/>
      <c r="C15" s="396"/>
      <c r="D15" s="426"/>
      <c r="F15" s="405"/>
      <c r="G15" s="398"/>
    </row>
    <row r="16" spans="1:7" x14ac:dyDescent="0.2">
      <c r="A16" s="401" t="s">
        <v>1011</v>
      </c>
      <c r="C16" s="385" t="s">
        <v>1011</v>
      </c>
      <c r="D16" s="425">
        <f>IF(V_U_Equipo*Porc_repuestos_reparaciones_de_amortización=0,0,8*Porcentaje_amortizaciónl_Equipo/V_U_Equipo*Porc_repuestos_reparaciones_de_amortización)</f>
        <v>1.6000000000000001E-4</v>
      </c>
      <c r="F16" s="405"/>
      <c r="G16" s="398"/>
    </row>
    <row r="17" spans="1:7" x14ac:dyDescent="0.2">
      <c r="A17" s="401"/>
      <c r="C17" s="396"/>
      <c r="D17" s="404"/>
      <c r="F17" s="391"/>
      <c r="G17" s="392"/>
    </row>
    <row r="18" spans="1:7" x14ac:dyDescent="0.2">
      <c r="A18" s="401"/>
      <c r="C18" s="396"/>
      <c r="D18" s="406"/>
      <c r="F18" s="391"/>
      <c r="G18" s="392"/>
    </row>
    <row r="19" spans="1:7" x14ac:dyDescent="0.2">
      <c r="A19" s="401" t="s">
        <v>1619</v>
      </c>
      <c r="C19" s="385" t="s">
        <v>870</v>
      </c>
      <c r="D19" s="424">
        <f>Consumo_gasoil_Equipo_porHP*8*Precio_gasoil</f>
        <v>45.6</v>
      </c>
      <c r="F19" s="391"/>
      <c r="G19" s="392"/>
    </row>
    <row r="20" spans="1:7" x14ac:dyDescent="0.2">
      <c r="A20" s="391"/>
      <c r="C20" s="396"/>
      <c r="D20" s="406"/>
      <c r="F20" s="391"/>
      <c r="G20" s="392"/>
    </row>
    <row r="21" spans="1:7" x14ac:dyDescent="0.2">
      <c r="A21" s="391"/>
      <c r="C21" s="396"/>
      <c r="D21" s="406"/>
      <c r="F21" s="391"/>
      <c r="G21" s="392"/>
    </row>
    <row r="22" spans="1:7" x14ac:dyDescent="0.2">
      <c r="A22" s="391"/>
      <c r="C22" s="385" t="s">
        <v>1012</v>
      </c>
      <c r="D22" s="424">
        <f>Consumo_gasoil_Equipo_porHP*8*Precio_gasoil*Porcentaje_lubricantes_respecto_al_combustible</f>
        <v>9.120000000000001</v>
      </c>
      <c r="F22" s="391"/>
      <c r="G22" s="407"/>
    </row>
    <row r="23" spans="1:7" x14ac:dyDescent="0.2">
      <c r="A23" s="391"/>
      <c r="B23" s="396"/>
      <c r="C23" s="396"/>
      <c r="D23" s="406"/>
      <c r="E23" s="407"/>
      <c r="F23" s="391"/>
      <c r="G23" s="392"/>
    </row>
    <row r="24" spans="1:7" x14ac:dyDescent="0.2">
      <c r="A24" s="391"/>
      <c r="B24" s="396" t="s">
        <v>1671</v>
      </c>
      <c r="C24" s="406"/>
      <c r="D24" s="406"/>
      <c r="E24" s="404"/>
      <c r="F24" s="391"/>
      <c r="G24" s="408"/>
    </row>
    <row r="25" spans="1:7" x14ac:dyDescent="0.2">
      <c r="A25" s="391"/>
      <c r="B25" s="409" t="s">
        <v>1672</v>
      </c>
      <c r="C25" s="410"/>
      <c r="D25" s="411">
        <v>10000</v>
      </c>
      <c r="E25" s="393"/>
      <c r="F25" s="391"/>
      <c r="G25" s="408"/>
    </row>
    <row r="26" spans="1:7" x14ac:dyDescent="0.2">
      <c r="A26" s="391"/>
      <c r="B26" s="409" t="s">
        <v>1673</v>
      </c>
      <c r="C26" s="410"/>
      <c r="D26" s="412">
        <v>1</v>
      </c>
      <c r="E26" s="393"/>
      <c r="F26" s="391"/>
      <c r="G26" s="408"/>
    </row>
    <row r="27" spans="1:7" x14ac:dyDescent="0.2">
      <c r="A27" s="391"/>
      <c r="B27" s="413" t="s">
        <v>1674</v>
      </c>
      <c r="C27" s="410"/>
      <c r="D27" s="412">
        <v>0.08</v>
      </c>
      <c r="E27" s="393"/>
      <c r="F27" s="391"/>
      <c r="G27" s="408"/>
    </row>
    <row r="28" spans="1:7" x14ac:dyDescent="0.2">
      <c r="A28" s="391"/>
      <c r="B28" s="413" t="s">
        <v>1675</v>
      </c>
      <c r="C28" s="410"/>
      <c r="D28" s="412">
        <v>0.2</v>
      </c>
      <c r="E28" s="393"/>
      <c r="F28" s="391"/>
      <c r="G28" s="408"/>
    </row>
    <row r="29" spans="1:7" x14ac:dyDescent="0.2">
      <c r="A29" s="391"/>
      <c r="B29" s="413" t="s">
        <v>1676</v>
      </c>
      <c r="C29" s="410"/>
      <c r="D29" s="414">
        <v>0.15</v>
      </c>
      <c r="E29" s="393"/>
      <c r="F29" s="391"/>
      <c r="G29" s="408"/>
    </row>
    <row r="30" spans="1:7" x14ac:dyDescent="0.2">
      <c r="A30" s="391"/>
      <c r="B30" s="413" t="s">
        <v>1677</v>
      </c>
      <c r="C30" s="410"/>
      <c r="D30" s="415">
        <v>38</v>
      </c>
      <c r="E30" s="393"/>
      <c r="F30" s="391"/>
      <c r="G30" s="392"/>
    </row>
    <row r="31" spans="1:7" x14ac:dyDescent="0.2">
      <c r="A31" s="391"/>
      <c r="B31" s="413" t="s">
        <v>1678</v>
      </c>
      <c r="C31" s="410"/>
      <c r="D31" s="412">
        <v>0.2</v>
      </c>
      <c r="E31" s="393"/>
      <c r="F31" s="391"/>
      <c r="G31" s="392"/>
    </row>
    <row r="32" spans="1:7" x14ac:dyDescent="0.2">
      <c r="A32" s="406"/>
      <c r="B32" s="406"/>
      <c r="C32" s="406"/>
      <c r="D32" s="406"/>
      <c r="E32" s="406"/>
      <c r="F32" s="406"/>
      <c r="G32" s="406"/>
    </row>
    <row r="33" spans="1:7" x14ac:dyDescent="0.2">
      <c r="A33" s="406"/>
      <c r="B33" s="406"/>
      <c r="C33" s="397" t="s">
        <v>1679</v>
      </c>
      <c r="D33" s="406"/>
      <c r="E33" s="406"/>
      <c r="F33" s="406"/>
      <c r="G33" s="406"/>
    </row>
    <row r="34" spans="1:7" x14ac:dyDescent="0.2">
      <c r="A34" s="406"/>
      <c r="B34" s="406"/>
      <c r="C34" s="397"/>
      <c r="D34" s="406"/>
      <c r="E34" s="406" t="s">
        <v>1669</v>
      </c>
      <c r="F34" s="406"/>
      <c r="G34" s="406"/>
    </row>
    <row r="35" spans="1:7" x14ac:dyDescent="0.2">
      <c r="A35" s="391"/>
      <c r="B35" s="396"/>
      <c r="C35" s="399"/>
      <c r="D35" s="392"/>
      <c r="E35" s="393"/>
      <c r="F35" s="391"/>
      <c r="G35" s="392"/>
    </row>
    <row r="36" spans="1:7" x14ac:dyDescent="0.2">
      <c r="A36" s="391"/>
      <c r="B36" s="396"/>
      <c r="C36" s="385" t="s">
        <v>1009</v>
      </c>
      <c r="D36" s="402"/>
      <c r="E36" s="416">
        <f>IF(V_U_Camioneta_meses=0,0,P_Camioneta_Amortizar/V_U_Camioneta_meses)</f>
        <v>0</v>
      </c>
      <c r="F36" s="402"/>
      <c r="G36" s="397"/>
    </row>
    <row r="37" spans="1:7" x14ac:dyDescent="0.2">
      <c r="A37" s="391"/>
      <c r="B37" s="396"/>
      <c r="C37" s="396"/>
      <c r="D37" s="402"/>
      <c r="E37" s="407"/>
      <c r="F37" s="402"/>
      <c r="G37" s="397"/>
    </row>
    <row r="38" spans="1:7" x14ac:dyDescent="0.2">
      <c r="A38" s="391"/>
      <c r="B38" s="396"/>
      <c r="D38" s="393"/>
      <c r="E38" s="404"/>
      <c r="F38" s="405"/>
      <c r="G38" s="398"/>
    </row>
    <row r="39" spans="1:7" x14ac:dyDescent="0.2">
      <c r="A39" s="391"/>
      <c r="B39" s="396"/>
      <c r="C39" s="385" t="s">
        <v>1010</v>
      </c>
      <c r="D39" s="393"/>
      <c r="E39" s="416">
        <f>Interés_Anual/(2*12)</f>
        <v>3.3333333333333335E-3</v>
      </c>
      <c r="F39" s="405"/>
      <c r="G39" s="398"/>
    </row>
    <row r="40" spans="1:7" x14ac:dyDescent="0.2">
      <c r="A40" s="391"/>
      <c r="B40" s="396"/>
      <c r="C40" s="396"/>
      <c r="D40" s="393"/>
      <c r="E40" s="404"/>
      <c r="F40" s="405"/>
      <c r="G40" s="398"/>
    </row>
    <row r="41" spans="1:7" x14ac:dyDescent="0.2">
      <c r="A41" s="391"/>
      <c r="B41" s="396"/>
      <c r="C41" s="396"/>
      <c r="D41" s="393"/>
      <c r="E41" s="404"/>
      <c r="F41" s="405"/>
      <c r="G41" s="398"/>
    </row>
    <row r="42" spans="1:7" x14ac:dyDescent="0.2">
      <c r="A42" s="391"/>
      <c r="B42" s="396"/>
      <c r="C42" s="385" t="s">
        <v>1693</v>
      </c>
      <c r="D42" s="393"/>
      <c r="E42" s="416">
        <f>D59/12</f>
        <v>0</v>
      </c>
      <c r="F42" s="405"/>
      <c r="G42" s="398"/>
    </row>
    <row r="43" spans="1:7" x14ac:dyDescent="0.2">
      <c r="A43" s="391"/>
      <c r="B43" s="396"/>
      <c r="C43" s="396"/>
      <c r="D43" s="406"/>
      <c r="E43" s="404"/>
      <c r="F43" s="391"/>
      <c r="G43" s="392"/>
    </row>
    <row r="44" spans="1:7" x14ac:dyDescent="0.2">
      <c r="A44" s="391"/>
      <c r="B44" s="396"/>
      <c r="C44" s="396"/>
      <c r="D44" s="406"/>
      <c r="E44" s="404"/>
      <c r="F44" s="391"/>
      <c r="G44" s="392"/>
    </row>
    <row r="45" spans="1:7" x14ac:dyDescent="0.2">
      <c r="A45" s="391"/>
      <c r="B45" s="396"/>
      <c r="C45" s="385" t="s">
        <v>1680</v>
      </c>
      <c r="D45" s="406"/>
      <c r="E45" s="416">
        <f>D60/12</f>
        <v>0</v>
      </c>
      <c r="F45" s="391"/>
      <c r="G45" s="392"/>
    </row>
    <row r="46" spans="1:7" x14ac:dyDescent="0.2">
      <c r="A46" s="391"/>
      <c r="B46" s="396"/>
      <c r="C46" s="396"/>
      <c r="D46" s="406"/>
      <c r="E46" s="404"/>
      <c r="F46" s="391"/>
      <c r="G46" s="392"/>
    </row>
    <row r="47" spans="1:7" x14ac:dyDescent="0.2">
      <c r="A47" s="391"/>
      <c r="B47" s="396"/>
      <c r="C47" s="396"/>
      <c r="D47" s="406"/>
      <c r="E47" s="404"/>
      <c r="F47" s="391"/>
      <c r="G47" s="392"/>
    </row>
    <row r="48" spans="1:7" x14ac:dyDescent="0.2">
      <c r="A48" s="391"/>
      <c r="B48" s="396"/>
      <c r="C48" s="385" t="s">
        <v>1619</v>
      </c>
      <c r="D48" s="406"/>
      <c r="E48" s="417">
        <f>Consumo_gasoil_Camioneta_porkm*Precio_gasoil*(1+Porcentaje_Lubricantes_Camionetas)</f>
        <v>0</v>
      </c>
      <c r="F48" s="391"/>
      <c r="G48" s="392"/>
    </row>
    <row r="49" spans="1:7" x14ac:dyDescent="0.2">
      <c r="A49" s="391"/>
      <c r="B49" s="396"/>
      <c r="C49" s="396"/>
      <c r="D49" s="406"/>
      <c r="E49" s="404"/>
      <c r="F49" s="391"/>
      <c r="G49" s="392"/>
    </row>
    <row r="50" spans="1:7" x14ac:dyDescent="0.2">
      <c r="A50" s="391"/>
      <c r="B50" s="396"/>
      <c r="C50" s="396"/>
      <c r="D50" s="406"/>
      <c r="E50" s="404"/>
      <c r="F50" s="391"/>
      <c r="G50" s="392"/>
    </row>
    <row r="51" spans="1:7" x14ac:dyDescent="0.2">
      <c r="A51" s="391"/>
      <c r="B51" s="396"/>
      <c r="C51" s="396" t="s">
        <v>1681</v>
      </c>
      <c r="D51" s="406"/>
      <c r="E51" s="417">
        <f>IF(V_U_cámara_cubiertas_Camionetas=0,0,Cant_Cubiertas_Camioneta*Costo_de_cámaras_y_cubiertas_Camionetas/V_U_cámara_cubiertas_Camionetas)</f>
        <v>0</v>
      </c>
      <c r="F51" s="391"/>
      <c r="G51" s="392"/>
    </row>
    <row r="52" spans="1:7" x14ac:dyDescent="0.2">
      <c r="A52" s="391"/>
      <c r="B52" s="396"/>
      <c r="C52" s="396"/>
      <c r="D52" s="406"/>
      <c r="E52" s="404"/>
      <c r="F52" s="391"/>
      <c r="G52" s="392"/>
    </row>
    <row r="53" spans="1:7" x14ac:dyDescent="0.2">
      <c r="A53" s="391"/>
      <c r="B53" s="396"/>
      <c r="C53" s="396"/>
      <c r="D53" s="406"/>
      <c r="E53" s="404"/>
      <c r="F53" s="391"/>
      <c r="G53" s="392"/>
    </row>
    <row r="54" spans="1:7" x14ac:dyDescent="0.2">
      <c r="A54" s="391"/>
      <c r="B54" s="396"/>
      <c r="C54" s="396"/>
      <c r="D54" s="406"/>
      <c r="E54" s="407"/>
      <c r="F54" s="391"/>
      <c r="G54" s="392"/>
    </row>
    <row r="55" spans="1:7" x14ac:dyDescent="0.2">
      <c r="A55" s="406"/>
      <c r="B55" s="409" t="s">
        <v>1682</v>
      </c>
      <c r="C55" s="410"/>
      <c r="D55" s="412"/>
      <c r="E55" s="406"/>
      <c r="F55" s="406"/>
      <c r="G55" s="406"/>
    </row>
    <row r="56" spans="1:7" x14ac:dyDescent="0.2">
      <c r="A56" s="406"/>
      <c r="B56" s="418" t="s">
        <v>1683</v>
      </c>
      <c r="C56" s="410"/>
      <c r="D56" s="419"/>
      <c r="E56" s="406"/>
      <c r="F56" s="406"/>
      <c r="G56" s="406"/>
    </row>
    <row r="57" spans="1:7" x14ac:dyDescent="0.2">
      <c r="A57" s="406"/>
      <c r="B57" s="418" t="s">
        <v>1684</v>
      </c>
      <c r="C57" s="410"/>
      <c r="D57" s="420"/>
      <c r="E57" s="406"/>
      <c r="F57" s="406"/>
      <c r="G57" s="406"/>
    </row>
    <row r="58" spans="1:7" x14ac:dyDescent="0.2">
      <c r="A58" s="406"/>
      <c r="B58" s="418" t="s">
        <v>1685</v>
      </c>
      <c r="C58" s="410"/>
      <c r="D58" s="428"/>
      <c r="E58" s="406"/>
      <c r="F58" s="406"/>
      <c r="G58" s="406"/>
    </row>
    <row r="59" spans="1:7" x14ac:dyDescent="0.2">
      <c r="A59" s="406"/>
      <c r="B59" s="418" t="s">
        <v>1686</v>
      </c>
      <c r="C59" s="410"/>
      <c r="D59" s="412"/>
      <c r="E59" s="406"/>
      <c r="F59" s="406"/>
      <c r="G59" s="406"/>
    </row>
    <row r="60" spans="1:7" x14ac:dyDescent="0.2">
      <c r="A60" s="406"/>
      <c r="B60" s="418" t="s">
        <v>1687</v>
      </c>
      <c r="C60" s="410"/>
      <c r="D60" s="412"/>
      <c r="E60" s="406"/>
      <c r="F60" s="406"/>
      <c r="G60" s="406"/>
    </row>
    <row r="61" spans="1:7" x14ac:dyDescent="0.2">
      <c r="A61" s="406"/>
      <c r="B61" s="418" t="s">
        <v>1688</v>
      </c>
      <c r="C61" s="410"/>
      <c r="D61" s="421"/>
      <c r="E61" s="406"/>
      <c r="F61" s="406"/>
      <c r="G61" s="406"/>
    </row>
    <row r="62" spans="1:7" x14ac:dyDescent="0.2">
      <c r="A62" s="406"/>
      <c r="B62" s="418" t="s">
        <v>1689</v>
      </c>
      <c r="C62" s="410"/>
      <c r="D62" s="412"/>
      <c r="E62" s="406"/>
      <c r="F62" s="406"/>
      <c r="G62" s="406"/>
    </row>
    <row r="63" spans="1:7" x14ac:dyDescent="0.2">
      <c r="A63" s="406"/>
      <c r="B63" s="418" t="s">
        <v>1690</v>
      </c>
      <c r="C63" s="410"/>
      <c r="D63" s="422"/>
      <c r="E63" s="406"/>
      <c r="F63" s="406"/>
      <c r="G63" s="406"/>
    </row>
    <row r="64" spans="1:7" x14ac:dyDescent="0.2">
      <c r="A64" s="406"/>
      <c r="B64" s="418" t="s">
        <v>1691</v>
      </c>
      <c r="C64" s="410"/>
      <c r="D64" s="429"/>
      <c r="E64" s="406"/>
      <c r="F64" s="406"/>
      <c r="G64" s="406"/>
    </row>
    <row r="65" spans="1:7" x14ac:dyDescent="0.2">
      <c r="A65" s="406"/>
      <c r="B65" s="418" t="s">
        <v>1692</v>
      </c>
      <c r="C65" s="410"/>
      <c r="D65" s="423"/>
      <c r="E65" s="406"/>
      <c r="F65" s="406"/>
      <c r="G65" s="406"/>
    </row>
    <row r="66" spans="1:7" x14ac:dyDescent="0.2">
      <c r="A66" s="406"/>
      <c r="B66" s="406"/>
      <c r="C66" s="406"/>
      <c r="D66" s="406"/>
      <c r="E66" s="406"/>
      <c r="F66" s="406"/>
      <c r="G66" s="406"/>
    </row>
    <row r="67" spans="1:7" x14ac:dyDescent="0.2">
      <c r="A67" s="406"/>
      <c r="B67" s="406"/>
      <c r="C67" s="406"/>
      <c r="D67" s="406"/>
      <c r="E67" s="406"/>
      <c r="F67" s="406"/>
      <c r="G67" s="406"/>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2" customWidth="1"/>
    <col min="15" max="15" width="23.7109375" style="432"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753" t="s">
        <v>1708</v>
      </c>
      <c r="B1" s="753"/>
      <c r="C1" s="753"/>
      <c r="D1" s="753"/>
      <c r="E1" s="753"/>
      <c r="F1" s="753"/>
      <c r="G1" s="753"/>
      <c r="H1" s="753"/>
      <c r="I1" s="753"/>
      <c r="J1" s="753"/>
      <c r="K1" s="753"/>
      <c r="L1" s="753"/>
      <c r="M1" s="753"/>
      <c r="N1" s="753"/>
      <c r="O1" s="753"/>
      <c r="P1" s="753"/>
    </row>
    <row r="2" spans="1:21" ht="15" customHeight="1" x14ac:dyDescent="0.2">
      <c r="A2" s="753" t="s">
        <v>1709</v>
      </c>
      <c r="B2" s="753"/>
      <c r="C2" s="753"/>
      <c r="D2" s="753"/>
      <c r="E2" s="753"/>
      <c r="F2" s="753" t="s">
        <v>1710</v>
      </c>
      <c r="G2" s="753"/>
      <c r="H2" s="753"/>
      <c r="I2" s="753"/>
      <c r="J2" s="753"/>
      <c r="K2" s="753"/>
      <c r="L2" s="753"/>
      <c r="M2" s="753"/>
      <c r="N2" s="753"/>
      <c r="O2" s="753"/>
      <c r="P2" s="753"/>
    </row>
    <row r="3" spans="1:21" ht="15" customHeight="1" x14ac:dyDescent="0.2">
      <c r="E3" s="433"/>
    </row>
    <row r="4" spans="1:21" ht="15" customHeight="1" x14ac:dyDescent="0.25">
      <c r="A4" s="754" t="s">
        <v>1711</v>
      </c>
      <c r="B4" s="754"/>
      <c r="C4" s="754"/>
      <c r="D4" s="754"/>
      <c r="E4" s="754"/>
      <c r="F4" s="433"/>
      <c r="K4" s="433"/>
      <c r="N4" s="433" t="s">
        <v>1712</v>
      </c>
      <c r="O4" s="434">
        <f>IF(HorasAmortizaciónEquipoCamión=0,0,ROUND(Valor_CamiónSolo*PorcentajeEquipoAmortizarCamión/HorasAmortizaciónEquipoCamión,3))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760" t="s">
        <v>1713</v>
      </c>
      <c r="B7" s="761"/>
      <c r="C7" s="761"/>
      <c r="D7" s="762"/>
      <c r="E7" s="482"/>
      <c r="F7" s="433"/>
      <c r="G7" s="437"/>
      <c r="H7" s="435"/>
      <c r="I7" s="755"/>
      <c r="J7" s="438"/>
      <c r="K7" s="439"/>
      <c r="N7" s="433" t="s">
        <v>1714</v>
      </c>
      <c r="O7" s="470">
        <f>ROUND(Valor_CamiónSolo*E10/4000,3)</f>
        <v>0</v>
      </c>
      <c r="Q7" s="437"/>
      <c r="R7" s="440"/>
      <c r="S7" s="756"/>
      <c r="T7" s="441"/>
      <c r="U7" s="438"/>
    </row>
    <row r="8" spans="1:21" ht="15" customHeight="1" x14ac:dyDescent="0.2">
      <c r="A8" s="760" t="s">
        <v>1715</v>
      </c>
      <c r="B8" s="761"/>
      <c r="C8" s="761"/>
      <c r="D8" s="762"/>
      <c r="E8" s="483"/>
      <c r="F8" s="433"/>
      <c r="G8" s="757"/>
      <c r="H8" s="757"/>
      <c r="I8" s="755"/>
      <c r="K8" s="433"/>
      <c r="O8" s="436"/>
      <c r="Q8" s="757"/>
      <c r="R8" s="757"/>
      <c r="S8" s="756"/>
      <c r="T8" s="435"/>
      <c r="U8" s="435"/>
    </row>
    <row r="9" spans="1:21" ht="15" customHeight="1" x14ac:dyDescent="0.2">
      <c r="A9" s="760" t="s">
        <v>1716</v>
      </c>
      <c r="B9" s="761"/>
      <c r="C9" s="761"/>
      <c r="D9" s="762"/>
      <c r="E9" s="484"/>
      <c r="F9" s="433"/>
      <c r="K9" s="433"/>
      <c r="O9" s="436"/>
    </row>
    <row r="10" spans="1:21" ht="15" customHeight="1" x14ac:dyDescent="0.2">
      <c r="A10" s="760" t="s">
        <v>1717</v>
      </c>
      <c r="B10" s="761"/>
      <c r="C10" s="761"/>
      <c r="D10" s="762"/>
      <c r="E10" s="484"/>
      <c r="F10" s="433"/>
      <c r="K10" s="433"/>
      <c r="N10" s="433" t="s">
        <v>1718</v>
      </c>
      <c r="O10" s="434">
        <f>ROUND(O4*Porcentaje_Reparaciones_Repuestos,3)</f>
        <v>0</v>
      </c>
      <c r="Q10" s="435"/>
      <c r="R10" s="435"/>
      <c r="S10" s="435"/>
      <c r="T10" s="435"/>
      <c r="U10" s="435"/>
    </row>
    <row r="11" spans="1:21" ht="15" customHeight="1" x14ac:dyDescent="0.2">
      <c r="A11" s="760" t="s">
        <v>1719</v>
      </c>
      <c r="B11" s="761"/>
      <c r="C11" s="761"/>
      <c r="D11" s="762"/>
      <c r="E11" s="484"/>
      <c r="F11" s="433"/>
      <c r="K11" s="433"/>
      <c r="O11" s="436"/>
      <c r="Q11" s="435"/>
      <c r="R11" s="435"/>
      <c r="S11" s="435"/>
      <c r="T11" s="435"/>
      <c r="U11" s="435"/>
    </row>
    <row r="12" spans="1:21" ht="15" customHeight="1" x14ac:dyDescent="0.2">
      <c r="A12" s="760" t="s">
        <v>1720</v>
      </c>
      <c r="B12" s="761"/>
      <c r="C12" s="761"/>
      <c r="D12" s="762"/>
      <c r="E12" s="484"/>
      <c r="F12" s="433"/>
      <c r="K12" s="433"/>
      <c r="O12" s="436"/>
      <c r="Q12" s="435"/>
      <c r="R12" s="435"/>
      <c r="S12" s="435"/>
      <c r="T12" s="435"/>
      <c r="U12" s="435"/>
    </row>
    <row r="13" spans="1:21" ht="15" customHeight="1" x14ac:dyDescent="0.2">
      <c r="A13" s="760" t="s">
        <v>1721</v>
      </c>
      <c r="B13" s="761"/>
      <c r="C13" s="761"/>
      <c r="D13" s="762"/>
      <c r="E13" s="483"/>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760" t="s">
        <v>1723</v>
      </c>
      <c r="B14" s="761"/>
      <c r="C14" s="761"/>
      <c r="D14" s="762"/>
      <c r="E14" s="485"/>
      <c r="F14" s="433"/>
      <c r="G14" s="435"/>
      <c r="H14" s="435"/>
      <c r="I14" s="435"/>
      <c r="J14" s="435"/>
      <c r="K14" s="442"/>
      <c r="O14" s="436"/>
      <c r="Q14" s="435"/>
      <c r="R14" s="435"/>
      <c r="S14" s="435"/>
      <c r="T14" s="435"/>
      <c r="U14" s="435"/>
    </row>
    <row r="15" spans="1:21" ht="15" customHeight="1" x14ac:dyDescent="0.2">
      <c r="A15" s="760" t="s">
        <v>1724</v>
      </c>
      <c r="B15" s="761"/>
      <c r="C15" s="761"/>
      <c r="D15" s="762"/>
      <c r="E15" s="486"/>
      <c r="F15" s="433"/>
      <c r="G15" s="437"/>
      <c r="H15" s="435"/>
      <c r="I15" s="756"/>
      <c r="J15" s="438"/>
      <c r="K15" s="443"/>
      <c r="O15" s="436"/>
      <c r="Q15" s="444"/>
      <c r="R15" s="445"/>
      <c r="S15" s="756"/>
      <c r="T15" s="441"/>
      <c r="U15" s="446"/>
    </row>
    <row r="16" spans="1:21" ht="15" customHeight="1" x14ac:dyDescent="0.2">
      <c r="A16" s="760" t="s">
        <v>1725</v>
      </c>
      <c r="B16" s="761"/>
      <c r="C16" s="761"/>
      <c r="D16" s="762"/>
      <c r="E16" s="487"/>
      <c r="F16" s="433"/>
      <c r="G16" s="757"/>
      <c r="H16" s="757"/>
      <c r="I16" s="756"/>
      <c r="J16" s="435"/>
      <c r="K16" s="442"/>
      <c r="N16" s="433" t="s">
        <v>1726</v>
      </c>
      <c r="O16" s="434">
        <f>ROUND(Valor_CamiónSolo*PorSegurosPatentesImpustoCamión/2000,3)</f>
        <v>0</v>
      </c>
      <c r="Q16" s="758"/>
      <c r="R16" s="758"/>
      <c r="S16" s="756"/>
      <c r="T16" s="435"/>
      <c r="U16" s="435"/>
    </row>
    <row r="17" spans="1:21" ht="15" customHeight="1" x14ac:dyDescent="0.2">
      <c r="A17" s="760" t="s">
        <v>1727</v>
      </c>
      <c r="B17" s="761"/>
      <c r="C17" s="761"/>
      <c r="D17" s="762"/>
      <c r="E17" s="488"/>
      <c r="F17" s="433"/>
      <c r="K17" s="433"/>
      <c r="O17" s="436"/>
    </row>
    <row r="18" spans="1:21" ht="15" customHeight="1" x14ac:dyDescent="0.2">
      <c r="A18" s="760" t="s">
        <v>1728</v>
      </c>
      <c r="B18" s="761"/>
      <c r="C18" s="761"/>
      <c r="D18" s="762"/>
      <c r="E18" s="489"/>
      <c r="F18" s="433"/>
      <c r="K18" s="433"/>
      <c r="O18" s="436"/>
    </row>
    <row r="19" spans="1:21" ht="15" customHeight="1" x14ac:dyDescent="0.2">
      <c r="A19" s="760" t="s">
        <v>1729</v>
      </c>
      <c r="B19" s="761"/>
      <c r="C19" s="761"/>
      <c r="D19" s="762"/>
      <c r="E19" s="490"/>
      <c r="F19" s="433"/>
      <c r="G19" s="437"/>
      <c r="H19" s="435"/>
      <c r="I19" s="435"/>
      <c r="J19" s="438"/>
      <c r="K19" s="443"/>
      <c r="N19" s="433" t="s">
        <v>1730</v>
      </c>
      <c r="O19" s="434">
        <f>IF(V_Ul_cámara_cubiertas_CamiónSolo=0,0,ROUND(Cantidad_camaras_cubiertas*Valor_cámara_cubiertas_CamiónSolo/V_Ul_cámara_cubiertas_CamiónSolo,3))</f>
        <v>0</v>
      </c>
      <c r="Q19" s="447"/>
      <c r="R19" s="448"/>
      <c r="S19" s="449"/>
      <c r="T19" s="450"/>
      <c r="U19" s="451"/>
    </row>
    <row r="20" spans="1:21" ht="15" customHeight="1" x14ac:dyDescent="0.2">
      <c r="A20" s="760" t="s">
        <v>1731</v>
      </c>
      <c r="B20" s="761"/>
      <c r="C20" s="761"/>
      <c r="D20" s="762"/>
      <c r="E20" s="484"/>
      <c r="F20" s="433"/>
      <c r="G20" s="757"/>
      <c r="H20" s="757"/>
      <c r="I20" s="435"/>
      <c r="J20" s="435"/>
      <c r="K20" s="442"/>
      <c r="O20" s="436"/>
    </row>
    <row r="21" spans="1:21" ht="15" customHeight="1" x14ac:dyDescent="0.2">
      <c r="A21" s="760" t="s">
        <v>1782</v>
      </c>
      <c r="B21" s="761"/>
      <c r="C21" s="761"/>
      <c r="D21" s="762" t="s">
        <v>1732</v>
      </c>
      <c r="E21" s="491"/>
      <c r="G21" s="768"/>
      <c r="H21" s="768"/>
      <c r="I21" s="768"/>
      <c r="K21" s="433"/>
      <c r="O21" s="436"/>
    </row>
    <row r="22" spans="1:21" ht="15" customHeight="1" x14ac:dyDescent="0.2">
      <c r="A22" s="760" t="s">
        <v>1783</v>
      </c>
      <c r="B22" s="761"/>
      <c r="C22" s="761"/>
      <c r="D22" s="762" t="s">
        <v>1733</v>
      </c>
      <c r="E22" s="492"/>
      <c r="G22" s="435"/>
      <c r="H22" s="435"/>
      <c r="I22" s="435"/>
      <c r="J22" s="435"/>
      <c r="K22" s="442"/>
      <c r="N22" s="433" t="s">
        <v>1734</v>
      </c>
      <c r="O22" s="434">
        <f>ROUND(Consumo_gasoil_CamiónSolo_porkm*Costo_gasoil*(1+Porcentaje_Lubricantes),3)</f>
        <v>0</v>
      </c>
    </row>
    <row r="23" spans="1:21" ht="15" customHeight="1" x14ac:dyDescent="0.25">
      <c r="A23" s="505"/>
      <c r="B23" s="505"/>
      <c r="C23" s="505"/>
      <c r="D23" s="505"/>
      <c r="E23" s="505"/>
      <c r="G23" s="452"/>
      <c r="H23" s="453"/>
      <c r="I23" s="454"/>
      <c r="J23" s="455"/>
      <c r="K23" s="443"/>
    </row>
    <row r="24" spans="1:21" ht="15" customHeight="1" x14ac:dyDescent="0.2">
      <c r="A24" s="435"/>
      <c r="B24" s="435"/>
      <c r="C24" s="435"/>
      <c r="D24" s="435"/>
      <c r="E24" s="435"/>
      <c r="F24" s="435"/>
      <c r="G24" s="435"/>
      <c r="H24" s="435"/>
      <c r="I24" s="435"/>
      <c r="J24" s="435"/>
      <c r="K24" s="435"/>
      <c r="L24" s="435"/>
      <c r="M24" s="435"/>
      <c r="N24" s="435"/>
      <c r="O24" s="435"/>
      <c r="P24" s="435"/>
    </row>
    <row r="25" spans="1:21" ht="15" customHeight="1" x14ac:dyDescent="0.2">
      <c r="A25" s="764" t="s">
        <v>1735</v>
      </c>
      <c r="B25" s="764"/>
      <c r="C25" s="764"/>
      <c r="D25" s="764"/>
      <c r="E25" s="764"/>
      <c r="F25" s="764"/>
      <c r="G25" s="764"/>
      <c r="H25" s="765" t="s">
        <v>1736</v>
      </c>
      <c r="I25" s="765"/>
      <c r="J25" s="765"/>
      <c r="K25" s="765"/>
      <c r="L25" s="765"/>
      <c r="M25" s="765"/>
      <c r="N25" s="765"/>
      <c r="O25" s="765"/>
      <c r="P25" s="766" t="s">
        <v>1737</v>
      </c>
    </row>
    <row r="26" spans="1:21" ht="15" customHeight="1" x14ac:dyDescent="0.2">
      <c r="A26" s="456" t="s">
        <v>1738</v>
      </c>
      <c r="B26" s="456" t="s">
        <v>1739</v>
      </c>
      <c r="C26" s="456" t="s">
        <v>1740</v>
      </c>
      <c r="D26" s="456" t="s">
        <v>1741</v>
      </c>
      <c r="E26" s="456" t="s">
        <v>1742</v>
      </c>
      <c r="F26" s="456" t="s">
        <v>1007</v>
      </c>
      <c r="G26" s="456" t="s">
        <v>1743</v>
      </c>
      <c r="H26" s="767" t="s">
        <v>1670</v>
      </c>
      <c r="I26" s="767" t="s">
        <v>1744</v>
      </c>
      <c r="J26" s="456" t="s">
        <v>1745</v>
      </c>
      <c r="K26" s="456" t="s">
        <v>1746</v>
      </c>
      <c r="L26" s="456" t="s">
        <v>1747</v>
      </c>
      <c r="M26" s="456" t="s">
        <v>1748</v>
      </c>
      <c r="N26" s="456" t="s">
        <v>1749</v>
      </c>
      <c r="O26" s="457" t="s">
        <v>1750</v>
      </c>
      <c r="P26" s="766"/>
    </row>
    <row r="27" spans="1:21" ht="15" customHeight="1" x14ac:dyDescent="0.2">
      <c r="A27" s="456" t="s">
        <v>1751</v>
      </c>
      <c r="B27" s="456" t="s">
        <v>1752</v>
      </c>
      <c r="C27" s="456" t="s">
        <v>1753</v>
      </c>
      <c r="D27" s="456" t="s">
        <v>1754</v>
      </c>
      <c r="E27" s="456" t="s">
        <v>1755</v>
      </c>
      <c r="F27" s="456" t="s">
        <v>1756</v>
      </c>
      <c r="G27" s="456" t="s">
        <v>1757</v>
      </c>
      <c r="H27" s="767"/>
      <c r="I27" s="767"/>
      <c r="J27" s="456" t="s">
        <v>1758</v>
      </c>
      <c r="K27" s="456" t="s">
        <v>1759</v>
      </c>
      <c r="L27" s="456" t="s">
        <v>1760</v>
      </c>
      <c r="M27" s="456" t="s">
        <v>1761</v>
      </c>
      <c r="N27" s="456" t="s">
        <v>1762</v>
      </c>
      <c r="O27" s="457" t="s">
        <v>1763</v>
      </c>
      <c r="P27" s="766"/>
    </row>
    <row r="28" spans="1:21" ht="15" customHeight="1" x14ac:dyDescent="0.2">
      <c r="A28" s="763" t="s">
        <v>1764</v>
      </c>
      <c r="B28" s="763" t="s">
        <v>1765</v>
      </c>
      <c r="C28" s="763" t="s">
        <v>1766</v>
      </c>
      <c r="D28" s="763" t="s">
        <v>1767</v>
      </c>
      <c r="E28" s="763" t="s">
        <v>1768</v>
      </c>
      <c r="F28" s="763" t="s">
        <v>1769</v>
      </c>
      <c r="G28" s="763" t="s">
        <v>1770</v>
      </c>
      <c r="H28" s="763" t="s">
        <v>1771</v>
      </c>
      <c r="I28" s="763" t="s">
        <v>1772</v>
      </c>
      <c r="J28" s="763" t="s">
        <v>1773</v>
      </c>
      <c r="K28" s="763" t="s">
        <v>1774</v>
      </c>
      <c r="L28" s="763" t="s">
        <v>1775</v>
      </c>
      <c r="M28" s="763" t="s">
        <v>1776</v>
      </c>
      <c r="N28" s="763" t="s">
        <v>1777</v>
      </c>
      <c r="O28" s="763" t="s">
        <v>1778</v>
      </c>
      <c r="P28" s="759" t="s">
        <v>1779</v>
      </c>
    </row>
    <row r="29" spans="1:21" ht="15" customHeight="1" x14ac:dyDescent="0.2">
      <c r="A29" s="763"/>
      <c r="B29" s="763"/>
      <c r="C29" s="763"/>
      <c r="D29" s="763"/>
      <c r="E29" s="763"/>
      <c r="F29" s="763"/>
      <c r="G29" s="763"/>
      <c r="H29" s="763"/>
      <c r="I29" s="763"/>
      <c r="J29" s="763"/>
      <c r="K29" s="763"/>
      <c r="L29" s="763"/>
      <c r="M29" s="763"/>
      <c r="N29" s="763"/>
      <c r="O29" s="763"/>
      <c r="P29" s="759"/>
    </row>
    <row r="30" spans="1:21" ht="15" customHeight="1" x14ac:dyDescent="0.2">
      <c r="A30" s="458">
        <v>1</v>
      </c>
      <c r="B30" s="459"/>
      <c r="C30" s="460">
        <f>IF(B30=0,0,(2*A30*60)/B30)</f>
        <v>0</v>
      </c>
      <c r="D30" s="461"/>
      <c r="E30" s="460">
        <f t="shared" ref="E30:E64" si="0">+C30+D30</f>
        <v>0</v>
      </c>
      <c r="F30" s="462"/>
      <c r="G30" s="463">
        <f t="shared" ref="G30:G64" si="1">+A30*2</f>
        <v>2</v>
      </c>
      <c r="H30" s="464">
        <f t="shared" ref="H30:H64" si="2">A*(E30/60)</f>
        <v>0</v>
      </c>
      <c r="I30" s="464">
        <f t="shared" ref="I30:I38" si="3">B*(E30/60)</f>
        <v>0</v>
      </c>
      <c r="J30" s="464">
        <f t="shared" ref="J30:J38" si="4">C_*(C30/60)</f>
        <v>0</v>
      </c>
      <c r="K30" s="464">
        <f t="shared" ref="K30:K38" si="5">D*(E30/60)</f>
        <v>0</v>
      </c>
      <c r="L30" s="464">
        <f t="shared" ref="L30:L38" si="6">E*(E30/60)</f>
        <v>0</v>
      </c>
      <c r="M30" s="464">
        <f t="shared" ref="M30:M38" si="7">+G30*F_</f>
        <v>0</v>
      </c>
      <c r="N30" s="464">
        <f t="shared" ref="N30:N38" si="8">Mano_Obra_Lavado*(E30/60)</f>
        <v>0</v>
      </c>
      <c r="O30" s="464">
        <f t="shared" ref="O30:O38" si="9">+G30*G</f>
        <v>0</v>
      </c>
      <c r="P30" s="465">
        <f>IF(F30=0,0,ROUND(SUM(H30:O30)/F30,3))</f>
        <v>0</v>
      </c>
      <c r="R30" s="466"/>
    </row>
    <row r="31" spans="1:21" ht="15" customHeight="1" x14ac:dyDescent="0.2">
      <c r="A31" s="458">
        <v>1.5</v>
      </c>
      <c r="B31" s="459"/>
      <c r="C31" s="460">
        <f t="shared" ref="C31:C64" si="10">IF(B31=0,0,(2*A31*60)/B31)</f>
        <v>0</v>
      </c>
      <c r="D31" s="461"/>
      <c r="E31" s="460">
        <f t="shared" si="0"/>
        <v>0</v>
      </c>
      <c r="F31" s="462"/>
      <c r="G31" s="463">
        <f t="shared" si="1"/>
        <v>3</v>
      </c>
      <c r="H31" s="464">
        <f t="shared" si="2"/>
        <v>0</v>
      </c>
      <c r="I31" s="464">
        <f t="shared" si="3"/>
        <v>0</v>
      </c>
      <c r="J31" s="464">
        <f t="shared" si="4"/>
        <v>0</v>
      </c>
      <c r="K31" s="464">
        <f t="shared" si="5"/>
        <v>0</v>
      </c>
      <c r="L31" s="464">
        <f t="shared" si="6"/>
        <v>0</v>
      </c>
      <c r="M31" s="464">
        <f t="shared" si="7"/>
        <v>0</v>
      </c>
      <c r="N31" s="464">
        <f t="shared" si="8"/>
        <v>0</v>
      </c>
      <c r="O31" s="464">
        <f t="shared" si="9"/>
        <v>0</v>
      </c>
      <c r="P31" s="465">
        <f t="shared" ref="P31:P64" si="11">IF(F31=0,0,ROUND(SUM(H31:O31)/F31,3))</f>
        <v>0</v>
      </c>
      <c r="R31" s="466"/>
    </row>
    <row r="32" spans="1:21" ht="15" customHeight="1" x14ac:dyDescent="0.2">
      <c r="A32" s="458">
        <v>2</v>
      </c>
      <c r="B32" s="459"/>
      <c r="C32" s="460">
        <f t="shared" si="10"/>
        <v>0</v>
      </c>
      <c r="D32" s="461"/>
      <c r="E32" s="460">
        <f t="shared" si="0"/>
        <v>0</v>
      </c>
      <c r="F32" s="462"/>
      <c r="G32" s="463">
        <f t="shared" si="1"/>
        <v>4</v>
      </c>
      <c r="H32" s="464">
        <f t="shared" si="2"/>
        <v>0</v>
      </c>
      <c r="I32" s="464">
        <f t="shared" si="3"/>
        <v>0</v>
      </c>
      <c r="J32" s="464">
        <f t="shared" si="4"/>
        <v>0</v>
      </c>
      <c r="K32" s="464">
        <f t="shared" si="5"/>
        <v>0</v>
      </c>
      <c r="L32" s="464">
        <f t="shared" si="6"/>
        <v>0</v>
      </c>
      <c r="M32" s="464">
        <f t="shared" si="7"/>
        <v>0</v>
      </c>
      <c r="N32" s="464">
        <f t="shared" si="8"/>
        <v>0</v>
      </c>
      <c r="O32" s="464">
        <f t="shared" si="9"/>
        <v>0</v>
      </c>
      <c r="P32" s="465">
        <f t="shared" si="11"/>
        <v>0</v>
      </c>
      <c r="R32" s="466"/>
    </row>
    <row r="33" spans="1:18" ht="15" customHeight="1" x14ac:dyDescent="0.2">
      <c r="A33" s="458">
        <v>2.5</v>
      </c>
      <c r="B33" s="459"/>
      <c r="C33" s="460">
        <f t="shared" si="10"/>
        <v>0</v>
      </c>
      <c r="D33" s="461"/>
      <c r="E33" s="460">
        <f t="shared" si="0"/>
        <v>0</v>
      </c>
      <c r="F33" s="462"/>
      <c r="G33" s="463">
        <f t="shared" si="1"/>
        <v>5</v>
      </c>
      <c r="H33" s="464">
        <f t="shared" si="2"/>
        <v>0</v>
      </c>
      <c r="I33" s="464">
        <f t="shared" si="3"/>
        <v>0</v>
      </c>
      <c r="J33" s="464">
        <f t="shared" si="4"/>
        <v>0</v>
      </c>
      <c r="K33" s="464">
        <f t="shared" si="5"/>
        <v>0</v>
      </c>
      <c r="L33" s="464">
        <f t="shared" si="6"/>
        <v>0</v>
      </c>
      <c r="M33" s="464">
        <f t="shared" si="7"/>
        <v>0</v>
      </c>
      <c r="N33" s="464">
        <f t="shared" si="8"/>
        <v>0</v>
      </c>
      <c r="O33" s="464">
        <f t="shared" si="9"/>
        <v>0</v>
      </c>
      <c r="P33" s="465">
        <f t="shared" si="11"/>
        <v>0</v>
      </c>
      <c r="R33" s="466"/>
    </row>
    <row r="34" spans="1:18" ht="15" customHeight="1" x14ac:dyDescent="0.2">
      <c r="A34" s="458">
        <v>3</v>
      </c>
      <c r="B34" s="459"/>
      <c r="C34" s="460">
        <f t="shared" si="10"/>
        <v>0</v>
      </c>
      <c r="D34" s="461"/>
      <c r="E34" s="460">
        <f t="shared" si="0"/>
        <v>0</v>
      </c>
      <c r="F34" s="462"/>
      <c r="G34" s="463">
        <f t="shared" si="1"/>
        <v>6</v>
      </c>
      <c r="H34" s="464">
        <f t="shared" si="2"/>
        <v>0</v>
      </c>
      <c r="I34" s="464">
        <f t="shared" si="3"/>
        <v>0</v>
      </c>
      <c r="J34" s="464">
        <f t="shared" si="4"/>
        <v>0</v>
      </c>
      <c r="K34" s="464">
        <f t="shared" si="5"/>
        <v>0</v>
      </c>
      <c r="L34" s="464">
        <f t="shared" si="6"/>
        <v>0</v>
      </c>
      <c r="M34" s="464">
        <f t="shared" si="7"/>
        <v>0</v>
      </c>
      <c r="N34" s="464">
        <f t="shared" si="8"/>
        <v>0</v>
      </c>
      <c r="O34" s="464">
        <f t="shared" si="9"/>
        <v>0</v>
      </c>
      <c r="P34" s="465">
        <f t="shared" si="11"/>
        <v>0</v>
      </c>
      <c r="R34" s="466"/>
    </row>
    <row r="35" spans="1:18" ht="15" customHeight="1" x14ac:dyDescent="0.2">
      <c r="A35" s="458">
        <v>3.5</v>
      </c>
      <c r="B35" s="459"/>
      <c r="C35" s="460">
        <f t="shared" si="10"/>
        <v>0</v>
      </c>
      <c r="D35" s="461"/>
      <c r="E35" s="460">
        <f t="shared" si="0"/>
        <v>0</v>
      </c>
      <c r="F35" s="462"/>
      <c r="G35" s="463">
        <f t="shared" si="1"/>
        <v>7</v>
      </c>
      <c r="H35" s="464">
        <f t="shared" si="2"/>
        <v>0</v>
      </c>
      <c r="I35" s="464">
        <f t="shared" si="3"/>
        <v>0</v>
      </c>
      <c r="J35" s="464">
        <f t="shared" si="4"/>
        <v>0</v>
      </c>
      <c r="K35" s="464">
        <f t="shared" si="5"/>
        <v>0</v>
      </c>
      <c r="L35" s="464">
        <f t="shared" si="6"/>
        <v>0</v>
      </c>
      <c r="M35" s="464">
        <f t="shared" si="7"/>
        <v>0</v>
      </c>
      <c r="N35" s="464">
        <f t="shared" si="8"/>
        <v>0</v>
      </c>
      <c r="O35" s="464">
        <f t="shared" si="9"/>
        <v>0</v>
      </c>
      <c r="P35" s="465">
        <f t="shared" si="11"/>
        <v>0</v>
      </c>
      <c r="R35" s="466"/>
    </row>
    <row r="36" spans="1:18" ht="15" customHeight="1" x14ac:dyDescent="0.2">
      <c r="A36" s="458">
        <v>4</v>
      </c>
      <c r="B36" s="459"/>
      <c r="C36" s="460">
        <f t="shared" si="10"/>
        <v>0</v>
      </c>
      <c r="D36" s="461"/>
      <c r="E36" s="460">
        <f t="shared" si="0"/>
        <v>0</v>
      </c>
      <c r="F36" s="462"/>
      <c r="G36" s="463">
        <f t="shared" si="1"/>
        <v>8</v>
      </c>
      <c r="H36" s="464">
        <f t="shared" si="2"/>
        <v>0</v>
      </c>
      <c r="I36" s="464">
        <f t="shared" si="3"/>
        <v>0</v>
      </c>
      <c r="J36" s="464">
        <f t="shared" si="4"/>
        <v>0</v>
      </c>
      <c r="K36" s="464">
        <f t="shared" si="5"/>
        <v>0</v>
      </c>
      <c r="L36" s="464">
        <f t="shared" si="6"/>
        <v>0</v>
      </c>
      <c r="M36" s="464">
        <f t="shared" si="7"/>
        <v>0</v>
      </c>
      <c r="N36" s="464">
        <f t="shared" si="8"/>
        <v>0</v>
      </c>
      <c r="O36" s="464">
        <f t="shared" si="9"/>
        <v>0</v>
      </c>
      <c r="P36" s="465">
        <f t="shared" si="11"/>
        <v>0</v>
      </c>
      <c r="R36" s="466"/>
    </row>
    <row r="37" spans="1:18" ht="15" customHeight="1" x14ac:dyDescent="0.2">
      <c r="A37" s="458">
        <v>4.5</v>
      </c>
      <c r="B37" s="459"/>
      <c r="C37" s="460">
        <f t="shared" si="10"/>
        <v>0</v>
      </c>
      <c r="D37" s="461"/>
      <c r="E37" s="460">
        <f t="shared" si="0"/>
        <v>0</v>
      </c>
      <c r="F37" s="462"/>
      <c r="G37" s="463">
        <f t="shared" si="1"/>
        <v>9</v>
      </c>
      <c r="H37" s="464">
        <f t="shared" si="2"/>
        <v>0</v>
      </c>
      <c r="I37" s="464">
        <f t="shared" si="3"/>
        <v>0</v>
      </c>
      <c r="J37" s="464">
        <f t="shared" si="4"/>
        <v>0</v>
      </c>
      <c r="K37" s="464">
        <f t="shared" si="5"/>
        <v>0</v>
      </c>
      <c r="L37" s="464">
        <f t="shared" si="6"/>
        <v>0</v>
      </c>
      <c r="M37" s="464">
        <f t="shared" si="7"/>
        <v>0</v>
      </c>
      <c r="N37" s="464">
        <f t="shared" si="8"/>
        <v>0</v>
      </c>
      <c r="O37" s="464">
        <f t="shared" si="9"/>
        <v>0</v>
      </c>
      <c r="P37" s="465">
        <f t="shared" si="11"/>
        <v>0</v>
      </c>
      <c r="R37" s="466"/>
    </row>
    <row r="38" spans="1:18" ht="15" customHeight="1" x14ac:dyDescent="0.2">
      <c r="A38" s="458">
        <v>5</v>
      </c>
      <c r="B38" s="459"/>
      <c r="C38" s="460">
        <f t="shared" si="10"/>
        <v>0</v>
      </c>
      <c r="D38" s="461"/>
      <c r="E38" s="460">
        <f t="shared" si="0"/>
        <v>0</v>
      </c>
      <c r="F38" s="462"/>
      <c r="G38" s="463">
        <f t="shared" si="1"/>
        <v>10</v>
      </c>
      <c r="H38" s="464">
        <f t="shared" si="2"/>
        <v>0</v>
      </c>
      <c r="I38" s="464">
        <f t="shared" si="3"/>
        <v>0</v>
      </c>
      <c r="J38" s="464">
        <f t="shared" si="4"/>
        <v>0</v>
      </c>
      <c r="K38" s="464">
        <f t="shared" si="5"/>
        <v>0</v>
      </c>
      <c r="L38" s="464">
        <f t="shared" si="6"/>
        <v>0</v>
      </c>
      <c r="M38" s="464">
        <f t="shared" si="7"/>
        <v>0</v>
      </c>
      <c r="N38" s="464">
        <f t="shared" si="8"/>
        <v>0</v>
      </c>
      <c r="O38" s="464">
        <f t="shared" si="9"/>
        <v>0</v>
      </c>
      <c r="P38" s="465">
        <f t="shared" si="11"/>
        <v>0</v>
      </c>
      <c r="R38" s="466"/>
    </row>
    <row r="39" spans="1:18" ht="15" customHeight="1" x14ac:dyDescent="0.2">
      <c r="A39" s="458">
        <v>6</v>
      </c>
      <c r="B39" s="459"/>
      <c r="C39" s="460">
        <f t="shared" si="10"/>
        <v>0</v>
      </c>
      <c r="D39" s="461"/>
      <c r="E39" s="460">
        <f t="shared" si="0"/>
        <v>0</v>
      </c>
      <c r="F39" s="462"/>
      <c r="G39" s="463">
        <f t="shared" si="1"/>
        <v>12</v>
      </c>
      <c r="H39" s="464">
        <f t="shared" si="2"/>
        <v>0</v>
      </c>
      <c r="I39" s="464">
        <f t="shared" ref="I39:I64" si="12">B*(E39/60)</f>
        <v>0</v>
      </c>
      <c r="J39" s="464">
        <f t="shared" ref="J39:J64" si="13">C_*(C39/60)</f>
        <v>0</v>
      </c>
      <c r="K39" s="464">
        <f t="shared" ref="K39:K64" si="14">D*(E39/60)</f>
        <v>0</v>
      </c>
      <c r="L39" s="464">
        <f t="shared" ref="L39:L64" si="15">E*(E39/60)</f>
        <v>0</v>
      </c>
      <c r="M39" s="464">
        <f t="shared" ref="M39:M64" si="16">+G39*F_</f>
        <v>0</v>
      </c>
      <c r="N39" s="464">
        <f t="shared" ref="N39:N64" si="17">Mano_Obra_Lavado*(E39/60)</f>
        <v>0</v>
      </c>
      <c r="O39" s="464">
        <f t="shared" ref="O39:O64" si="18">+G39*G</f>
        <v>0</v>
      </c>
      <c r="P39" s="465">
        <f t="shared" si="11"/>
        <v>0</v>
      </c>
      <c r="R39" s="466"/>
    </row>
    <row r="40" spans="1:18" ht="15" customHeight="1" x14ac:dyDescent="0.2">
      <c r="A40" s="458">
        <v>7</v>
      </c>
      <c r="B40" s="459"/>
      <c r="C40" s="460">
        <f t="shared" si="10"/>
        <v>0</v>
      </c>
      <c r="D40" s="461"/>
      <c r="E40" s="460">
        <f t="shared" si="0"/>
        <v>0</v>
      </c>
      <c r="F40" s="462"/>
      <c r="G40" s="463">
        <f t="shared" si="1"/>
        <v>14</v>
      </c>
      <c r="H40" s="464">
        <f t="shared" si="2"/>
        <v>0</v>
      </c>
      <c r="I40" s="464">
        <f t="shared" si="12"/>
        <v>0</v>
      </c>
      <c r="J40" s="464">
        <f t="shared" si="13"/>
        <v>0</v>
      </c>
      <c r="K40" s="464">
        <f t="shared" si="14"/>
        <v>0</v>
      </c>
      <c r="L40" s="464">
        <f t="shared" si="15"/>
        <v>0</v>
      </c>
      <c r="M40" s="464">
        <f t="shared" si="16"/>
        <v>0</v>
      </c>
      <c r="N40" s="464">
        <f t="shared" si="17"/>
        <v>0</v>
      </c>
      <c r="O40" s="464">
        <f t="shared" si="18"/>
        <v>0</v>
      </c>
      <c r="P40" s="465">
        <f t="shared" si="11"/>
        <v>0</v>
      </c>
      <c r="R40" s="466"/>
    </row>
    <row r="41" spans="1:18" ht="15" customHeight="1" x14ac:dyDescent="0.2">
      <c r="A41" s="458">
        <v>8</v>
      </c>
      <c r="B41" s="459"/>
      <c r="C41" s="460">
        <f t="shared" si="10"/>
        <v>0</v>
      </c>
      <c r="D41" s="461"/>
      <c r="E41" s="460">
        <f t="shared" si="0"/>
        <v>0</v>
      </c>
      <c r="F41" s="462"/>
      <c r="G41" s="463">
        <f t="shared" si="1"/>
        <v>16</v>
      </c>
      <c r="H41" s="464">
        <f t="shared" si="2"/>
        <v>0</v>
      </c>
      <c r="I41" s="464">
        <f t="shared" si="12"/>
        <v>0</v>
      </c>
      <c r="J41" s="464">
        <f t="shared" si="13"/>
        <v>0</v>
      </c>
      <c r="K41" s="464">
        <f t="shared" si="14"/>
        <v>0</v>
      </c>
      <c r="L41" s="464">
        <f t="shared" si="15"/>
        <v>0</v>
      </c>
      <c r="M41" s="464">
        <f t="shared" si="16"/>
        <v>0</v>
      </c>
      <c r="N41" s="464">
        <f t="shared" si="17"/>
        <v>0</v>
      </c>
      <c r="O41" s="464">
        <f t="shared" si="18"/>
        <v>0</v>
      </c>
      <c r="P41" s="465">
        <f t="shared" si="11"/>
        <v>0</v>
      </c>
      <c r="R41" s="466"/>
    </row>
    <row r="42" spans="1:18" ht="15" customHeight="1" x14ac:dyDescent="0.2">
      <c r="A42" s="458">
        <v>9</v>
      </c>
      <c r="B42" s="459"/>
      <c r="C42" s="460">
        <f t="shared" si="10"/>
        <v>0</v>
      </c>
      <c r="D42" s="461"/>
      <c r="E42" s="460">
        <f t="shared" si="0"/>
        <v>0</v>
      </c>
      <c r="F42" s="462"/>
      <c r="G42" s="463">
        <f t="shared" si="1"/>
        <v>18</v>
      </c>
      <c r="H42" s="464">
        <f t="shared" si="2"/>
        <v>0</v>
      </c>
      <c r="I42" s="464">
        <f t="shared" si="12"/>
        <v>0</v>
      </c>
      <c r="J42" s="464">
        <f t="shared" si="13"/>
        <v>0</v>
      </c>
      <c r="K42" s="464">
        <f t="shared" si="14"/>
        <v>0</v>
      </c>
      <c r="L42" s="464">
        <f t="shared" si="15"/>
        <v>0</v>
      </c>
      <c r="M42" s="464">
        <f t="shared" si="16"/>
        <v>0</v>
      </c>
      <c r="N42" s="464">
        <f t="shared" si="17"/>
        <v>0</v>
      </c>
      <c r="O42" s="464">
        <f t="shared" si="18"/>
        <v>0</v>
      </c>
      <c r="P42" s="465">
        <f t="shared" si="11"/>
        <v>0</v>
      </c>
      <c r="R42" s="466"/>
    </row>
    <row r="43" spans="1:18" ht="15" customHeight="1" x14ac:dyDescent="0.2">
      <c r="A43" s="458">
        <v>10</v>
      </c>
      <c r="B43" s="459"/>
      <c r="C43" s="460">
        <f t="shared" si="10"/>
        <v>0</v>
      </c>
      <c r="D43" s="461"/>
      <c r="E43" s="460">
        <f t="shared" si="0"/>
        <v>0</v>
      </c>
      <c r="F43" s="462"/>
      <c r="G43" s="463">
        <f t="shared" si="1"/>
        <v>20</v>
      </c>
      <c r="H43" s="464">
        <f t="shared" si="2"/>
        <v>0</v>
      </c>
      <c r="I43" s="464">
        <f t="shared" si="12"/>
        <v>0</v>
      </c>
      <c r="J43" s="464">
        <f t="shared" si="13"/>
        <v>0</v>
      </c>
      <c r="K43" s="464">
        <f t="shared" si="14"/>
        <v>0</v>
      </c>
      <c r="L43" s="464">
        <f t="shared" si="15"/>
        <v>0</v>
      </c>
      <c r="M43" s="464">
        <f t="shared" si="16"/>
        <v>0</v>
      </c>
      <c r="N43" s="464">
        <f t="shared" si="17"/>
        <v>0</v>
      </c>
      <c r="O43" s="464">
        <f t="shared" si="18"/>
        <v>0</v>
      </c>
      <c r="P43" s="465">
        <f t="shared" si="11"/>
        <v>0</v>
      </c>
      <c r="R43" s="466"/>
    </row>
    <row r="44" spans="1:18" ht="15" customHeight="1" x14ac:dyDescent="0.2">
      <c r="A44" s="458">
        <v>12</v>
      </c>
      <c r="B44" s="459"/>
      <c r="C44" s="460">
        <f t="shared" si="10"/>
        <v>0</v>
      </c>
      <c r="D44" s="461"/>
      <c r="E44" s="460">
        <f t="shared" si="0"/>
        <v>0</v>
      </c>
      <c r="F44" s="462"/>
      <c r="G44" s="463">
        <f t="shared" si="1"/>
        <v>24</v>
      </c>
      <c r="H44" s="464">
        <f t="shared" si="2"/>
        <v>0</v>
      </c>
      <c r="I44" s="464">
        <f t="shared" si="12"/>
        <v>0</v>
      </c>
      <c r="J44" s="464">
        <f t="shared" si="13"/>
        <v>0</v>
      </c>
      <c r="K44" s="464">
        <f t="shared" si="14"/>
        <v>0</v>
      </c>
      <c r="L44" s="464">
        <f t="shared" si="15"/>
        <v>0</v>
      </c>
      <c r="M44" s="464">
        <f t="shared" si="16"/>
        <v>0</v>
      </c>
      <c r="N44" s="464">
        <f t="shared" si="17"/>
        <v>0</v>
      </c>
      <c r="O44" s="464">
        <f t="shared" si="18"/>
        <v>0</v>
      </c>
      <c r="P44" s="465">
        <f t="shared" si="11"/>
        <v>0</v>
      </c>
      <c r="R44" s="466"/>
    </row>
    <row r="45" spans="1:18" ht="15" customHeight="1" x14ac:dyDescent="0.2">
      <c r="A45" s="458">
        <v>15</v>
      </c>
      <c r="B45" s="459"/>
      <c r="C45" s="460">
        <f t="shared" si="10"/>
        <v>0</v>
      </c>
      <c r="D45" s="461"/>
      <c r="E45" s="460">
        <f t="shared" si="0"/>
        <v>0</v>
      </c>
      <c r="F45" s="462"/>
      <c r="G45" s="463">
        <f t="shared" si="1"/>
        <v>30</v>
      </c>
      <c r="H45" s="464">
        <f t="shared" si="2"/>
        <v>0</v>
      </c>
      <c r="I45" s="464">
        <f t="shared" si="12"/>
        <v>0</v>
      </c>
      <c r="J45" s="464">
        <f t="shared" si="13"/>
        <v>0</v>
      </c>
      <c r="K45" s="464">
        <f t="shared" si="14"/>
        <v>0</v>
      </c>
      <c r="L45" s="464">
        <f t="shared" si="15"/>
        <v>0</v>
      </c>
      <c r="M45" s="464">
        <f t="shared" si="16"/>
        <v>0</v>
      </c>
      <c r="N45" s="464">
        <f t="shared" si="17"/>
        <v>0</v>
      </c>
      <c r="O45" s="464">
        <f t="shared" si="18"/>
        <v>0</v>
      </c>
      <c r="P45" s="465">
        <f t="shared" si="11"/>
        <v>0</v>
      </c>
      <c r="R45" s="466"/>
    </row>
    <row r="46" spans="1:18" ht="15" customHeight="1" x14ac:dyDescent="0.2">
      <c r="A46" s="458">
        <v>17</v>
      </c>
      <c r="B46" s="459"/>
      <c r="C46" s="460">
        <f t="shared" si="10"/>
        <v>0</v>
      </c>
      <c r="D46" s="461"/>
      <c r="E46" s="460">
        <f t="shared" si="0"/>
        <v>0</v>
      </c>
      <c r="F46" s="462"/>
      <c r="G46" s="463">
        <f t="shared" si="1"/>
        <v>34</v>
      </c>
      <c r="H46" s="464">
        <f t="shared" si="2"/>
        <v>0</v>
      </c>
      <c r="I46" s="464">
        <f t="shared" si="12"/>
        <v>0</v>
      </c>
      <c r="J46" s="464">
        <f t="shared" si="13"/>
        <v>0</v>
      </c>
      <c r="K46" s="464">
        <f t="shared" si="14"/>
        <v>0</v>
      </c>
      <c r="L46" s="464">
        <f t="shared" si="15"/>
        <v>0</v>
      </c>
      <c r="M46" s="464">
        <f t="shared" si="16"/>
        <v>0</v>
      </c>
      <c r="N46" s="464">
        <f t="shared" si="17"/>
        <v>0</v>
      </c>
      <c r="O46" s="464">
        <f t="shared" si="18"/>
        <v>0</v>
      </c>
      <c r="P46" s="465">
        <f t="shared" si="11"/>
        <v>0</v>
      </c>
      <c r="R46" s="466"/>
    </row>
    <row r="47" spans="1:18" ht="15" customHeight="1" x14ac:dyDescent="0.2">
      <c r="A47" s="458">
        <v>19</v>
      </c>
      <c r="B47" s="459"/>
      <c r="C47" s="460">
        <f t="shared" si="10"/>
        <v>0</v>
      </c>
      <c r="D47" s="461"/>
      <c r="E47" s="460">
        <f t="shared" si="0"/>
        <v>0</v>
      </c>
      <c r="F47" s="462"/>
      <c r="G47" s="463">
        <f t="shared" si="1"/>
        <v>38</v>
      </c>
      <c r="H47" s="464">
        <f t="shared" si="2"/>
        <v>0</v>
      </c>
      <c r="I47" s="464">
        <f t="shared" si="12"/>
        <v>0</v>
      </c>
      <c r="J47" s="464">
        <f t="shared" si="13"/>
        <v>0</v>
      </c>
      <c r="K47" s="464">
        <f t="shared" si="14"/>
        <v>0</v>
      </c>
      <c r="L47" s="464">
        <f t="shared" si="15"/>
        <v>0</v>
      </c>
      <c r="M47" s="464">
        <f t="shared" si="16"/>
        <v>0</v>
      </c>
      <c r="N47" s="464">
        <f t="shared" si="17"/>
        <v>0</v>
      </c>
      <c r="O47" s="464">
        <f t="shared" si="18"/>
        <v>0</v>
      </c>
      <c r="P47" s="465">
        <f t="shared" si="11"/>
        <v>0</v>
      </c>
      <c r="R47" s="466"/>
    </row>
    <row r="48" spans="1:18" ht="15" customHeight="1" x14ac:dyDescent="0.2">
      <c r="A48" s="458">
        <v>20</v>
      </c>
      <c r="B48" s="459"/>
      <c r="C48" s="460">
        <f t="shared" si="10"/>
        <v>0</v>
      </c>
      <c r="D48" s="461"/>
      <c r="E48" s="460">
        <f t="shared" si="0"/>
        <v>0</v>
      </c>
      <c r="F48" s="462"/>
      <c r="G48" s="463">
        <f t="shared" si="1"/>
        <v>40</v>
      </c>
      <c r="H48" s="464">
        <f t="shared" si="2"/>
        <v>0</v>
      </c>
      <c r="I48" s="464">
        <f t="shared" si="12"/>
        <v>0</v>
      </c>
      <c r="J48" s="464">
        <f t="shared" si="13"/>
        <v>0</v>
      </c>
      <c r="K48" s="464">
        <f t="shared" si="14"/>
        <v>0</v>
      </c>
      <c r="L48" s="464">
        <f t="shared" si="15"/>
        <v>0</v>
      </c>
      <c r="M48" s="464">
        <f t="shared" si="16"/>
        <v>0</v>
      </c>
      <c r="N48" s="464">
        <f t="shared" si="17"/>
        <v>0</v>
      </c>
      <c r="O48" s="464">
        <f t="shared" si="18"/>
        <v>0</v>
      </c>
      <c r="P48" s="465">
        <f t="shared" si="11"/>
        <v>0</v>
      </c>
      <c r="R48" s="466"/>
    </row>
    <row r="49" spans="1:18" ht="15" customHeight="1" x14ac:dyDescent="0.2">
      <c r="A49" s="458">
        <v>25</v>
      </c>
      <c r="B49" s="459"/>
      <c r="C49" s="460">
        <f t="shared" si="10"/>
        <v>0</v>
      </c>
      <c r="D49" s="461"/>
      <c r="E49" s="460">
        <f t="shared" si="0"/>
        <v>0</v>
      </c>
      <c r="F49" s="462"/>
      <c r="G49" s="463">
        <f t="shared" si="1"/>
        <v>50</v>
      </c>
      <c r="H49" s="464">
        <f t="shared" si="2"/>
        <v>0</v>
      </c>
      <c r="I49" s="464">
        <f t="shared" si="12"/>
        <v>0</v>
      </c>
      <c r="J49" s="464">
        <f t="shared" si="13"/>
        <v>0</v>
      </c>
      <c r="K49" s="464">
        <f t="shared" si="14"/>
        <v>0</v>
      </c>
      <c r="L49" s="464">
        <f t="shared" si="15"/>
        <v>0</v>
      </c>
      <c r="M49" s="464">
        <f t="shared" si="16"/>
        <v>0</v>
      </c>
      <c r="N49" s="464">
        <f t="shared" si="17"/>
        <v>0</v>
      </c>
      <c r="O49" s="464">
        <f t="shared" si="18"/>
        <v>0</v>
      </c>
      <c r="P49" s="465">
        <f t="shared" si="11"/>
        <v>0</v>
      </c>
      <c r="R49" s="466"/>
    </row>
    <row r="50" spans="1:18" ht="15" customHeight="1" x14ac:dyDescent="0.2">
      <c r="A50" s="458">
        <v>30</v>
      </c>
      <c r="B50" s="459"/>
      <c r="C50" s="460">
        <f t="shared" si="10"/>
        <v>0</v>
      </c>
      <c r="D50" s="461"/>
      <c r="E50" s="460">
        <f t="shared" si="0"/>
        <v>0</v>
      </c>
      <c r="F50" s="462"/>
      <c r="G50" s="463">
        <f t="shared" si="1"/>
        <v>60</v>
      </c>
      <c r="H50" s="464">
        <f t="shared" si="2"/>
        <v>0</v>
      </c>
      <c r="I50" s="464">
        <f t="shared" si="12"/>
        <v>0</v>
      </c>
      <c r="J50" s="464">
        <f t="shared" si="13"/>
        <v>0</v>
      </c>
      <c r="K50" s="464">
        <f t="shared" si="14"/>
        <v>0</v>
      </c>
      <c r="L50" s="464">
        <f t="shared" si="15"/>
        <v>0</v>
      </c>
      <c r="M50" s="464">
        <f t="shared" si="16"/>
        <v>0</v>
      </c>
      <c r="N50" s="464">
        <f t="shared" si="17"/>
        <v>0</v>
      </c>
      <c r="O50" s="464">
        <f t="shared" si="18"/>
        <v>0</v>
      </c>
      <c r="P50" s="465">
        <f t="shared" si="11"/>
        <v>0</v>
      </c>
      <c r="R50" s="466"/>
    </row>
    <row r="51" spans="1:18" ht="15" customHeight="1" x14ac:dyDescent="0.2">
      <c r="A51" s="458">
        <v>35</v>
      </c>
      <c r="B51" s="459"/>
      <c r="C51" s="460">
        <f t="shared" si="10"/>
        <v>0</v>
      </c>
      <c r="D51" s="461"/>
      <c r="E51" s="460">
        <f t="shared" si="0"/>
        <v>0</v>
      </c>
      <c r="F51" s="462"/>
      <c r="G51" s="463">
        <f t="shared" si="1"/>
        <v>70</v>
      </c>
      <c r="H51" s="464">
        <f t="shared" si="2"/>
        <v>0</v>
      </c>
      <c r="I51" s="464">
        <f t="shared" si="12"/>
        <v>0</v>
      </c>
      <c r="J51" s="464">
        <f t="shared" si="13"/>
        <v>0</v>
      </c>
      <c r="K51" s="464">
        <f t="shared" si="14"/>
        <v>0</v>
      </c>
      <c r="L51" s="464">
        <f t="shared" si="15"/>
        <v>0</v>
      </c>
      <c r="M51" s="464">
        <f t="shared" si="16"/>
        <v>0</v>
      </c>
      <c r="N51" s="464">
        <f t="shared" si="17"/>
        <v>0</v>
      </c>
      <c r="O51" s="464">
        <f t="shared" si="18"/>
        <v>0</v>
      </c>
      <c r="P51" s="465">
        <f t="shared" si="11"/>
        <v>0</v>
      </c>
      <c r="R51" s="466"/>
    </row>
    <row r="52" spans="1:18" ht="15" customHeight="1" x14ac:dyDescent="0.2">
      <c r="A52" s="458">
        <v>40</v>
      </c>
      <c r="B52" s="459"/>
      <c r="C52" s="460">
        <f t="shared" si="10"/>
        <v>0</v>
      </c>
      <c r="D52" s="461"/>
      <c r="E52" s="460">
        <f t="shared" si="0"/>
        <v>0</v>
      </c>
      <c r="F52" s="462"/>
      <c r="G52" s="463">
        <f t="shared" si="1"/>
        <v>80</v>
      </c>
      <c r="H52" s="464">
        <f t="shared" si="2"/>
        <v>0</v>
      </c>
      <c r="I52" s="464">
        <f t="shared" si="12"/>
        <v>0</v>
      </c>
      <c r="J52" s="464">
        <f t="shared" si="13"/>
        <v>0</v>
      </c>
      <c r="K52" s="464">
        <f t="shared" si="14"/>
        <v>0</v>
      </c>
      <c r="L52" s="464">
        <f t="shared" si="15"/>
        <v>0</v>
      </c>
      <c r="M52" s="464">
        <f t="shared" si="16"/>
        <v>0</v>
      </c>
      <c r="N52" s="464">
        <f t="shared" si="17"/>
        <v>0</v>
      </c>
      <c r="O52" s="464">
        <f t="shared" si="18"/>
        <v>0</v>
      </c>
      <c r="P52" s="465">
        <f t="shared" si="11"/>
        <v>0</v>
      </c>
      <c r="R52" s="466"/>
    </row>
    <row r="53" spans="1:18" ht="15" customHeight="1" x14ac:dyDescent="0.2">
      <c r="A53" s="458">
        <v>45</v>
      </c>
      <c r="B53" s="459"/>
      <c r="C53" s="460">
        <f t="shared" si="10"/>
        <v>0</v>
      </c>
      <c r="D53" s="461"/>
      <c r="E53" s="460">
        <f t="shared" si="0"/>
        <v>0</v>
      </c>
      <c r="F53" s="462"/>
      <c r="G53" s="463">
        <f t="shared" si="1"/>
        <v>90</v>
      </c>
      <c r="H53" s="464">
        <f t="shared" si="2"/>
        <v>0</v>
      </c>
      <c r="I53" s="464">
        <f t="shared" si="12"/>
        <v>0</v>
      </c>
      <c r="J53" s="464">
        <f t="shared" si="13"/>
        <v>0</v>
      </c>
      <c r="K53" s="464">
        <f t="shared" si="14"/>
        <v>0</v>
      </c>
      <c r="L53" s="464">
        <f t="shared" si="15"/>
        <v>0</v>
      </c>
      <c r="M53" s="464">
        <f t="shared" si="16"/>
        <v>0</v>
      </c>
      <c r="N53" s="464">
        <f t="shared" si="17"/>
        <v>0</v>
      </c>
      <c r="O53" s="464">
        <f t="shared" si="18"/>
        <v>0</v>
      </c>
      <c r="P53" s="465">
        <f t="shared" si="11"/>
        <v>0</v>
      </c>
      <c r="R53" s="466"/>
    </row>
    <row r="54" spans="1:18" ht="15" customHeight="1" x14ac:dyDescent="0.2">
      <c r="A54" s="458">
        <v>50</v>
      </c>
      <c r="B54" s="459"/>
      <c r="C54" s="460">
        <f t="shared" si="10"/>
        <v>0</v>
      </c>
      <c r="D54" s="461"/>
      <c r="E54" s="460">
        <f t="shared" si="0"/>
        <v>0</v>
      </c>
      <c r="F54" s="462"/>
      <c r="G54" s="463">
        <f t="shared" si="1"/>
        <v>100</v>
      </c>
      <c r="H54" s="464">
        <f t="shared" si="2"/>
        <v>0</v>
      </c>
      <c r="I54" s="464">
        <f t="shared" si="12"/>
        <v>0</v>
      </c>
      <c r="J54" s="464">
        <f t="shared" si="13"/>
        <v>0</v>
      </c>
      <c r="K54" s="464">
        <f t="shared" si="14"/>
        <v>0</v>
      </c>
      <c r="L54" s="464">
        <f t="shared" si="15"/>
        <v>0</v>
      </c>
      <c r="M54" s="464">
        <f t="shared" si="16"/>
        <v>0</v>
      </c>
      <c r="N54" s="464">
        <f t="shared" si="17"/>
        <v>0</v>
      </c>
      <c r="O54" s="464">
        <f t="shared" si="18"/>
        <v>0</v>
      </c>
      <c r="P54" s="465">
        <f t="shared" si="11"/>
        <v>0</v>
      </c>
      <c r="R54" s="466"/>
    </row>
    <row r="55" spans="1:18" ht="15" customHeight="1" x14ac:dyDescent="0.2">
      <c r="A55" s="458">
        <v>55</v>
      </c>
      <c r="B55" s="459"/>
      <c r="C55" s="460">
        <f t="shared" si="10"/>
        <v>0</v>
      </c>
      <c r="D55" s="461"/>
      <c r="E55" s="460">
        <f t="shared" si="0"/>
        <v>0</v>
      </c>
      <c r="F55" s="462"/>
      <c r="G55" s="463">
        <f t="shared" si="1"/>
        <v>110</v>
      </c>
      <c r="H55" s="464">
        <f t="shared" si="2"/>
        <v>0</v>
      </c>
      <c r="I55" s="464">
        <f t="shared" si="12"/>
        <v>0</v>
      </c>
      <c r="J55" s="464">
        <f t="shared" si="13"/>
        <v>0</v>
      </c>
      <c r="K55" s="464">
        <f t="shared" si="14"/>
        <v>0</v>
      </c>
      <c r="L55" s="464">
        <f t="shared" si="15"/>
        <v>0</v>
      </c>
      <c r="M55" s="464">
        <f t="shared" si="16"/>
        <v>0</v>
      </c>
      <c r="N55" s="464">
        <f t="shared" si="17"/>
        <v>0</v>
      </c>
      <c r="O55" s="464">
        <f t="shared" si="18"/>
        <v>0</v>
      </c>
      <c r="P55" s="465">
        <f t="shared" si="11"/>
        <v>0</v>
      </c>
      <c r="R55" s="466"/>
    </row>
    <row r="56" spans="1:18" ht="15" customHeight="1" x14ac:dyDescent="0.2">
      <c r="A56" s="458">
        <v>60</v>
      </c>
      <c r="B56" s="459"/>
      <c r="C56" s="460">
        <f t="shared" si="10"/>
        <v>0</v>
      </c>
      <c r="D56" s="461"/>
      <c r="E56" s="460">
        <f t="shared" si="0"/>
        <v>0</v>
      </c>
      <c r="F56" s="462"/>
      <c r="G56" s="463">
        <f t="shared" si="1"/>
        <v>120</v>
      </c>
      <c r="H56" s="464">
        <f t="shared" si="2"/>
        <v>0</v>
      </c>
      <c r="I56" s="464">
        <f t="shared" si="12"/>
        <v>0</v>
      </c>
      <c r="J56" s="464">
        <f t="shared" si="13"/>
        <v>0</v>
      </c>
      <c r="K56" s="464">
        <f t="shared" si="14"/>
        <v>0</v>
      </c>
      <c r="L56" s="464">
        <f t="shared" si="15"/>
        <v>0</v>
      </c>
      <c r="M56" s="464">
        <f t="shared" si="16"/>
        <v>0</v>
      </c>
      <c r="N56" s="464">
        <f t="shared" si="17"/>
        <v>0</v>
      </c>
      <c r="O56" s="464">
        <f t="shared" si="18"/>
        <v>0</v>
      </c>
      <c r="P56" s="465">
        <f t="shared" si="11"/>
        <v>0</v>
      </c>
      <c r="R56" s="466"/>
    </row>
    <row r="57" spans="1:18" ht="15" customHeight="1" x14ac:dyDescent="0.2">
      <c r="A57" s="458">
        <v>65</v>
      </c>
      <c r="B57" s="459"/>
      <c r="C57" s="460">
        <f t="shared" si="10"/>
        <v>0</v>
      </c>
      <c r="D57" s="461"/>
      <c r="E57" s="460">
        <f t="shared" si="0"/>
        <v>0</v>
      </c>
      <c r="F57" s="462"/>
      <c r="G57" s="463">
        <f t="shared" si="1"/>
        <v>130</v>
      </c>
      <c r="H57" s="464">
        <f t="shared" si="2"/>
        <v>0</v>
      </c>
      <c r="I57" s="464">
        <f t="shared" si="12"/>
        <v>0</v>
      </c>
      <c r="J57" s="464">
        <f t="shared" si="13"/>
        <v>0</v>
      </c>
      <c r="K57" s="464">
        <f t="shared" si="14"/>
        <v>0</v>
      </c>
      <c r="L57" s="464">
        <f t="shared" si="15"/>
        <v>0</v>
      </c>
      <c r="M57" s="464">
        <f t="shared" si="16"/>
        <v>0</v>
      </c>
      <c r="N57" s="464">
        <f t="shared" si="17"/>
        <v>0</v>
      </c>
      <c r="O57" s="464">
        <f t="shared" si="18"/>
        <v>0</v>
      </c>
      <c r="P57" s="465">
        <f t="shared" si="11"/>
        <v>0</v>
      </c>
      <c r="R57" s="466"/>
    </row>
    <row r="58" spans="1:18" ht="15" customHeight="1" x14ac:dyDescent="0.2">
      <c r="A58" s="458">
        <v>70</v>
      </c>
      <c r="B58" s="459"/>
      <c r="C58" s="460">
        <f t="shared" si="10"/>
        <v>0</v>
      </c>
      <c r="D58" s="461"/>
      <c r="E58" s="460">
        <f t="shared" si="0"/>
        <v>0</v>
      </c>
      <c r="F58" s="462"/>
      <c r="G58" s="463">
        <f t="shared" si="1"/>
        <v>140</v>
      </c>
      <c r="H58" s="464">
        <f t="shared" si="2"/>
        <v>0</v>
      </c>
      <c r="I58" s="464">
        <f t="shared" si="12"/>
        <v>0</v>
      </c>
      <c r="J58" s="464">
        <f t="shared" si="13"/>
        <v>0</v>
      </c>
      <c r="K58" s="464">
        <f t="shared" si="14"/>
        <v>0</v>
      </c>
      <c r="L58" s="464">
        <f t="shared" si="15"/>
        <v>0</v>
      </c>
      <c r="M58" s="464">
        <f t="shared" si="16"/>
        <v>0</v>
      </c>
      <c r="N58" s="464">
        <f t="shared" si="17"/>
        <v>0</v>
      </c>
      <c r="O58" s="464">
        <f t="shared" si="18"/>
        <v>0</v>
      </c>
      <c r="P58" s="465">
        <f t="shared" si="11"/>
        <v>0</v>
      </c>
      <c r="R58" s="466"/>
    </row>
    <row r="59" spans="1:18" ht="15" customHeight="1" x14ac:dyDescent="0.2">
      <c r="A59" s="458">
        <v>75</v>
      </c>
      <c r="B59" s="459"/>
      <c r="C59" s="460">
        <f t="shared" si="10"/>
        <v>0</v>
      </c>
      <c r="D59" s="461"/>
      <c r="E59" s="460">
        <f t="shared" si="0"/>
        <v>0</v>
      </c>
      <c r="F59" s="462"/>
      <c r="G59" s="463">
        <f t="shared" si="1"/>
        <v>150</v>
      </c>
      <c r="H59" s="464">
        <f t="shared" si="2"/>
        <v>0</v>
      </c>
      <c r="I59" s="464">
        <f t="shared" si="12"/>
        <v>0</v>
      </c>
      <c r="J59" s="464">
        <f t="shared" si="13"/>
        <v>0</v>
      </c>
      <c r="K59" s="464">
        <f t="shared" si="14"/>
        <v>0</v>
      </c>
      <c r="L59" s="464">
        <f t="shared" si="15"/>
        <v>0</v>
      </c>
      <c r="M59" s="464">
        <f t="shared" si="16"/>
        <v>0</v>
      </c>
      <c r="N59" s="464">
        <f t="shared" si="17"/>
        <v>0</v>
      </c>
      <c r="O59" s="464">
        <f t="shared" si="18"/>
        <v>0</v>
      </c>
      <c r="P59" s="465">
        <f t="shared" si="11"/>
        <v>0</v>
      </c>
      <c r="R59" s="466"/>
    </row>
    <row r="60" spans="1:18" ht="15" customHeight="1" x14ac:dyDescent="0.2">
      <c r="A60" s="458">
        <v>80</v>
      </c>
      <c r="B60" s="459"/>
      <c r="C60" s="460">
        <f t="shared" si="10"/>
        <v>0</v>
      </c>
      <c r="D60" s="461"/>
      <c r="E60" s="460">
        <f t="shared" si="0"/>
        <v>0</v>
      </c>
      <c r="F60" s="462"/>
      <c r="G60" s="463">
        <f t="shared" si="1"/>
        <v>160</v>
      </c>
      <c r="H60" s="464">
        <f t="shared" si="2"/>
        <v>0</v>
      </c>
      <c r="I60" s="464">
        <f t="shared" si="12"/>
        <v>0</v>
      </c>
      <c r="J60" s="464">
        <f t="shared" si="13"/>
        <v>0</v>
      </c>
      <c r="K60" s="464">
        <f t="shared" si="14"/>
        <v>0</v>
      </c>
      <c r="L60" s="464">
        <f t="shared" si="15"/>
        <v>0</v>
      </c>
      <c r="M60" s="464">
        <f t="shared" si="16"/>
        <v>0</v>
      </c>
      <c r="N60" s="464">
        <f t="shared" si="17"/>
        <v>0</v>
      </c>
      <c r="O60" s="464">
        <f t="shared" si="18"/>
        <v>0</v>
      </c>
      <c r="P60" s="465">
        <f t="shared" si="11"/>
        <v>0</v>
      </c>
      <c r="R60" s="466"/>
    </row>
    <row r="61" spans="1:18" ht="15" customHeight="1" x14ac:dyDescent="0.2">
      <c r="A61" s="458">
        <v>85</v>
      </c>
      <c r="B61" s="459"/>
      <c r="C61" s="460">
        <f t="shared" si="10"/>
        <v>0</v>
      </c>
      <c r="D61" s="461"/>
      <c r="E61" s="460">
        <f t="shared" si="0"/>
        <v>0</v>
      </c>
      <c r="F61" s="462"/>
      <c r="G61" s="463">
        <f t="shared" si="1"/>
        <v>170</v>
      </c>
      <c r="H61" s="464">
        <f t="shared" si="2"/>
        <v>0</v>
      </c>
      <c r="I61" s="464">
        <f t="shared" si="12"/>
        <v>0</v>
      </c>
      <c r="J61" s="464">
        <f t="shared" si="13"/>
        <v>0</v>
      </c>
      <c r="K61" s="464">
        <f t="shared" si="14"/>
        <v>0</v>
      </c>
      <c r="L61" s="464">
        <f t="shared" si="15"/>
        <v>0</v>
      </c>
      <c r="M61" s="464">
        <f t="shared" si="16"/>
        <v>0</v>
      </c>
      <c r="N61" s="464">
        <f t="shared" si="17"/>
        <v>0</v>
      </c>
      <c r="O61" s="464">
        <f t="shared" si="18"/>
        <v>0</v>
      </c>
      <c r="P61" s="465">
        <f t="shared" si="11"/>
        <v>0</v>
      </c>
      <c r="R61" s="466"/>
    </row>
    <row r="62" spans="1:18" ht="15" customHeight="1" x14ac:dyDescent="0.2">
      <c r="A62" s="458">
        <v>90</v>
      </c>
      <c r="B62" s="459"/>
      <c r="C62" s="460">
        <f t="shared" si="10"/>
        <v>0</v>
      </c>
      <c r="D62" s="461"/>
      <c r="E62" s="460">
        <f t="shared" si="0"/>
        <v>0</v>
      </c>
      <c r="F62" s="462"/>
      <c r="G62" s="463">
        <f t="shared" si="1"/>
        <v>180</v>
      </c>
      <c r="H62" s="464">
        <f t="shared" si="2"/>
        <v>0</v>
      </c>
      <c r="I62" s="464">
        <f t="shared" si="12"/>
        <v>0</v>
      </c>
      <c r="J62" s="464">
        <f t="shared" si="13"/>
        <v>0</v>
      </c>
      <c r="K62" s="464">
        <f t="shared" si="14"/>
        <v>0</v>
      </c>
      <c r="L62" s="464">
        <f t="shared" si="15"/>
        <v>0</v>
      </c>
      <c r="M62" s="464">
        <f t="shared" si="16"/>
        <v>0</v>
      </c>
      <c r="N62" s="464">
        <f t="shared" si="17"/>
        <v>0</v>
      </c>
      <c r="O62" s="464">
        <f t="shared" si="18"/>
        <v>0</v>
      </c>
      <c r="P62" s="465">
        <f t="shared" si="11"/>
        <v>0</v>
      </c>
      <c r="R62" s="466"/>
    </row>
    <row r="63" spans="1:18" ht="15" customHeight="1" x14ac:dyDescent="0.2">
      <c r="A63" s="458">
        <v>95</v>
      </c>
      <c r="B63" s="459"/>
      <c r="C63" s="460">
        <f t="shared" si="10"/>
        <v>0</v>
      </c>
      <c r="D63" s="461"/>
      <c r="E63" s="460">
        <f t="shared" si="0"/>
        <v>0</v>
      </c>
      <c r="F63" s="462"/>
      <c r="G63" s="463">
        <f t="shared" si="1"/>
        <v>190</v>
      </c>
      <c r="H63" s="464">
        <f t="shared" si="2"/>
        <v>0</v>
      </c>
      <c r="I63" s="464">
        <f t="shared" si="12"/>
        <v>0</v>
      </c>
      <c r="J63" s="464">
        <f t="shared" si="13"/>
        <v>0</v>
      </c>
      <c r="K63" s="464">
        <f t="shared" si="14"/>
        <v>0</v>
      </c>
      <c r="L63" s="464">
        <f t="shared" si="15"/>
        <v>0</v>
      </c>
      <c r="M63" s="464">
        <f t="shared" si="16"/>
        <v>0</v>
      </c>
      <c r="N63" s="464">
        <f t="shared" si="17"/>
        <v>0</v>
      </c>
      <c r="O63" s="464">
        <f t="shared" si="18"/>
        <v>0</v>
      </c>
      <c r="P63" s="465">
        <f t="shared" si="11"/>
        <v>0</v>
      </c>
      <c r="R63" s="466"/>
    </row>
    <row r="64" spans="1:18" ht="15" customHeight="1" x14ac:dyDescent="0.2">
      <c r="A64" s="458">
        <v>100</v>
      </c>
      <c r="B64" s="459"/>
      <c r="C64" s="460">
        <f t="shared" si="10"/>
        <v>0</v>
      </c>
      <c r="D64" s="461"/>
      <c r="E64" s="460">
        <f t="shared" si="0"/>
        <v>0</v>
      </c>
      <c r="F64" s="462"/>
      <c r="G64" s="463">
        <f t="shared" si="1"/>
        <v>200</v>
      </c>
      <c r="H64" s="464">
        <f t="shared" si="2"/>
        <v>0</v>
      </c>
      <c r="I64" s="464">
        <f t="shared" si="12"/>
        <v>0</v>
      </c>
      <c r="J64" s="464">
        <f t="shared" si="13"/>
        <v>0</v>
      </c>
      <c r="K64" s="464">
        <f t="shared" si="14"/>
        <v>0</v>
      </c>
      <c r="L64" s="464">
        <f t="shared" si="15"/>
        <v>0</v>
      </c>
      <c r="M64" s="464">
        <f t="shared" si="16"/>
        <v>0</v>
      </c>
      <c r="N64" s="464">
        <f t="shared" si="17"/>
        <v>0</v>
      </c>
      <c r="O64" s="464">
        <f t="shared" si="18"/>
        <v>0</v>
      </c>
      <c r="P64" s="465">
        <f t="shared" si="11"/>
        <v>0</v>
      </c>
      <c r="R64" s="46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2" customWidth="1"/>
    <col min="2" max="4" width="10.7109375" style="432" customWidth="1"/>
    <col min="5" max="5" width="13.85546875" style="432" bestFit="1" customWidth="1"/>
    <col min="6" max="6" width="10.7109375" style="432" customWidth="1"/>
    <col min="7" max="7" width="9.42578125" style="432" customWidth="1"/>
    <col min="8" max="8" width="10.5703125" style="432" customWidth="1"/>
    <col min="9" max="9" width="13.7109375" style="432" customWidth="1"/>
    <col min="10" max="11" width="10.42578125" style="432" customWidth="1"/>
    <col min="12" max="12" width="10.28515625" style="432" customWidth="1"/>
    <col min="13" max="13" width="9.42578125" style="432" customWidth="1"/>
    <col min="14" max="14" width="8.7109375" style="432" customWidth="1"/>
    <col min="15" max="15" width="13.28515625" style="432" bestFit="1"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753" t="s">
        <v>1708</v>
      </c>
      <c r="B1" s="753"/>
      <c r="C1" s="753"/>
      <c r="D1" s="753"/>
      <c r="E1" s="753"/>
      <c r="F1" s="753"/>
      <c r="G1" s="753"/>
      <c r="H1" s="753"/>
      <c r="I1" s="753"/>
      <c r="J1" s="753"/>
      <c r="K1" s="753"/>
      <c r="L1" s="753"/>
      <c r="M1" s="753"/>
      <c r="N1" s="753"/>
      <c r="O1" s="753"/>
      <c r="P1" s="753"/>
    </row>
    <row r="2" spans="1:21" ht="15" customHeight="1" x14ac:dyDescent="0.2">
      <c r="A2" s="753" t="s">
        <v>1780</v>
      </c>
      <c r="B2" s="753"/>
      <c r="C2" s="753"/>
      <c r="D2" s="753"/>
      <c r="E2" s="753"/>
      <c r="F2" s="753" t="s">
        <v>1710</v>
      </c>
      <c r="G2" s="753"/>
      <c r="H2" s="753"/>
      <c r="I2" s="753"/>
      <c r="J2" s="753"/>
      <c r="K2" s="753"/>
      <c r="L2" s="753"/>
      <c r="M2" s="753"/>
      <c r="N2" s="753"/>
      <c r="O2" s="753"/>
      <c r="P2" s="753"/>
    </row>
    <row r="3" spans="1:21" ht="15" customHeight="1" x14ac:dyDescent="0.2">
      <c r="E3" s="433"/>
    </row>
    <row r="4" spans="1:21" ht="15" customHeight="1" x14ac:dyDescent="0.25">
      <c r="A4" s="754" t="s">
        <v>1711</v>
      </c>
      <c r="B4" s="754"/>
      <c r="C4" s="754"/>
      <c r="D4" s="754"/>
      <c r="E4" s="754"/>
      <c r="F4" s="433"/>
      <c r="K4" s="433"/>
      <c r="N4" s="433" t="s">
        <v>1712</v>
      </c>
      <c r="O4" s="434">
        <f>IF(HorasAmortizaciónEquipoCamión=0,0,ROUND(Valor_CamiónAcoplado*PorcentajeEquipoAmortizarCamión/HorasAmortizaciónEquipoCamión,3))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769" t="s">
        <v>1713</v>
      </c>
      <c r="B7" s="769"/>
      <c r="C7" s="769"/>
      <c r="D7" s="769"/>
      <c r="E7" s="493"/>
      <c r="F7" s="433"/>
      <c r="G7" s="437"/>
      <c r="H7" s="435"/>
      <c r="I7" s="755"/>
      <c r="J7" s="438"/>
      <c r="K7" s="439"/>
      <c r="N7" s="433" t="s">
        <v>1714</v>
      </c>
      <c r="O7" s="434">
        <f>ROUND(Valor_CamiónAcoplado*E10/4000,3)</f>
        <v>0</v>
      </c>
      <c r="Q7" s="437"/>
      <c r="R7" s="440"/>
      <c r="S7" s="756"/>
      <c r="T7" s="441"/>
      <c r="U7" s="438"/>
    </row>
    <row r="8" spans="1:21" ht="15" customHeight="1" x14ac:dyDescent="0.2">
      <c r="A8" s="769" t="s">
        <v>1715</v>
      </c>
      <c r="B8" s="769"/>
      <c r="C8" s="769"/>
      <c r="D8" s="769"/>
      <c r="E8" s="494"/>
      <c r="F8" s="433"/>
      <c r="G8" s="757"/>
      <c r="H8" s="757"/>
      <c r="I8" s="755"/>
      <c r="K8" s="433"/>
      <c r="O8" s="436"/>
      <c r="Q8" s="757"/>
      <c r="R8" s="757"/>
      <c r="S8" s="756"/>
      <c r="T8" s="435"/>
      <c r="U8" s="435"/>
    </row>
    <row r="9" spans="1:21" ht="15" customHeight="1" x14ac:dyDescent="0.2">
      <c r="A9" s="769" t="s">
        <v>1716</v>
      </c>
      <c r="B9" s="769"/>
      <c r="C9" s="769"/>
      <c r="D9" s="769"/>
      <c r="E9" s="495"/>
      <c r="F9" s="433"/>
      <c r="K9" s="433"/>
      <c r="O9" s="436"/>
    </row>
    <row r="10" spans="1:21" ht="15" customHeight="1" x14ac:dyDescent="0.2">
      <c r="A10" s="769" t="s">
        <v>1717</v>
      </c>
      <c r="B10" s="769"/>
      <c r="C10" s="769"/>
      <c r="D10" s="769"/>
      <c r="E10" s="495"/>
      <c r="F10" s="433"/>
      <c r="K10" s="433"/>
      <c r="N10" s="433" t="s">
        <v>1718</v>
      </c>
      <c r="O10" s="434">
        <f>ROUND(O4*Porcentaje_Reparaciones_Repuestos,3)</f>
        <v>0</v>
      </c>
      <c r="Q10" s="435"/>
      <c r="R10" s="435"/>
      <c r="S10" s="435"/>
      <c r="T10" s="435"/>
      <c r="U10" s="435"/>
    </row>
    <row r="11" spans="1:21" ht="15" customHeight="1" x14ac:dyDescent="0.2">
      <c r="A11" s="769" t="s">
        <v>1719</v>
      </c>
      <c r="B11" s="769"/>
      <c r="C11" s="769"/>
      <c r="D11" s="769"/>
      <c r="E11" s="495"/>
      <c r="F11" s="433"/>
      <c r="K11" s="433"/>
      <c r="O11" s="436"/>
      <c r="Q11" s="435"/>
      <c r="R11" s="435"/>
      <c r="S11" s="435"/>
      <c r="T11" s="435"/>
      <c r="U11" s="435"/>
    </row>
    <row r="12" spans="1:21" ht="15" customHeight="1" x14ac:dyDescent="0.2">
      <c r="A12" s="769" t="s">
        <v>1720</v>
      </c>
      <c r="B12" s="769"/>
      <c r="C12" s="769"/>
      <c r="D12" s="769"/>
      <c r="E12" s="495"/>
      <c r="F12" s="433"/>
      <c r="K12" s="433"/>
      <c r="O12" s="436"/>
      <c r="Q12" s="435"/>
      <c r="R12" s="435"/>
      <c r="S12" s="435"/>
      <c r="T12" s="435"/>
      <c r="U12" s="435"/>
    </row>
    <row r="13" spans="1:21" ht="15" customHeight="1" x14ac:dyDescent="0.2">
      <c r="A13" s="769" t="s">
        <v>1721</v>
      </c>
      <c r="B13" s="769"/>
      <c r="C13" s="769"/>
      <c r="D13" s="769"/>
      <c r="E13" s="494"/>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769" t="s">
        <v>1723</v>
      </c>
      <c r="B14" s="769"/>
      <c r="C14" s="769"/>
      <c r="D14" s="769"/>
      <c r="E14" s="496"/>
      <c r="F14" s="433"/>
      <c r="G14" s="435"/>
      <c r="H14" s="435"/>
      <c r="I14" s="435"/>
      <c r="J14" s="435"/>
      <c r="K14" s="442"/>
      <c r="O14" s="436"/>
      <c r="Q14" s="435"/>
      <c r="R14" s="435"/>
      <c r="S14" s="435"/>
      <c r="T14" s="435"/>
      <c r="U14" s="435"/>
    </row>
    <row r="15" spans="1:21" ht="15" customHeight="1" x14ac:dyDescent="0.2">
      <c r="A15" s="769" t="s">
        <v>1724</v>
      </c>
      <c r="B15" s="769"/>
      <c r="C15" s="769"/>
      <c r="D15" s="769"/>
      <c r="E15" s="497"/>
      <c r="F15" s="433"/>
      <c r="G15" s="437"/>
      <c r="H15" s="435"/>
      <c r="I15" s="756"/>
      <c r="J15" s="438"/>
      <c r="K15" s="443"/>
      <c r="O15" s="436"/>
      <c r="Q15" s="444"/>
      <c r="R15" s="445"/>
      <c r="S15" s="756"/>
      <c r="T15" s="441"/>
      <c r="U15" s="446"/>
    </row>
    <row r="16" spans="1:21" ht="15" customHeight="1" x14ac:dyDescent="0.2">
      <c r="A16" s="769" t="s">
        <v>1725</v>
      </c>
      <c r="B16" s="769"/>
      <c r="C16" s="769"/>
      <c r="D16" s="769"/>
      <c r="E16" s="498"/>
      <c r="F16" s="433"/>
      <c r="G16" s="757"/>
      <c r="H16" s="757"/>
      <c r="I16" s="756"/>
      <c r="J16" s="435"/>
      <c r="K16" s="442"/>
      <c r="N16" s="433" t="s">
        <v>1726</v>
      </c>
      <c r="O16" s="434">
        <f>ROUND(Valor_CamiónAcoplado*PorSegurosPatentesImpustoCamión/2000,3)</f>
        <v>0</v>
      </c>
      <c r="Q16" s="758"/>
      <c r="R16" s="758"/>
      <c r="S16" s="756"/>
      <c r="T16" s="435"/>
      <c r="U16" s="435"/>
    </row>
    <row r="17" spans="1:21" ht="15" customHeight="1" x14ac:dyDescent="0.2">
      <c r="A17" s="769" t="s">
        <v>1727</v>
      </c>
      <c r="B17" s="769"/>
      <c r="C17" s="769"/>
      <c r="D17" s="769"/>
      <c r="E17" s="499"/>
      <c r="F17" s="433"/>
      <c r="K17" s="433"/>
      <c r="O17" s="436"/>
    </row>
    <row r="18" spans="1:21" ht="15" customHeight="1" x14ac:dyDescent="0.2">
      <c r="A18" s="769" t="s">
        <v>1728</v>
      </c>
      <c r="B18" s="769"/>
      <c r="C18" s="769"/>
      <c r="D18" s="769"/>
      <c r="E18" s="500"/>
      <c r="F18" s="433"/>
      <c r="K18" s="433"/>
      <c r="O18" s="436"/>
    </row>
    <row r="19" spans="1:21" ht="15" customHeight="1" x14ac:dyDescent="0.2">
      <c r="A19" s="769" t="s">
        <v>1729</v>
      </c>
      <c r="B19" s="769"/>
      <c r="C19" s="769"/>
      <c r="D19" s="769"/>
      <c r="E19" s="501"/>
      <c r="F19" s="433"/>
      <c r="G19" s="437"/>
      <c r="H19" s="435"/>
      <c r="I19" s="435"/>
      <c r="J19" s="438"/>
      <c r="K19" s="443"/>
      <c r="N19" s="433" t="s">
        <v>1730</v>
      </c>
      <c r="O19" s="434">
        <f>IF(V_U_cámara_cubiertas_CamiónAcoplado=0,0,ROUND(Cantidad_camaras_cubiertas*Valor_cámara_cubiertas_CamiónAcoplado/V_U_cámara_cubiertas_CamiónAcoplado,3))</f>
        <v>0</v>
      </c>
      <c r="Q19" s="447"/>
      <c r="R19" s="448"/>
      <c r="S19" s="449"/>
      <c r="T19" s="450"/>
      <c r="U19" s="451"/>
    </row>
    <row r="20" spans="1:21" ht="15" customHeight="1" x14ac:dyDescent="0.2">
      <c r="A20" s="769" t="s">
        <v>1731</v>
      </c>
      <c r="B20" s="769"/>
      <c r="C20" s="769"/>
      <c r="D20" s="769"/>
      <c r="E20" s="495"/>
      <c r="F20" s="433"/>
      <c r="G20" s="757"/>
      <c r="H20" s="757"/>
      <c r="I20" s="435"/>
      <c r="J20" s="435"/>
      <c r="K20" s="442"/>
      <c r="O20" s="436"/>
    </row>
    <row r="21" spans="1:21" ht="15" customHeight="1" x14ac:dyDescent="0.2">
      <c r="A21" s="769" t="s">
        <v>1782</v>
      </c>
      <c r="B21" s="769"/>
      <c r="C21" s="769"/>
      <c r="D21" s="769" t="s">
        <v>1732</v>
      </c>
      <c r="E21" s="502"/>
      <c r="G21" s="768"/>
      <c r="H21" s="768"/>
      <c r="I21" s="768"/>
      <c r="K21" s="433"/>
      <c r="O21" s="436"/>
    </row>
    <row r="22" spans="1:21" ht="15" customHeight="1" x14ac:dyDescent="0.2">
      <c r="A22" s="769" t="s">
        <v>1783</v>
      </c>
      <c r="B22" s="769"/>
      <c r="C22" s="769"/>
      <c r="D22" s="769" t="s">
        <v>1733</v>
      </c>
      <c r="E22" s="503"/>
      <c r="G22" s="435"/>
      <c r="H22" s="435"/>
      <c r="I22" s="435"/>
      <c r="J22" s="435"/>
      <c r="K22" s="442"/>
      <c r="N22" s="433" t="s">
        <v>1734</v>
      </c>
      <c r="O22" s="434">
        <f>ROUND(Consumo_gasoil_CamiónAcoplado_porkm*Costo_gasoil*(1+Porcentaje_Lubricantes),3)</f>
        <v>0</v>
      </c>
    </row>
    <row r="23" spans="1:21" ht="15" customHeight="1" x14ac:dyDescent="0.25">
      <c r="A23" s="505"/>
      <c r="B23" s="505"/>
      <c r="C23" s="505"/>
      <c r="D23" s="505"/>
      <c r="E23" s="505"/>
      <c r="G23" s="452"/>
      <c r="H23" s="453"/>
      <c r="I23" s="454"/>
      <c r="J23" s="455"/>
      <c r="K23" s="443"/>
    </row>
    <row r="24" spans="1:21" s="435" customFormat="1" ht="15" customHeight="1" x14ac:dyDescent="0.2"/>
    <row r="25" spans="1:21" ht="15" customHeight="1" x14ac:dyDescent="0.2">
      <c r="A25" s="764" t="s">
        <v>1735</v>
      </c>
      <c r="B25" s="764"/>
      <c r="C25" s="764"/>
      <c r="D25" s="764"/>
      <c r="E25" s="764"/>
      <c r="F25" s="764"/>
      <c r="G25" s="764"/>
      <c r="H25" s="765" t="s">
        <v>1736</v>
      </c>
      <c r="I25" s="765"/>
      <c r="J25" s="765"/>
      <c r="K25" s="765"/>
      <c r="L25" s="765"/>
      <c r="M25" s="765"/>
      <c r="N25" s="765"/>
      <c r="O25" s="765"/>
      <c r="P25" s="766" t="s">
        <v>1737</v>
      </c>
    </row>
    <row r="26" spans="1:21" ht="15" customHeight="1" x14ac:dyDescent="0.2">
      <c r="A26" s="456" t="s">
        <v>1738</v>
      </c>
      <c r="B26" s="456" t="s">
        <v>1739</v>
      </c>
      <c r="C26" s="456" t="s">
        <v>1740</v>
      </c>
      <c r="D26" s="456" t="s">
        <v>1741</v>
      </c>
      <c r="E26" s="456" t="s">
        <v>1742</v>
      </c>
      <c r="F26" s="456" t="s">
        <v>1007</v>
      </c>
      <c r="G26" s="456" t="s">
        <v>1743</v>
      </c>
      <c r="H26" s="767" t="s">
        <v>1670</v>
      </c>
      <c r="I26" s="767" t="s">
        <v>1744</v>
      </c>
      <c r="J26" s="456" t="s">
        <v>1745</v>
      </c>
      <c r="K26" s="456" t="s">
        <v>1746</v>
      </c>
      <c r="L26" s="456" t="s">
        <v>1747</v>
      </c>
      <c r="M26" s="456" t="s">
        <v>1748</v>
      </c>
      <c r="N26" s="456" t="s">
        <v>1749</v>
      </c>
      <c r="O26" s="457" t="s">
        <v>1781</v>
      </c>
      <c r="P26" s="766"/>
    </row>
    <row r="27" spans="1:21" ht="15" customHeight="1" x14ac:dyDescent="0.2">
      <c r="A27" s="456" t="s">
        <v>1751</v>
      </c>
      <c r="B27" s="456" t="s">
        <v>1752</v>
      </c>
      <c r="C27" s="456" t="s">
        <v>1753</v>
      </c>
      <c r="D27" s="456" t="s">
        <v>1754</v>
      </c>
      <c r="E27" s="456" t="s">
        <v>1755</v>
      </c>
      <c r="F27" s="456" t="s">
        <v>1756</v>
      </c>
      <c r="G27" s="456" t="s">
        <v>1757</v>
      </c>
      <c r="H27" s="767"/>
      <c r="I27" s="767"/>
      <c r="J27" s="456" t="s">
        <v>1758</v>
      </c>
      <c r="K27" s="456" t="s">
        <v>1759</v>
      </c>
      <c r="L27" s="456" t="s">
        <v>1760</v>
      </c>
      <c r="M27" s="456" t="s">
        <v>1761</v>
      </c>
      <c r="N27" s="456" t="s">
        <v>1762</v>
      </c>
      <c r="O27" s="457" t="s">
        <v>1763</v>
      </c>
      <c r="P27" s="766"/>
    </row>
    <row r="28" spans="1:21" ht="15" customHeight="1" x14ac:dyDescent="0.2">
      <c r="A28" s="763" t="s">
        <v>1764</v>
      </c>
      <c r="B28" s="763" t="s">
        <v>1765</v>
      </c>
      <c r="C28" s="763" t="s">
        <v>1766</v>
      </c>
      <c r="D28" s="763" t="s">
        <v>1767</v>
      </c>
      <c r="E28" s="763" t="s">
        <v>1768</v>
      </c>
      <c r="F28" s="763" t="s">
        <v>1769</v>
      </c>
      <c r="G28" s="763" t="s">
        <v>1770</v>
      </c>
      <c r="H28" s="763" t="s">
        <v>1771</v>
      </c>
      <c r="I28" s="763" t="s">
        <v>1772</v>
      </c>
      <c r="J28" s="763" t="s">
        <v>1773</v>
      </c>
      <c r="K28" s="763" t="s">
        <v>1774</v>
      </c>
      <c r="L28" s="763" t="s">
        <v>1775</v>
      </c>
      <c r="M28" s="763" t="s">
        <v>1776</v>
      </c>
      <c r="N28" s="763" t="s">
        <v>1777</v>
      </c>
      <c r="O28" s="763" t="s">
        <v>1778</v>
      </c>
      <c r="P28" s="759" t="s">
        <v>1779</v>
      </c>
    </row>
    <row r="29" spans="1:21" ht="15" customHeight="1" x14ac:dyDescent="0.2">
      <c r="A29" s="763"/>
      <c r="B29" s="763"/>
      <c r="C29" s="763"/>
      <c r="D29" s="763"/>
      <c r="E29" s="763"/>
      <c r="F29" s="763"/>
      <c r="G29" s="763"/>
      <c r="H29" s="763"/>
      <c r="I29" s="763"/>
      <c r="J29" s="763"/>
      <c r="K29" s="763"/>
      <c r="L29" s="763"/>
      <c r="M29" s="763"/>
      <c r="N29" s="763"/>
      <c r="O29" s="763"/>
      <c r="P29" s="759"/>
    </row>
    <row r="30" spans="1:21" ht="15" customHeight="1" x14ac:dyDescent="0.2">
      <c r="A30" s="458">
        <v>55</v>
      </c>
      <c r="B30" s="467"/>
      <c r="C30" s="460">
        <f>IF(B30=0,0,(2*A30*60)/B30)</f>
        <v>0</v>
      </c>
      <c r="D30" s="460"/>
      <c r="E30" s="460">
        <f t="shared" ref="E30:E64" si="0">+C30+D30</f>
        <v>0</v>
      </c>
      <c r="F30" s="468">
        <f>A30*$E$21</f>
        <v>0</v>
      </c>
      <c r="G30" s="463">
        <f t="shared" ref="G30:G64" si="1">+A30*2</f>
        <v>110</v>
      </c>
      <c r="H30" s="464">
        <f>'Transp. Camión con Acoplado'!A*(E30/60)</f>
        <v>0</v>
      </c>
      <c r="I30" s="464">
        <f>'Transp. Camión con Acoplado'!B*(E30/60)</f>
        <v>0</v>
      </c>
      <c r="J30" s="464">
        <f>'Transp. Camión con Acoplado'!C_*(C30/60)</f>
        <v>0</v>
      </c>
      <c r="K30" s="464">
        <f>'Transp. Camión con Acoplado'!D*(E30/60)</f>
        <v>0</v>
      </c>
      <c r="L30" s="464">
        <f>'Transp. Camión con Acoplado'!E*(E30/60)</f>
        <v>0</v>
      </c>
      <c r="M30" s="464">
        <f>'Transp. Camión con Acoplado'!F_*G30</f>
        <v>0</v>
      </c>
      <c r="N30" s="464">
        <f t="shared" ref="N30:N64" si="2">Mano_Obra_Lavado*(E30/60)</f>
        <v>0</v>
      </c>
      <c r="O30" s="464">
        <f>+G30*'Transp. Camión con Acoplado'!G</f>
        <v>0</v>
      </c>
      <c r="P30" s="465">
        <f>IF(F30=0,0,ROUND(SUM(H30:O30)/F30,3))</f>
        <v>0</v>
      </c>
      <c r="R30" s="466"/>
    </row>
    <row r="31" spans="1:21" ht="15" customHeight="1" x14ac:dyDescent="0.2">
      <c r="A31" s="458">
        <v>60</v>
      </c>
      <c r="B31" s="467"/>
      <c r="C31" s="460">
        <f t="shared" ref="C31:C64" si="3">IF(B31=0,0,(2*A31*60)/B31)</f>
        <v>0</v>
      </c>
      <c r="D31" s="460"/>
      <c r="E31" s="460">
        <f t="shared" si="0"/>
        <v>0</v>
      </c>
      <c r="F31" s="468">
        <f t="shared" ref="F31:F64" si="4">A31*$E$21</f>
        <v>0</v>
      </c>
      <c r="G31" s="463">
        <f t="shared" si="1"/>
        <v>120</v>
      </c>
      <c r="H31" s="464">
        <f>'Transp. Camión con Acoplado'!A*(E31/60)</f>
        <v>0</v>
      </c>
      <c r="I31" s="464">
        <f>'Transp. Camión con Acoplado'!B*(E31/60)</f>
        <v>0</v>
      </c>
      <c r="J31" s="464">
        <f>'Transp. Camión con Acoplado'!C_*(C31/60)</f>
        <v>0</v>
      </c>
      <c r="K31" s="464">
        <f>'Transp. Camión con Acoplado'!D*(E31/60)</f>
        <v>0</v>
      </c>
      <c r="L31" s="464">
        <f>'Transp. Camión con Acoplado'!E*(E31/60)</f>
        <v>0</v>
      </c>
      <c r="M31" s="464">
        <f>'Transp. Camión con Acoplado'!F_*G31</f>
        <v>0</v>
      </c>
      <c r="N31" s="464">
        <f t="shared" si="2"/>
        <v>0</v>
      </c>
      <c r="O31" s="464">
        <f>+G31*'Transp. Camión con Acoplado'!G</f>
        <v>0</v>
      </c>
      <c r="P31" s="465">
        <f t="shared" ref="P31:P64" si="5">IF(F31=0,0,ROUND(SUM(H31:O31)/F31,3))</f>
        <v>0</v>
      </c>
      <c r="R31" s="466"/>
    </row>
    <row r="32" spans="1:21" ht="15" customHeight="1" x14ac:dyDescent="0.2">
      <c r="A32" s="458">
        <v>65</v>
      </c>
      <c r="B32" s="467"/>
      <c r="C32" s="460">
        <f t="shared" si="3"/>
        <v>0</v>
      </c>
      <c r="D32" s="460"/>
      <c r="E32" s="460">
        <f t="shared" si="0"/>
        <v>0</v>
      </c>
      <c r="F32" s="468">
        <f t="shared" si="4"/>
        <v>0</v>
      </c>
      <c r="G32" s="463">
        <f t="shared" si="1"/>
        <v>130</v>
      </c>
      <c r="H32" s="464">
        <f>'Transp. Camión con Acoplado'!A*(E32/60)</f>
        <v>0</v>
      </c>
      <c r="I32" s="464">
        <f>'Transp. Camión con Acoplado'!B*(E32/60)</f>
        <v>0</v>
      </c>
      <c r="J32" s="464">
        <f>'Transp. Camión con Acoplado'!C_*(C32/60)</f>
        <v>0</v>
      </c>
      <c r="K32" s="464">
        <f>'Transp. Camión con Acoplado'!D*(E32/60)</f>
        <v>0</v>
      </c>
      <c r="L32" s="464">
        <f>'Transp. Camión con Acoplado'!E*(E32/60)</f>
        <v>0</v>
      </c>
      <c r="M32" s="464">
        <f>'Transp. Camión con Acoplado'!F_*G32</f>
        <v>0</v>
      </c>
      <c r="N32" s="464">
        <f t="shared" si="2"/>
        <v>0</v>
      </c>
      <c r="O32" s="464">
        <f>+G32*'Transp. Camión con Acoplado'!G</f>
        <v>0</v>
      </c>
      <c r="P32" s="465">
        <f t="shared" si="5"/>
        <v>0</v>
      </c>
      <c r="R32" s="466"/>
    </row>
    <row r="33" spans="1:18" ht="15" customHeight="1" x14ac:dyDescent="0.2">
      <c r="A33" s="458">
        <v>70</v>
      </c>
      <c r="B33" s="467"/>
      <c r="C33" s="460">
        <f t="shared" si="3"/>
        <v>0</v>
      </c>
      <c r="D33" s="460"/>
      <c r="E33" s="460">
        <f t="shared" si="0"/>
        <v>0</v>
      </c>
      <c r="F33" s="468">
        <f t="shared" si="4"/>
        <v>0</v>
      </c>
      <c r="G33" s="463">
        <f t="shared" si="1"/>
        <v>140</v>
      </c>
      <c r="H33" s="464">
        <f>'Transp. Camión con Acoplado'!A*(E33/60)</f>
        <v>0</v>
      </c>
      <c r="I33" s="464">
        <f>'Transp. Camión con Acoplado'!B*(E33/60)</f>
        <v>0</v>
      </c>
      <c r="J33" s="464">
        <f>'Transp. Camión con Acoplado'!C_*(C33/60)</f>
        <v>0</v>
      </c>
      <c r="K33" s="464">
        <f>'Transp. Camión con Acoplado'!D*(E33/60)</f>
        <v>0</v>
      </c>
      <c r="L33" s="464">
        <f>'Transp. Camión con Acoplado'!E*(E33/60)</f>
        <v>0</v>
      </c>
      <c r="M33" s="464">
        <f>'Transp. Camión con Acoplado'!F_*G33</f>
        <v>0</v>
      </c>
      <c r="N33" s="464">
        <f t="shared" si="2"/>
        <v>0</v>
      </c>
      <c r="O33" s="464">
        <f>+G33*'Transp. Camión con Acoplado'!G</f>
        <v>0</v>
      </c>
      <c r="P33" s="465">
        <f t="shared" si="5"/>
        <v>0</v>
      </c>
      <c r="R33" s="466"/>
    </row>
    <row r="34" spans="1:18" ht="15" customHeight="1" x14ac:dyDescent="0.2">
      <c r="A34" s="458">
        <v>75</v>
      </c>
      <c r="B34" s="467"/>
      <c r="C34" s="460">
        <f t="shared" si="3"/>
        <v>0</v>
      </c>
      <c r="D34" s="460"/>
      <c r="E34" s="460">
        <f t="shared" si="0"/>
        <v>0</v>
      </c>
      <c r="F34" s="468">
        <f t="shared" si="4"/>
        <v>0</v>
      </c>
      <c r="G34" s="463">
        <f t="shared" si="1"/>
        <v>150</v>
      </c>
      <c r="H34" s="464">
        <f>'Transp. Camión con Acoplado'!A*(E34/60)</f>
        <v>0</v>
      </c>
      <c r="I34" s="464">
        <f>'Transp. Camión con Acoplado'!B*(E34/60)</f>
        <v>0</v>
      </c>
      <c r="J34" s="464">
        <f>'Transp. Camión con Acoplado'!C_*(C34/60)</f>
        <v>0</v>
      </c>
      <c r="K34" s="464">
        <f>'Transp. Camión con Acoplado'!D*(E34/60)</f>
        <v>0</v>
      </c>
      <c r="L34" s="464">
        <f>'Transp. Camión con Acoplado'!E*(E34/60)</f>
        <v>0</v>
      </c>
      <c r="M34" s="464">
        <f>'Transp. Camión con Acoplado'!F_*G34</f>
        <v>0</v>
      </c>
      <c r="N34" s="464">
        <f t="shared" si="2"/>
        <v>0</v>
      </c>
      <c r="O34" s="464">
        <f>+G34*'Transp. Camión con Acoplado'!G</f>
        <v>0</v>
      </c>
      <c r="P34" s="465">
        <f t="shared" si="5"/>
        <v>0</v>
      </c>
      <c r="R34" s="466"/>
    </row>
    <row r="35" spans="1:18" ht="15" customHeight="1" x14ac:dyDescent="0.2">
      <c r="A35" s="458">
        <v>80</v>
      </c>
      <c r="B35" s="467"/>
      <c r="C35" s="460">
        <f t="shared" si="3"/>
        <v>0</v>
      </c>
      <c r="D35" s="460"/>
      <c r="E35" s="460">
        <f t="shared" si="0"/>
        <v>0</v>
      </c>
      <c r="F35" s="468">
        <f t="shared" si="4"/>
        <v>0</v>
      </c>
      <c r="G35" s="463">
        <f t="shared" si="1"/>
        <v>160</v>
      </c>
      <c r="H35" s="464">
        <f>'Transp. Camión con Acoplado'!A*(E35/60)</f>
        <v>0</v>
      </c>
      <c r="I35" s="464">
        <f>'Transp. Camión con Acoplado'!B*(E35/60)</f>
        <v>0</v>
      </c>
      <c r="J35" s="464">
        <f>'Transp. Camión con Acoplado'!C_*(C35/60)</f>
        <v>0</v>
      </c>
      <c r="K35" s="464">
        <f>'Transp. Camión con Acoplado'!D*(E35/60)</f>
        <v>0</v>
      </c>
      <c r="L35" s="464">
        <f>'Transp. Camión con Acoplado'!E*(E35/60)</f>
        <v>0</v>
      </c>
      <c r="M35" s="464">
        <f>'Transp. Camión con Acoplado'!F_*G35</f>
        <v>0</v>
      </c>
      <c r="N35" s="464">
        <f t="shared" si="2"/>
        <v>0</v>
      </c>
      <c r="O35" s="464">
        <f>+G35*'Transp. Camión con Acoplado'!G</f>
        <v>0</v>
      </c>
      <c r="P35" s="465">
        <f t="shared" si="5"/>
        <v>0</v>
      </c>
      <c r="R35" s="466"/>
    </row>
    <row r="36" spans="1:18" ht="15" customHeight="1" x14ac:dyDescent="0.2">
      <c r="A36" s="458">
        <v>85</v>
      </c>
      <c r="B36" s="467"/>
      <c r="C36" s="460">
        <f t="shared" si="3"/>
        <v>0</v>
      </c>
      <c r="D36" s="460"/>
      <c r="E36" s="460">
        <f t="shared" si="0"/>
        <v>0</v>
      </c>
      <c r="F36" s="468">
        <f t="shared" si="4"/>
        <v>0</v>
      </c>
      <c r="G36" s="463">
        <f t="shared" si="1"/>
        <v>170</v>
      </c>
      <c r="H36" s="464">
        <f>'Transp. Camión con Acoplado'!A*(E36/60)</f>
        <v>0</v>
      </c>
      <c r="I36" s="464">
        <f>'Transp. Camión con Acoplado'!B*(E36/60)</f>
        <v>0</v>
      </c>
      <c r="J36" s="464">
        <f>'Transp. Camión con Acoplado'!C_*(C36/60)</f>
        <v>0</v>
      </c>
      <c r="K36" s="464">
        <f>'Transp. Camión con Acoplado'!D*(E36/60)</f>
        <v>0</v>
      </c>
      <c r="L36" s="464">
        <f>'Transp. Camión con Acoplado'!E*(E36/60)</f>
        <v>0</v>
      </c>
      <c r="M36" s="464">
        <f>'Transp. Camión con Acoplado'!F_*G36</f>
        <v>0</v>
      </c>
      <c r="N36" s="464">
        <f t="shared" si="2"/>
        <v>0</v>
      </c>
      <c r="O36" s="464">
        <f>+G36*'Transp. Camión con Acoplado'!G</f>
        <v>0</v>
      </c>
      <c r="P36" s="465">
        <f t="shared" si="5"/>
        <v>0</v>
      </c>
      <c r="R36" s="466"/>
    </row>
    <row r="37" spans="1:18" ht="15" customHeight="1" x14ac:dyDescent="0.2">
      <c r="A37" s="458">
        <v>90</v>
      </c>
      <c r="B37" s="467"/>
      <c r="C37" s="460">
        <f t="shared" si="3"/>
        <v>0</v>
      </c>
      <c r="D37" s="460"/>
      <c r="E37" s="460">
        <f t="shared" si="0"/>
        <v>0</v>
      </c>
      <c r="F37" s="468">
        <f t="shared" si="4"/>
        <v>0</v>
      </c>
      <c r="G37" s="463">
        <f t="shared" si="1"/>
        <v>180</v>
      </c>
      <c r="H37" s="464">
        <f>'Transp. Camión con Acoplado'!A*(E37/60)</f>
        <v>0</v>
      </c>
      <c r="I37" s="464">
        <f>'Transp. Camión con Acoplado'!B*(E37/60)</f>
        <v>0</v>
      </c>
      <c r="J37" s="464">
        <f>'Transp. Camión con Acoplado'!C_*(C37/60)</f>
        <v>0</v>
      </c>
      <c r="K37" s="464">
        <f>'Transp. Camión con Acoplado'!D*(E37/60)</f>
        <v>0</v>
      </c>
      <c r="L37" s="464">
        <f>'Transp. Camión con Acoplado'!E*(E37/60)</f>
        <v>0</v>
      </c>
      <c r="M37" s="464">
        <f>'Transp. Camión con Acoplado'!F_*G37</f>
        <v>0</v>
      </c>
      <c r="N37" s="464">
        <f t="shared" si="2"/>
        <v>0</v>
      </c>
      <c r="O37" s="464">
        <f>+G37*'Transp. Camión con Acoplado'!G</f>
        <v>0</v>
      </c>
      <c r="P37" s="465">
        <f t="shared" si="5"/>
        <v>0</v>
      </c>
      <c r="R37" s="466"/>
    </row>
    <row r="38" spans="1:18" ht="15" customHeight="1" x14ac:dyDescent="0.2">
      <c r="A38" s="458">
        <v>95</v>
      </c>
      <c r="B38" s="467"/>
      <c r="C38" s="460">
        <f t="shared" si="3"/>
        <v>0</v>
      </c>
      <c r="D38" s="460"/>
      <c r="E38" s="460">
        <f t="shared" si="0"/>
        <v>0</v>
      </c>
      <c r="F38" s="468">
        <f t="shared" si="4"/>
        <v>0</v>
      </c>
      <c r="G38" s="463">
        <f t="shared" si="1"/>
        <v>190</v>
      </c>
      <c r="H38" s="464">
        <f>'Transp. Camión con Acoplado'!A*(E38/60)</f>
        <v>0</v>
      </c>
      <c r="I38" s="464">
        <f>'Transp. Camión con Acoplado'!B*(E38/60)</f>
        <v>0</v>
      </c>
      <c r="J38" s="464">
        <f>'Transp. Camión con Acoplado'!C_*(C38/60)</f>
        <v>0</v>
      </c>
      <c r="K38" s="464">
        <f>'Transp. Camión con Acoplado'!D*(E38/60)</f>
        <v>0</v>
      </c>
      <c r="L38" s="464">
        <f>'Transp. Camión con Acoplado'!E*(E38/60)</f>
        <v>0</v>
      </c>
      <c r="M38" s="464">
        <f>'Transp. Camión con Acoplado'!F_*G38</f>
        <v>0</v>
      </c>
      <c r="N38" s="464">
        <f t="shared" si="2"/>
        <v>0</v>
      </c>
      <c r="O38" s="464">
        <f>+G38*'Transp. Camión con Acoplado'!G</f>
        <v>0</v>
      </c>
      <c r="P38" s="465">
        <f t="shared" si="5"/>
        <v>0</v>
      </c>
      <c r="R38" s="466"/>
    </row>
    <row r="39" spans="1:18" ht="15" customHeight="1" x14ac:dyDescent="0.2">
      <c r="A39" s="458">
        <v>100</v>
      </c>
      <c r="B39" s="467"/>
      <c r="C39" s="460">
        <f t="shared" si="3"/>
        <v>0</v>
      </c>
      <c r="D39" s="460"/>
      <c r="E39" s="460">
        <f t="shared" si="0"/>
        <v>0</v>
      </c>
      <c r="F39" s="468">
        <f t="shared" si="4"/>
        <v>0</v>
      </c>
      <c r="G39" s="463">
        <f t="shared" si="1"/>
        <v>200</v>
      </c>
      <c r="H39" s="464">
        <f>'Transp. Camión con Acoplado'!A*(E39/60)</f>
        <v>0</v>
      </c>
      <c r="I39" s="464">
        <f>'Transp. Camión con Acoplado'!B*(E39/60)</f>
        <v>0</v>
      </c>
      <c r="J39" s="464">
        <f>'Transp. Camión con Acoplado'!C_*(C39/60)</f>
        <v>0</v>
      </c>
      <c r="K39" s="464">
        <f>'Transp. Camión con Acoplado'!D*(E39/60)</f>
        <v>0</v>
      </c>
      <c r="L39" s="464">
        <f>'Transp. Camión con Acoplado'!E*(E39/60)</f>
        <v>0</v>
      </c>
      <c r="M39" s="464">
        <f>'Transp. Camión con Acoplado'!F_*G39</f>
        <v>0</v>
      </c>
      <c r="N39" s="464">
        <f t="shared" si="2"/>
        <v>0</v>
      </c>
      <c r="O39" s="464">
        <f>+G39*'Transp. Camión con Acoplado'!G</f>
        <v>0</v>
      </c>
      <c r="P39" s="465">
        <f t="shared" si="5"/>
        <v>0</v>
      </c>
      <c r="R39" s="466"/>
    </row>
    <row r="40" spans="1:18" ht="15" customHeight="1" x14ac:dyDescent="0.2">
      <c r="A40" s="458">
        <v>105</v>
      </c>
      <c r="B40" s="467"/>
      <c r="C40" s="460">
        <f t="shared" si="3"/>
        <v>0</v>
      </c>
      <c r="D40" s="460"/>
      <c r="E40" s="460">
        <f t="shared" si="0"/>
        <v>0</v>
      </c>
      <c r="F40" s="468">
        <f t="shared" si="4"/>
        <v>0</v>
      </c>
      <c r="G40" s="463">
        <f t="shared" si="1"/>
        <v>210</v>
      </c>
      <c r="H40" s="464">
        <f>'Transp. Camión con Acoplado'!A*(E40/60)</f>
        <v>0</v>
      </c>
      <c r="I40" s="464">
        <f>'Transp. Camión con Acoplado'!B*(E40/60)</f>
        <v>0</v>
      </c>
      <c r="J40" s="464">
        <f>'Transp. Camión con Acoplado'!C_*(C40/60)</f>
        <v>0</v>
      </c>
      <c r="K40" s="464">
        <f>'Transp. Camión con Acoplado'!D*(E40/60)</f>
        <v>0</v>
      </c>
      <c r="L40" s="464">
        <f>'Transp. Camión con Acoplado'!E*(E40/60)</f>
        <v>0</v>
      </c>
      <c r="M40" s="464">
        <f>'Transp. Camión con Acoplado'!F_*G40</f>
        <v>0</v>
      </c>
      <c r="N40" s="464">
        <f t="shared" si="2"/>
        <v>0</v>
      </c>
      <c r="O40" s="464">
        <f>+G40*'Transp. Camión con Acoplado'!G</f>
        <v>0</v>
      </c>
      <c r="P40" s="465">
        <f t="shared" si="5"/>
        <v>0</v>
      </c>
      <c r="R40" s="466"/>
    </row>
    <row r="41" spans="1:18" ht="15" customHeight="1" x14ac:dyDescent="0.2">
      <c r="A41" s="458">
        <v>110</v>
      </c>
      <c r="B41" s="467"/>
      <c r="C41" s="460">
        <f t="shared" si="3"/>
        <v>0</v>
      </c>
      <c r="D41" s="460"/>
      <c r="E41" s="460">
        <f t="shared" si="0"/>
        <v>0</v>
      </c>
      <c r="F41" s="468">
        <f t="shared" si="4"/>
        <v>0</v>
      </c>
      <c r="G41" s="463">
        <f t="shared" si="1"/>
        <v>220</v>
      </c>
      <c r="H41" s="464">
        <f>'Transp. Camión con Acoplado'!A*(E41/60)</f>
        <v>0</v>
      </c>
      <c r="I41" s="464">
        <f>'Transp. Camión con Acoplado'!B*(E41/60)</f>
        <v>0</v>
      </c>
      <c r="J41" s="464">
        <f>'Transp. Camión con Acoplado'!C_*(C41/60)</f>
        <v>0</v>
      </c>
      <c r="K41" s="464">
        <f>'Transp. Camión con Acoplado'!D*(E41/60)</f>
        <v>0</v>
      </c>
      <c r="L41" s="464">
        <f>'Transp. Camión con Acoplado'!E*(E41/60)</f>
        <v>0</v>
      </c>
      <c r="M41" s="464">
        <f>'Transp. Camión con Acoplado'!F_*G41</f>
        <v>0</v>
      </c>
      <c r="N41" s="464">
        <f t="shared" si="2"/>
        <v>0</v>
      </c>
      <c r="O41" s="464">
        <f>+G41*'Transp. Camión con Acoplado'!G</f>
        <v>0</v>
      </c>
      <c r="P41" s="465">
        <f t="shared" si="5"/>
        <v>0</v>
      </c>
      <c r="R41" s="466"/>
    </row>
    <row r="42" spans="1:18" ht="15" customHeight="1" x14ac:dyDescent="0.2">
      <c r="A42" s="458">
        <v>120</v>
      </c>
      <c r="B42" s="467"/>
      <c r="C42" s="460">
        <f t="shared" si="3"/>
        <v>0</v>
      </c>
      <c r="D42" s="460"/>
      <c r="E42" s="460">
        <f t="shared" si="0"/>
        <v>0</v>
      </c>
      <c r="F42" s="468">
        <f t="shared" si="4"/>
        <v>0</v>
      </c>
      <c r="G42" s="463">
        <f t="shared" si="1"/>
        <v>240</v>
      </c>
      <c r="H42" s="464">
        <f>'Transp. Camión con Acoplado'!A*(E42/60)</f>
        <v>0</v>
      </c>
      <c r="I42" s="464">
        <f>'Transp. Camión con Acoplado'!B*(E42/60)</f>
        <v>0</v>
      </c>
      <c r="J42" s="464">
        <f>'Transp. Camión con Acoplado'!C_*(C42/60)</f>
        <v>0</v>
      </c>
      <c r="K42" s="464">
        <f>'Transp. Camión con Acoplado'!D*(E42/60)</f>
        <v>0</v>
      </c>
      <c r="L42" s="464">
        <f>'Transp. Camión con Acoplado'!E*(E42/60)</f>
        <v>0</v>
      </c>
      <c r="M42" s="464">
        <f>'Transp. Camión con Acoplado'!F_*G42</f>
        <v>0</v>
      </c>
      <c r="N42" s="464">
        <f t="shared" si="2"/>
        <v>0</v>
      </c>
      <c r="O42" s="464">
        <f>+G42*'Transp. Camión con Acoplado'!G</f>
        <v>0</v>
      </c>
      <c r="P42" s="465">
        <f t="shared" si="5"/>
        <v>0</v>
      </c>
      <c r="R42" s="466"/>
    </row>
    <row r="43" spans="1:18" ht="15" customHeight="1" x14ac:dyDescent="0.2">
      <c r="A43" s="458">
        <v>130</v>
      </c>
      <c r="B43" s="467"/>
      <c r="C43" s="460">
        <f t="shared" si="3"/>
        <v>0</v>
      </c>
      <c r="D43" s="460"/>
      <c r="E43" s="460">
        <f t="shared" si="0"/>
        <v>0</v>
      </c>
      <c r="F43" s="468">
        <f t="shared" si="4"/>
        <v>0</v>
      </c>
      <c r="G43" s="463">
        <f t="shared" si="1"/>
        <v>260</v>
      </c>
      <c r="H43" s="464">
        <f>'Transp. Camión con Acoplado'!A*(E43/60)</f>
        <v>0</v>
      </c>
      <c r="I43" s="464">
        <f>'Transp. Camión con Acoplado'!B*(E43/60)</f>
        <v>0</v>
      </c>
      <c r="J43" s="464">
        <f>'Transp. Camión con Acoplado'!C_*(C43/60)</f>
        <v>0</v>
      </c>
      <c r="K43" s="464">
        <f>'Transp. Camión con Acoplado'!D*(E43/60)</f>
        <v>0</v>
      </c>
      <c r="L43" s="464">
        <f>'Transp. Camión con Acoplado'!E*(E43/60)</f>
        <v>0</v>
      </c>
      <c r="M43" s="464">
        <f>'Transp. Camión con Acoplado'!F_*G43</f>
        <v>0</v>
      </c>
      <c r="N43" s="464">
        <f t="shared" si="2"/>
        <v>0</v>
      </c>
      <c r="O43" s="464">
        <f>+G43*'Transp. Camión con Acoplado'!G</f>
        <v>0</v>
      </c>
      <c r="P43" s="465">
        <f t="shared" si="5"/>
        <v>0</v>
      </c>
      <c r="R43" s="466"/>
    </row>
    <row r="44" spans="1:18" ht="15" customHeight="1" x14ac:dyDescent="0.2">
      <c r="A44" s="458">
        <v>140</v>
      </c>
      <c r="B44" s="467"/>
      <c r="C44" s="460">
        <f t="shared" si="3"/>
        <v>0</v>
      </c>
      <c r="D44" s="460"/>
      <c r="E44" s="460">
        <f t="shared" si="0"/>
        <v>0</v>
      </c>
      <c r="F44" s="468">
        <f t="shared" si="4"/>
        <v>0</v>
      </c>
      <c r="G44" s="463">
        <f t="shared" si="1"/>
        <v>280</v>
      </c>
      <c r="H44" s="464">
        <f>'Transp. Camión con Acoplado'!A*(E44/60)</f>
        <v>0</v>
      </c>
      <c r="I44" s="464">
        <f>'Transp. Camión con Acoplado'!B*(E44/60)</f>
        <v>0</v>
      </c>
      <c r="J44" s="464">
        <f>'Transp. Camión con Acoplado'!C_*(C44/60)</f>
        <v>0</v>
      </c>
      <c r="K44" s="464">
        <f>'Transp. Camión con Acoplado'!D*(E44/60)</f>
        <v>0</v>
      </c>
      <c r="L44" s="464">
        <f>'Transp. Camión con Acoplado'!E*(E44/60)</f>
        <v>0</v>
      </c>
      <c r="M44" s="464">
        <f>'Transp. Camión con Acoplado'!F_*G44</f>
        <v>0</v>
      </c>
      <c r="N44" s="464">
        <f t="shared" si="2"/>
        <v>0</v>
      </c>
      <c r="O44" s="464">
        <f>+G44*'Transp. Camión con Acoplado'!G</f>
        <v>0</v>
      </c>
      <c r="P44" s="465">
        <f t="shared" si="5"/>
        <v>0</v>
      </c>
      <c r="R44" s="466"/>
    </row>
    <row r="45" spans="1:18" ht="15" customHeight="1" x14ac:dyDescent="0.2">
      <c r="A45" s="458">
        <v>150</v>
      </c>
      <c r="B45" s="467"/>
      <c r="C45" s="460">
        <f t="shared" si="3"/>
        <v>0</v>
      </c>
      <c r="D45" s="460"/>
      <c r="E45" s="460">
        <f t="shared" si="0"/>
        <v>0</v>
      </c>
      <c r="F45" s="468">
        <f t="shared" si="4"/>
        <v>0</v>
      </c>
      <c r="G45" s="463">
        <f t="shared" si="1"/>
        <v>300</v>
      </c>
      <c r="H45" s="464">
        <f>'Transp. Camión con Acoplado'!A*(E45/60)</f>
        <v>0</v>
      </c>
      <c r="I45" s="464">
        <f>'Transp. Camión con Acoplado'!B*(E45/60)</f>
        <v>0</v>
      </c>
      <c r="J45" s="464">
        <f>'Transp. Camión con Acoplado'!C_*(C45/60)</f>
        <v>0</v>
      </c>
      <c r="K45" s="464">
        <f>'Transp. Camión con Acoplado'!D*(E45/60)</f>
        <v>0</v>
      </c>
      <c r="L45" s="464">
        <f>'Transp. Camión con Acoplado'!E*(E45/60)</f>
        <v>0</v>
      </c>
      <c r="M45" s="464">
        <f>'Transp. Camión con Acoplado'!F_*G45</f>
        <v>0</v>
      </c>
      <c r="N45" s="464">
        <f t="shared" si="2"/>
        <v>0</v>
      </c>
      <c r="O45" s="464">
        <f>+G45*'Transp. Camión con Acoplado'!G</f>
        <v>0</v>
      </c>
      <c r="P45" s="465">
        <f t="shared" si="5"/>
        <v>0</v>
      </c>
      <c r="R45" s="466"/>
    </row>
    <row r="46" spans="1:18" ht="15" customHeight="1" x14ac:dyDescent="0.2">
      <c r="A46" s="458">
        <v>160</v>
      </c>
      <c r="B46" s="467"/>
      <c r="C46" s="460">
        <f t="shared" si="3"/>
        <v>0</v>
      </c>
      <c r="D46" s="460"/>
      <c r="E46" s="460">
        <f t="shared" si="0"/>
        <v>0</v>
      </c>
      <c r="F46" s="468">
        <f t="shared" si="4"/>
        <v>0</v>
      </c>
      <c r="G46" s="463">
        <f t="shared" si="1"/>
        <v>320</v>
      </c>
      <c r="H46" s="464">
        <f>'Transp. Camión con Acoplado'!A*(E46/60)</f>
        <v>0</v>
      </c>
      <c r="I46" s="464">
        <f>'Transp. Camión con Acoplado'!B*(E46/60)</f>
        <v>0</v>
      </c>
      <c r="J46" s="464">
        <f>'Transp. Camión con Acoplado'!C_*(C46/60)</f>
        <v>0</v>
      </c>
      <c r="K46" s="464">
        <f>'Transp. Camión con Acoplado'!D*(E46/60)</f>
        <v>0</v>
      </c>
      <c r="L46" s="464">
        <f>'Transp. Camión con Acoplado'!E*(E46/60)</f>
        <v>0</v>
      </c>
      <c r="M46" s="464">
        <f>'Transp. Camión con Acoplado'!F_*G46</f>
        <v>0</v>
      </c>
      <c r="N46" s="464">
        <f t="shared" si="2"/>
        <v>0</v>
      </c>
      <c r="O46" s="464">
        <f>+G46*'Transp. Camión con Acoplado'!G</f>
        <v>0</v>
      </c>
      <c r="P46" s="465">
        <f t="shared" si="5"/>
        <v>0</v>
      </c>
      <c r="R46" s="466"/>
    </row>
    <row r="47" spans="1:18" ht="15" customHeight="1" x14ac:dyDescent="0.2">
      <c r="A47" s="458">
        <v>170</v>
      </c>
      <c r="B47" s="467"/>
      <c r="C47" s="460">
        <f t="shared" si="3"/>
        <v>0</v>
      </c>
      <c r="D47" s="460"/>
      <c r="E47" s="460">
        <f t="shared" si="0"/>
        <v>0</v>
      </c>
      <c r="F47" s="468">
        <f t="shared" si="4"/>
        <v>0</v>
      </c>
      <c r="G47" s="463">
        <f t="shared" si="1"/>
        <v>340</v>
      </c>
      <c r="H47" s="464">
        <f>'Transp. Camión con Acoplado'!A*(E47/60)</f>
        <v>0</v>
      </c>
      <c r="I47" s="464">
        <f>'Transp. Camión con Acoplado'!B*(E47/60)</f>
        <v>0</v>
      </c>
      <c r="J47" s="464">
        <f>'Transp. Camión con Acoplado'!C_*(C47/60)</f>
        <v>0</v>
      </c>
      <c r="K47" s="464">
        <f>'Transp. Camión con Acoplado'!D*(E47/60)</f>
        <v>0</v>
      </c>
      <c r="L47" s="464">
        <f>'Transp. Camión con Acoplado'!E*(E47/60)</f>
        <v>0</v>
      </c>
      <c r="M47" s="464">
        <f>'Transp. Camión con Acoplado'!F_*G47</f>
        <v>0</v>
      </c>
      <c r="N47" s="464">
        <f t="shared" si="2"/>
        <v>0</v>
      </c>
      <c r="O47" s="464">
        <f>+G47*'Transp. Camión con Acoplado'!G</f>
        <v>0</v>
      </c>
      <c r="P47" s="465">
        <f t="shared" si="5"/>
        <v>0</v>
      </c>
      <c r="R47" s="466"/>
    </row>
    <row r="48" spans="1:18" ht="15" customHeight="1" x14ac:dyDescent="0.2">
      <c r="A48" s="458">
        <v>180</v>
      </c>
      <c r="B48" s="467"/>
      <c r="C48" s="460">
        <f t="shared" si="3"/>
        <v>0</v>
      </c>
      <c r="D48" s="460"/>
      <c r="E48" s="460">
        <f t="shared" si="0"/>
        <v>0</v>
      </c>
      <c r="F48" s="468">
        <f t="shared" si="4"/>
        <v>0</v>
      </c>
      <c r="G48" s="463">
        <f t="shared" si="1"/>
        <v>360</v>
      </c>
      <c r="H48" s="464">
        <f>'Transp. Camión con Acoplado'!A*(E48/60)</f>
        <v>0</v>
      </c>
      <c r="I48" s="464">
        <f>'Transp. Camión con Acoplado'!B*(E48/60)</f>
        <v>0</v>
      </c>
      <c r="J48" s="464">
        <f>'Transp. Camión con Acoplado'!C_*(C48/60)</f>
        <v>0</v>
      </c>
      <c r="K48" s="464">
        <f>'Transp. Camión con Acoplado'!D*(E48/60)</f>
        <v>0</v>
      </c>
      <c r="L48" s="464">
        <f>'Transp. Camión con Acoplado'!E*(E48/60)</f>
        <v>0</v>
      </c>
      <c r="M48" s="464">
        <f>'Transp. Camión con Acoplado'!F_*G48</f>
        <v>0</v>
      </c>
      <c r="N48" s="464">
        <f t="shared" si="2"/>
        <v>0</v>
      </c>
      <c r="O48" s="464">
        <f>+G48*'Transp. Camión con Acoplado'!G</f>
        <v>0</v>
      </c>
      <c r="P48" s="465">
        <f t="shared" si="5"/>
        <v>0</v>
      </c>
      <c r="R48" s="466"/>
    </row>
    <row r="49" spans="1:18" ht="15" customHeight="1" x14ac:dyDescent="0.2">
      <c r="A49" s="458">
        <v>200</v>
      </c>
      <c r="B49" s="467"/>
      <c r="C49" s="460">
        <f t="shared" si="3"/>
        <v>0</v>
      </c>
      <c r="D49" s="460"/>
      <c r="E49" s="460">
        <f t="shared" si="0"/>
        <v>0</v>
      </c>
      <c r="F49" s="468">
        <f t="shared" si="4"/>
        <v>0</v>
      </c>
      <c r="G49" s="463">
        <f t="shared" si="1"/>
        <v>400</v>
      </c>
      <c r="H49" s="464">
        <f>'Transp. Camión con Acoplado'!A*(E49/60)</f>
        <v>0</v>
      </c>
      <c r="I49" s="464">
        <f>'Transp. Camión con Acoplado'!B*(E49/60)</f>
        <v>0</v>
      </c>
      <c r="J49" s="464">
        <f>'Transp. Camión con Acoplado'!C_*(C49/60)</f>
        <v>0</v>
      </c>
      <c r="K49" s="464">
        <f>'Transp. Camión con Acoplado'!D*(E49/60)</f>
        <v>0</v>
      </c>
      <c r="L49" s="464">
        <f>'Transp. Camión con Acoplado'!E*(E49/60)</f>
        <v>0</v>
      </c>
      <c r="M49" s="464">
        <f>'Transp. Camión con Acoplado'!F_*G49</f>
        <v>0</v>
      </c>
      <c r="N49" s="464">
        <f t="shared" si="2"/>
        <v>0</v>
      </c>
      <c r="O49" s="464">
        <f>+G49*'Transp. Camión con Acoplado'!G</f>
        <v>0</v>
      </c>
      <c r="P49" s="465">
        <f t="shared" si="5"/>
        <v>0</v>
      </c>
      <c r="R49" s="466"/>
    </row>
    <row r="50" spans="1:18" ht="15" customHeight="1" x14ac:dyDescent="0.2">
      <c r="A50" s="458">
        <v>225</v>
      </c>
      <c r="B50" s="467"/>
      <c r="C50" s="460">
        <f t="shared" si="3"/>
        <v>0</v>
      </c>
      <c r="D50" s="460"/>
      <c r="E50" s="460">
        <f t="shared" si="0"/>
        <v>0</v>
      </c>
      <c r="F50" s="468">
        <f t="shared" si="4"/>
        <v>0</v>
      </c>
      <c r="G50" s="463">
        <f t="shared" si="1"/>
        <v>450</v>
      </c>
      <c r="H50" s="464">
        <f>'Transp. Camión con Acoplado'!A*(E50/60)</f>
        <v>0</v>
      </c>
      <c r="I50" s="464">
        <f>'Transp. Camión con Acoplado'!B*(E50/60)</f>
        <v>0</v>
      </c>
      <c r="J50" s="464">
        <f>'Transp. Camión con Acoplado'!C_*(C50/60)</f>
        <v>0</v>
      </c>
      <c r="K50" s="464">
        <f>'Transp. Camión con Acoplado'!D*(E50/60)</f>
        <v>0</v>
      </c>
      <c r="L50" s="464">
        <f>'Transp. Camión con Acoplado'!E*(E50/60)</f>
        <v>0</v>
      </c>
      <c r="M50" s="464">
        <f>'Transp. Camión con Acoplado'!F_*G50</f>
        <v>0</v>
      </c>
      <c r="N50" s="464">
        <f t="shared" si="2"/>
        <v>0</v>
      </c>
      <c r="O50" s="464">
        <f>+G50*'Transp. Camión con Acoplado'!G</f>
        <v>0</v>
      </c>
      <c r="P50" s="465">
        <f t="shared" si="5"/>
        <v>0</v>
      </c>
      <c r="R50" s="466"/>
    </row>
    <row r="51" spans="1:18" ht="15" customHeight="1" x14ac:dyDescent="0.2">
      <c r="A51" s="458">
        <v>250</v>
      </c>
      <c r="B51" s="467"/>
      <c r="C51" s="460">
        <f t="shared" si="3"/>
        <v>0</v>
      </c>
      <c r="D51" s="460"/>
      <c r="E51" s="460">
        <f t="shared" si="0"/>
        <v>0</v>
      </c>
      <c r="F51" s="468">
        <f t="shared" si="4"/>
        <v>0</v>
      </c>
      <c r="G51" s="463">
        <f t="shared" si="1"/>
        <v>500</v>
      </c>
      <c r="H51" s="464">
        <f>'Transp. Camión con Acoplado'!A*(E51/60)</f>
        <v>0</v>
      </c>
      <c r="I51" s="464">
        <f>'Transp. Camión con Acoplado'!B*(E51/60)</f>
        <v>0</v>
      </c>
      <c r="J51" s="464">
        <f>'Transp. Camión con Acoplado'!C_*(C51/60)</f>
        <v>0</v>
      </c>
      <c r="K51" s="464">
        <f>'Transp. Camión con Acoplado'!D*(E51/60)</f>
        <v>0</v>
      </c>
      <c r="L51" s="464">
        <f>'Transp. Camión con Acoplado'!E*(E51/60)</f>
        <v>0</v>
      </c>
      <c r="M51" s="464">
        <f>'Transp. Camión con Acoplado'!F_*G51</f>
        <v>0</v>
      </c>
      <c r="N51" s="464">
        <f t="shared" si="2"/>
        <v>0</v>
      </c>
      <c r="O51" s="464">
        <f>+G51*'Transp. Camión con Acoplado'!G</f>
        <v>0</v>
      </c>
      <c r="P51" s="465">
        <f t="shared" si="5"/>
        <v>0</v>
      </c>
      <c r="R51" s="466"/>
    </row>
    <row r="52" spans="1:18" ht="15" customHeight="1" x14ac:dyDescent="0.2">
      <c r="A52" s="458">
        <v>275</v>
      </c>
      <c r="B52" s="467"/>
      <c r="C52" s="460">
        <f t="shared" si="3"/>
        <v>0</v>
      </c>
      <c r="D52" s="460"/>
      <c r="E52" s="460">
        <f t="shared" si="0"/>
        <v>0</v>
      </c>
      <c r="F52" s="468">
        <f t="shared" si="4"/>
        <v>0</v>
      </c>
      <c r="G52" s="463">
        <f t="shared" si="1"/>
        <v>550</v>
      </c>
      <c r="H52" s="464">
        <f>'Transp. Camión con Acoplado'!A*(E52/60)</f>
        <v>0</v>
      </c>
      <c r="I52" s="464">
        <f>'Transp. Camión con Acoplado'!B*(E52/60)</f>
        <v>0</v>
      </c>
      <c r="J52" s="464">
        <f>'Transp. Camión con Acoplado'!C_*(C52/60)</f>
        <v>0</v>
      </c>
      <c r="K52" s="464">
        <f>'Transp. Camión con Acoplado'!D*(E52/60)</f>
        <v>0</v>
      </c>
      <c r="L52" s="464">
        <f>'Transp. Camión con Acoplado'!E*(E52/60)</f>
        <v>0</v>
      </c>
      <c r="M52" s="464">
        <f>'Transp. Camión con Acoplado'!F_*G52</f>
        <v>0</v>
      </c>
      <c r="N52" s="464">
        <f t="shared" si="2"/>
        <v>0</v>
      </c>
      <c r="O52" s="464">
        <f>+G52*'Transp. Camión con Acoplado'!G</f>
        <v>0</v>
      </c>
      <c r="P52" s="465">
        <f t="shared" si="5"/>
        <v>0</v>
      </c>
      <c r="R52" s="466"/>
    </row>
    <row r="53" spans="1:18" ht="15" customHeight="1" x14ac:dyDescent="0.2">
      <c r="A53" s="458">
        <v>300</v>
      </c>
      <c r="B53" s="467"/>
      <c r="C53" s="460">
        <f t="shared" si="3"/>
        <v>0</v>
      </c>
      <c r="D53" s="460"/>
      <c r="E53" s="460">
        <f t="shared" si="0"/>
        <v>0</v>
      </c>
      <c r="F53" s="468">
        <f t="shared" si="4"/>
        <v>0</v>
      </c>
      <c r="G53" s="463">
        <f t="shared" si="1"/>
        <v>600</v>
      </c>
      <c r="H53" s="464">
        <f>'Transp. Camión con Acoplado'!A*(E53/60)</f>
        <v>0</v>
      </c>
      <c r="I53" s="464">
        <f>'Transp. Camión con Acoplado'!B*(E53/60)</f>
        <v>0</v>
      </c>
      <c r="J53" s="464">
        <f>'Transp. Camión con Acoplado'!C_*(C53/60)</f>
        <v>0</v>
      </c>
      <c r="K53" s="464">
        <f>'Transp. Camión con Acoplado'!D*(E53/60)</f>
        <v>0</v>
      </c>
      <c r="L53" s="464">
        <f>'Transp. Camión con Acoplado'!E*(E53/60)</f>
        <v>0</v>
      </c>
      <c r="M53" s="464">
        <f>'Transp. Camión con Acoplado'!F_*G53</f>
        <v>0</v>
      </c>
      <c r="N53" s="464">
        <f t="shared" si="2"/>
        <v>0</v>
      </c>
      <c r="O53" s="464">
        <f>+G53*'Transp. Camión con Acoplado'!G</f>
        <v>0</v>
      </c>
      <c r="P53" s="465">
        <f t="shared" si="5"/>
        <v>0</v>
      </c>
      <c r="R53" s="466"/>
    </row>
    <row r="54" spans="1:18" ht="15" customHeight="1" x14ac:dyDescent="0.2">
      <c r="A54" s="458">
        <v>325</v>
      </c>
      <c r="B54" s="467"/>
      <c r="C54" s="460">
        <f t="shared" si="3"/>
        <v>0</v>
      </c>
      <c r="D54" s="460"/>
      <c r="E54" s="460">
        <f t="shared" si="0"/>
        <v>0</v>
      </c>
      <c r="F54" s="468">
        <f t="shared" si="4"/>
        <v>0</v>
      </c>
      <c r="G54" s="463">
        <f t="shared" si="1"/>
        <v>650</v>
      </c>
      <c r="H54" s="464">
        <f>'Transp. Camión con Acoplado'!A*(E54/60)</f>
        <v>0</v>
      </c>
      <c r="I54" s="464">
        <f>'Transp. Camión con Acoplado'!B*(E54/60)</f>
        <v>0</v>
      </c>
      <c r="J54" s="464">
        <f>'Transp. Camión con Acoplado'!C_*(C54/60)</f>
        <v>0</v>
      </c>
      <c r="K54" s="464">
        <f>'Transp. Camión con Acoplado'!D*(E54/60)</f>
        <v>0</v>
      </c>
      <c r="L54" s="464">
        <f>'Transp. Camión con Acoplado'!E*(E54/60)</f>
        <v>0</v>
      </c>
      <c r="M54" s="464">
        <f>'Transp. Camión con Acoplado'!F_*G54</f>
        <v>0</v>
      </c>
      <c r="N54" s="464">
        <f t="shared" si="2"/>
        <v>0</v>
      </c>
      <c r="O54" s="464">
        <f>+G54*'Transp. Camión con Acoplado'!G</f>
        <v>0</v>
      </c>
      <c r="P54" s="465">
        <f t="shared" si="5"/>
        <v>0</v>
      </c>
      <c r="R54" s="466"/>
    </row>
    <row r="55" spans="1:18" ht="15" customHeight="1" x14ac:dyDescent="0.2">
      <c r="A55" s="458">
        <v>350</v>
      </c>
      <c r="B55" s="467"/>
      <c r="C55" s="460">
        <f t="shared" si="3"/>
        <v>0</v>
      </c>
      <c r="D55" s="460"/>
      <c r="E55" s="460">
        <f t="shared" si="0"/>
        <v>0</v>
      </c>
      <c r="F55" s="468">
        <f t="shared" si="4"/>
        <v>0</v>
      </c>
      <c r="G55" s="463">
        <f t="shared" si="1"/>
        <v>700</v>
      </c>
      <c r="H55" s="464">
        <f>'Transp. Camión con Acoplado'!A*(E55/60)</f>
        <v>0</v>
      </c>
      <c r="I55" s="464">
        <f>'Transp. Camión con Acoplado'!B*(E55/60)</f>
        <v>0</v>
      </c>
      <c r="J55" s="464">
        <f>'Transp. Camión con Acoplado'!C_*(C55/60)</f>
        <v>0</v>
      </c>
      <c r="K55" s="464">
        <f>'Transp. Camión con Acoplado'!D*(E55/60)</f>
        <v>0</v>
      </c>
      <c r="L55" s="464">
        <f>'Transp. Camión con Acoplado'!E*(E55/60)</f>
        <v>0</v>
      </c>
      <c r="M55" s="464">
        <f>'Transp. Camión con Acoplado'!F_*G55</f>
        <v>0</v>
      </c>
      <c r="N55" s="464">
        <f t="shared" si="2"/>
        <v>0</v>
      </c>
      <c r="O55" s="464">
        <f>+G55*'Transp. Camión con Acoplado'!G</f>
        <v>0</v>
      </c>
      <c r="P55" s="465">
        <f t="shared" si="5"/>
        <v>0</v>
      </c>
      <c r="R55" s="466"/>
    </row>
    <row r="56" spans="1:18" ht="15" customHeight="1" x14ac:dyDescent="0.2">
      <c r="A56" s="458">
        <v>375</v>
      </c>
      <c r="B56" s="467"/>
      <c r="C56" s="460">
        <f t="shared" si="3"/>
        <v>0</v>
      </c>
      <c r="D56" s="460"/>
      <c r="E56" s="460">
        <f t="shared" si="0"/>
        <v>0</v>
      </c>
      <c r="F56" s="468">
        <f t="shared" si="4"/>
        <v>0</v>
      </c>
      <c r="G56" s="463">
        <f t="shared" si="1"/>
        <v>750</v>
      </c>
      <c r="H56" s="464">
        <f>'Transp. Camión con Acoplado'!A*(E56/60)</f>
        <v>0</v>
      </c>
      <c r="I56" s="464">
        <f>'Transp. Camión con Acoplado'!B*(E56/60)</f>
        <v>0</v>
      </c>
      <c r="J56" s="464">
        <f>'Transp. Camión con Acoplado'!C_*(C56/60)</f>
        <v>0</v>
      </c>
      <c r="K56" s="464">
        <f>'Transp. Camión con Acoplado'!D*(E56/60)</f>
        <v>0</v>
      </c>
      <c r="L56" s="464">
        <f>'Transp. Camión con Acoplado'!E*(E56/60)</f>
        <v>0</v>
      </c>
      <c r="M56" s="464">
        <f>'Transp. Camión con Acoplado'!F_*G56</f>
        <v>0</v>
      </c>
      <c r="N56" s="464">
        <f t="shared" si="2"/>
        <v>0</v>
      </c>
      <c r="O56" s="464">
        <f>+G56*'Transp. Camión con Acoplado'!G</f>
        <v>0</v>
      </c>
      <c r="P56" s="465">
        <f t="shared" si="5"/>
        <v>0</v>
      </c>
      <c r="R56" s="466"/>
    </row>
    <row r="57" spans="1:18" ht="15" customHeight="1" x14ac:dyDescent="0.2">
      <c r="A57" s="458">
        <v>400</v>
      </c>
      <c r="B57" s="467"/>
      <c r="C57" s="460">
        <f t="shared" si="3"/>
        <v>0</v>
      </c>
      <c r="D57" s="460"/>
      <c r="E57" s="460">
        <f t="shared" si="0"/>
        <v>0</v>
      </c>
      <c r="F57" s="468">
        <f t="shared" si="4"/>
        <v>0</v>
      </c>
      <c r="G57" s="463">
        <f t="shared" si="1"/>
        <v>800</v>
      </c>
      <c r="H57" s="464">
        <f>'Transp. Camión con Acoplado'!A*(E57/60)</f>
        <v>0</v>
      </c>
      <c r="I57" s="464">
        <f>'Transp. Camión con Acoplado'!B*(E57/60)</f>
        <v>0</v>
      </c>
      <c r="J57" s="464">
        <f>'Transp. Camión con Acoplado'!C_*(C57/60)</f>
        <v>0</v>
      </c>
      <c r="K57" s="464">
        <f>'Transp. Camión con Acoplado'!D*(E57/60)</f>
        <v>0</v>
      </c>
      <c r="L57" s="464">
        <f>'Transp. Camión con Acoplado'!E*(E57/60)</f>
        <v>0</v>
      </c>
      <c r="M57" s="464">
        <f>'Transp. Camión con Acoplado'!F_*G57</f>
        <v>0</v>
      </c>
      <c r="N57" s="464">
        <f t="shared" si="2"/>
        <v>0</v>
      </c>
      <c r="O57" s="464">
        <f>+G57*'Transp. Camión con Acoplado'!G</f>
        <v>0</v>
      </c>
      <c r="P57" s="465">
        <f t="shared" si="5"/>
        <v>0</v>
      </c>
      <c r="R57" s="466"/>
    </row>
    <row r="58" spans="1:18" ht="15" customHeight="1" x14ac:dyDescent="0.2">
      <c r="A58" s="458">
        <v>425</v>
      </c>
      <c r="B58" s="467"/>
      <c r="C58" s="460">
        <f t="shared" si="3"/>
        <v>0</v>
      </c>
      <c r="D58" s="460"/>
      <c r="E58" s="460">
        <f t="shared" si="0"/>
        <v>0</v>
      </c>
      <c r="F58" s="468">
        <f t="shared" si="4"/>
        <v>0</v>
      </c>
      <c r="G58" s="463">
        <f t="shared" si="1"/>
        <v>850</v>
      </c>
      <c r="H58" s="464">
        <f>'Transp. Camión con Acoplado'!A*(E58/60)</f>
        <v>0</v>
      </c>
      <c r="I58" s="464">
        <f>'Transp. Camión con Acoplado'!B*(E58/60)</f>
        <v>0</v>
      </c>
      <c r="J58" s="464">
        <f>'Transp. Camión con Acoplado'!C_*(C58/60)</f>
        <v>0</v>
      </c>
      <c r="K58" s="464">
        <f>'Transp. Camión con Acoplado'!D*(E58/60)</f>
        <v>0</v>
      </c>
      <c r="L58" s="464">
        <f>'Transp. Camión con Acoplado'!E*(E58/60)</f>
        <v>0</v>
      </c>
      <c r="M58" s="464">
        <f>'Transp. Camión con Acoplado'!F_*G58</f>
        <v>0</v>
      </c>
      <c r="N58" s="464">
        <f t="shared" si="2"/>
        <v>0</v>
      </c>
      <c r="O58" s="464">
        <f>+G58*'Transp. Camión con Acoplado'!G</f>
        <v>0</v>
      </c>
      <c r="P58" s="465">
        <f t="shared" si="5"/>
        <v>0</v>
      </c>
      <c r="R58" s="466"/>
    </row>
    <row r="59" spans="1:18" ht="15" customHeight="1" x14ac:dyDescent="0.2">
      <c r="A59" s="458">
        <v>450</v>
      </c>
      <c r="B59" s="467"/>
      <c r="C59" s="460">
        <f t="shared" si="3"/>
        <v>0</v>
      </c>
      <c r="D59" s="460"/>
      <c r="E59" s="460">
        <f t="shared" si="0"/>
        <v>0</v>
      </c>
      <c r="F59" s="468">
        <f t="shared" si="4"/>
        <v>0</v>
      </c>
      <c r="G59" s="463">
        <f t="shared" si="1"/>
        <v>900</v>
      </c>
      <c r="H59" s="464">
        <f>'Transp. Camión con Acoplado'!A*(E59/60)</f>
        <v>0</v>
      </c>
      <c r="I59" s="464">
        <f>'Transp. Camión con Acoplado'!B*(E59/60)</f>
        <v>0</v>
      </c>
      <c r="J59" s="464">
        <f>'Transp. Camión con Acoplado'!C_*(C59/60)</f>
        <v>0</v>
      </c>
      <c r="K59" s="464">
        <f>'Transp. Camión con Acoplado'!D*(E59/60)</f>
        <v>0</v>
      </c>
      <c r="L59" s="464">
        <f>'Transp. Camión con Acoplado'!E*(E59/60)</f>
        <v>0</v>
      </c>
      <c r="M59" s="464">
        <f>'Transp. Camión con Acoplado'!F_*G59</f>
        <v>0</v>
      </c>
      <c r="N59" s="464">
        <f t="shared" si="2"/>
        <v>0</v>
      </c>
      <c r="O59" s="464">
        <f>+G59*'Transp. Camión con Acoplado'!G</f>
        <v>0</v>
      </c>
      <c r="P59" s="465">
        <f t="shared" si="5"/>
        <v>0</v>
      </c>
      <c r="R59" s="466"/>
    </row>
    <row r="60" spans="1:18" ht="15" customHeight="1" x14ac:dyDescent="0.2">
      <c r="A60" s="458">
        <v>475</v>
      </c>
      <c r="B60" s="467"/>
      <c r="C60" s="460">
        <f t="shared" si="3"/>
        <v>0</v>
      </c>
      <c r="D60" s="460"/>
      <c r="E60" s="460">
        <f t="shared" si="0"/>
        <v>0</v>
      </c>
      <c r="F60" s="468">
        <f t="shared" si="4"/>
        <v>0</v>
      </c>
      <c r="G60" s="463">
        <f t="shared" si="1"/>
        <v>950</v>
      </c>
      <c r="H60" s="464">
        <f>'Transp. Camión con Acoplado'!A*(E60/60)</f>
        <v>0</v>
      </c>
      <c r="I60" s="464">
        <f>'Transp. Camión con Acoplado'!B*(E60/60)</f>
        <v>0</v>
      </c>
      <c r="J60" s="464">
        <f>'Transp. Camión con Acoplado'!C_*(C60/60)</f>
        <v>0</v>
      </c>
      <c r="K60" s="464">
        <f>'Transp. Camión con Acoplado'!D*(E60/60)</f>
        <v>0</v>
      </c>
      <c r="L60" s="464">
        <f>'Transp. Camión con Acoplado'!E*(E60/60)</f>
        <v>0</v>
      </c>
      <c r="M60" s="464">
        <f>'Transp. Camión con Acoplado'!F_*G60</f>
        <v>0</v>
      </c>
      <c r="N60" s="464">
        <f t="shared" si="2"/>
        <v>0</v>
      </c>
      <c r="O60" s="464">
        <f>+G60*'Transp. Camión con Acoplado'!G</f>
        <v>0</v>
      </c>
      <c r="P60" s="465">
        <f t="shared" si="5"/>
        <v>0</v>
      </c>
      <c r="R60" s="466"/>
    </row>
    <row r="61" spans="1:18" ht="15" customHeight="1" x14ac:dyDescent="0.2">
      <c r="A61" s="458">
        <v>500</v>
      </c>
      <c r="B61" s="467"/>
      <c r="C61" s="460">
        <f t="shared" si="3"/>
        <v>0</v>
      </c>
      <c r="D61" s="460"/>
      <c r="E61" s="460">
        <f t="shared" si="0"/>
        <v>0</v>
      </c>
      <c r="F61" s="468">
        <f t="shared" si="4"/>
        <v>0</v>
      </c>
      <c r="G61" s="463">
        <f t="shared" si="1"/>
        <v>1000</v>
      </c>
      <c r="H61" s="464">
        <f>'Transp. Camión con Acoplado'!A*(E61/60)</f>
        <v>0</v>
      </c>
      <c r="I61" s="464">
        <f>'Transp. Camión con Acoplado'!B*(E61/60)</f>
        <v>0</v>
      </c>
      <c r="J61" s="464">
        <f>'Transp. Camión con Acoplado'!C_*(C61/60)</f>
        <v>0</v>
      </c>
      <c r="K61" s="464">
        <f>'Transp. Camión con Acoplado'!D*(E61/60)</f>
        <v>0</v>
      </c>
      <c r="L61" s="464">
        <f>'Transp. Camión con Acoplado'!E*(E61/60)</f>
        <v>0</v>
      </c>
      <c r="M61" s="464">
        <f>'Transp. Camión con Acoplado'!F_*G61</f>
        <v>0</v>
      </c>
      <c r="N61" s="464">
        <f t="shared" si="2"/>
        <v>0</v>
      </c>
      <c r="O61" s="464">
        <f>+G61*'Transp. Camión con Acoplado'!G</f>
        <v>0</v>
      </c>
      <c r="P61" s="465">
        <f t="shared" si="5"/>
        <v>0</v>
      </c>
      <c r="R61" s="466"/>
    </row>
    <row r="62" spans="1:18" ht="15" customHeight="1" x14ac:dyDescent="0.2">
      <c r="A62" s="458">
        <v>600</v>
      </c>
      <c r="B62" s="467"/>
      <c r="C62" s="460">
        <f t="shared" si="3"/>
        <v>0</v>
      </c>
      <c r="D62" s="460"/>
      <c r="E62" s="460">
        <f t="shared" si="0"/>
        <v>0</v>
      </c>
      <c r="F62" s="468">
        <f t="shared" si="4"/>
        <v>0</v>
      </c>
      <c r="G62" s="463">
        <f t="shared" si="1"/>
        <v>1200</v>
      </c>
      <c r="H62" s="464">
        <f>'Transp. Camión con Acoplado'!A*(E62/60)</f>
        <v>0</v>
      </c>
      <c r="I62" s="464">
        <f>'Transp. Camión con Acoplado'!B*(E62/60)</f>
        <v>0</v>
      </c>
      <c r="J62" s="464">
        <f>'Transp. Camión con Acoplado'!C_*(C62/60)</f>
        <v>0</v>
      </c>
      <c r="K62" s="464">
        <f>'Transp. Camión con Acoplado'!D*(E62/60)</f>
        <v>0</v>
      </c>
      <c r="L62" s="464">
        <f>'Transp. Camión con Acoplado'!E*(E62/60)</f>
        <v>0</v>
      </c>
      <c r="M62" s="464">
        <f>'Transp. Camión con Acoplado'!F_*G62</f>
        <v>0</v>
      </c>
      <c r="N62" s="464">
        <f t="shared" si="2"/>
        <v>0</v>
      </c>
      <c r="O62" s="464">
        <f>+G62*'Transp. Camión con Acoplado'!G</f>
        <v>0</v>
      </c>
      <c r="P62" s="465">
        <f t="shared" si="5"/>
        <v>0</v>
      </c>
      <c r="R62" s="466"/>
    </row>
    <row r="63" spans="1:18" ht="15" customHeight="1" x14ac:dyDescent="0.2">
      <c r="A63" s="458">
        <v>800</v>
      </c>
      <c r="B63" s="467"/>
      <c r="C63" s="460">
        <f t="shared" si="3"/>
        <v>0</v>
      </c>
      <c r="D63" s="460"/>
      <c r="E63" s="460">
        <f t="shared" si="0"/>
        <v>0</v>
      </c>
      <c r="F63" s="468">
        <f t="shared" si="4"/>
        <v>0</v>
      </c>
      <c r="G63" s="463">
        <f t="shared" si="1"/>
        <v>1600</v>
      </c>
      <c r="H63" s="464">
        <f>'Transp. Camión con Acoplado'!A*(E63/60)</f>
        <v>0</v>
      </c>
      <c r="I63" s="464">
        <f>'Transp. Camión con Acoplado'!B*(E63/60)</f>
        <v>0</v>
      </c>
      <c r="J63" s="464">
        <f>'Transp. Camión con Acoplado'!C_*(C63/60)</f>
        <v>0</v>
      </c>
      <c r="K63" s="464">
        <f>'Transp. Camión con Acoplado'!D*(E63/60)</f>
        <v>0</v>
      </c>
      <c r="L63" s="464">
        <f>'Transp. Camión con Acoplado'!E*(E63/60)</f>
        <v>0</v>
      </c>
      <c r="M63" s="464">
        <f>'Transp. Camión con Acoplado'!F_*G63</f>
        <v>0</v>
      </c>
      <c r="N63" s="464">
        <f t="shared" si="2"/>
        <v>0</v>
      </c>
      <c r="O63" s="464">
        <f>+G63*'Transp. Camión con Acoplado'!G</f>
        <v>0</v>
      </c>
      <c r="P63" s="465">
        <f t="shared" si="5"/>
        <v>0</v>
      </c>
      <c r="R63" s="466"/>
    </row>
    <row r="64" spans="1:18" ht="15" customHeight="1" x14ac:dyDescent="0.2">
      <c r="A64" s="458">
        <v>1000</v>
      </c>
      <c r="B64" s="467"/>
      <c r="C64" s="460">
        <f t="shared" si="3"/>
        <v>0</v>
      </c>
      <c r="D64" s="460"/>
      <c r="E64" s="460">
        <f t="shared" si="0"/>
        <v>0</v>
      </c>
      <c r="F64" s="468">
        <f t="shared" si="4"/>
        <v>0</v>
      </c>
      <c r="G64" s="463">
        <f t="shared" si="1"/>
        <v>2000</v>
      </c>
      <c r="H64" s="464">
        <f>'Transp. Camión con Acoplado'!A*(E64/60)</f>
        <v>0</v>
      </c>
      <c r="I64" s="464">
        <f>'Transp. Camión con Acoplado'!B*(E64/60)</f>
        <v>0</v>
      </c>
      <c r="J64" s="464">
        <f>'Transp. Camión con Acoplado'!C_*(C64/60)</f>
        <v>0</v>
      </c>
      <c r="K64" s="464">
        <f>'Transp. Camión con Acoplado'!D*(E64/60)</f>
        <v>0</v>
      </c>
      <c r="L64" s="464">
        <f>'Transp. Camión con Acoplado'!E*(E64/60)</f>
        <v>0</v>
      </c>
      <c r="M64" s="464">
        <f>'Transp. Camión con Acoplado'!F_*G64</f>
        <v>0</v>
      </c>
      <c r="N64" s="464">
        <f t="shared" si="2"/>
        <v>0</v>
      </c>
      <c r="O64" s="464">
        <f>+G64*'Transp. Camión con Acoplado'!G</f>
        <v>0</v>
      </c>
      <c r="P64" s="465">
        <f t="shared" si="5"/>
        <v>0</v>
      </c>
      <c r="R64" s="469"/>
    </row>
    <row r="65" spans="13:16" ht="15" customHeight="1" x14ac:dyDescent="0.2">
      <c r="M65" s="770"/>
      <c r="N65" s="770"/>
      <c r="O65" s="770"/>
      <c r="P65" s="770"/>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771" t="s">
        <v>43</v>
      </c>
      <c r="F3" s="627"/>
      <c r="G3" s="627"/>
    </row>
    <row r="4" spans="1:7" x14ac:dyDescent="0.2">
      <c r="A4" s="626"/>
      <c r="B4" s="625" t="s">
        <v>44</v>
      </c>
      <c r="C4" s="627"/>
      <c r="D4" s="627"/>
      <c r="E4" s="771"/>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771" t="s">
        <v>343</v>
      </c>
      <c r="B225" s="771" t="s">
        <v>42</v>
      </c>
      <c r="C225" s="771"/>
      <c r="D225" s="771"/>
      <c r="E225" s="771" t="s">
        <v>43</v>
      </c>
    </row>
    <row r="226" spans="1:5" x14ac:dyDescent="0.2">
      <c r="A226" s="771"/>
      <c r="B226" s="771" t="s">
        <v>44</v>
      </c>
      <c r="C226" s="771"/>
      <c r="D226" s="771"/>
      <c r="E226" s="771"/>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771" t="s">
        <v>343</v>
      </c>
      <c r="B237" s="771" t="s">
        <v>42</v>
      </c>
      <c r="C237" s="771"/>
      <c r="D237" s="771"/>
      <c r="E237" s="771" t="s">
        <v>331</v>
      </c>
    </row>
    <row r="238" spans="1:5" x14ac:dyDescent="0.2">
      <c r="A238" s="771"/>
      <c r="B238" s="771"/>
      <c r="C238" s="771"/>
      <c r="D238" s="771"/>
      <c r="E238" s="771"/>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771" t="s">
        <v>343</v>
      </c>
      <c r="B264" s="771" t="s">
        <v>42</v>
      </c>
      <c r="C264" s="771"/>
      <c r="D264" s="771"/>
      <c r="E264" s="771" t="s">
        <v>331</v>
      </c>
      <c r="F264" s="643"/>
      <c r="G264" s="643"/>
    </row>
    <row r="265" spans="1:7" x14ac:dyDescent="0.2">
      <c r="A265" s="771"/>
      <c r="B265" s="771"/>
      <c r="C265" s="771"/>
      <c r="D265" s="771"/>
      <c r="E265" s="771"/>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771" t="s">
        <v>343</v>
      </c>
      <c r="B273" s="771" t="s">
        <v>42</v>
      </c>
      <c r="C273" s="771"/>
      <c r="D273" s="771"/>
      <c r="E273" s="771" t="s">
        <v>345</v>
      </c>
    </row>
    <row r="274" spans="1:6" x14ac:dyDescent="0.2">
      <c r="A274" s="771"/>
      <c r="B274" s="771" t="s">
        <v>44</v>
      </c>
      <c r="C274" s="771"/>
      <c r="D274" s="771"/>
      <c r="E274" s="771"/>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771" t="s">
        <v>343</v>
      </c>
      <c r="B288" s="771" t="s">
        <v>42</v>
      </c>
      <c r="C288" s="771"/>
      <c r="D288" s="771"/>
      <c r="E288" s="771" t="s">
        <v>355</v>
      </c>
    </row>
    <row r="289" spans="1:7" x14ac:dyDescent="0.2">
      <c r="A289" s="771"/>
      <c r="B289" s="771" t="s">
        <v>44</v>
      </c>
      <c r="C289" s="771"/>
      <c r="D289" s="771"/>
      <c r="E289" s="771"/>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771" t="s">
        <v>343</v>
      </c>
      <c r="B303" s="771" t="s">
        <v>42</v>
      </c>
      <c r="C303" s="771"/>
      <c r="D303" s="771"/>
      <c r="E303" s="771" t="s">
        <v>43</v>
      </c>
    </row>
    <row r="304" spans="1:7" x14ac:dyDescent="0.2">
      <c r="A304" s="771"/>
      <c r="B304" s="771" t="s">
        <v>44</v>
      </c>
      <c r="C304" s="771"/>
      <c r="D304" s="771"/>
      <c r="E304" s="771"/>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771" t="s">
        <v>343</v>
      </c>
      <c r="B450" s="771" t="s">
        <v>505</v>
      </c>
      <c r="C450" s="771"/>
      <c r="D450" s="771"/>
      <c r="E450" s="771" t="s">
        <v>43</v>
      </c>
    </row>
    <row r="451" spans="1:5" x14ac:dyDescent="0.2">
      <c r="A451" s="771"/>
      <c r="B451" s="771" t="s">
        <v>506</v>
      </c>
      <c r="C451" s="771"/>
      <c r="D451" s="771"/>
      <c r="E451" s="771"/>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771" t="s">
        <v>261</v>
      </c>
      <c r="C487" s="627"/>
      <c r="D487" s="627"/>
      <c r="E487" s="771" t="s">
        <v>262</v>
      </c>
      <c r="F487" s="771" t="s">
        <v>263</v>
      </c>
      <c r="G487" s="771" t="s">
        <v>264</v>
      </c>
    </row>
    <row r="488" spans="1:7" x14ac:dyDescent="0.2">
      <c r="A488" s="627"/>
      <c r="B488" s="771"/>
      <c r="C488" s="627"/>
      <c r="D488" s="627"/>
      <c r="E488" s="771"/>
      <c r="F488" s="771" t="s">
        <v>265</v>
      </c>
      <c r="G488" s="771"/>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771" t="s">
        <v>261</v>
      </c>
      <c r="C511" s="627"/>
      <c r="D511" s="627"/>
      <c r="E511" s="771" t="s">
        <v>262</v>
      </c>
      <c r="F511" s="771" t="s">
        <v>263</v>
      </c>
      <c r="G511" s="771" t="s">
        <v>264</v>
      </c>
    </row>
    <row r="512" spans="1:7" x14ac:dyDescent="0.2">
      <c r="A512" s="627"/>
      <c r="B512" s="771"/>
      <c r="C512" s="627"/>
      <c r="D512" s="627"/>
      <c r="E512" s="771"/>
      <c r="F512" s="771" t="s">
        <v>265</v>
      </c>
      <c r="G512" s="771"/>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771" t="s">
        <v>343</v>
      </c>
      <c r="B530" s="771" t="s">
        <v>42</v>
      </c>
      <c r="C530" s="771"/>
      <c r="D530" s="771"/>
      <c r="E530" s="771" t="s">
        <v>43</v>
      </c>
    </row>
    <row r="531" spans="1:5" x14ac:dyDescent="0.2">
      <c r="A531" s="771"/>
      <c r="B531" s="771" t="s">
        <v>44</v>
      </c>
      <c r="C531" s="771"/>
      <c r="D531" s="771"/>
      <c r="E531" s="771"/>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6"/>
    <col min="2" max="2" width="23" style="376" bestFit="1" customWidth="1"/>
    <col min="3" max="3" width="61.7109375" style="376" customWidth="1"/>
    <col min="4" max="4" width="17.28515625" style="376" bestFit="1" customWidth="1"/>
    <col min="5" max="16384" width="11.42578125" style="46"/>
  </cols>
  <sheetData>
    <row r="1" spans="1:19" x14ac:dyDescent="0.2">
      <c r="A1" s="193"/>
      <c r="B1" s="194" t="s">
        <v>1018</v>
      </c>
      <c r="C1" s="195" t="s">
        <v>1019</v>
      </c>
      <c r="D1" s="196"/>
      <c r="G1" s="197"/>
      <c r="H1" s="198" t="s">
        <v>1018</v>
      </c>
      <c r="I1" s="199" t="s">
        <v>1019</v>
      </c>
      <c r="J1" s="197"/>
      <c r="K1" s="197"/>
      <c r="L1" s="197"/>
      <c r="M1" s="197"/>
      <c r="N1" s="197"/>
      <c r="O1" s="200"/>
      <c r="P1" s="197"/>
      <c r="Q1" s="197"/>
      <c r="R1" s="197"/>
      <c r="S1" s="197"/>
    </row>
    <row r="2" spans="1:19" ht="15.75" thickBot="1" x14ac:dyDescent="0.25">
      <c r="A2" s="193"/>
      <c r="B2" s="194"/>
      <c r="C2" s="195"/>
      <c r="D2" s="196"/>
      <c r="G2" s="197"/>
      <c r="H2" s="201"/>
      <c r="I2" s="202"/>
      <c r="J2" s="197"/>
      <c r="K2" s="197"/>
      <c r="L2" s="197"/>
      <c r="M2" s="197"/>
      <c r="N2" s="197"/>
      <c r="O2" s="200"/>
      <c r="P2" s="197"/>
      <c r="Q2" s="197"/>
      <c r="R2" s="197"/>
      <c r="S2" s="197"/>
    </row>
    <row r="3" spans="1:19" x14ac:dyDescent="0.2">
      <c r="A3" s="203">
        <v>1</v>
      </c>
      <c r="B3" s="204" t="s">
        <v>1020</v>
      </c>
      <c r="C3" s="205" t="s">
        <v>1021</v>
      </c>
      <c r="D3" s="196"/>
      <c r="G3" s="197"/>
      <c r="H3" s="206">
        <v>1</v>
      </c>
      <c r="I3" s="207"/>
      <c r="J3" s="208"/>
      <c r="K3" s="209" t="s">
        <v>1021</v>
      </c>
      <c r="L3" s="210"/>
      <c r="M3" s="210"/>
      <c r="N3" s="210"/>
      <c r="O3" s="211"/>
      <c r="P3" s="197"/>
      <c r="Q3" s="212">
        <f>H3</f>
        <v>1</v>
      </c>
      <c r="R3" s="202" t="str">
        <f>CONCATENATE("II-",TEXT(Q3,"0000"))</f>
        <v>II-0001</v>
      </c>
      <c r="S3" s="213" t="str">
        <f>K3</f>
        <v xml:space="preserve"> ACERO EN BARRA COLOCADO</v>
      </c>
    </row>
    <row r="4" spans="1:19" x14ac:dyDescent="0.2">
      <c r="A4" s="203"/>
      <c r="B4" s="204"/>
      <c r="C4" s="205"/>
      <c r="D4" s="196"/>
      <c r="G4" s="197"/>
      <c r="H4" s="214"/>
      <c r="I4" s="215" t="s">
        <v>1022</v>
      </c>
      <c r="J4" s="216"/>
      <c r="K4" s="217" t="s">
        <v>1023</v>
      </c>
      <c r="L4" s="218"/>
      <c r="M4" s="218"/>
      <c r="N4" s="218"/>
      <c r="O4" s="219"/>
      <c r="P4" s="197"/>
      <c r="Q4" s="197"/>
      <c r="R4" s="197"/>
      <c r="S4" s="197"/>
    </row>
    <row r="5" spans="1:19" x14ac:dyDescent="0.2">
      <c r="A5" s="203">
        <v>1</v>
      </c>
      <c r="B5" s="204" t="s">
        <v>1024</v>
      </c>
      <c r="C5" s="205" t="s">
        <v>1025</v>
      </c>
      <c r="D5" s="220" t="s">
        <v>1026</v>
      </c>
      <c r="G5" s="197"/>
      <c r="H5" s="214"/>
      <c r="I5" s="221"/>
      <c r="J5" s="222">
        <v>1</v>
      </c>
      <c r="K5" s="223"/>
      <c r="L5" s="224" t="s">
        <v>1027</v>
      </c>
      <c r="M5" s="223"/>
      <c r="N5" s="223"/>
      <c r="O5" s="225" t="s">
        <v>1026</v>
      </c>
      <c r="P5" s="197"/>
      <c r="Q5" s="212">
        <v>1</v>
      </c>
      <c r="R5" s="204" t="str">
        <f>CONCATENATE($R$3,".",TEXT(Q5,"0000"))</f>
        <v>II-0001.0001</v>
      </c>
      <c r="S5" s="197" t="str">
        <f t="shared" ref="S5:S12" si="0">CONCATENATE($E$4," ",L5)</f>
        <v xml:space="preserve"> Ø4</v>
      </c>
    </row>
    <row r="6" spans="1:19" x14ac:dyDescent="0.2">
      <c r="A6" s="203">
        <v>2</v>
      </c>
      <c r="B6" s="196" t="s">
        <v>1028</v>
      </c>
      <c r="C6" s="205" t="s">
        <v>1029</v>
      </c>
      <c r="D6" s="220" t="s">
        <v>1026</v>
      </c>
      <c r="G6" s="197"/>
      <c r="H6" s="214"/>
      <c r="I6" s="221"/>
      <c r="J6" s="222">
        <v>2</v>
      </c>
      <c r="K6" s="223"/>
      <c r="L6" s="224" t="s">
        <v>1030</v>
      </c>
      <c r="M6" s="223"/>
      <c r="N6" s="223"/>
      <c r="O6" s="225" t="s">
        <v>1026</v>
      </c>
      <c r="P6" s="197"/>
      <c r="Q6" s="212">
        <v>2</v>
      </c>
      <c r="R6" s="204" t="str">
        <f t="shared" ref="R6:R30" si="1">CONCATENATE($R$3,".",TEXT(Q6,"0000"))</f>
        <v>II-0001.0002</v>
      </c>
      <c r="S6" s="197" t="str">
        <f t="shared" si="0"/>
        <v xml:space="preserve"> Ø6</v>
      </c>
    </row>
    <row r="7" spans="1:19" x14ac:dyDescent="0.2">
      <c r="A7" s="203">
        <v>3</v>
      </c>
      <c r="B7" s="196" t="s">
        <v>1031</v>
      </c>
      <c r="C7" s="205" t="s">
        <v>1032</v>
      </c>
      <c r="D7" s="220" t="s">
        <v>1026</v>
      </c>
      <c r="G7" s="197"/>
      <c r="H7" s="214"/>
      <c r="I7" s="221"/>
      <c r="J7" s="222">
        <v>3</v>
      </c>
      <c r="K7" s="223"/>
      <c r="L7" s="224" t="s">
        <v>1033</v>
      </c>
      <c r="M7" s="223"/>
      <c r="N7" s="223"/>
      <c r="O7" s="225" t="s">
        <v>1026</v>
      </c>
      <c r="P7" s="197"/>
      <c r="Q7" s="212">
        <v>3</v>
      </c>
      <c r="R7" s="204" t="str">
        <f t="shared" si="1"/>
        <v>II-0001.0003</v>
      </c>
      <c r="S7" s="197" t="str">
        <f t="shared" si="0"/>
        <v xml:space="preserve"> Ø8</v>
      </c>
    </row>
    <row r="8" spans="1:19" x14ac:dyDescent="0.2">
      <c r="A8" s="203">
        <v>4</v>
      </c>
      <c r="B8" s="226" t="s">
        <v>1034</v>
      </c>
      <c r="C8" s="227" t="s">
        <v>1035</v>
      </c>
      <c r="D8" s="220" t="s">
        <v>1026</v>
      </c>
      <c r="G8" s="197"/>
      <c r="H8" s="214"/>
      <c r="I8" s="221"/>
      <c r="J8" s="222">
        <v>4</v>
      </c>
      <c r="K8" s="223"/>
      <c r="L8" s="224" t="s">
        <v>1036</v>
      </c>
      <c r="M8" s="223"/>
      <c r="N8" s="223"/>
      <c r="O8" s="225" t="s">
        <v>1026</v>
      </c>
      <c r="P8" s="197"/>
      <c r="Q8" s="212">
        <v>4</v>
      </c>
      <c r="R8" s="204" t="str">
        <f t="shared" si="1"/>
        <v>II-0001.0004</v>
      </c>
      <c r="S8" s="197" t="str">
        <f t="shared" si="0"/>
        <v xml:space="preserve"> Ø10</v>
      </c>
    </row>
    <row r="9" spans="1:19" x14ac:dyDescent="0.2">
      <c r="A9" s="203">
        <v>5</v>
      </c>
      <c r="B9" s="204" t="s">
        <v>1037</v>
      </c>
      <c r="C9" s="205" t="s">
        <v>1038</v>
      </c>
      <c r="D9" s="220" t="s">
        <v>1026</v>
      </c>
      <c r="G9" s="197"/>
      <c r="H9" s="214"/>
      <c r="I9" s="221"/>
      <c r="J9" s="222">
        <v>5</v>
      </c>
      <c r="K9" s="223"/>
      <c r="L9" s="224" t="s">
        <v>1039</v>
      </c>
      <c r="M9" s="223"/>
      <c r="N9" s="223"/>
      <c r="O9" s="225" t="s">
        <v>1026</v>
      </c>
      <c r="P9" s="197"/>
      <c r="Q9" s="212">
        <v>5</v>
      </c>
      <c r="R9" s="204" t="str">
        <f t="shared" si="1"/>
        <v>II-0001.0005</v>
      </c>
      <c r="S9" s="197" t="str">
        <f t="shared" si="0"/>
        <v xml:space="preserve"> Ø12</v>
      </c>
    </row>
    <row r="10" spans="1:19" x14ac:dyDescent="0.2">
      <c r="A10" s="203">
        <v>6</v>
      </c>
      <c r="B10" s="204" t="s">
        <v>1040</v>
      </c>
      <c r="C10" s="205" t="s">
        <v>1041</v>
      </c>
      <c r="D10" s="220" t="s">
        <v>1026</v>
      </c>
      <c r="G10" s="197"/>
      <c r="H10" s="214"/>
      <c r="I10" s="221"/>
      <c r="J10" s="222">
        <v>6</v>
      </c>
      <c r="K10" s="223"/>
      <c r="L10" s="224" t="s">
        <v>1042</v>
      </c>
      <c r="M10" s="223"/>
      <c r="N10" s="223"/>
      <c r="O10" s="225" t="s">
        <v>1026</v>
      </c>
      <c r="P10" s="197"/>
      <c r="Q10" s="212">
        <v>6</v>
      </c>
      <c r="R10" s="204" t="str">
        <f t="shared" si="1"/>
        <v>II-0001.0006</v>
      </c>
      <c r="S10" s="197" t="str">
        <f t="shared" si="0"/>
        <v xml:space="preserve"> Ø16</v>
      </c>
    </row>
    <row r="11" spans="1:19" x14ac:dyDescent="0.2">
      <c r="A11" s="203">
        <v>7</v>
      </c>
      <c r="B11" s="204" t="s">
        <v>1043</v>
      </c>
      <c r="C11" s="205" t="s">
        <v>1044</v>
      </c>
      <c r="D11" s="220" t="s">
        <v>1026</v>
      </c>
      <c r="G11" s="197"/>
      <c r="H11" s="214"/>
      <c r="I11" s="221"/>
      <c r="J11" s="222">
        <v>7</v>
      </c>
      <c r="K11" s="223"/>
      <c r="L11" s="224" t="s">
        <v>1045</v>
      </c>
      <c r="M11" s="223"/>
      <c r="N11" s="223"/>
      <c r="O11" s="225" t="s">
        <v>1026</v>
      </c>
      <c r="P11" s="197"/>
      <c r="Q11" s="212">
        <v>7</v>
      </c>
      <c r="R11" s="204" t="str">
        <f t="shared" si="1"/>
        <v>II-0001.0007</v>
      </c>
      <c r="S11" s="197" t="str">
        <f t="shared" si="0"/>
        <v xml:space="preserve"> Ø18</v>
      </c>
    </row>
    <row r="12" spans="1:19" x14ac:dyDescent="0.2">
      <c r="A12" s="203">
        <v>8</v>
      </c>
      <c r="B12" s="196" t="s">
        <v>1046</v>
      </c>
      <c r="C12" s="205" t="s">
        <v>1047</v>
      </c>
      <c r="D12" s="220" t="s">
        <v>1026</v>
      </c>
      <c r="G12" s="197"/>
      <c r="H12" s="214"/>
      <c r="I12" s="221"/>
      <c r="J12" s="228">
        <v>8</v>
      </c>
      <c r="K12" s="229"/>
      <c r="L12" s="230" t="s">
        <v>1048</v>
      </c>
      <c r="M12" s="229"/>
      <c r="N12" s="229"/>
      <c r="O12" s="231" t="s">
        <v>1026</v>
      </c>
      <c r="P12" s="197"/>
      <c r="Q12" s="212">
        <v>8</v>
      </c>
      <c r="R12" s="204" t="str">
        <f t="shared" si="1"/>
        <v>II-0001.0008</v>
      </c>
      <c r="S12" s="197" t="str">
        <f t="shared" si="0"/>
        <v xml:space="preserve"> Ø20</v>
      </c>
    </row>
    <row r="13" spans="1:19" x14ac:dyDescent="0.2">
      <c r="A13" s="203"/>
      <c r="B13" s="196"/>
      <c r="C13" s="205"/>
      <c r="D13" s="220"/>
      <c r="G13" s="197"/>
      <c r="H13" s="214"/>
      <c r="I13" s="215" t="s">
        <v>1049</v>
      </c>
      <c r="J13" s="221"/>
      <c r="K13" s="232" t="s">
        <v>1050</v>
      </c>
      <c r="L13" s="218"/>
      <c r="M13" s="218"/>
      <c r="N13" s="218"/>
      <c r="O13" s="219"/>
      <c r="P13" s="197"/>
      <c r="Q13" s="197"/>
      <c r="R13" s="197"/>
      <c r="S13" s="197"/>
    </row>
    <row r="14" spans="1:19" x14ac:dyDescent="0.2">
      <c r="A14" s="203">
        <v>20</v>
      </c>
      <c r="B14" s="226" t="s">
        <v>1051</v>
      </c>
      <c r="C14" s="227" t="s">
        <v>1025</v>
      </c>
      <c r="D14" s="220" t="s">
        <v>1026</v>
      </c>
      <c r="G14" s="197"/>
      <c r="H14" s="214"/>
      <c r="I14" s="221"/>
      <c r="J14" s="222">
        <v>1</v>
      </c>
      <c r="K14" s="223"/>
      <c r="L14" s="224" t="s">
        <v>1027</v>
      </c>
      <c r="M14" s="223"/>
      <c r="N14" s="223"/>
      <c r="O14" s="225" t="s">
        <v>1026</v>
      </c>
      <c r="P14" s="197"/>
      <c r="Q14" s="212">
        <v>20</v>
      </c>
      <c r="R14" s="204" t="str">
        <f t="shared" si="1"/>
        <v>II-0001.0020</v>
      </c>
      <c r="S14" s="197" t="str">
        <f t="shared" ref="S14:S21" si="2">CONCATENATE($E$13," ",L14)</f>
        <v xml:space="preserve"> Ø4</v>
      </c>
    </row>
    <row r="15" spans="1:19" x14ac:dyDescent="0.2">
      <c r="A15" s="203">
        <v>21</v>
      </c>
      <c r="B15" s="204" t="s">
        <v>1052</v>
      </c>
      <c r="C15" s="205" t="s">
        <v>1029</v>
      </c>
      <c r="D15" s="220" t="s">
        <v>1026</v>
      </c>
      <c r="G15" s="197"/>
      <c r="H15" s="214"/>
      <c r="I15" s="221"/>
      <c r="J15" s="222">
        <v>2</v>
      </c>
      <c r="K15" s="223"/>
      <c r="L15" s="224" t="s">
        <v>1030</v>
      </c>
      <c r="M15" s="223"/>
      <c r="N15" s="223"/>
      <c r="O15" s="225" t="s">
        <v>1026</v>
      </c>
      <c r="P15" s="197"/>
      <c r="Q15" s="212">
        <v>21</v>
      </c>
      <c r="R15" s="204" t="str">
        <f t="shared" si="1"/>
        <v>II-0001.0021</v>
      </c>
      <c r="S15" s="197" t="str">
        <f t="shared" si="2"/>
        <v xml:space="preserve"> Ø6</v>
      </c>
    </row>
    <row r="16" spans="1:19" x14ac:dyDescent="0.2">
      <c r="A16" s="203">
        <v>22</v>
      </c>
      <c r="B16" s="204" t="s">
        <v>1053</v>
      </c>
      <c r="C16" s="205" t="s">
        <v>1032</v>
      </c>
      <c r="D16" s="220" t="s">
        <v>1026</v>
      </c>
      <c r="G16" s="197"/>
      <c r="H16" s="214"/>
      <c r="I16" s="221"/>
      <c r="J16" s="222">
        <v>3</v>
      </c>
      <c r="K16" s="223"/>
      <c r="L16" s="224" t="s">
        <v>1033</v>
      </c>
      <c r="M16" s="223"/>
      <c r="N16" s="223"/>
      <c r="O16" s="225" t="s">
        <v>1026</v>
      </c>
      <c r="P16" s="197"/>
      <c r="Q16" s="212">
        <v>22</v>
      </c>
      <c r="R16" s="204" t="str">
        <f t="shared" si="1"/>
        <v>II-0001.0022</v>
      </c>
      <c r="S16" s="197" t="str">
        <f t="shared" si="2"/>
        <v xml:space="preserve"> Ø8</v>
      </c>
    </row>
    <row r="17" spans="1:19" x14ac:dyDescent="0.2">
      <c r="A17" s="203">
        <v>23</v>
      </c>
      <c r="B17" s="204" t="s">
        <v>1054</v>
      </c>
      <c r="C17" s="205" t="s">
        <v>1035</v>
      </c>
      <c r="D17" s="220" t="s">
        <v>1026</v>
      </c>
      <c r="G17" s="197"/>
      <c r="H17" s="214"/>
      <c r="I17" s="221"/>
      <c r="J17" s="222">
        <v>4</v>
      </c>
      <c r="K17" s="223"/>
      <c r="L17" s="224" t="s">
        <v>1036</v>
      </c>
      <c r="M17" s="223"/>
      <c r="N17" s="223"/>
      <c r="O17" s="225" t="s">
        <v>1026</v>
      </c>
      <c r="P17" s="197"/>
      <c r="Q17" s="212">
        <v>23</v>
      </c>
      <c r="R17" s="204" t="str">
        <f t="shared" si="1"/>
        <v>II-0001.0023</v>
      </c>
      <c r="S17" s="197" t="str">
        <f t="shared" si="2"/>
        <v xml:space="preserve"> Ø10</v>
      </c>
    </row>
    <row r="18" spans="1:19" x14ac:dyDescent="0.2">
      <c r="A18" s="203">
        <v>24</v>
      </c>
      <c r="B18" s="204" t="s">
        <v>1055</v>
      </c>
      <c r="C18" s="205" t="s">
        <v>1038</v>
      </c>
      <c r="D18" s="220" t="s">
        <v>1026</v>
      </c>
      <c r="G18" s="197"/>
      <c r="H18" s="214"/>
      <c r="I18" s="221"/>
      <c r="J18" s="222">
        <v>5</v>
      </c>
      <c r="K18" s="223"/>
      <c r="L18" s="224" t="s">
        <v>1039</v>
      </c>
      <c r="M18" s="223"/>
      <c r="N18" s="223"/>
      <c r="O18" s="225" t="s">
        <v>1026</v>
      </c>
      <c r="P18" s="197"/>
      <c r="Q18" s="212">
        <v>24</v>
      </c>
      <c r="R18" s="204" t="str">
        <f t="shared" si="1"/>
        <v>II-0001.0024</v>
      </c>
      <c r="S18" s="197" t="str">
        <f t="shared" si="2"/>
        <v xml:space="preserve"> Ø12</v>
      </c>
    </row>
    <row r="19" spans="1:19" x14ac:dyDescent="0.2">
      <c r="A19" s="203">
        <v>25</v>
      </c>
      <c r="B19" s="196" t="s">
        <v>1056</v>
      </c>
      <c r="C19" s="205" t="s">
        <v>1041</v>
      </c>
      <c r="D19" s="220" t="s">
        <v>1026</v>
      </c>
      <c r="G19" s="197"/>
      <c r="H19" s="214"/>
      <c r="I19" s="221"/>
      <c r="J19" s="222">
        <v>6</v>
      </c>
      <c r="K19" s="223"/>
      <c r="L19" s="224" t="s">
        <v>1042</v>
      </c>
      <c r="M19" s="223"/>
      <c r="N19" s="223"/>
      <c r="O19" s="225" t="s">
        <v>1026</v>
      </c>
      <c r="P19" s="197"/>
      <c r="Q19" s="212">
        <v>25</v>
      </c>
      <c r="R19" s="204" t="str">
        <f t="shared" si="1"/>
        <v>II-0001.0025</v>
      </c>
      <c r="S19" s="197" t="str">
        <f t="shared" si="2"/>
        <v xml:space="preserve"> Ø16</v>
      </c>
    </row>
    <row r="20" spans="1:19" x14ac:dyDescent="0.2">
      <c r="A20" s="203">
        <v>26</v>
      </c>
      <c r="B20" s="196" t="s">
        <v>1057</v>
      </c>
      <c r="C20" s="205" t="s">
        <v>1044</v>
      </c>
      <c r="D20" s="220" t="s">
        <v>1026</v>
      </c>
      <c r="G20" s="197"/>
      <c r="H20" s="214"/>
      <c r="I20" s="221"/>
      <c r="J20" s="222">
        <v>7</v>
      </c>
      <c r="K20" s="223"/>
      <c r="L20" s="224" t="s">
        <v>1045</v>
      </c>
      <c r="M20" s="223"/>
      <c r="N20" s="223"/>
      <c r="O20" s="225" t="s">
        <v>1026</v>
      </c>
      <c r="P20" s="197"/>
      <c r="Q20" s="212">
        <v>26</v>
      </c>
      <c r="R20" s="204" t="str">
        <f t="shared" si="1"/>
        <v>II-0001.0026</v>
      </c>
      <c r="S20" s="197" t="str">
        <f t="shared" si="2"/>
        <v xml:space="preserve"> Ø18</v>
      </c>
    </row>
    <row r="21" spans="1:19" x14ac:dyDescent="0.2">
      <c r="A21" s="203">
        <v>27</v>
      </c>
      <c r="B21" s="226" t="s">
        <v>1058</v>
      </c>
      <c r="C21" s="227" t="s">
        <v>1047</v>
      </c>
      <c r="D21" s="220" t="s">
        <v>1026</v>
      </c>
      <c r="G21" s="197"/>
      <c r="H21" s="214"/>
      <c r="I21" s="233"/>
      <c r="J21" s="228">
        <v>8</v>
      </c>
      <c r="K21" s="229"/>
      <c r="L21" s="230" t="s">
        <v>1048</v>
      </c>
      <c r="M21" s="229"/>
      <c r="N21" s="229"/>
      <c r="O21" s="231" t="s">
        <v>1026</v>
      </c>
      <c r="P21" s="197"/>
      <c r="Q21" s="212">
        <v>27</v>
      </c>
      <c r="R21" s="204" t="str">
        <f t="shared" si="1"/>
        <v>II-0001.0027</v>
      </c>
      <c r="S21" s="197" t="str">
        <f t="shared" si="2"/>
        <v xml:space="preserve"> Ø20</v>
      </c>
    </row>
    <row r="22" spans="1:19" x14ac:dyDescent="0.2">
      <c r="A22" s="203"/>
      <c r="B22" s="204"/>
      <c r="C22" s="205"/>
      <c r="D22" s="220"/>
      <c r="G22" s="197"/>
      <c r="H22" s="214"/>
      <c r="I22" s="215" t="s">
        <v>1059</v>
      </c>
      <c r="J22" s="221"/>
      <c r="K22" s="232" t="s">
        <v>1060</v>
      </c>
      <c r="L22" s="218"/>
      <c r="M22" s="218"/>
      <c r="N22" s="218"/>
      <c r="O22" s="219"/>
      <c r="P22" s="197"/>
      <c r="Q22" s="197"/>
      <c r="R22" s="197"/>
      <c r="S22" s="197"/>
    </row>
    <row r="23" spans="1:19" x14ac:dyDescent="0.2">
      <c r="A23" s="203">
        <v>30</v>
      </c>
      <c r="B23" s="204" t="s">
        <v>1061</v>
      </c>
      <c r="C23" s="205" t="s">
        <v>1025</v>
      </c>
      <c r="D23" s="220" t="s">
        <v>1026</v>
      </c>
      <c r="G23" s="197"/>
      <c r="H23" s="214"/>
      <c r="I23" s="221"/>
      <c r="J23" s="222">
        <v>1</v>
      </c>
      <c r="K23" s="223"/>
      <c r="L23" s="224" t="s">
        <v>1027</v>
      </c>
      <c r="M23" s="223"/>
      <c r="N23" s="223"/>
      <c r="O23" s="225" t="s">
        <v>1026</v>
      </c>
      <c r="P23" s="197"/>
      <c r="Q23" s="212">
        <v>30</v>
      </c>
      <c r="R23" s="204" t="str">
        <f t="shared" si="1"/>
        <v>II-0001.0030</v>
      </c>
      <c r="S23" s="197" t="str">
        <f>CONCATENATE($E$22," ",L23)</f>
        <v xml:space="preserve"> Ø4</v>
      </c>
    </row>
    <row r="24" spans="1:19" x14ac:dyDescent="0.2">
      <c r="A24" s="203">
        <v>31</v>
      </c>
      <c r="B24" s="204" t="s">
        <v>1062</v>
      </c>
      <c r="C24" s="205" t="s">
        <v>1029</v>
      </c>
      <c r="D24" s="220" t="s">
        <v>1026</v>
      </c>
      <c r="G24" s="197"/>
      <c r="H24" s="214"/>
      <c r="I24" s="221"/>
      <c r="J24" s="222">
        <v>2</v>
      </c>
      <c r="K24" s="223"/>
      <c r="L24" s="224" t="s">
        <v>1030</v>
      </c>
      <c r="M24" s="223"/>
      <c r="N24" s="223"/>
      <c r="O24" s="225" t="s">
        <v>1026</v>
      </c>
      <c r="P24" s="197"/>
      <c r="Q24" s="212">
        <v>31</v>
      </c>
      <c r="R24" s="204" t="str">
        <f t="shared" si="1"/>
        <v>II-0001.0031</v>
      </c>
      <c r="S24" s="197" t="str">
        <f t="shared" ref="S24:S30" si="3">CONCATENATE($E$22," ",L24)</f>
        <v xml:space="preserve"> Ø6</v>
      </c>
    </row>
    <row r="25" spans="1:19" x14ac:dyDescent="0.2">
      <c r="A25" s="203">
        <v>32</v>
      </c>
      <c r="B25" s="204" t="s">
        <v>1063</v>
      </c>
      <c r="C25" s="205" t="s">
        <v>1032</v>
      </c>
      <c r="D25" s="220" t="s">
        <v>1026</v>
      </c>
      <c r="G25" s="197"/>
      <c r="H25" s="214"/>
      <c r="I25" s="221"/>
      <c r="J25" s="222">
        <v>3</v>
      </c>
      <c r="K25" s="223"/>
      <c r="L25" s="224" t="s">
        <v>1033</v>
      </c>
      <c r="M25" s="223"/>
      <c r="N25" s="223"/>
      <c r="O25" s="225" t="s">
        <v>1026</v>
      </c>
      <c r="P25" s="197"/>
      <c r="Q25" s="212">
        <v>32</v>
      </c>
      <c r="R25" s="204" t="str">
        <f t="shared" si="1"/>
        <v>II-0001.0032</v>
      </c>
      <c r="S25" s="197" t="str">
        <f t="shared" si="3"/>
        <v xml:space="preserve"> Ø8</v>
      </c>
    </row>
    <row r="26" spans="1:19" x14ac:dyDescent="0.2">
      <c r="A26" s="203">
        <v>33</v>
      </c>
      <c r="B26" s="204" t="s">
        <v>1064</v>
      </c>
      <c r="C26" s="205" t="s">
        <v>1035</v>
      </c>
      <c r="D26" s="220" t="s">
        <v>1026</v>
      </c>
      <c r="G26" s="197"/>
      <c r="H26" s="214"/>
      <c r="I26" s="221"/>
      <c r="J26" s="222">
        <v>4</v>
      </c>
      <c r="K26" s="223"/>
      <c r="L26" s="224" t="s">
        <v>1036</v>
      </c>
      <c r="M26" s="223"/>
      <c r="N26" s="223"/>
      <c r="O26" s="225" t="s">
        <v>1026</v>
      </c>
      <c r="P26" s="197"/>
      <c r="Q26" s="212">
        <v>33</v>
      </c>
      <c r="R26" s="204" t="str">
        <f t="shared" si="1"/>
        <v>II-0001.0033</v>
      </c>
      <c r="S26" s="197" t="str">
        <f t="shared" si="3"/>
        <v xml:space="preserve"> Ø10</v>
      </c>
    </row>
    <row r="27" spans="1:19" x14ac:dyDescent="0.2">
      <c r="A27" s="203">
        <v>34</v>
      </c>
      <c r="B27" s="204" t="s">
        <v>1065</v>
      </c>
      <c r="C27" s="205" t="s">
        <v>1038</v>
      </c>
      <c r="D27" s="220" t="s">
        <v>1026</v>
      </c>
      <c r="G27" s="197"/>
      <c r="H27" s="214"/>
      <c r="I27" s="221"/>
      <c r="J27" s="222">
        <v>5</v>
      </c>
      <c r="K27" s="223"/>
      <c r="L27" s="224" t="s">
        <v>1039</v>
      </c>
      <c r="M27" s="223"/>
      <c r="N27" s="223"/>
      <c r="O27" s="225" t="s">
        <v>1026</v>
      </c>
      <c r="P27" s="197"/>
      <c r="Q27" s="212">
        <v>34</v>
      </c>
      <c r="R27" s="204" t="str">
        <f t="shared" si="1"/>
        <v>II-0001.0034</v>
      </c>
      <c r="S27" s="197" t="str">
        <f t="shared" si="3"/>
        <v xml:space="preserve"> Ø12</v>
      </c>
    </row>
    <row r="28" spans="1:19" x14ac:dyDescent="0.2">
      <c r="A28" s="203">
        <v>35</v>
      </c>
      <c r="B28" s="204" t="s">
        <v>1066</v>
      </c>
      <c r="C28" s="205" t="s">
        <v>1041</v>
      </c>
      <c r="D28" s="220" t="s">
        <v>1026</v>
      </c>
      <c r="G28" s="197"/>
      <c r="H28" s="214"/>
      <c r="I28" s="221"/>
      <c r="J28" s="222">
        <v>6</v>
      </c>
      <c r="K28" s="223"/>
      <c r="L28" s="224" t="s">
        <v>1042</v>
      </c>
      <c r="M28" s="223"/>
      <c r="N28" s="223"/>
      <c r="O28" s="225" t="s">
        <v>1026</v>
      </c>
      <c r="P28" s="197"/>
      <c r="Q28" s="212">
        <v>35</v>
      </c>
      <c r="R28" s="204" t="str">
        <f t="shared" si="1"/>
        <v>II-0001.0035</v>
      </c>
      <c r="S28" s="197" t="str">
        <f t="shared" si="3"/>
        <v xml:space="preserve"> Ø16</v>
      </c>
    </row>
    <row r="29" spans="1:19" x14ac:dyDescent="0.2">
      <c r="A29" s="203">
        <v>36</v>
      </c>
      <c r="B29" s="204" t="s">
        <v>1067</v>
      </c>
      <c r="C29" s="205" t="s">
        <v>1044</v>
      </c>
      <c r="D29" s="220" t="s">
        <v>1026</v>
      </c>
      <c r="G29" s="197"/>
      <c r="H29" s="214"/>
      <c r="I29" s="221"/>
      <c r="J29" s="222">
        <v>7</v>
      </c>
      <c r="K29" s="223"/>
      <c r="L29" s="224" t="s">
        <v>1045</v>
      </c>
      <c r="M29" s="223"/>
      <c r="N29" s="223"/>
      <c r="O29" s="225" t="s">
        <v>1026</v>
      </c>
      <c r="P29" s="197"/>
      <c r="Q29" s="212">
        <v>36</v>
      </c>
      <c r="R29" s="204" t="str">
        <f t="shared" si="1"/>
        <v>II-0001.0036</v>
      </c>
      <c r="S29" s="197" t="str">
        <f t="shared" si="3"/>
        <v xml:space="preserve"> Ø18</v>
      </c>
    </row>
    <row r="30" spans="1:19" ht="15.75" thickBot="1" x14ac:dyDescent="0.25">
      <c r="A30" s="203">
        <v>37</v>
      </c>
      <c r="B30" s="204" t="s">
        <v>1068</v>
      </c>
      <c r="C30" s="205" t="s">
        <v>1047</v>
      </c>
      <c r="D30" s="220" t="s">
        <v>1026</v>
      </c>
      <c r="G30" s="197"/>
      <c r="H30" s="234"/>
      <c r="I30" s="235"/>
      <c r="J30" s="236">
        <v>8</v>
      </c>
      <c r="K30" s="237"/>
      <c r="L30" s="238" t="s">
        <v>1048</v>
      </c>
      <c r="M30" s="237"/>
      <c r="N30" s="237"/>
      <c r="O30" s="239" t="s">
        <v>1026</v>
      </c>
      <c r="P30" s="197"/>
      <c r="Q30" s="212">
        <v>37</v>
      </c>
      <c r="R30" s="204" t="str">
        <f t="shared" si="1"/>
        <v>II-0001.0037</v>
      </c>
      <c r="S30" s="197" t="str">
        <f t="shared" si="3"/>
        <v xml:space="preserve"> Ø20</v>
      </c>
    </row>
    <row r="31" spans="1:19" ht="16.5" thickTop="1" thickBot="1" x14ac:dyDescent="0.25">
      <c r="A31" s="203"/>
      <c r="B31" s="204"/>
      <c r="C31" s="205"/>
      <c r="D31" s="220"/>
      <c r="G31" s="197"/>
      <c r="H31" s="214"/>
      <c r="I31" s="221"/>
      <c r="J31" s="221"/>
      <c r="K31" s="223"/>
      <c r="L31" s="224"/>
      <c r="M31" s="223"/>
      <c r="N31" s="223"/>
      <c r="O31" s="240"/>
      <c r="P31" s="197"/>
      <c r="Q31" s="212"/>
      <c r="R31" s="204"/>
      <c r="S31" s="197"/>
    </row>
    <row r="32" spans="1:19" ht="15.75" thickTop="1" x14ac:dyDescent="0.2">
      <c r="A32" s="203">
        <v>2</v>
      </c>
      <c r="B32" s="204" t="s">
        <v>1069</v>
      </c>
      <c r="C32" s="205" t="s">
        <v>1070</v>
      </c>
      <c r="D32" s="220"/>
      <c r="G32" s="197"/>
      <c r="H32" s="241">
        <v>2</v>
      </c>
      <c r="I32" s="242"/>
      <c r="J32" s="243"/>
      <c r="K32" s="772" t="s">
        <v>1070</v>
      </c>
      <c r="L32" s="772"/>
      <c r="M32" s="772"/>
      <c r="N32" s="772"/>
      <c r="O32" s="244"/>
      <c r="P32" s="197"/>
      <c r="Q32" s="212">
        <f>H32</f>
        <v>2</v>
      </c>
      <c r="R32" s="202" t="str">
        <f>CONCATENATE("II-",TEXT(Q32,"0000"))</f>
        <v>II-0002</v>
      </c>
      <c r="S32" s="213" t="str">
        <f>K32</f>
        <v>ABOVEDAMIENTO  REACONDICIONAMIENTO</v>
      </c>
    </row>
    <row r="33" spans="1:19" ht="15.75" thickBot="1" x14ac:dyDescent="0.25">
      <c r="A33" s="203">
        <v>1</v>
      </c>
      <c r="B33" s="204" t="s">
        <v>1071</v>
      </c>
      <c r="C33" s="205" t="s">
        <v>1072</v>
      </c>
      <c r="D33" s="220" t="s">
        <v>6</v>
      </c>
      <c r="G33" s="197"/>
      <c r="H33" s="245"/>
      <c r="I33" s="246" t="s">
        <v>1022</v>
      </c>
      <c r="J33" s="247"/>
      <c r="K33" s="248" t="s">
        <v>1073</v>
      </c>
      <c r="L33" s="249"/>
      <c r="M33" s="249"/>
      <c r="N33" s="249"/>
      <c r="O33" s="250" t="s">
        <v>6</v>
      </c>
      <c r="P33" s="197"/>
      <c r="Q33" s="212">
        <v>1</v>
      </c>
      <c r="R33" s="204" t="str">
        <f>CONCATENATE($R$32,".",TEXT(Q33,"0000"))</f>
        <v>II-0002.0001</v>
      </c>
      <c r="S33" s="197" t="str">
        <f>CONCATENATE($K$33," ",L33)</f>
        <v xml:space="preserve">V-384 </v>
      </c>
    </row>
    <row r="34" spans="1:19" ht="16.5" thickTop="1" thickBot="1" x14ac:dyDescent="0.25">
      <c r="A34" s="203"/>
      <c r="B34" s="196"/>
      <c r="C34" s="205"/>
      <c r="D34" s="220"/>
      <c r="G34" s="197"/>
      <c r="H34" s="214"/>
      <c r="I34" s="221"/>
      <c r="J34" s="221"/>
      <c r="K34" s="251"/>
      <c r="L34" s="223"/>
      <c r="M34" s="223"/>
      <c r="N34" s="223"/>
      <c r="O34" s="252"/>
      <c r="P34" s="197"/>
      <c r="Q34" s="197"/>
      <c r="R34" s="197"/>
      <c r="S34" s="197"/>
    </row>
    <row r="35" spans="1:19" ht="15.75" thickTop="1" x14ac:dyDescent="0.2">
      <c r="A35" s="203">
        <v>3</v>
      </c>
      <c r="B35" s="196" t="s">
        <v>1074</v>
      </c>
      <c r="C35" s="205" t="s">
        <v>1075</v>
      </c>
      <c r="D35" s="220"/>
      <c r="G35" s="197"/>
      <c r="H35" s="241">
        <v>3</v>
      </c>
      <c r="I35" s="243"/>
      <c r="J35" s="243"/>
      <c r="K35" s="253" t="s">
        <v>1075</v>
      </c>
      <c r="L35" s="254"/>
      <c r="M35" s="254"/>
      <c r="N35" s="254"/>
      <c r="O35" s="244"/>
      <c r="P35" s="197"/>
      <c r="Q35" s="212">
        <f>H35</f>
        <v>3</v>
      </c>
      <c r="R35" s="202" t="str">
        <f>CONCATENATE("II-",TEXT(Q35,"0000"))</f>
        <v>II-0003</v>
      </c>
      <c r="S35" s="213" t="str">
        <f>K35</f>
        <v>ALAMBRADO</v>
      </c>
    </row>
    <row r="36" spans="1:19" x14ac:dyDescent="0.2">
      <c r="A36" s="203"/>
      <c r="B36" s="226"/>
      <c r="C36" s="227"/>
      <c r="D36" s="220"/>
      <c r="G36" s="197"/>
      <c r="H36" s="255"/>
      <c r="I36" s="215" t="s">
        <v>1022</v>
      </c>
      <c r="J36" s="216"/>
      <c r="K36" s="251" t="s">
        <v>1076</v>
      </c>
      <c r="L36" s="223"/>
      <c r="M36" s="223"/>
      <c r="N36" s="223"/>
      <c r="O36" s="256"/>
      <c r="P36" s="197"/>
      <c r="Q36" s="197"/>
      <c r="R36" s="197"/>
      <c r="S36" s="197"/>
    </row>
    <row r="37" spans="1:19" x14ac:dyDescent="0.2">
      <c r="A37" s="203">
        <v>1</v>
      </c>
      <c r="B37" s="204" t="s">
        <v>1077</v>
      </c>
      <c r="C37" s="205" t="s">
        <v>1078</v>
      </c>
      <c r="D37" s="220" t="s">
        <v>997</v>
      </c>
      <c r="G37" s="197"/>
      <c r="H37" s="214"/>
      <c r="I37" s="221"/>
      <c r="J37" s="222">
        <v>1</v>
      </c>
      <c r="K37" s="223"/>
      <c r="L37" s="251" t="s">
        <v>1022</v>
      </c>
      <c r="M37" s="257"/>
      <c r="N37" s="223"/>
      <c r="O37" s="240" t="s">
        <v>997</v>
      </c>
      <c r="P37" s="197"/>
      <c r="Q37" s="212">
        <v>1</v>
      </c>
      <c r="R37" s="204" t="str">
        <f>CONCATENATE($R$35,".",TEXT(Q37,"0000"))</f>
        <v>II-0003.0001</v>
      </c>
      <c r="S37" s="197" t="str">
        <f>CONCATENATE($K$36," - TIPO ",L37)</f>
        <v>H-2840-I - TIPO A</v>
      </c>
    </row>
    <row r="38" spans="1:19" x14ac:dyDescent="0.2">
      <c r="A38" s="203">
        <v>2</v>
      </c>
      <c r="B38" s="204" t="s">
        <v>1079</v>
      </c>
      <c r="C38" s="205" t="s">
        <v>1080</v>
      </c>
      <c r="D38" s="220" t="s">
        <v>997</v>
      </c>
      <c r="G38" s="197"/>
      <c r="H38" s="214"/>
      <c r="I38" s="221"/>
      <c r="J38" s="222">
        <v>2</v>
      </c>
      <c r="K38" s="223"/>
      <c r="L38" s="251" t="s">
        <v>1049</v>
      </c>
      <c r="M38" s="257"/>
      <c r="N38" s="223"/>
      <c r="O38" s="240" t="s">
        <v>997</v>
      </c>
      <c r="P38" s="197"/>
      <c r="Q38" s="212">
        <v>2</v>
      </c>
      <c r="R38" s="204" t="str">
        <f t="shared" ref="R38:R42" si="4">CONCATENATE($R$35,".",TEXT(Q38,"0000"))</f>
        <v>II-0003.0002</v>
      </c>
      <c r="S38" s="197" t="str">
        <f t="shared" ref="S38:S40" si="5">CONCATENATE($K$36," - TIPO ",L38)</f>
        <v>H-2840-I - TIPO B</v>
      </c>
    </row>
    <row r="39" spans="1:19" x14ac:dyDescent="0.2">
      <c r="A39" s="203">
        <v>3</v>
      </c>
      <c r="B39" s="204" t="s">
        <v>1081</v>
      </c>
      <c r="C39" s="205" t="s">
        <v>1082</v>
      </c>
      <c r="D39" s="220" t="s">
        <v>997</v>
      </c>
      <c r="G39" s="197"/>
      <c r="H39" s="214"/>
      <c r="I39" s="221"/>
      <c r="J39" s="222">
        <v>3</v>
      </c>
      <c r="K39" s="223"/>
      <c r="L39" s="251" t="s">
        <v>1059</v>
      </c>
      <c r="M39" s="257"/>
      <c r="N39" s="223"/>
      <c r="O39" s="240" t="s">
        <v>997</v>
      </c>
      <c r="P39" s="197"/>
      <c r="Q39" s="212">
        <v>3</v>
      </c>
      <c r="R39" s="204" t="str">
        <f t="shared" si="4"/>
        <v>II-0003.0003</v>
      </c>
      <c r="S39" s="197" t="str">
        <f t="shared" si="5"/>
        <v>H-2840-I - TIPO C</v>
      </c>
    </row>
    <row r="40" spans="1:19" x14ac:dyDescent="0.2">
      <c r="A40" s="203">
        <v>4</v>
      </c>
      <c r="B40" s="196" t="s">
        <v>1083</v>
      </c>
      <c r="C40" s="205" t="s">
        <v>1084</v>
      </c>
      <c r="D40" s="220" t="s">
        <v>997</v>
      </c>
      <c r="G40" s="197"/>
      <c r="H40" s="214"/>
      <c r="I40" s="233"/>
      <c r="J40" s="228">
        <v>4</v>
      </c>
      <c r="K40" s="229"/>
      <c r="L40" s="258" t="s">
        <v>1085</v>
      </c>
      <c r="M40" s="259"/>
      <c r="N40" s="229"/>
      <c r="O40" s="260" t="s">
        <v>997</v>
      </c>
      <c r="P40" s="197"/>
      <c r="Q40" s="212">
        <v>4</v>
      </c>
      <c r="R40" s="204" t="str">
        <f t="shared" si="4"/>
        <v>II-0003.0004</v>
      </c>
      <c r="S40" s="197" t="str">
        <f t="shared" si="5"/>
        <v>H-2840-I - TIPO D</v>
      </c>
    </row>
    <row r="41" spans="1:19" x14ac:dyDescent="0.2">
      <c r="A41" s="203">
        <v>5</v>
      </c>
      <c r="B41" s="204" t="s">
        <v>1086</v>
      </c>
      <c r="C41" s="205" t="s">
        <v>1087</v>
      </c>
      <c r="D41" s="220" t="s">
        <v>997</v>
      </c>
      <c r="G41" s="197"/>
      <c r="H41" s="214"/>
      <c r="I41" s="228" t="s">
        <v>1049</v>
      </c>
      <c r="J41" s="233"/>
      <c r="K41" s="261" t="s">
        <v>1087</v>
      </c>
      <c r="L41" s="262"/>
      <c r="M41" s="262"/>
      <c r="N41" s="262"/>
      <c r="O41" s="263" t="s">
        <v>997</v>
      </c>
      <c r="P41" s="197"/>
      <c r="Q41" s="212">
        <v>5</v>
      </c>
      <c r="R41" s="204" t="str">
        <f t="shared" si="4"/>
        <v>II-0003.0005</v>
      </c>
      <c r="S41" s="197" t="str">
        <f>CONCATENATE($E$36,K41)</f>
        <v>OLIMPICO H-9830</v>
      </c>
    </row>
    <row r="42" spans="1:19" ht="15.75" thickBot="1" x14ac:dyDescent="0.25">
      <c r="A42" s="203">
        <v>6</v>
      </c>
      <c r="B42" s="204" t="s">
        <v>1088</v>
      </c>
      <c r="C42" s="205" t="s">
        <v>1089</v>
      </c>
      <c r="D42" s="220" t="s">
        <v>997</v>
      </c>
      <c r="G42" s="197"/>
      <c r="H42" s="234"/>
      <c r="I42" s="236" t="s">
        <v>1059</v>
      </c>
      <c r="J42" s="247"/>
      <c r="K42" s="248" t="s">
        <v>1089</v>
      </c>
      <c r="L42" s="249"/>
      <c r="M42" s="249"/>
      <c r="N42" s="249"/>
      <c r="O42" s="264" t="s">
        <v>997</v>
      </c>
      <c r="P42" s="197"/>
      <c r="Q42" s="212">
        <v>6</v>
      </c>
      <c r="R42" s="204" t="str">
        <f t="shared" si="4"/>
        <v>II-0003.0006</v>
      </c>
      <c r="S42" s="197" t="str">
        <f>CONCATENATE($E$36,K42)</f>
        <v>TRAZADO C/ REPOSICION  (%)</v>
      </c>
    </row>
    <row r="43" spans="1:19" ht="15.75" thickTop="1" x14ac:dyDescent="0.2">
      <c r="A43" s="203">
        <v>7</v>
      </c>
      <c r="B43" s="204" t="s">
        <v>1090</v>
      </c>
      <c r="C43" s="205" t="s">
        <v>1091</v>
      </c>
      <c r="D43" s="220" t="s">
        <v>997</v>
      </c>
      <c r="G43" s="197"/>
      <c r="H43" s="214"/>
      <c r="I43" s="221"/>
      <c r="J43" s="221"/>
      <c r="K43" s="251"/>
      <c r="L43" s="223"/>
      <c r="M43" s="223"/>
      <c r="N43" s="223"/>
      <c r="O43" s="240"/>
      <c r="P43" s="197"/>
      <c r="Q43" s="212"/>
      <c r="R43" s="204"/>
      <c r="S43" s="197"/>
    </row>
    <row r="44" spans="1:19" x14ac:dyDescent="0.2">
      <c r="A44" s="203"/>
      <c r="B44" s="204"/>
      <c r="C44" s="205"/>
      <c r="D44" s="220"/>
      <c r="G44" s="197"/>
      <c r="H44" s="214"/>
      <c r="I44" s="221"/>
      <c r="J44" s="221"/>
      <c r="K44" s="251"/>
      <c r="L44" s="223"/>
      <c r="M44" s="223"/>
      <c r="N44" s="223"/>
      <c r="O44" s="240"/>
      <c r="P44" s="197"/>
      <c r="Q44" s="212"/>
      <c r="R44" s="204"/>
      <c r="S44" s="197"/>
    </row>
    <row r="45" spans="1:19" x14ac:dyDescent="0.2">
      <c r="A45" s="203">
        <v>4</v>
      </c>
      <c r="B45" s="196" t="s">
        <v>1092</v>
      </c>
      <c r="C45" s="205" t="s">
        <v>1093</v>
      </c>
      <c r="D45" s="220"/>
      <c r="G45" s="197"/>
      <c r="H45" s="241">
        <v>4</v>
      </c>
      <c r="I45" s="243"/>
      <c r="J45" s="243"/>
      <c r="K45" s="773" t="s">
        <v>1093</v>
      </c>
      <c r="L45" s="773"/>
      <c r="M45" s="773"/>
      <c r="N45" s="773"/>
      <c r="O45" s="265"/>
      <c r="P45" s="197"/>
      <c r="Q45" s="212">
        <f>H45</f>
        <v>4</v>
      </c>
      <c r="R45" s="202" t="str">
        <f>CONCATENATE("II-",TEXT(Q45,"0000"))</f>
        <v>II-0004</v>
      </c>
      <c r="S45" s="213" t="str">
        <f>K45</f>
        <v>ALCANTARILLAS METALICAS ACERO CORRUGADO</v>
      </c>
    </row>
    <row r="46" spans="1:19" x14ac:dyDescent="0.2">
      <c r="A46" s="203"/>
      <c r="B46" s="204"/>
      <c r="C46" s="205"/>
      <c r="D46" s="220"/>
      <c r="G46" s="197"/>
      <c r="H46" s="255"/>
      <c r="I46" s="215" t="s">
        <v>1022</v>
      </c>
      <c r="J46" s="216"/>
      <c r="K46" s="217" t="s">
        <v>1094</v>
      </c>
      <c r="L46" s="218"/>
      <c r="M46" s="218"/>
      <c r="N46" s="218"/>
      <c r="O46" s="266"/>
      <c r="P46" s="197"/>
      <c r="Q46" s="197"/>
      <c r="R46" s="197"/>
      <c r="S46" s="197"/>
    </row>
    <row r="47" spans="1:19" x14ac:dyDescent="0.2">
      <c r="A47" s="203">
        <v>1</v>
      </c>
      <c r="B47" s="204" t="s">
        <v>1095</v>
      </c>
      <c r="C47" s="205" t="s">
        <v>1096</v>
      </c>
      <c r="D47" s="220" t="s">
        <v>997</v>
      </c>
      <c r="G47" s="197"/>
      <c r="H47" s="214"/>
      <c r="I47" s="221"/>
      <c r="J47" s="222">
        <v>1</v>
      </c>
      <c r="K47" s="223"/>
      <c r="L47" s="224" t="s">
        <v>1097</v>
      </c>
      <c r="M47" s="223"/>
      <c r="N47" s="223"/>
      <c r="O47" s="240" t="s">
        <v>997</v>
      </c>
      <c r="P47" s="197"/>
      <c r="Q47" s="212">
        <v>1</v>
      </c>
      <c r="R47" s="204" t="str">
        <f>CONCATENATE($R$45,".",TEXT(Q47,"0000"))</f>
        <v>II-0004.0001</v>
      </c>
      <c r="S47" s="197" t="str">
        <f>CONCATENATE($K$46," - TIPO ",L47)</f>
        <v>H-10209 - TIPO H-9987</v>
      </c>
    </row>
    <row r="48" spans="1:19" x14ac:dyDescent="0.2">
      <c r="A48" s="203">
        <v>2</v>
      </c>
      <c r="B48" s="196" t="s">
        <v>1098</v>
      </c>
      <c r="C48" s="205" t="s">
        <v>1099</v>
      </c>
      <c r="D48" s="220" t="s">
        <v>997</v>
      </c>
      <c r="G48" s="197"/>
      <c r="H48" s="214"/>
      <c r="I48" s="221"/>
      <c r="J48" s="228">
        <v>2</v>
      </c>
      <c r="K48" s="223"/>
      <c r="L48" s="224" t="s">
        <v>1100</v>
      </c>
      <c r="M48" s="223"/>
      <c r="N48" s="223"/>
      <c r="O48" s="240" t="s">
        <v>997</v>
      </c>
      <c r="P48" s="197"/>
      <c r="Q48" s="212">
        <v>2</v>
      </c>
      <c r="R48" s="204" t="str">
        <f>CONCATENATE($R$45,".",TEXT(Q48,"0000"))</f>
        <v>II-0004.0002</v>
      </c>
      <c r="S48" s="197" t="str">
        <f>CONCATENATE($K$46," - TIPO ",L48)</f>
        <v>H-10209 - TIPO H-2993</v>
      </c>
    </row>
    <row r="49" spans="1:19" x14ac:dyDescent="0.2">
      <c r="A49" s="203"/>
      <c r="B49" s="196"/>
      <c r="C49" s="205"/>
      <c r="D49" s="220"/>
      <c r="G49" s="197"/>
      <c r="H49" s="214"/>
      <c r="I49" s="215" t="s">
        <v>1049</v>
      </c>
      <c r="J49" s="216"/>
      <c r="K49" s="217" t="s">
        <v>1101</v>
      </c>
      <c r="L49" s="218"/>
      <c r="M49" s="218"/>
      <c r="N49" s="218"/>
      <c r="O49" s="266"/>
      <c r="P49" s="197"/>
      <c r="Q49" s="197"/>
      <c r="R49" s="197"/>
      <c r="S49" s="197"/>
    </row>
    <row r="50" spans="1:19" x14ac:dyDescent="0.2">
      <c r="A50" s="203">
        <v>3</v>
      </c>
      <c r="B50" s="226" t="s">
        <v>1102</v>
      </c>
      <c r="C50" s="227" t="s">
        <v>1103</v>
      </c>
      <c r="D50" s="220" t="s">
        <v>997</v>
      </c>
      <c r="G50" s="197"/>
      <c r="H50" s="214"/>
      <c r="I50" s="221"/>
      <c r="J50" s="222">
        <v>1</v>
      </c>
      <c r="K50" s="223"/>
      <c r="L50" s="224" t="s">
        <v>1097</v>
      </c>
      <c r="M50" s="223"/>
      <c r="N50" s="223"/>
      <c r="O50" s="240" t="s">
        <v>997</v>
      </c>
      <c r="P50" s="197"/>
      <c r="Q50" s="212">
        <v>3</v>
      </c>
      <c r="R50" s="204" t="str">
        <f>CONCATENATE($R$45,".",TEXT(Q50,"0000"))</f>
        <v>II-0004.0003</v>
      </c>
      <c r="S50" s="197" t="str">
        <f>CONCATENATE($K$49," - TIPO ",L50)</f>
        <v>H-10235 - TIPO H-9987</v>
      </c>
    </row>
    <row r="51" spans="1:19" x14ac:dyDescent="0.2">
      <c r="A51" s="203">
        <v>4</v>
      </c>
      <c r="B51" s="204" t="s">
        <v>1104</v>
      </c>
      <c r="C51" s="205" t="s">
        <v>1105</v>
      </c>
      <c r="D51" s="220" t="s">
        <v>997</v>
      </c>
      <c r="G51" s="197"/>
      <c r="H51" s="214"/>
      <c r="I51" s="221"/>
      <c r="J51" s="228">
        <v>2</v>
      </c>
      <c r="K51" s="223"/>
      <c r="L51" s="224" t="s">
        <v>1100</v>
      </c>
      <c r="M51" s="223"/>
      <c r="N51" s="223"/>
      <c r="O51" s="240" t="s">
        <v>997</v>
      </c>
      <c r="P51" s="197"/>
      <c r="Q51" s="212">
        <v>4</v>
      </c>
      <c r="R51" s="204" t="str">
        <f>CONCATENATE($R$45,".",TEXT(Q51,"0000"))</f>
        <v>II-0004.0004</v>
      </c>
      <c r="S51" s="197" t="str">
        <f>CONCATENATE($K$49," - TIPO ",L51)</f>
        <v>H-10235 - TIPO H-2993</v>
      </c>
    </row>
    <row r="52" spans="1:19" x14ac:dyDescent="0.2">
      <c r="A52" s="203"/>
      <c r="B52" s="204"/>
      <c r="C52" s="205"/>
      <c r="D52" s="220"/>
      <c r="G52" s="197"/>
      <c r="H52" s="214"/>
      <c r="I52" s="215" t="s">
        <v>1059</v>
      </c>
      <c r="J52" s="216"/>
      <c r="K52" s="217" t="s">
        <v>1106</v>
      </c>
      <c r="L52" s="218"/>
      <c r="M52" s="218"/>
      <c r="N52" s="218"/>
      <c r="O52" s="266"/>
      <c r="P52" s="197"/>
      <c r="Q52" s="197"/>
      <c r="R52" s="197"/>
      <c r="S52" s="197"/>
    </row>
    <row r="53" spans="1:19" ht="15.75" thickBot="1" x14ac:dyDescent="0.25">
      <c r="A53" s="203">
        <v>5</v>
      </c>
      <c r="B53" s="204" t="s">
        <v>1107</v>
      </c>
      <c r="C53" s="205" t="s">
        <v>1108</v>
      </c>
      <c r="D53" s="220" t="s">
        <v>997</v>
      </c>
      <c r="G53" s="197"/>
      <c r="H53" s="267"/>
      <c r="I53" s="268"/>
      <c r="J53" s="269">
        <v>1</v>
      </c>
      <c r="K53" s="270"/>
      <c r="L53" s="271" t="s">
        <v>1109</v>
      </c>
      <c r="M53" s="270"/>
      <c r="N53" s="270"/>
      <c r="O53" s="272" t="s">
        <v>997</v>
      </c>
      <c r="P53" s="197"/>
      <c r="Q53" s="212">
        <v>5</v>
      </c>
      <c r="R53" s="204" t="str">
        <f>CONCATENATE($R$45,".",TEXT(Q53,"0000"))</f>
        <v>II-0004.0005</v>
      </c>
      <c r="S53" s="197" t="str">
        <f>CONCATENATE($K$52," - TIPO ",L53)</f>
        <v>H-10236 - TIPO H-2553</v>
      </c>
    </row>
    <row r="54" spans="1:19" x14ac:dyDescent="0.2">
      <c r="A54" s="203"/>
      <c r="B54" s="204"/>
      <c r="C54" s="205"/>
      <c r="D54" s="220"/>
      <c r="G54" s="223"/>
      <c r="H54" s="273"/>
      <c r="I54" s="221"/>
      <c r="J54" s="221"/>
      <c r="K54" s="223"/>
      <c r="L54" s="224"/>
      <c r="M54" s="223"/>
      <c r="N54" s="223"/>
      <c r="O54" s="257"/>
      <c r="P54" s="223"/>
      <c r="Q54" s="223"/>
      <c r="R54" s="223"/>
      <c r="S54" s="223"/>
    </row>
    <row r="55" spans="1:19" x14ac:dyDescent="0.2">
      <c r="A55" s="203">
        <v>4</v>
      </c>
      <c r="B55" s="204" t="s">
        <v>1092</v>
      </c>
      <c r="C55" s="205" t="s">
        <v>1093</v>
      </c>
      <c r="D55" s="220"/>
      <c r="G55" s="197"/>
      <c r="H55" s="241">
        <v>4</v>
      </c>
      <c r="I55" s="243"/>
      <c r="J55" s="243"/>
      <c r="K55" s="773" t="s">
        <v>1093</v>
      </c>
      <c r="L55" s="773"/>
      <c r="M55" s="773"/>
      <c r="N55" s="773"/>
      <c r="O55" s="265"/>
      <c r="P55" s="197"/>
      <c r="Q55" s="212">
        <f>H55</f>
        <v>4</v>
      </c>
      <c r="R55" s="202" t="str">
        <f>CONCATENATE("II-",TEXT(Q55,"0000"))</f>
        <v>II-0004</v>
      </c>
      <c r="S55" s="213" t="str">
        <f>K55</f>
        <v>ALCANTARILLAS METALICAS ACERO CORRUGADO</v>
      </c>
    </row>
    <row r="56" spans="1:19" x14ac:dyDescent="0.2">
      <c r="A56" s="203"/>
      <c r="B56" s="204"/>
      <c r="C56" s="205"/>
      <c r="D56" s="220"/>
      <c r="G56" s="197"/>
      <c r="H56" s="214"/>
      <c r="I56" s="215" t="s">
        <v>1085</v>
      </c>
      <c r="J56" s="216"/>
      <c r="K56" s="224" t="s">
        <v>1050</v>
      </c>
      <c r="L56" s="223"/>
      <c r="M56" s="223"/>
      <c r="N56" s="223"/>
      <c r="O56" s="256"/>
      <c r="P56" s="197"/>
      <c r="Q56" s="197"/>
      <c r="R56" s="197"/>
      <c r="S56" s="197"/>
    </row>
    <row r="57" spans="1:19" x14ac:dyDescent="0.2">
      <c r="A57" s="203">
        <v>10</v>
      </c>
      <c r="B57" s="204" t="s">
        <v>1110</v>
      </c>
      <c r="C57" s="205" t="s">
        <v>1111</v>
      </c>
      <c r="D57" s="220" t="s">
        <v>997</v>
      </c>
      <c r="G57" s="197"/>
      <c r="H57" s="214"/>
      <c r="I57" s="221"/>
      <c r="J57" s="222">
        <v>1</v>
      </c>
      <c r="K57" s="223"/>
      <c r="L57" s="224" t="s">
        <v>1112</v>
      </c>
      <c r="M57" s="223"/>
      <c r="N57" s="223"/>
      <c r="O57" s="256" t="s">
        <v>997</v>
      </c>
      <c r="P57" s="197"/>
      <c r="Q57" s="212">
        <v>10</v>
      </c>
      <c r="R57" s="204" t="str">
        <f>CONCATENATE($R$45,".",TEXT(Q57,"0000"))</f>
        <v>II-0004.0010</v>
      </c>
      <c r="S57" s="197" t="str">
        <f>CONCATENATE($K$56," - TIPO ",L57)</f>
        <v>ESPECIAL - TIPO BOVEDA PERFIL ALTO Z-6584</v>
      </c>
    </row>
    <row r="58" spans="1:19" x14ac:dyDescent="0.2">
      <c r="A58" s="203">
        <v>11</v>
      </c>
      <c r="B58" s="204" t="s">
        <v>1113</v>
      </c>
      <c r="C58" s="205" t="s">
        <v>1114</v>
      </c>
      <c r="D58" s="220" t="s">
        <v>997</v>
      </c>
      <c r="G58" s="197"/>
      <c r="H58" s="214"/>
      <c r="I58" s="221"/>
      <c r="J58" s="222">
        <v>2</v>
      </c>
      <c r="K58" s="223"/>
      <c r="L58" s="224" t="s">
        <v>1115</v>
      </c>
      <c r="M58" s="223"/>
      <c r="N58" s="223"/>
      <c r="O58" s="256" t="s">
        <v>997</v>
      </c>
      <c r="P58" s="197"/>
      <c r="Q58" s="212">
        <v>11</v>
      </c>
      <c r="R58" s="204" t="str">
        <f t="shared" ref="R58:R67" si="6">CONCATENATE($R$45,".",TEXT(Q58,"0000"))</f>
        <v>II-0004.0011</v>
      </c>
      <c r="S58" s="197" t="str">
        <f t="shared" ref="S58:S61" si="7">CONCATENATE($K$56," - TIPO ",L58)</f>
        <v>ESPECIAL - TIPO BOVEDA PERFIL BAJO Z-6584</v>
      </c>
    </row>
    <row r="59" spans="1:19" x14ac:dyDescent="0.2">
      <c r="A59" s="203">
        <v>12</v>
      </c>
      <c r="B59" s="196" t="s">
        <v>1116</v>
      </c>
      <c r="C59" s="205" t="s">
        <v>1117</v>
      </c>
      <c r="D59" s="220" t="s">
        <v>997</v>
      </c>
      <c r="G59" s="197"/>
      <c r="H59" s="214"/>
      <c r="I59" s="221"/>
      <c r="J59" s="222">
        <v>3</v>
      </c>
      <c r="K59" s="223"/>
      <c r="L59" s="224" t="s">
        <v>1118</v>
      </c>
      <c r="M59" s="223"/>
      <c r="N59" s="223"/>
      <c r="O59" s="256" t="s">
        <v>997</v>
      </c>
      <c r="P59" s="197"/>
      <c r="Q59" s="212">
        <v>12</v>
      </c>
      <c r="R59" s="204" t="str">
        <f t="shared" si="6"/>
        <v>II-0004.0012</v>
      </c>
      <c r="S59" s="197" t="str">
        <f t="shared" si="7"/>
        <v>ESPECIAL - TIPO CIRCULAR</v>
      </c>
    </row>
    <row r="60" spans="1:19" x14ac:dyDescent="0.2">
      <c r="A60" s="203">
        <v>13</v>
      </c>
      <c r="B60" s="196" t="s">
        <v>1119</v>
      </c>
      <c r="C60" s="205" t="s">
        <v>1120</v>
      </c>
      <c r="D60" s="220" t="s">
        <v>997</v>
      </c>
      <c r="G60" s="197"/>
      <c r="H60" s="214"/>
      <c r="I60" s="221"/>
      <c r="J60" s="222">
        <v>4</v>
      </c>
      <c r="K60" s="223"/>
      <c r="L60" s="224" t="s">
        <v>1121</v>
      </c>
      <c r="M60" s="223"/>
      <c r="N60" s="223"/>
      <c r="O60" s="256" t="s">
        <v>997</v>
      </c>
      <c r="P60" s="197"/>
      <c r="Q60" s="212">
        <v>13</v>
      </c>
      <c r="R60" s="204" t="str">
        <f t="shared" si="6"/>
        <v>II-0004.0013</v>
      </c>
      <c r="S60" s="197" t="str">
        <f t="shared" si="7"/>
        <v>ESPECIAL - TIPO ELIPTICA</v>
      </c>
    </row>
    <row r="61" spans="1:19" x14ac:dyDescent="0.2">
      <c r="A61" s="203">
        <v>14</v>
      </c>
      <c r="B61" s="204" t="s">
        <v>1122</v>
      </c>
      <c r="C61" s="205" t="s">
        <v>1123</v>
      </c>
      <c r="D61" s="220" t="s">
        <v>997</v>
      </c>
      <c r="G61" s="197"/>
      <c r="H61" s="214"/>
      <c r="I61" s="274"/>
      <c r="J61" s="228">
        <v>5</v>
      </c>
      <c r="K61" s="229"/>
      <c r="L61" s="230" t="s">
        <v>1124</v>
      </c>
      <c r="M61" s="229"/>
      <c r="N61" s="229"/>
      <c r="O61" s="275" t="s">
        <v>997</v>
      </c>
      <c r="P61" s="197"/>
      <c r="Q61" s="212">
        <v>14</v>
      </c>
      <c r="R61" s="204" t="str">
        <f t="shared" si="6"/>
        <v>II-0004.0014</v>
      </c>
      <c r="S61" s="197" t="str">
        <f t="shared" si="7"/>
        <v>ESPECIAL - TIPO ELIPTICA P/ FERROCARRIL Z-6584</v>
      </c>
    </row>
    <row r="62" spans="1:19" x14ac:dyDescent="0.2">
      <c r="A62" s="203">
        <v>20</v>
      </c>
      <c r="B62" s="204" t="s">
        <v>1125</v>
      </c>
      <c r="C62" s="205" t="s">
        <v>1126</v>
      </c>
      <c r="D62" s="220" t="s">
        <v>997</v>
      </c>
      <c r="G62" s="276"/>
      <c r="H62" s="277"/>
      <c r="I62" s="278" t="s">
        <v>1127</v>
      </c>
      <c r="J62" s="278"/>
      <c r="K62" s="279" t="s">
        <v>1126</v>
      </c>
      <c r="L62" s="280"/>
      <c r="M62" s="280"/>
      <c r="N62" s="280"/>
      <c r="O62" s="281" t="s">
        <v>997</v>
      </c>
      <c r="P62" s="276"/>
      <c r="Q62" s="212">
        <v>20</v>
      </c>
      <c r="R62" s="204" t="str">
        <f t="shared" si="6"/>
        <v>II-0004.0020</v>
      </c>
      <c r="S62" s="197" t="str">
        <f>CONCATENATE(K62)</f>
        <v>PINTURA</v>
      </c>
    </row>
    <row r="63" spans="1:19" x14ac:dyDescent="0.2">
      <c r="A63" s="203">
        <v>21</v>
      </c>
      <c r="B63" s="196" t="s">
        <v>1128</v>
      </c>
      <c r="C63" s="205" t="s">
        <v>1129</v>
      </c>
      <c r="D63" s="220" t="s">
        <v>997</v>
      </c>
      <c r="G63" s="276"/>
      <c r="H63" s="277"/>
      <c r="I63" s="278" t="s">
        <v>1130</v>
      </c>
      <c r="J63" s="278"/>
      <c r="K63" s="774" t="s">
        <v>1129</v>
      </c>
      <c r="L63" s="774"/>
      <c r="M63" s="280"/>
      <c r="N63" s="280"/>
      <c r="O63" s="282" t="s">
        <v>997</v>
      </c>
      <c r="P63" s="276"/>
      <c r="Q63" s="212">
        <v>21</v>
      </c>
      <c r="R63" s="204" t="str">
        <f t="shared" si="6"/>
        <v>II-0004.0021</v>
      </c>
      <c r="S63" s="197" t="str">
        <f t="shared" ref="S63:S67" si="8">CONCATENATE(K63)</f>
        <v>COLOCACION</v>
      </c>
    </row>
    <row r="64" spans="1:19" x14ac:dyDescent="0.2">
      <c r="A64" s="203">
        <v>22</v>
      </c>
      <c r="B64" s="204" t="s">
        <v>1131</v>
      </c>
      <c r="C64" s="205" t="s">
        <v>1132</v>
      </c>
      <c r="D64" s="220" t="s">
        <v>1133</v>
      </c>
      <c r="G64" s="276"/>
      <c r="H64" s="277"/>
      <c r="I64" s="278" t="s">
        <v>1134</v>
      </c>
      <c r="J64" s="278"/>
      <c r="K64" s="774" t="s">
        <v>1132</v>
      </c>
      <c r="L64" s="774"/>
      <c r="M64" s="280"/>
      <c r="N64" s="280"/>
      <c r="O64" s="282" t="s">
        <v>1133</v>
      </c>
      <c r="P64" s="276"/>
      <c r="Q64" s="212">
        <v>22</v>
      </c>
      <c r="R64" s="204" t="str">
        <f t="shared" si="6"/>
        <v>II-0004.0022</v>
      </c>
      <c r="S64" s="197" t="str">
        <f t="shared" si="8"/>
        <v>RELLENO DE SOCAVACION</v>
      </c>
    </row>
    <row r="65" spans="1:19" x14ac:dyDescent="0.2">
      <c r="A65" s="203">
        <v>23</v>
      </c>
      <c r="B65" s="204" t="s">
        <v>1135</v>
      </c>
      <c r="C65" s="205" t="s">
        <v>1136</v>
      </c>
      <c r="D65" s="220" t="s">
        <v>997</v>
      </c>
      <c r="G65" s="197"/>
      <c r="H65" s="277"/>
      <c r="I65" s="215" t="s">
        <v>1137</v>
      </c>
      <c r="J65" s="262"/>
      <c r="K65" s="283" t="s">
        <v>1136</v>
      </c>
      <c r="L65" s="262"/>
      <c r="M65" s="262"/>
      <c r="N65" s="262"/>
      <c r="O65" s="282" t="s">
        <v>997</v>
      </c>
      <c r="P65" s="197"/>
      <c r="Q65" s="212">
        <v>23</v>
      </c>
      <c r="R65" s="204" t="str">
        <f t="shared" si="6"/>
        <v>II-0004.0023</v>
      </c>
      <c r="S65" s="197" t="str">
        <f t="shared" si="8"/>
        <v>REPARACION</v>
      </c>
    </row>
    <row r="66" spans="1:19" x14ac:dyDescent="0.2">
      <c r="A66" s="203">
        <v>24</v>
      </c>
      <c r="B66" s="196" t="s">
        <v>1138</v>
      </c>
      <c r="C66" s="205" t="s">
        <v>1139</v>
      </c>
      <c r="D66" s="220" t="s">
        <v>997</v>
      </c>
      <c r="G66" s="197"/>
      <c r="H66" s="277"/>
      <c r="I66" s="215" t="s">
        <v>889</v>
      </c>
      <c r="J66" s="262"/>
      <c r="K66" s="283" t="s">
        <v>1139</v>
      </c>
      <c r="L66" s="262"/>
      <c r="M66" s="262"/>
      <c r="N66" s="262"/>
      <c r="O66" s="282" t="s">
        <v>997</v>
      </c>
      <c r="P66" s="197"/>
      <c r="Q66" s="212">
        <v>24</v>
      </c>
      <c r="R66" s="204" t="str">
        <f t="shared" si="6"/>
        <v>II-0004.0024</v>
      </c>
      <c r="S66" s="197" t="str">
        <f t="shared" si="8"/>
        <v>RETIRO Y RECOLOCACION</v>
      </c>
    </row>
    <row r="67" spans="1:19" ht="15.75" thickBot="1" x14ac:dyDescent="0.25">
      <c r="A67" s="203">
        <v>25</v>
      </c>
      <c r="B67" s="196" t="s">
        <v>1140</v>
      </c>
      <c r="C67" s="205" t="s">
        <v>1141</v>
      </c>
      <c r="D67" s="220" t="s">
        <v>997</v>
      </c>
      <c r="G67" s="197"/>
      <c r="H67" s="284"/>
      <c r="I67" s="246" t="s">
        <v>1142</v>
      </c>
      <c r="J67" s="249"/>
      <c r="K67" s="285" t="s">
        <v>1141</v>
      </c>
      <c r="L67" s="249"/>
      <c r="M67" s="249"/>
      <c r="N67" s="249"/>
      <c r="O67" s="286" t="s">
        <v>997</v>
      </c>
      <c r="P67" s="197"/>
      <c r="Q67" s="212">
        <v>25</v>
      </c>
      <c r="R67" s="204" t="str">
        <f t="shared" si="6"/>
        <v>II-0004.0025</v>
      </c>
      <c r="S67" s="197" t="str">
        <f t="shared" si="8"/>
        <v xml:space="preserve">RETIRO </v>
      </c>
    </row>
    <row r="68" spans="1:19" ht="16.5" thickTop="1" thickBot="1" x14ac:dyDescent="0.25">
      <c r="A68" s="203"/>
      <c r="B68" s="226"/>
      <c r="C68" s="227"/>
      <c r="D68" s="220"/>
      <c r="G68" s="197"/>
      <c r="H68" s="214"/>
      <c r="I68" s="221"/>
      <c r="J68" s="223"/>
      <c r="K68" s="224"/>
      <c r="L68" s="223"/>
      <c r="M68" s="223"/>
      <c r="N68" s="223"/>
      <c r="O68" s="287"/>
      <c r="P68" s="197"/>
      <c r="Q68" s="212"/>
      <c r="R68" s="204"/>
      <c r="S68" s="197"/>
    </row>
    <row r="69" spans="1:19" ht="15.75" thickTop="1" x14ac:dyDescent="0.2">
      <c r="A69" s="203">
        <v>5</v>
      </c>
      <c r="B69" s="204" t="s">
        <v>1143</v>
      </c>
      <c r="C69" s="205" t="s">
        <v>1144</v>
      </c>
      <c r="D69" s="220"/>
      <c r="G69" s="197"/>
      <c r="H69" s="241">
        <v>5</v>
      </c>
      <c r="I69" s="243"/>
      <c r="J69" s="254"/>
      <c r="K69" s="288" t="s">
        <v>1144</v>
      </c>
      <c r="L69" s="254"/>
      <c r="M69" s="254"/>
      <c r="N69" s="254"/>
      <c r="O69" s="265"/>
      <c r="P69" s="197"/>
      <c r="Q69" s="212">
        <f>H69</f>
        <v>5</v>
      </c>
      <c r="R69" s="202" t="str">
        <f>CONCATENATE("II-",TEXT(Q69,"0000"))</f>
        <v>II-0005</v>
      </c>
      <c r="S69" s="213" t="str">
        <f>K69</f>
        <v>ALCANTARILLAS HORMIGON</v>
      </c>
    </row>
    <row r="70" spans="1:19" x14ac:dyDescent="0.2">
      <c r="A70" s="203"/>
      <c r="B70" s="204"/>
      <c r="C70" s="205"/>
      <c r="D70" s="220"/>
      <c r="G70" s="197"/>
      <c r="H70" s="214"/>
      <c r="I70" s="215" t="s">
        <v>1022</v>
      </c>
      <c r="J70" s="218"/>
      <c r="K70" s="224" t="s">
        <v>1118</v>
      </c>
      <c r="L70" s="223"/>
      <c r="M70" s="223"/>
      <c r="N70" s="223"/>
      <c r="O70" s="256"/>
      <c r="P70" s="197"/>
      <c r="Q70" s="197"/>
      <c r="R70" s="197"/>
      <c r="S70" s="197"/>
    </row>
    <row r="71" spans="1:19" x14ac:dyDescent="0.2">
      <c r="A71" s="203">
        <v>1</v>
      </c>
      <c r="B71" s="204" t="s">
        <v>1145</v>
      </c>
      <c r="C71" s="205" t="s">
        <v>1146</v>
      </c>
      <c r="D71" s="220" t="s">
        <v>997</v>
      </c>
      <c r="G71" s="197"/>
      <c r="H71" s="214"/>
      <c r="I71" s="221"/>
      <c r="J71" s="222">
        <v>1</v>
      </c>
      <c r="K71" s="223"/>
      <c r="L71" s="224" t="s">
        <v>1147</v>
      </c>
      <c r="M71" s="223"/>
      <c r="N71" s="223"/>
      <c r="O71" s="256" t="s">
        <v>997</v>
      </c>
      <c r="P71" s="197"/>
      <c r="Q71" s="212">
        <v>1</v>
      </c>
      <c r="R71" s="204" t="str">
        <f>CONCATENATE($R$69,".",TEXT(Q71,"0000"))</f>
        <v>II-0005.0001</v>
      </c>
      <c r="S71" s="197" t="str">
        <f>CONCATENATE($K$70," - TIPO ",L71)</f>
        <v>CIRCULAR - TIPO A-82</v>
      </c>
    </row>
    <row r="72" spans="1:19" x14ac:dyDescent="0.2">
      <c r="A72" s="203">
        <v>2</v>
      </c>
      <c r="B72" s="204" t="s">
        <v>1148</v>
      </c>
      <c r="C72" s="205" t="s">
        <v>1149</v>
      </c>
      <c r="D72" s="220" t="s">
        <v>997</v>
      </c>
      <c r="G72" s="197"/>
      <c r="H72" s="214"/>
      <c r="I72" s="233"/>
      <c r="J72" s="228">
        <v>2</v>
      </c>
      <c r="K72" s="229"/>
      <c r="L72" s="230" t="s">
        <v>1100</v>
      </c>
      <c r="M72" s="229"/>
      <c r="N72" s="229"/>
      <c r="O72" s="275" t="s">
        <v>997</v>
      </c>
      <c r="P72" s="197"/>
      <c r="Q72" s="212">
        <v>2</v>
      </c>
      <c r="R72" s="204" t="str">
        <f>CONCATENATE($R$69,".",TEXT(Q72,"0000"))</f>
        <v>II-0005.0002</v>
      </c>
      <c r="S72" s="197" t="str">
        <f>CONCATENATE($K$70," - TIPO ",L72)</f>
        <v>CIRCULAR - TIPO H-2993</v>
      </c>
    </row>
    <row r="73" spans="1:19" x14ac:dyDescent="0.2">
      <c r="A73" s="203"/>
      <c r="B73" s="196"/>
      <c r="C73" s="205"/>
      <c r="D73" s="220" t="s">
        <v>997</v>
      </c>
      <c r="G73" s="197"/>
      <c r="H73" s="214"/>
      <c r="I73" s="228" t="s">
        <v>1049</v>
      </c>
      <c r="J73" s="221"/>
      <c r="K73" s="224" t="s">
        <v>1150</v>
      </c>
      <c r="L73" s="224"/>
      <c r="M73" s="223"/>
      <c r="N73" s="223"/>
      <c r="O73" s="256" t="s">
        <v>997</v>
      </c>
      <c r="P73" s="197"/>
      <c r="Q73" s="197"/>
      <c r="R73" s="197"/>
      <c r="S73" s="197"/>
    </row>
    <row r="74" spans="1:19" x14ac:dyDescent="0.2">
      <c r="A74" s="203">
        <v>10</v>
      </c>
      <c r="B74" s="196" t="s">
        <v>1151</v>
      </c>
      <c r="C74" s="205" t="s">
        <v>1152</v>
      </c>
      <c r="D74" s="220" t="s">
        <v>997</v>
      </c>
      <c r="G74" s="197"/>
      <c r="H74" s="214"/>
      <c r="I74" s="221"/>
      <c r="J74" s="222">
        <v>1</v>
      </c>
      <c r="K74" s="223"/>
      <c r="L74" s="224" t="s">
        <v>1153</v>
      </c>
      <c r="M74" s="223"/>
      <c r="N74" s="223"/>
      <c r="O74" s="240" t="s">
        <v>997</v>
      </c>
      <c r="P74" s="197"/>
      <c r="Q74" s="212">
        <v>10</v>
      </c>
      <c r="R74" s="204" t="str">
        <f>CONCATENATE($R$69,".",TEXT(Q74,"0000"))</f>
        <v>II-0005.0010</v>
      </c>
      <c r="S74" s="197" t="str">
        <f>CONCATENATE($K$73," - TIPO ",L74)</f>
        <v>RECTANGULAR - TIPO H-1900-BIS-1</v>
      </c>
    </row>
    <row r="75" spans="1:19" x14ac:dyDescent="0.2">
      <c r="A75" s="203">
        <v>11</v>
      </c>
      <c r="B75" s="226" t="s">
        <v>1154</v>
      </c>
      <c r="C75" s="227" t="s">
        <v>1155</v>
      </c>
      <c r="D75" s="220" t="s">
        <v>997</v>
      </c>
      <c r="G75" s="197"/>
      <c r="H75" s="214"/>
      <c r="I75" s="221"/>
      <c r="J75" s="222">
        <v>2</v>
      </c>
      <c r="K75" s="223"/>
      <c r="L75" s="224" t="s">
        <v>1156</v>
      </c>
      <c r="M75" s="223"/>
      <c r="N75" s="223"/>
      <c r="O75" s="240" t="s">
        <v>997</v>
      </c>
      <c r="P75" s="197"/>
      <c r="Q75" s="212">
        <v>11</v>
      </c>
      <c r="R75" s="204" t="str">
        <f t="shared" ref="R75:R90" si="9">CONCATENATE($R$69,".",TEXT(Q75,"0000"))</f>
        <v>II-0005.0011</v>
      </c>
      <c r="S75" s="197" t="str">
        <f t="shared" ref="S75:S85" si="10">CONCATENATE($K$73," - TIPO ",L75)</f>
        <v>RECTANGULAR - TIPO O-41211-I</v>
      </c>
    </row>
    <row r="76" spans="1:19" x14ac:dyDescent="0.2">
      <c r="A76" s="203">
        <v>12</v>
      </c>
      <c r="B76" s="204" t="s">
        <v>1157</v>
      </c>
      <c r="C76" s="205" t="s">
        <v>1158</v>
      </c>
      <c r="D76" s="220" t="s">
        <v>997</v>
      </c>
      <c r="G76" s="197"/>
      <c r="H76" s="214"/>
      <c r="I76" s="221"/>
      <c r="J76" s="222">
        <v>3</v>
      </c>
      <c r="K76" s="223"/>
      <c r="L76" s="224" t="s">
        <v>1159</v>
      </c>
      <c r="M76" s="223"/>
      <c r="N76" s="223"/>
      <c r="O76" s="240" t="s">
        <v>997</v>
      </c>
      <c r="P76" s="197"/>
      <c r="Q76" s="212">
        <v>12</v>
      </c>
      <c r="R76" s="204" t="str">
        <f t="shared" si="9"/>
        <v>II-0005.0012</v>
      </c>
      <c r="S76" s="197" t="str">
        <f t="shared" si="10"/>
        <v>RECTANGULAR - TIPO Z-959</v>
      </c>
    </row>
    <row r="77" spans="1:19" x14ac:dyDescent="0.2">
      <c r="A77" s="203">
        <v>13</v>
      </c>
      <c r="B77" s="204" t="s">
        <v>1160</v>
      </c>
      <c r="C77" s="205" t="s">
        <v>1161</v>
      </c>
      <c r="D77" s="220" t="s">
        <v>997</v>
      </c>
      <c r="G77" s="197"/>
      <c r="H77" s="214"/>
      <c r="I77" s="221"/>
      <c r="J77" s="222">
        <v>4</v>
      </c>
      <c r="K77" s="223"/>
      <c r="L77" s="224" t="s">
        <v>1162</v>
      </c>
      <c r="M77" s="223"/>
      <c r="N77" s="223"/>
      <c r="O77" s="240" t="s">
        <v>997</v>
      </c>
      <c r="P77" s="197"/>
      <c r="Q77" s="212">
        <v>13</v>
      </c>
      <c r="R77" s="204" t="str">
        <f t="shared" si="9"/>
        <v>II-0005.0013</v>
      </c>
      <c r="S77" s="197" t="str">
        <f t="shared" si="10"/>
        <v>RECTANGULAR - TIPO Z-2915-I</v>
      </c>
    </row>
    <row r="78" spans="1:19" x14ac:dyDescent="0.2">
      <c r="A78" s="203">
        <v>14</v>
      </c>
      <c r="B78" s="204" t="s">
        <v>1163</v>
      </c>
      <c r="C78" s="205" t="s">
        <v>1164</v>
      </c>
      <c r="D78" s="220" t="s">
        <v>997</v>
      </c>
      <c r="G78" s="197"/>
      <c r="H78" s="214"/>
      <c r="I78" s="221"/>
      <c r="J78" s="222">
        <v>5</v>
      </c>
      <c r="K78" s="223"/>
      <c r="L78" s="224" t="s">
        <v>1165</v>
      </c>
      <c r="M78" s="223"/>
      <c r="N78" s="223"/>
      <c r="O78" s="240" t="s">
        <v>997</v>
      </c>
      <c r="P78" s="197"/>
      <c r="Q78" s="212">
        <v>14</v>
      </c>
      <c r="R78" s="204" t="str">
        <f t="shared" si="9"/>
        <v>II-0005.0014</v>
      </c>
      <c r="S78" s="197" t="str">
        <f t="shared" si="10"/>
        <v>RECTANGULAR - TIPO Z-2916-I</v>
      </c>
    </row>
    <row r="79" spans="1:19" x14ac:dyDescent="0.2">
      <c r="A79" s="203">
        <v>15</v>
      </c>
      <c r="B79" s="204" t="s">
        <v>1166</v>
      </c>
      <c r="C79" s="205" t="s">
        <v>1167</v>
      </c>
      <c r="D79" s="220" t="s">
        <v>997</v>
      </c>
      <c r="G79" s="197"/>
      <c r="H79" s="214"/>
      <c r="I79" s="221"/>
      <c r="J79" s="222">
        <v>6</v>
      </c>
      <c r="K79" s="223"/>
      <c r="L79" s="224" t="s">
        <v>1168</v>
      </c>
      <c r="M79" s="223"/>
      <c r="N79" s="223"/>
      <c r="O79" s="240" t="s">
        <v>997</v>
      </c>
      <c r="P79" s="197"/>
      <c r="Q79" s="212">
        <v>15</v>
      </c>
      <c r="R79" s="204" t="str">
        <f t="shared" si="9"/>
        <v>II-0005.0015</v>
      </c>
      <c r="S79" s="197" t="str">
        <f t="shared" si="10"/>
        <v>RECTANGULAR - TIPO A-505</v>
      </c>
    </row>
    <row r="80" spans="1:19" x14ac:dyDescent="0.2">
      <c r="A80" s="203">
        <v>16</v>
      </c>
      <c r="B80" s="196" t="s">
        <v>1169</v>
      </c>
      <c r="C80" s="205" t="s">
        <v>1170</v>
      </c>
      <c r="D80" s="220" t="s">
        <v>997</v>
      </c>
      <c r="G80" s="197"/>
      <c r="H80" s="214"/>
      <c r="I80" s="221"/>
      <c r="J80" s="222">
        <v>7</v>
      </c>
      <c r="K80" s="223"/>
      <c r="L80" s="224" t="s">
        <v>1171</v>
      </c>
      <c r="M80" s="223"/>
      <c r="N80" s="223"/>
      <c r="O80" s="240" t="s">
        <v>997</v>
      </c>
      <c r="P80" s="197"/>
      <c r="Q80" s="212">
        <v>16</v>
      </c>
      <c r="R80" s="204" t="str">
        <f t="shared" si="9"/>
        <v>II-0005.0016</v>
      </c>
      <c r="S80" s="197" t="str">
        <f t="shared" si="10"/>
        <v>RECTANGULAR - TIPO A-660</v>
      </c>
    </row>
    <row r="81" spans="1:19" x14ac:dyDescent="0.2">
      <c r="A81" s="203">
        <v>17</v>
      </c>
      <c r="B81" s="196" t="s">
        <v>1172</v>
      </c>
      <c r="C81" s="205" t="s">
        <v>1173</v>
      </c>
      <c r="D81" s="220" t="s">
        <v>997</v>
      </c>
      <c r="G81" s="197"/>
      <c r="H81" s="214"/>
      <c r="I81" s="221"/>
      <c r="J81" s="222">
        <v>8</v>
      </c>
      <c r="K81" s="223"/>
      <c r="L81" s="224" t="s">
        <v>1174</v>
      </c>
      <c r="M81" s="223"/>
      <c r="N81" s="223"/>
      <c r="O81" s="240" t="s">
        <v>997</v>
      </c>
      <c r="P81" s="197"/>
      <c r="Q81" s="212">
        <v>17</v>
      </c>
      <c r="R81" s="204" t="str">
        <f t="shared" si="9"/>
        <v>II-0005.0017</v>
      </c>
      <c r="S81" s="197" t="str">
        <f t="shared" si="10"/>
        <v>RECTANGULAR - TIPO O-41211-MODIFICADA</v>
      </c>
    </row>
    <row r="82" spans="1:19" x14ac:dyDescent="0.2">
      <c r="A82" s="203">
        <v>18</v>
      </c>
      <c r="B82" s="226" t="s">
        <v>1175</v>
      </c>
      <c r="C82" s="227" t="s">
        <v>1176</v>
      </c>
      <c r="D82" s="220" t="s">
        <v>997</v>
      </c>
      <c r="G82" s="197"/>
      <c r="H82" s="214"/>
      <c r="I82" s="221"/>
      <c r="J82" s="222">
        <v>9</v>
      </c>
      <c r="K82" s="223"/>
      <c r="L82" s="224" t="s">
        <v>1177</v>
      </c>
      <c r="M82" s="223"/>
      <c r="N82" s="223"/>
      <c r="O82" s="240" t="s">
        <v>997</v>
      </c>
      <c r="P82" s="197"/>
      <c r="Q82" s="212">
        <v>18</v>
      </c>
      <c r="R82" s="204" t="str">
        <f t="shared" si="9"/>
        <v>II-0005.0018</v>
      </c>
      <c r="S82" s="197" t="str">
        <f t="shared" si="10"/>
        <v>RECTANGULAR - TIPO X-1113</v>
      </c>
    </row>
    <row r="83" spans="1:19" x14ac:dyDescent="0.2">
      <c r="A83" s="203">
        <v>19</v>
      </c>
      <c r="B83" s="204" t="s">
        <v>1178</v>
      </c>
      <c r="C83" s="205" t="s">
        <v>1179</v>
      </c>
      <c r="D83" s="220" t="s">
        <v>997</v>
      </c>
      <c r="G83" s="197"/>
      <c r="H83" s="214"/>
      <c r="I83" s="221"/>
      <c r="J83" s="222">
        <v>10</v>
      </c>
      <c r="K83" s="223"/>
      <c r="L83" s="224" t="s">
        <v>1180</v>
      </c>
      <c r="M83" s="223"/>
      <c r="N83" s="223"/>
      <c r="O83" s="240" t="s">
        <v>997</v>
      </c>
      <c r="P83" s="197"/>
      <c r="Q83" s="212">
        <v>19</v>
      </c>
      <c r="R83" s="204" t="str">
        <f t="shared" si="9"/>
        <v>II-0005.0019</v>
      </c>
      <c r="S83" s="197" t="str">
        <f t="shared" si="10"/>
        <v>RECTANGULAR - TIPO 0-52229</v>
      </c>
    </row>
    <row r="84" spans="1:19" x14ac:dyDescent="0.2">
      <c r="A84" s="203">
        <v>20</v>
      </c>
      <c r="B84" s="204" t="s">
        <v>1181</v>
      </c>
      <c r="C84" s="205" t="s">
        <v>1182</v>
      </c>
      <c r="D84" s="220" t="s">
        <v>997</v>
      </c>
      <c r="G84" s="197"/>
      <c r="H84" s="214"/>
      <c r="I84" s="221"/>
      <c r="J84" s="222">
        <v>11</v>
      </c>
      <c r="K84" s="223"/>
      <c r="L84" s="224" t="s">
        <v>1183</v>
      </c>
      <c r="M84" s="223"/>
      <c r="N84" s="223"/>
      <c r="O84" s="240" t="s">
        <v>997</v>
      </c>
      <c r="P84" s="197"/>
      <c r="Q84" s="212">
        <v>20</v>
      </c>
      <c r="R84" s="204" t="str">
        <f t="shared" si="9"/>
        <v>II-0005.0020</v>
      </c>
      <c r="S84" s="197" t="str">
        <f t="shared" si="10"/>
        <v>RECTANGULAR - TIPO 0-52233</v>
      </c>
    </row>
    <row r="85" spans="1:19" x14ac:dyDescent="0.2">
      <c r="A85" s="203">
        <v>21</v>
      </c>
      <c r="B85" s="196" t="s">
        <v>1184</v>
      </c>
      <c r="C85" s="205" t="s">
        <v>1185</v>
      </c>
      <c r="D85" s="220" t="s">
        <v>997</v>
      </c>
      <c r="G85" s="197"/>
      <c r="H85" s="214"/>
      <c r="I85" s="233"/>
      <c r="J85" s="228">
        <v>12</v>
      </c>
      <c r="K85" s="223"/>
      <c r="L85" s="230" t="s">
        <v>1186</v>
      </c>
      <c r="M85" s="229"/>
      <c r="N85" s="229"/>
      <c r="O85" s="260" t="s">
        <v>997</v>
      </c>
      <c r="P85" s="197"/>
      <c r="Q85" s="212">
        <v>21</v>
      </c>
      <c r="R85" s="204" t="str">
        <f t="shared" si="9"/>
        <v>II-0005.0021</v>
      </c>
      <c r="S85" s="197" t="str">
        <f t="shared" si="10"/>
        <v>RECTANGULAR - TIPO 0-52241</v>
      </c>
    </row>
    <row r="86" spans="1:19" x14ac:dyDescent="0.2">
      <c r="A86" s="203">
        <v>30</v>
      </c>
      <c r="B86" s="196" t="s">
        <v>1187</v>
      </c>
      <c r="C86" s="205" t="s">
        <v>1129</v>
      </c>
      <c r="D86" s="220" t="s">
        <v>997</v>
      </c>
      <c r="G86" s="197"/>
      <c r="H86" s="214"/>
      <c r="I86" s="215" t="s">
        <v>1059</v>
      </c>
      <c r="J86" s="233"/>
      <c r="K86" s="283" t="s">
        <v>1129</v>
      </c>
      <c r="L86" s="230"/>
      <c r="M86" s="229"/>
      <c r="N86" s="229"/>
      <c r="O86" s="260" t="s">
        <v>997</v>
      </c>
      <c r="P86" s="197"/>
      <c r="Q86" s="212">
        <v>30</v>
      </c>
      <c r="R86" s="204" t="str">
        <f t="shared" si="9"/>
        <v>II-0005.0030</v>
      </c>
      <c r="S86" s="197" t="str">
        <f>CONCATENATE(K86)</f>
        <v>COLOCACION</v>
      </c>
    </row>
    <row r="87" spans="1:19" x14ac:dyDescent="0.2">
      <c r="A87" s="203">
        <v>31</v>
      </c>
      <c r="B87" s="226" t="s">
        <v>1188</v>
      </c>
      <c r="C87" s="227" t="s">
        <v>1126</v>
      </c>
      <c r="D87" s="220" t="s">
        <v>997</v>
      </c>
      <c r="G87" s="197"/>
      <c r="H87" s="214"/>
      <c r="I87" s="228" t="s">
        <v>1085</v>
      </c>
      <c r="J87" s="233"/>
      <c r="K87" s="224" t="s">
        <v>1126</v>
      </c>
      <c r="L87" s="230"/>
      <c r="M87" s="229"/>
      <c r="N87" s="229"/>
      <c r="O87" s="260" t="s">
        <v>997</v>
      </c>
      <c r="P87" s="197"/>
      <c r="Q87" s="212">
        <v>31</v>
      </c>
      <c r="R87" s="204" t="str">
        <f t="shared" si="9"/>
        <v>II-0005.0031</v>
      </c>
      <c r="S87" s="197" t="str">
        <f t="shared" ref="S87:S90" si="11">CONCATENATE(K87)</f>
        <v>PINTURA</v>
      </c>
    </row>
    <row r="88" spans="1:19" x14ac:dyDescent="0.2">
      <c r="A88" s="203">
        <v>32</v>
      </c>
      <c r="B88" s="204" t="s">
        <v>1189</v>
      </c>
      <c r="C88" s="205" t="s">
        <v>1190</v>
      </c>
      <c r="D88" s="289" t="s">
        <v>1133</v>
      </c>
      <c r="G88" s="197"/>
      <c r="H88" s="214"/>
      <c r="I88" s="228" t="s">
        <v>1127</v>
      </c>
      <c r="J88" s="233"/>
      <c r="K88" s="283" t="s">
        <v>1190</v>
      </c>
      <c r="L88" s="230"/>
      <c r="M88" s="229"/>
      <c r="N88" s="229"/>
      <c r="O88" s="290" t="s">
        <v>1133</v>
      </c>
      <c r="P88" s="197"/>
      <c r="Q88" s="212">
        <v>32</v>
      </c>
      <c r="R88" s="204" t="str">
        <f t="shared" si="9"/>
        <v>II-0005.0032</v>
      </c>
      <c r="S88" s="197" t="str">
        <f t="shared" si="11"/>
        <v>RELLENO SOCAVACION</v>
      </c>
    </row>
    <row r="89" spans="1:19" x14ac:dyDescent="0.2">
      <c r="A89" s="203">
        <v>33</v>
      </c>
      <c r="B89" s="204" t="s">
        <v>1191</v>
      </c>
      <c r="C89" s="205" t="s">
        <v>1136</v>
      </c>
      <c r="D89" s="220" t="s">
        <v>997</v>
      </c>
      <c r="G89" s="197"/>
      <c r="H89" s="214"/>
      <c r="I89" s="215" t="s">
        <v>1130</v>
      </c>
      <c r="J89" s="262"/>
      <c r="K89" s="283" t="s">
        <v>1136</v>
      </c>
      <c r="L89" s="262"/>
      <c r="M89" s="262"/>
      <c r="N89" s="262"/>
      <c r="O89" s="263" t="s">
        <v>997</v>
      </c>
      <c r="P89" s="197"/>
      <c r="Q89" s="212">
        <v>33</v>
      </c>
      <c r="R89" s="204" t="str">
        <f t="shared" si="9"/>
        <v>II-0005.0033</v>
      </c>
      <c r="S89" s="197" t="str">
        <f t="shared" si="11"/>
        <v>REPARACION</v>
      </c>
    </row>
    <row r="90" spans="1:19" ht="15.75" thickBot="1" x14ac:dyDescent="0.25">
      <c r="A90" s="203">
        <v>34</v>
      </c>
      <c r="B90" s="204" t="s">
        <v>1192</v>
      </c>
      <c r="C90" s="205" t="s">
        <v>1141</v>
      </c>
      <c r="D90" s="220" t="s">
        <v>997</v>
      </c>
      <c r="G90" s="197"/>
      <c r="H90" s="234"/>
      <c r="I90" s="246" t="s">
        <v>1134</v>
      </c>
      <c r="J90" s="237"/>
      <c r="K90" s="238" t="s">
        <v>1141</v>
      </c>
      <c r="L90" s="237"/>
      <c r="M90" s="237"/>
      <c r="N90" s="237"/>
      <c r="O90" s="291" t="s">
        <v>997</v>
      </c>
      <c r="P90" s="197"/>
      <c r="Q90" s="212">
        <v>34</v>
      </c>
      <c r="R90" s="204" t="str">
        <f t="shared" si="9"/>
        <v>II-0005.0034</v>
      </c>
      <c r="S90" s="197" t="str">
        <f t="shared" si="11"/>
        <v xml:space="preserve">RETIRO </v>
      </c>
    </row>
    <row r="91" spans="1:19" ht="16.5" thickTop="1" thickBot="1" x14ac:dyDescent="0.25">
      <c r="A91" s="203"/>
      <c r="B91" s="204"/>
      <c r="C91" s="205"/>
      <c r="D91" s="220"/>
      <c r="G91" s="197"/>
      <c r="H91" s="214"/>
      <c r="I91" s="221"/>
      <c r="J91" s="223"/>
      <c r="K91" s="224"/>
      <c r="L91" s="223"/>
      <c r="M91" s="223"/>
      <c r="N91" s="223"/>
      <c r="O91" s="240"/>
      <c r="P91" s="197"/>
      <c r="Q91" s="212"/>
      <c r="R91" s="204"/>
      <c r="S91" s="197"/>
    </row>
    <row r="92" spans="1:19" ht="15.75" thickTop="1" x14ac:dyDescent="0.2">
      <c r="A92" s="203">
        <v>6</v>
      </c>
      <c r="B92" s="204" t="s">
        <v>1193</v>
      </c>
      <c r="C92" s="205" t="s">
        <v>1194</v>
      </c>
      <c r="D92" s="220"/>
      <c r="G92" s="197"/>
      <c r="H92" s="292">
        <v>6</v>
      </c>
      <c r="I92" s="293"/>
      <c r="J92" s="294"/>
      <c r="K92" s="295" t="s">
        <v>1194</v>
      </c>
      <c r="L92" s="294"/>
      <c r="M92" s="294"/>
      <c r="N92" s="294"/>
      <c r="O92" s="296"/>
      <c r="P92" s="197"/>
      <c r="Q92" s="212">
        <f>H92</f>
        <v>6</v>
      </c>
      <c r="R92" s="202" t="str">
        <f>CONCATENATE("II-",TEXT(Q92,"0000"))</f>
        <v>II-0006</v>
      </c>
      <c r="S92" s="213" t="str">
        <f>K92</f>
        <v>APERTURA DE CAJA P/ ENSANCHE</v>
      </c>
    </row>
    <row r="93" spans="1:19" x14ac:dyDescent="0.2">
      <c r="A93" s="203">
        <v>1</v>
      </c>
      <c r="B93" s="204" t="s">
        <v>1195</v>
      </c>
      <c r="C93" s="205" t="s">
        <v>1091</v>
      </c>
      <c r="D93" s="220" t="s">
        <v>1133</v>
      </c>
      <c r="G93" s="276"/>
      <c r="H93" s="214"/>
      <c r="I93" s="215" t="s">
        <v>1022</v>
      </c>
      <c r="J93" s="262"/>
      <c r="K93" s="283" t="s">
        <v>1091</v>
      </c>
      <c r="L93" s="262"/>
      <c r="M93" s="262"/>
      <c r="N93" s="262"/>
      <c r="O93" s="297" t="s">
        <v>1133</v>
      </c>
      <c r="P93" s="276"/>
      <c r="Q93" s="212">
        <v>1</v>
      </c>
      <c r="R93" s="204" t="str">
        <f>CONCATENATE($R$92,".",TEXT(Q93,"0000"))</f>
        <v>II-0006.0001</v>
      </c>
      <c r="S93" s="197" t="str">
        <f>CONCATENATE(K93)</f>
        <v>RETIRO</v>
      </c>
    </row>
    <row r="94" spans="1:19" ht="15.75" thickBot="1" x14ac:dyDescent="0.25">
      <c r="A94" s="203">
        <v>2</v>
      </c>
      <c r="B94" s="204" t="s">
        <v>1196</v>
      </c>
      <c r="C94" s="205" t="s">
        <v>1197</v>
      </c>
      <c r="D94" s="220" t="s">
        <v>1133</v>
      </c>
      <c r="G94" s="276"/>
      <c r="H94" s="298"/>
      <c r="I94" s="299" t="s">
        <v>1049</v>
      </c>
      <c r="J94" s="300"/>
      <c r="K94" s="301" t="s">
        <v>1197</v>
      </c>
      <c r="L94" s="300"/>
      <c r="M94" s="300"/>
      <c r="N94" s="300"/>
      <c r="O94" s="287" t="s">
        <v>1133</v>
      </c>
      <c r="P94" s="276"/>
      <c r="Q94" s="212">
        <v>2</v>
      </c>
      <c r="R94" s="204" t="str">
        <f>CONCATENATE($R$92,".",TEXT(Q94,"0000"))</f>
        <v>II-0006.0002</v>
      </c>
      <c r="S94" s="197" t="str">
        <f>CONCATENATE(K94)</f>
        <v>RETIRO Y COLOCACION</v>
      </c>
    </row>
    <row r="95" spans="1:19" ht="16.5" thickTop="1" thickBot="1" x14ac:dyDescent="0.25">
      <c r="A95" s="203"/>
      <c r="B95" s="196"/>
      <c r="C95" s="205"/>
      <c r="D95" s="220"/>
      <c r="G95" s="276"/>
      <c r="H95" s="298"/>
      <c r="I95" s="220"/>
      <c r="J95" s="300"/>
      <c r="K95" s="301"/>
      <c r="L95" s="300"/>
      <c r="M95" s="300"/>
      <c r="N95" s="300"/>
      <c r="O95" s="287"/>
      <c r="P95" s="276"/>
      <c r="Q95" s="212"/>
      <c r="R95" s="204"/>
      <c r="S95" s="197"/>
    </row>
    <row r="96" spans="1:19" ht="15.75" thickTop="1" x14ac:dyDescent="0.2">
      <c r="A96" s="203">
        <v>7</v>
      </c>
      <c r="B96" s="196" t="s">
        <v>1198</v>
      </c>
      <c r="C96" s="205" t="s">
        <v>1199</v>
      </c>
      <c r="D96" s="220"/>
      <c r="G96" s="197"/>
      <c r="H96" s="292">
        <v>7</v>
      </c>
      <c r="I96" s="242"/>
      <c r="J96" s="302"/>
      <c r="K96" s="303" t="s">
        <v>1199</v>
      </c>
      <c r="L96" s="302"/>
      <c r="M96" s="302"/>
      <c r="N96" s="302"/>
      <c r="O96" s="244"/>
      <c r="P96" s="197"/>
      <c r="Q96" s="212">
        <f>H96</f>
        <v>7</v>
      </c>
      <c r="R96" s="202" t="str">
        <f>CONCATENATE("II-",TEXT(Q96,"0000"))</f>
        <v>II-0007</v>
      </c>
      <c r="S96" s="213" t="str">
        <f>K96</f>
        <v>APOYO DE POLICLOROPENO SHARE 60</v>
      </c>
    </row>
    <row r="97" spans="1:19" x14ac:dyDescent="0.2">
      <c r="A97" s="203">
        <v>1</v>
      </c>
      <c r="B97" s="226" t="s">
        <v>1200</v>
      </c>
      <c r="C97" s="227" t="s">
        <v>1139</v>
      </c>
      <c r="D97" s="220" t="s">
        <v>1201</v>
      </c>
      <c r="G97" s="197"/>
      <c r="H97" s="214"/>
      <c r="I97" s="215" t="s">
        <v>1022</v>
      </c>
      <c r="J97" s="262"/>
      <c r="K97" s="283" t="s">
        <v>1139</v>
      </c>
      <c r="L97" s="262"/>
      <c r="M97" s="262"/>
      <c r="N97" s="262"/>
      <c r="O97" s="263" t="s">
        <v>1201</v>
      </c>
      <c r="P97" s="197"/>
      <c r="Q97" s="212">
        <v>1</v>
      </c>
      <c r="R97" s="204" t="str">
        <f>CONCATENATE($R$96,".",TEXT(Q97,"0000"))</f>
        <v>II-0007.0001</v>
      </c>
      <c r="S97" s="197" t="str">
        <f>CONCATENATE(K97)</f>
        <v>RETIRO Y RECOLOCACION</v>
      </c>
    </row>
    <row r="98" spans="1:19" ht="15.75" thickBot="1" x14ac:dyDescent="0.25">
      <c r="A98" s="203">
        <v>2</v>
      </c>
      <c r="B98" s="204" t="s">
        <v>1202</v>
      </c>
      <c r="C98" s="205" t="s">
        <v>1136</v>
      </c>
      <c r="D98" s="220" t="s">
        <v>1201</v>
      </c>
      <c r="G98" s="197"/>
      <c r="H98" s="214"/>
      <c r="I98" s="236" t="s">
        <v>1049</v>
      </c>
      <c r="J98" s="223"/>
      <c r="K98" s="224" t="s">
        <v>1136</v>
      </c>
      <c r="L98" s="223"/>
      <c r="M98" s="223"/>
      <c r="N98" s="223"/>
      <c r="O98" s="291" t="s">
        <v>1201</v>
      </c>
      <c r="P98" s="197"/>
      <c r="Q98" s="212">
        <v>2</v>
      </c>
      <c r="R98" s="204" t="str">
        <f>CONCATENATE($R$96,".",TEXT(Q98,"0000"))</f>
        <v>II-0007.0002</v>
      </c>
      <c r="S98" s="197" t="str">
        <f>CONCATENATE(K98)</f>
        <v>REPARACION</v>
      </c>
    </row>
    <row r="99" spans="1:19" ht="16.5" thickTop="1" thickBot="1" x14ac:dyDescent="0.25">
      <c r="A99" s="203"/>
      <c r="B99" s="204"/>
      <c r="C99" s="205"/>
      <c r="D99" s="220"/>
      <c r="G99" s="197"/>
      <c r="H99" s="214"/>
      <c r="I99" s="221"/>
      <c r="J99" s="223"/>
      <c r="K99" s="224"/>
      <c r="L99" s="223"/>
      <c r="M99" s="223"/>
      <c r="N99" s="223"/>
      <c r="O99" s="240"/>
      <c r="P99" s="197"/>
      <c r="Q99" s="212"/>
      <c r="R99" s="204"/>
      <c r="S99" s="197"/>
    </row>
    <row r="100" spans="1:19" ht="16.5" thickTop="1" thickBot="1" x14ac:dyDescent="0.25">
      <c r="A100" s="203">
        <v>8</v>
      </c>
      <c r="B100" s="204" t="s">
        <v>1203</v>
      </c>
      <c r="C100" s="205" t="s">
        <v>1204</v>
      </c>
      <c r="D100" s="220" t="s">
        <v>1133</v>
      </c>
      <c r="G100" s="197"/>
      <c r="H100" s="304">
        <v>8</v>
      </c>
      <c r="I100" s="305"/>
      <c r="J100" s="306"/>
      <c r="K100" s="307" t="s">
        <v>1204</v>
      </c>
      <c r="L100" s="306"/>
      <c r="M100" s="306"/>
      <c r="N100" s="306"/>
      <c r="O100" s="308" t="s">
        <v>1133</v>
      </c>
      <c r="P100" s="197"/>
      <c r="Q100" s="212">
        <f>H100</f>
        <v>8</v>
      </c>
      <c r="R100" s="202" t="str">
        <f>CONCATENATE("II-",TEXT(Q100,"0000"))</f>
        <v>II-0008</v>
      </c>
      <c r="S100" s="213" t="str">
        <f>K100</f>
        <v>ARIDOS</v>
      </c>
    </row>
    <row r="101" spans="1:19" x14ac:dyDescent="0.2">
      <c r="A101" s="203"/>
      <c r="B101" s="204"/>
      <c r="C101" s="205"/>
      <c r="D101" s="220"/>
      <c r="G101" s="300"/>
      <c r="H101" s="309"/>
      <c r="I101" s="220"/>
      <c r="J101" s="300"/>
      <c r="K101" s="301"/>
      <c r="L101" s="300"/>
      <c r="M101" s="300"/>
      <c r="N101" s="300"/>
      <c r="O101" s="310"/>
      <c r="P101" s="300"/>
      <c r="Q101" s="300"/>
      <c r="R101" s="300"/>
      <c r="S101" s="300"/>
    </row>
    <row r="102" spans="1:19" x14ac:dyDescent="0.2">
      <c r="A102" s="203"/>
      <c r="B102" s="204"/>
      <c r="C102" s="205"/>
      <c r="D102" s="220"/>
      <c r="G102" s="300"/>
      <c r="H102" s="309"/>
      <c r="I102" s="220"/>
      <c r="J102" s="300"/>
      <c r="K102" s="301"/>
      <c r="L102" s="300"/>
      <c r="M102" s="300"/>
      <c r="N102" s="300"/>
      <c r="O102" s="310"/>
      <c r="P102" s="300"/>
      <c r="Q102" s="300"/>
      <c r="R102" s="300"/>
      <c r="S102" s="300"/>
    </row>
    <row r="103" spans="1:19" x14ac:dyDescent="0.2">
      <c r="A103" s="203"/>
      <c r="B103" s="196"/>
      <c r="C103" s="205"/>
      <c r="D103" s="220"/>
      <c r="G103" s="300"/>
      <c r="H103" s="309"/>
      <c r="I103" s="220"/>
      <c r="J103" s="300"/>
      <c r="K103" s="301"/>
      <c r="L103" s="300"/>
      <c r="M103" s="300"/>
      <c r="N103" s="300"/>
      <c r="O103" s="310"/>
      <c r="P103" s="300"/>
      <c r="Q103" s="300"/>
      <c r="R103" s="300"/>
      <c r="S103" s="300"/>
    </row>
    <row r="104" spans="1:19" x14ac:dyDescent="0.2">
      <c r="A104" s="203">
        <v>9</v>
      </c>
      <c r="B104" s="196" t="s">
        <v>1205</v>
      </c>
      <c r="C104" s="205" t="s">
        <v>1206</v>
      </c>
      <c r="D104" s="220"/>
      <c r="G104" s="197"/>
      <c r="H104" s="241">
        <v>9</v>
      </c>
      <c r="I104" s="243"/>
      <c r="J104" s="254"/>
      <c r="K104" s="311" t="s">
        <v>1206</v>
      </c>
      <c r="L104" s="254"/>
      <c r="M104" s="254"/>
      <c r="N104" s="254"/>
      <c r="O104" s="265"/>
      <c r="P104" s="197"/>
      <c r="Q104" s="212">
        <f>H104</f>
        <v>9</v>
      </c>
      <c r="R104" s="202" t="str">
        <f>CONCATENATE("II-",TEXT(Q104,"0000"))</f>
        <v>II-0009</v>
      </c>
      <c r="S104" s="213" t="str">
        <f>K104</f>
        <v>BACHEO DE PAVIMENTO ASFALTICO</v>
      </c>
    </row>
    <row r="105" spans="1:19" x14ac:dyDescent="0.2">
      <c r="A105" s="203"/>
      <c r="B105" s="226"/>
      <c r="C105" s="227"/>
      <c r="D105" s="220"/>
      <c r="G105" s="276"/>
      <c r="H105" s="298"/>
      <c r="I105" s="215" t="s">
        <v>1022</v>
      </c>
      <c r="J105" s="223"/>
      <c r="K105" s="301" t="s">
        <v>1207</v>
      </c>
      <c r="L105" s="223"/>
      <c r="M105" s="223"/>
      <c r="N105" s="223"/>
      <c r="O105" s="256"/>
      <c r="P105" s="276"/>
      <c r="Q105" s="276"/>
      <c r="R105" s="276"/>
      <c r="S105" s="276"/>
    </row>
    <row r="106" spans="1:19" x14ac:dyDescent="0.2">
      <c r="A106" s="203">
        <v>1</v>
      </c>
      <c r="B106" s="204" t="s">
        <v>1208</v>
      </c>
      <c r="C106" s="205" t="s">
        <v>1209</v>
      </c>
      <c r="D106" s="220" t="s">
        <v>1133</v>
      </c>
      <c r="G106" s="276"/>
      <c r="H106" s="298"/>
      <c r="I106" s="220"/>
      <c r="J106" s="312">
        <v>1</v>
      </c>
      <c r="K106" s="301"/>
      <c r="L106" s="301" t="s">
        <v>1210</v>
      </c>
      <c r="M106" s="300"/>
      <c r="N106" s="300"/>
      <c r="O106" s="256" t="s">
        <v>1133</v>
      </c>
      <c r="P106" s="276"/>
      <c r="Q106" s="212">
        <v>1</v>
      </c>
      <c r="R106" s="204" t="str">
        <f>CONCATENATE($R$104,".",TEXT(Q106,"0000"))</f>
        <v>II-0009.0001</v>
      </c>
      <c r="S106" s="197" t="str">
        <f>CONCATENATE($K$105," CON ",L106)</f>
        <v>PROFUNDO CON MATERIAL PETREO Y SUELO</v>
      </c>
    </row>
    <row r="107" spans="1:19" x14ac:dyDescent="0.2">
      <c r="A107" s="203">
        <v>2</v>
      </c>
      <c r="B107" s="204" t="s">
        <v>1211</v>
      </c>
      <c r="C107" s="205" t="s">
        <v>1212</v>
      </c>
      <c r="D107" s="220" t="s">
        <v>1133</v>
      </c>
      <c r="G107" s="276"/>
      <c r="H107" s="298"/>
      <c r="I107" s="220"/>
      <c r="J107" s="312">
        <v>2</v>
      </c>
      <c r="K107" s="301"/>
      <c r="L107" s="301" t="s">
        <v>1213</v>
      </c>
      <c r="M107" s="300"/>
      <c r="N107" s="300"/>
      <c r="O107" s="256" t="s">
        <v>1133</v>
      </c>
      <c r="P107" s="276"/>
      <c r="Q107" s="212">
        <v>2</v>
      </c>
      <c r="R107" s="204" t="str">
        <f t="shared" ref="R107:R111" si="12">CONCATENATE($R$104,".",TEXT(Q107,"0000"))</f>
        <v>II-0009.0002</v>
      </c>
      <c r="S107" s="197" t="str">
        <f t="shared" ref="S107:S111" si="13">CONCATENATE($K$105," CON ",L107)</f>
        <v>PROFUNDO CON MEZCLA ASFALTICA</v>
      </c>
    </row>
    <row r="108" spans="1:19" x14ac:dyDescent="0.2">
      <c r="A108" s="203">
        <v>3</v>
      </c>
      <c r="B108" s="204" t="s">
        <v>1214</v>
      </c>
      <c r="C108" s="205" t="s">
        <v>1215</v>
      </c>
      <c r="D108" s="220" t="s">
        <v>1216</v>
      </c>
      <c r="G108" s="276"/>
      <c r="H108" s="298"/>
      <c r="I108" s="220"/>
      <c r="J108" s="312">
        <v>3</v>
      </c>
      <c r="K108" s="301"/>
      <c r="L108" s="301" t="s">
        <v>1217</v>
      </c>
      <c r="M108" s="300"/>
      <c r="N108" s="300"/>
      <c r="O108" s="256" t="s">
        <v>1216</v>
      </c>
      <c r="P108" s="276"/>
      <c r="Q108" s="212">
        <v>3</v>
      </c>
      <c r="R108" s="204" t="str">
        <f t="shared" si="12"/>
        <v>II-0009.0003</v>
      </c>
      <c r="S108" s="197" t="str">
        <f t="shared" si="13"/>
        <v>PROFUNDO CON SUELO CAL</v>
      </c>
    </row>
    <row r="109" spans="1:19" x14ac:dyDescent="0.2">
      <c r="A109" s="203">
        <v>4</v>
      </c>
      <c r="B109" s="204" t="s">
        <v>1218</v>
      </c>
      <c r="C109" s="205" t="s">
        <v>1219</v>
      </c>
      <c r="D109" s="220" t="s">
        <v>1216</v>
      </c>
      <c r="G109" s="276"/>
      <c r="H109" s="298"/>
      <c r="I109" s="220"/>
      <c r="J109" s="312">
        <v>4</v>
      </c>
      <c r="K109" s="301"/>
      <c r="L109" s="301" t="s">
        <v>1220</v>
      </c>
      <c r="M109" s="300"/>
      <c r="N109" s="300"/>
      <c r="O109" s="256" t="s">
        <v>1216</v>
      </c>
      <c r="P109" s="276"/>
      <c r="Q109" s="212">
        <v>4</v>
      </c>
      <c r="R109" s="204" t="str">
        <f t="shared" si="12"/>
        <v>II-0009.0004</v>
      </c>
      <c r="S109" s="197" t="str">
        <f t="shared" si="13"/>
        <v>PROFUNDO CON SUELO CEMENTO</v>
      </c>
    </row>
    <row r="110" spans="1:19" x14ac:dyDescent="0.2">
      <c r="A110" s="203">
        <v>5</v>
      </c>
      <c r="B110" s="204" t="s">
        <v>1221</v>
      </c>
      <c r="C110" s="205" t="s">
        <v>1222</v>
      </c>
      <c r="D110" s="220" t="s">
        <v>1216</v>
      </c>
      <c r="G110" s="276"/>
      <c r="H110" s="298"/>
      <c r="I110" s="220"/>
      <c r="J110" s="312">
        <v>5</v>
      </c>
      <c r="K110" s="301"/>
      <c r="L110" s="301" t="s">
        <v>1223</v>
      </c>
      <c r="M110" s="300"/>
      <c r="N110" s="300"/>
      <c r="O110" s="256" t="s">
        <v>1216</v>
      </c>
      <c r="P110" s="276"/>
      <c r="Q110" s="212">
        <v>5</v>
      </c>
      <c r="R110" s="204" t="str">
        <f t="shared" si="12"/>
        <v>II-0009.0005</v>
      </c>
      <c r="S110" s="197" t="str">
        <f t="shared" si="13"/>
        <v>PROFUNDO CON SUELO SELECCIONADO</v>
      </c>
    </row>
    <row r="111" spans="1:19" x14ac:dyDescent="0.2">
      <c r="A111" s="203">
        <v>6</v>
      </c>
      <c r="B111" s="204" t="s">
        <v>1224</v>
      </c>
      <c r="C111" s="205" t="s">
        <v>1225</v>
      </c>
      <c r="D111" s="220" t="s">
        <v>1216</v>
      </c>
      <c r="G111" s="276"/>
      <c r="H111" s="298"/>
      <c r="I111" s="278"/>
      <c r="J111" s="313">
        <v>6</v>
      </c>
      <c r="K111" s="314"/>
      <c r="L111" s="314" t="s">
        <v>1226</v>
      </c>
      <c r="M111" s="315"/>
      <c r="N111" s="315"/>
      <c r="O111" s="275" t="s">
        <v>1216</v>
      </c>
      <c r="P111" s="276"/>
      <c r="Q111" s="212">
        <v>6</v>
      </c>
      <c r="R111" s="204" t="str">
        <f t="shared" si="12"/>
        <v>II-0009.0006</v>
      </c>
      <c r="S111" s="197" t="str">
        <f t="shared" si="13"/>
        <v>PROFUNDO CON SUELO TRATADO C / CAL</v>
      </c>
    </row>
    <row r="112" spans="1:19" x14ac:dyDescent="0.2">
      <c r="A112" s="203"/>
      <c r="B112" s="205"/>
      <c r="C112" s="205"/>
      <c r="D112" s="220"/>
      <c r="G112" s="276"/>
      <c r="H112" s="298"/>
      <c r="I112" s="316" t="s">
        <v>1049</v>
      </c>
      <c r="J112" s="300"/>
      <c r="K112" s="301" t="s">
        <v>1227</v>
      </c>
      <c r="L112" s="300"/>
      <c r="M112" s="300"/>
      <c r="N112" s="300"/>
      <c r="O112" s="287"/>
      <c r="P112" s="276"/>
      <c r="Q112" s="276"/>
      <c r="R112" s="276"/>
      <c r="S112" s="276"/>
    </row>
    <row r="113" spans="1:19" ht="15.75" thickBot="1" x14ac:dyDescent="0.25">
      <c r="A113" s="203">
        <v>10</v>
      </c>
      <c r="B113" s="196" t="s">
        <v>1228</v>
      </c>
      <c r="C113" s="205" t="s">
        <v>1229</v>
      </c>
      <c r="D113" s="220" t="s">
        <v>1133</v>
      </c>
      <c r="G113" s="276"/>
      <c r="H113" s="317"/>
      <c r="I113" s="318"/>
      <c r="J113" s="319">
        <v>2</v>
      </c>
      <c r="K113" s="320"/>
      <c r="L113" s="320" t="s">
        <v>1213</v>
      </c>
      <c r="M113" s="321"/>
      <c r="N113" s="321"/>
      <c r="O113" s="322" t="s">
        <v>1133</v>
      </c>
      <c r="P113" s="276"/>
      <c r="Q113" s="212">
        <v>10</v>
      </c>
      <c r="R113" s="204" t="str">
        <f>CONCATENATE($R$104,".",TEXT(Q113,"0000"))</f>
        <v>II-0009.0010</v>
      </c>
      <c r="S113" s="197" t="str">
        <f>CONCATENATE($K$112," CON ",L113)</f>
        <v>SUPERFICIAL CON MEZCLA ASFALTICA</v>
      </c>
    </row>
    <row r="114" spans="1:19" ht="15.75" thickTop="1" x14ac:dyDescent="0.2">
      <c r="A114" s="203"/>
      <c r="B114" s="226"/>
      <c r="C114" s="227"/>
      <c r="D114" s="220"/>
      <c r="G114" s="276"/>
      <c r="H114" s="298"/>
      <c r="I114" s="220"/>
      <c r="J114" s="220"/>
      <c r="K114" s="301"/>
      <c r="L114" s="301"/>
      <c r="M114" s="300"/>
      <c r="N114" s="300"/>
      <c r="O114" s="256"/>
      <c r="P114" s="276"/>
      <c r="Q114" s="212"/>
      <c r="R114" s="204"/>
      <c r="S114" s="197"/>
    </row>
    <row r="115" spans="1:19" x14ac:dyDescent="0.2">
      <c r="A115" s="203">
        <v>10</v>
      </c>
      <c r="B115" s="204" t="s">
        <v>1230</v>
      </c>
      <c r="C115" s="205" t="s">
        <v>1231</v>
      </c>
      <c r="D115" s="220"/>
      <c r="G115" s="197"/>
      <c r="H115" s="241">
        <v>10</v>
      </c>
      <c r="I115" s="243"/>
      <c r="J115" s="254"/>
      <c r="K115" s="311" t="s">
        <v>1231</v>
      </c>
      <c r="L115" s="254"/>
      <c r="M115" s="254"/>
      <c r="N115" s="254"/>
      <c r="O115" s="265"/>
      <c r="P115" s="197"/>
      <c r="Q115" s="212">
        <f>H115</f>
        <v>10</v>
      </c>
      <c r="R115" s="202" t="str">
        <f>CONCATENATE("II-",TEXT(Q115,"0000"))</f>
        <v>II-0010</v>
      </c>
      <c r="S115" s="213" t="str">
        <f>K115</f>
        <v>BADEN</v>
      </c>
    </row>
    <row r="116" spans="1:19" x14ac:dyDescent="0.2">
      <c r="A116" s="203"/>
      <c r="B116" s="204"/>
      <c r="C116" s="205"/>
      <c r="D116" s="220"/>
      <c r="G116" s="197"/>
      <c r="H116" s="214"/>
      <c r="I116" s="215" t="s">
        <v>1022</v>
      </c>
      <c r="J116" s="223"/>
      <c r="K116" s="224" t="s">
        <v>1232</v>
      </c>
      <c r="L116" s="223"/>
      <c r="M116" s="223"/>
      <c r="N116" s="223"/>
      <c r="O116" s="256"/>
      <c r="P116" s="197"/>
      <c r="Q116" s="197"/>
      <c r="R116" s="197"/>
      <c r="S116" s="197"/>
    </row>
    <row r="117" spans="1:19" x14ac:dyDescent="0.2">
      <c r="A117" s="203">
        <v>1</v>
      </c>
      <c r="B117" s="204" t="s">
        <v>1233</v>
      </c>
      <c r="C117" s="205" t="s">
        <v>1234</v>
      </c>
      <c r="D117" s="220" t="s">
        <v>1133</v>
      </c>
      <c r="G117" s="197"/>
      <c r="H117" s="214"/>
      <c r="I117" s="221"/>
      <c r="J117" s="222">
        <v>1</v>
      </c>
      <c r="K117" s="223"/>
      <c r="L117" s="224" t="s">
        <v>1235</v>
      </c>
      <c r="M117" s="223"/>
      <c r="N117" s="223"/>
      <c r="O117" s="256" t="s">
        <v>1133</v>
      </c>
      <c r="P117" s="197"/>
      <c r="Q117" s="212">
        <v>1</v>
      </c>
      <c r="R117" s="204" t="str">
        <f>CONCATENATE($R$115,".",TEXT(Q117,"0000"))</f>
        <v>II-0010.0001</v>
      </c>
      <c r="S117" s="197" t="str">
        <f>CONCATENATE($K$116," - TIPO ",L117)</f>
        <v>Hº  SIMPLE - TIPO A-2862</v>
      </c>
    </row>
    <row r="118" spans="1:19" x14ac:dyDescent="0.2">
      <c r="A118" s="203">
        <v>2</v>
      </c>
      <c r="B118" s="204" t="s">
        <v>1236</v>
      </c>
      <c r="C118" s="205" t="s">
        <v>1237</v>
      </c>
      <c r="D118" s="220" t="s">
        <v>1133</v>
      </c>
      <c r="G118" s="197"/>
      <c r="H118" s="214"/>
      <c r="I118" s="221"/>
      <c r="J118" s="228">
        <v>2</v>
      </c>
      <c r="K118" s="229"/>
      <c r="L118" s="230" t="s">
        <v>1238</v>
      </c>
      <c r="M118" s="229"/>
      <c r="N118" s="229"/>
      <c r="O118" s="275" t="s">
        <v>1133</v>
      </c>
      <c r="P118" s="197"/>
      <c r="Q118" s="212">
        <v>2</v>
      </c>
      <c r="R118" s="204" t="str">
        <f>CONCATENATE($R$115,".",TEXT(Q118,"0000"))</f>
        <v>II-0010.0002</v>
      </c>
      <c r="S118" s="197" t="str">
        <f>CONCATENATE($K$116," - TIPO ",L118)</f>
        <v>Hº  SIMPLE - TIPO H-8621</v>
      </c>
    </row>
    <row r="119" spans="1:19" x14ac:dyDescent="0.2">
      <c r="A119" s="203"/>
      <c r="B119" s="204"/>
      <c r="C119" s="205"/>
      <c r="D119" s="220"/>
      <c r="G119" s="197"/>
      <c r="H119" s="214"/>
      <c r="I119" s="215" t="s">
        <v>1049</v>
      </c>
      <c r="J119" s="223"/>
      <c r="K119" s="224" t="s">
        <v>1239</v>
      </c>
      <c r="L119" s="223"/>
      <c r="M119" s="223"/>
      <c r="N119" s="223"/>
      <c r="O119" s="256"/>
      <c r="P119" s="197"/>
      <c r="Q119" s="197"/>
      <c r="R119" s="197"/>
      <c r="S119" s="197"/>
    </row>
    <row r="120" spans="1:19" x14ac:dyDescent="0.2">
      <c r="A120" s="203">
        <v>10</v>
      </c>
      <c r="B120" s="204" t="s">
        <v>1240</v>
      </c>
      <c r="C120" s="205" t="s">
        <v>1241</v>
      </c>
      <c r="D120" s="220" t="s">
        <v>1133</v>
      </c>
      <c r="G120" s="197"/>
      <c r="H120" s="214"/>
      <c r="I120" s="233"/>
      <c r="J120" s="228">
        <v>1</v>
      </c>
      <c r="K120" s="229"/>
      <c r="L120" s="230" t="s">
        <v>1242</v>
      </c>
      <c r="M120" s="229"/>
      <c r="N120" s="229"/>
      <c r="O120" s="275" t="s">
        <v>1133</v>
      </c>
      <c r="P120" s="197"/>
      <c r="Q120" s="212">
        <v>10</v>
      </c>
      <c r="R120" s="204" t="str">
        <f>CONCATENATE($R$115,".",TEXT(Q120,"0000"))</f>
        <v>II-0010.0010</v>
      </c>
      <c r="S120" s="197" t="str">
        <f>CONCATENATE($K$119," - TIPO ",L120)</f>
        <v>Hº ARMADO - TIPO V-331</v>
      </c>
    </row>
    <row r="121" spans="1:19" ht="15.75" thickBot="1" x14ac:dyDescent="0.25">
      <c r="A121" s="203"/>
      <c r="B121" s="204"/>
      <c r="C121" s="205"/>
      <c r="D121" s="220" t="s">
        <v>1133</v>
      </c>
      <c r="G121" s="197"/>
      <c r="H121" s="234"/>
      <c r="I121" s="236" t="s">
        <v>1059</v>
      </c>
      <c r="J121" s="237"/>
      <c r="K121" s="238" t="s">
        <v>1050</v>
      </c>
      <c r="L121" s="237"/>
      <c r="M121" s="237"/>
      <c r="N121" s="237"/>
      <c r="O121" s="322" t="s">
        <v>1133</v>
      </c>
      <c r="P121" s="197"/>
      <c r="Q121" s="197"/>
      <c r="R121" s="197"/>
      <c r="S121" s="197"/>
    </row>
    <row r="122" spans="1:19" ht="15.75" thickTop="1" x14ac:dyDescent="0.2">
      <c r="A122" s="203">
        <v>11</v>
      </c>
      <c r="B122" s="204" t="s">
        <v>1243</v>
      </c>
      <c r="C122" s="205" t="s">
        <v>1244</v>
      </c>
      <c r="D122" s="220"/>
      <c r="G122" s="197"/>
      <c r="H122" s="241">
        <v>11</v>
      </c>
      <c r="I122" s="243"/>
      <c r="J122" s="254"/>
      <c r="K122" s="311" t="s">
        <v>1244</v>
      </c>
      <c r="L122" s="254"/>
      <c r="M122" s="254"/>
      <c r="N122" s="254"/>
      <c r="O122" s="265"/>
      <c r="P122" s="197"/>
      <c r="Q122" s="212">
        <f>H122</f>
        <v>11</v>
      </c>
      <c r="R122" s="202" t="str">
        <f>CONCATENATE("II-",TEXT(Q122,"0000"))</f>
        <v>II-0011</v>
      </c>
      <c r="S122" s="213" t="str">
        <f>K122</f>
        <v>BAJADA DE AGUA</v>
      </c>
    </row>
    <row r="123" spans="1:19" x14ac:dyDescent="0.2">
      <c r="A123" s="203">
        <v>1</v>
      </c>
      <c r="B123" s="204" t="s">
        <v>1245</v>
      </c>
      <c r="C123" s="205" t="s">
        <v>1246</v>
      </c>
      <c r="D123" s="220" t="s">
        <v>997</v>
      </c>
      <c r="G123" s="197"/>
      <c r="H123" s="255"/>
      <c r="I123" s="215" t="s">
        <v>1022</v>
      </c>
      <c r="J123" s="262"/>
      <c r="K123" s="283" t="s">
        <v>1246</v>
      </c>
      <c r="L123" s="262"/>
      <c r="M123" s="262"/>
      <c r="N123" s="262"/>
      <c r="O123" s="297" t="s">
        <v>997</v>
      </c>
      <c r="P123" s="197"/>
      <c r="Q123" s="212">
        <v>1</v>
      </c>
      <c r="R123" s="204" t="str">
        <f>CONCATENATE($R$122,".",TEXT(Q123,"0000"))</f>
        <v>II-0011.0001</v>
      </c>
      <c r="S123" s="197" t="str">
        <f>CONCATENATE($K$123)</f>
        <v>METALICA</v>
      </c>
    </row>
    <row r="124" spans="1:19" x14ac:dyDescent="0.2">
      <c r="A124" s="203"/>
      <c r="B124" s="204"/>
      <c r="C124" s="205"/>
      <c r="D124" s="220"/>
      <c r="G124" s="197"/>
      <c r="H124" s="214"/>
      <c r="I124" s="215" t="s">
        <v>1049</v>
      </c>
      <c r="J124" s="223"/>
      <c r="K124" s="224" t="s">
        <v>1247</v>
      </c>
      <c r="L124" s="223"/>
      <c r="M124" s="223"/>
      <c r="N124" s="223"/>
      <c r="O124" s="256"/>
      <c r="P124" s="197"/>
      <c r="Q124" s="197"/>
      <c r="R124" s="197"/>
      <c r="S124" s="197"/>
    </row>
    <row r="125" spans="1:19" x14ac:dyDescent="0.2">
      <c r="A125" s="203">
        <v>10</v>
      </c>
      <c r="B125" s="204" t="s">
        <v>1248</v>
      </c>
      <c r="C125" s="205" t="s">
        <v>1249</v>
      </c>
      <c r="D125" s="220" t="s">
        <v>1250</v>
      </c>
      <c r="G125" s="197"/>
      <c r="H125" s="214"/>
      <c r="I125" s="221"/>
      <c r="J125" s="222">
        <v>1</v>
      </c>
      <c r="K125" s="223"/>
      <c r="L125" s="224" t="s">
        <v>1251</v>
      </c>
      <c r="M125" s="223"/>
      <c r="N125" s="223"/>
      <c r="O125" s="256" t="s">
        <v>1250</v>
      </c>
      <c r="P125" s="197"/>
      <c r="Q125" s="212">
        <v>10</v>
      </c>
      <c r="R125" s="204" t="str">
        <f>CONCATENATE($R$122,".",TEXT(Q125,"0000"))</f>
        <v>II-0011.0010</v>
      </c>
      <c r="S125" s="197" t="str">
        <f>CONCATENATE($K$124," - TIPO ",L125)</f>
        <v>HORMIGON - TIPO H-8558</v>
      </c>
    </row>
    <row r="126" spans="1:19" x14ac:dyDescent="0.2">
      <c r="A126" s="203">
        <v>11</v>
      </c>
      <c r="B126" s="204" t="s">
        <v>1252</v>
      </c>
      <c r="C126" s="205" t="s">
        <v>1253</v>
      </c>
      <c r="D126" s="220" t="s">
        <v>1250</v>
      </c>
      <c r="G126" s="197"/>
      <c r="H126" s="214"/>
      <c r="I126" s="221"/>
      <c r="J126" s="222">
        <v>2</v>
      </c>
      <c r="K126" s="223"/>
      <c r="L126" s="224" t="s">
        <v>1254</v>
      </c>
      <c r="M126" s="223"/>
      <c r="N126" s="223"/>
      <c r="O126" s="256" t="s">
        <v>1250</v>
      </c>
      <c r="P126" s="197"/>
      <c r="Q126" s="212">
        <v>11</v>
      </c>
      <c r="R126" s="204" t="str">
        <f>CONCATENATE($R$122,".",TEXT(Q126,"0000"))</f>
        <v>II-0011.0011</v>
      </c>
      <c r="S126" s="197" t="str">
        <f t="shared" ref="S126:S127" si="14">CONCATENATE($K$124," - TIPO ",L126)</f>
        <v>HORMIGON - TIPO H-2350</v>
      </c>
    </row>
    <row r="127" spans="1:19" x14ac:dyDescent="0.2">
      <c r="A127" s="203">
        <v>12</v>
      </c>
      <c r="B127" s="204" t="s">
        <v>1255</v>
      </c>
      <c r="C127" s="205" t="s">
        <v>1256</v>
      </c>
      <c r="D127" s="220" t="s">
        <v>1250</v>
      </c>
      <c r="G127" s="197"/>
      <c r="H127" s="214"/>
      <c r="I127" s="221"/>
      <c r="J127" s="228">
        <v>3</v>
      </c>
      <c r="K127" s="223"/>
      <c r="L127" s="224" t="s">
        <v>1257</v>
      </c>
      <c r="M127" s="223"/>
      <c r="N127" s="223"/>
      <c r="O127" s="256" t="s">
        <v>1250</v>
      </c>
      <c r="P127" s="197"/>
      <c r="Q127" s="212">
        <v>12</v>
      </c>
      <c r="R127" s="204" t="str">
        <f>CONCATENATE($R$122,".",TEXT(Q127,"0000"))</f>
        <v>II-0011.0012</v>
      </c>
      <c r="S127" s="197" t="str">
        <f t="shared" si="14"/>
        <v>HORMIGON - TIPO H-7691</v>
      </c>
    </row>
    <row r="128" spans="1:19" x14ac:dyDescent="0.2">
      <c r="A128" s="203">
        <v>12</v>
      </c>
      <c r="B128" s="196" t="s">
        <v>1255</v>
      </c>
      <c r="C128" s="205" t="s">
        <v>1091</v>
      </c>
      <c r="D128" s="220" t="s">
        <v>1258</v>
      </c>
      <c r="G128" s="197"/>
      <c r="H128" s="214"/>
      <c r="I128" s="215" t="s">
        <v>1059</v>
      </c>
      <c r="J128" s="262"/>
      <c r="K128" s="283" t="s">
        <v>1091</v>
      </c>
      <c r="L128" s="262"/>
      <c r="M128" s="262"/>
      <c r="N128" s="262"/>
      <c r="O128" s="297" t="s">
        <v>1258</v>
      </c>
      <c r="P128" s="197"/>
      <c r="Q128" s="212">
        <v>12</v>
      </c>
      <c r="R128" s="204" t="str">
        <f>CONCATENATE($R$122,".",TEXT(Q128,"0000"))</f>
        <v>II-0011.0012</v>
      </c>
      <c r="S128" s="197" t="str">
        <f>CONCATENATE($K$128)</f>
        <v>RETIRO</v>
      </c>
    </row>
    <row r="129" spans="1:19" ht="15.75" thickBot="1" x14ac:dyDescent="0.25">
      <c r="A129" s="203">
        <v>12</v>
      </c>
      <c r="B129" s="196" t="s">
        <v>1255</v>
      </c>
      <c r="C129" s="205" t="s">
        <v>1259</v>
      </c>
      <c r="D129" s="220" t="s">
        <v>1258</v>
      </c>
      <c r="G129" s="197"/>
      <c r="H129" s="234"/>
      <c r="I129" s="246" t="s">
        <v>1085</v>
      </c>
      <c r="J129" s="249"/>
      <c r="K129" s="285" t="s">
        <v>1259</v>
      </c>
      <c r="L129" s="249"/>
      <c r="M129" s="249"/>
      <c r="N129" s="249"/>
      <c r="O129" s="323" t="s">
        <v>1258</v>
      </c>
      <c r="P129" s="197"/>
      <c r="Q129" s="212">
        <v>12</v>
      </c>
      <c r="R129" s="204" t="str">
        <f>CONCATENATE($R$122,".",TEXT(Q129,"0000"))</f>
        <v>II-0011.0012</v>
      </c>
      <c r="S129" s="197" t="str">
        <f>CONCATENATE($K$129)</f>
        <v>RETIRO,REPARACION, RECOLOCACION</v>
      </c>
    </row>
    <row r="130" spans="1:19" ht="15.75" thickTop="1" x14ac:dyDescent="0.2">
      <c r="A130" s="203"/>
      <c r="B130" s="226"/>
      <c r="C130" s="227"/>
      <c r="D130" s="220"/>
      <c r="G130" s="197"/>
      <c r="H130" s="214"/>
      <c r="I130" s="221"/>
      <c r="J130" s="223"/>
      <c r="K130" s="224"/>
      <c r="L130" s="223"/>
      <c r="M130" s="223"/>
      <c r="N130" s="223"/>
      <c r="O130" s="256"/>
      <c r="P130" s="197"/>
      <c r="Q130" s="197"/>
      <c r="R130" s="197"/>
      <c r="S130" s="197"/>
    </row>
    <row r="131" spans="1:19" x14ac:dyDescent="0.2">
      <c r="A131" s="203">
        <v>12</v>
      </c>
      <c r="B131" s="204" t="s">
        <v>1260</v>
      </c>
      <c r="C131" s="205" t="s">
        <v>1261</v>
      </c>
      <c r="D131" s="220"/>
      <c r="G131" s="197"/>
      <c r="H131" s="241">
        <v>12</v>
      </c>
      <c r="I131" s="243"/>
      <c r="J131" s="254"/>
      <c r="K131" s="311" t="s">
        <v>1261</v>
      </c>
      <c r="L131" s="254"/>
      <c r="M131" s="254"/>
      <c r="N131" s="254"/>
      <c r="O131" s="265"/>
      <c r="P131" s="197"/>
      <c r="Q131" s="212">
        <f>H131</f>
        <v>12</v>
      </c>
      <c r="R131" s="202" t="str">
        <f>CONCATENATE("II-",TEXT(Q131,"0000"))</f>
        <v>II-0012</v>
      </c>
      <c r="S131" s="213" t="str">
        <f>K131</f>
        <v>BANQUINA</v>
      </c>
    </row>
    <row r="132" spans="1:19" x14ac:dyDescent="0.2">
      <c r="A132" s="203">
        <v>1</v>
      </c>
      <c r="B132" s="204" t="str">
        <f>CONCATENATE($B$131,".",TEXT(A132,"0000"))</f>
        <v>II-0012.0001</v>
      </c>
      <c r="C132" s="197" t="str">
        <f>CONCATENATE($K$132)</f>
        <v xml:space="preserve">SUELO </v>
      </c>
      <c r="D132" s="220" t="s">
        <v>1133</v>
      </c>
      <c r="G132" s="197"/>
      <c r="H132" s="214"/>
      <c r="I132" s="215" t="s">
        <v>1022</v>
      </c>
      <c r="J132" s="262"/>
      <c r="K132" s="283" t="s">
        <v>1262</v>
      </c>
      <c r="L132" s="262"/>
      <c r="M132" s="262"/>
      <c r="N132" s="262"/>
      <c r="O132" s="297" t="s">
        <v>1133</v>
      </c>
      <c r="P132" s="197"/>
      <c r="Q132" s="212">
        <v>1</v>
      </c>
      <c r="R132" s="204" t="str">
        <f>CONCATENATE($L$131,".",TEXT(Q132,"0000"))</f>
        <v>.0001</v>
      </c>
      <c r="S132" s="197" t="str">
        <f>CONCATENATE($E$132)</f>
        <v/>
      </c>
    </row>
    <row r="133" spans="1:19" x14ac:dyDescent="0.2">
      <c r="A133" s="203">
        <v>2</v>
      </c>
      <c r="B133" s="204" t="str">
        <f>CONCATENATE($B$131,".",TEXT(A133,"0000"))</f>
        <v>II-0012.0002</v>
      </c>
      <c r="C133" s="197" t="str">
        <f>CONCATENATE($K$132)</f>
        <v xml:space="preserve">SUELO </v>
      </c>
      <c r="D133" s="220" t="s">
        <v>1133</v>
      </c>
      <c r="G133" s="197"/>
      <c r="H133" s="214"/>
      <c r="I133" s="215" t="s">
        <v>1049</v>
      </c>
      <c r="J133" s="262"/>
      <c r="K133" s="283" t="s">
        <v>1263</v>
      </c>
      <c r="L133" s="262"/>
      <c r="M133" s="262"/>
      <c r="N133" s="262"/>
      <c r="O133" s="297" t="s">
        <v>1133</v>
      </c>
      <c r="P133" s="197"/>
      <c r="Q133" s="212">
        <v>2</v>
      </c>
      <c r="R133" s="204" t="str">
        <f>CONCATENATE($L$131,".",TEXT(Q133,"0000"))</f>
        <v>.0002</v>
      </c>
      <c r="S133" s="197" t="str">
        <f>CONCATENATE($E$133)</f>
        <v/>
      </c>
    </row>
    <row r="134" spans="1:19" x14ac:dyDescent="0.2">
      <c r="A134" s="203"/>
      <c r="B134" s="205"/>
      <c r="C134" s="205"/>
      <c r="D134" s="220"/>
      <c r="G134" s="197"/>
      <c r="H134" s="214"/>
      <c r="I134" s="215" t="s">
        <v>1059</v>
      </c>
      <c r="J134" s="223"/>
      <c r="K134" s="224" t="s">
        <v>1264</v>
      </c>
      <c r="L134" s="223"/>
      <c r="M134" s="223"/>
      <c r="N134" s="223"/>
      <c r="O134" s="256"/>
      <c r="P134" s="197"/>
      <c r="Q134" s="197"/>
      <c r="R134" s="197"/>
      <c r="S134" s="197"/>
    </row>
    <row r="135" spans="1:19" x14ac:dyDescent="0.2">
      <c r="A135" s="203">
        <v>3</v>
      </c>
      <c r="B135" s="204" t="str">
        <f t="shared" ref="B135:B136" si="15">CONCATENATE($B$131,".",TEXT(A135,"0000"))</f>
        <v>II-0012.0003</v>
      </c>
      <c r="C135" s="197" t="str">
        <f>CONCATENATE($K$134," - TIPO ",L135)</f>
        <v xml:space="preserve">PAVIMENTO - TIPO CARPETA </v>
      </c>
      <c r="D135" s="220" t="s">
        <v>1216</v>
      </c>
      <c r="G135" s="197"/>
      <c r="H135" s="214"/>
      <c r="I135" s="221"/>
      <c r="J135" s="222">
        <v>1</v>
      </c>
      <c r="K135" s="223"/>
      <c r="L135" s="224" t="s">
        <v>1265</v>
      </c>
      <c r="M135" s="223"/>
      <c r="N135" s="223"/>
      <c r="O135" s="256" t="s">
        <v>1216</v>
      </c>
      <c r="P135" s="197"/>
      <c r="Q135" s="212">
        <v>3</v>
      </c>
      <c r="R135" s="204" t="str">
        <f t="shared" ref="R135:R136" si="16">CONCATENATE($L$131,".",TEXT(Q135,"0000"))</f>
        <v>.0003</v>
      </c>
      <c r="S135" s="197" t="str">
        <f>CONCATENATE($E$134," TIPO ",L135)</f>
        <v xml:space="preserve"> TIPO CARPETA </v>
      </c>
    </row>
    <row r="136" spans="1:19" ht="15.75" thickBot="1" x14ac:dyDescent="0.25">
      <c r="A136" s="203">
        <v>4</v>
      </c>
      <c r="B136" s="204" t="str">
        <f t="shared" si="15"/>
        <v>II-0012.0004</v>
      </c>
      <c r="C136" s="197" t="str">
        <f>CONCATENATE($K$134," - TIPO ",L136)</f>
        <v>PAVIMENTO - TIPO TRATAMIENTO</v>
      </c>
      <c r="D136" s="220" t="s">
        <v>1216</v>
      </c>
      <c r="G136" s="197"/>
      <c r="H136" s="234"/>
      <c r="I136" s="235"/>
      <c r="J136" s="236">
        <v>2</v>
      </c>
      <c r="K136" s="237"/>
      <c r="L136" s="238" t="s">
        <v>1266</v>
      </c>
      <c r="M136" s="237"/>
      <c r="N136" s="237"/>
      <c r="O136" s="322" t="s">
        <v>1216</v>
      </c>
      <c r="P136" s="197"/>
      <c r="Q136" s="212">
        <v>4</v>
      </c>
      <c r="R136" s="204" t="str">
        <f t="shared" si="16"/>
        <v>.0004</v>
      </c>
      <c r="S136" s="197" t="str">
        <f>CONCATENATE($E$134," TIPO ",L136)</f>
        <v xml:space="preserve"> TIPO TRATAMIENTO</v>
      </c>
    </row>
    <row r="137" spans="1:19" ht="15.75" thickTop="1" x14ac:dyDescent="0.2">
      <c r="A137" s="203"/>
      <c r="B137" s="204"/>
      <c r="C137" s="205"/>
      <c r="D137" s="220"/>
      <c r="G137" s="197"/>
      <c r="H137" s="214"/>
      <c r="I137" s="221"/>
      <c r="J137" s="221"/>
      <c r="K137" s="223"/>
      <c r="L137" s="224"/>
      <c r="M137" s="223"/>
      <c r="N137" s="223"/>
      <c r="O137" s="256"/>
      <c r="P137" s="197"/>
      <c r="Q137" s="212"/>
      <c r="R137" s="197"/>
      <c r="S137" s="197"/>
    </row>
    <row r="138" spans="1:19" x14ac:dyDescent="0.2">
      <c r="A138" s="203">
        <v>13</v>
      </c>
      <c r="B138" s="204" t="s">
        <v>1267</v>
      </c>
      <c r="C138" s="205" t="s">
        <v>1268</v>
      </c>
      <c r="D138" s="220"/>
      <c r="G138" s="197"/>
      <c r="H138" s="241">
        <v>13</v>
      </c>
      <c r="I138" s="243"/>
      <c r="J138" s="254"/>
      <c r="K138" s="311" t="s">
        <v>1268</v>
      </c>
      <c r="L138" s="254"/>
      <c r="M138" s="254"/>
      <c r="N138" s="254"/>
      <c r="O138" s="265"/>
      <c r="P138" s="197"/>
      <c r="Q138" s="212">
        <f>H138</f>
        <v>13</v>
      </c>
      <c r="R138" s="202" t="str">
        <f>CONCATENATE("II-",TEXT(Q138,"0000"))</f>
        <v>II-0013</v>
      </c>
      <c r="S138" s="213" t="str">
        <f>K138</f>
        <v>BARANDA METALICA DE DEFENSA</v>
      </c>
    </row>
    <row r="139" spans="1:19" x14ac:dyDescent="0.2">
      <c r="A139" s="203"/>
      <c r="B139" s="204"/>
      <c r="C139" s="205"/>
      <c r="D139" s="220"/>
      <c r="G139" s="197"/>
      <c r="H139" s="255"/>
      <c r="I139" s="215" t="s">
        <v>1022</v>
      </c>
      <c r="J139" s="223"/>
      <c r="K139" s="224" t="s">
        <v>1269</v>
      </c>
      <c r="L139" s="218"/>
      <c r="M139" s="218"/>
      <c r="N139" s="218"/>
      <c r="O139" s="266"/>
      <c r="P139" s="197"/>
      <c r="Q139" s="197"/>
      <c r="R139" s="197"/>
      <c r="S139" s="197"/>
    </row>
    <row r="140" spans="1:19" x14ac:dyDescent="0.2">
      <c r="A140" s="203">
        <v>1</v>
      </c>
      <c r="B140" s="204" t="str">
        <f>CONCATENATE($B$138,".",TEXT(A140,"0000"))</f>
        <v>II-0013.0001</v>
      </c>
      <c r="C140" s="197" t="str">
        <f>CONCATENATE($K$139," - TIPO ",L140)</f>
        <v>VEHICULAR  H-10237 - TIPO LIVIANA  ( A )</v>
      </c>
      <c r="D140" s="220" t="s">
        <v>997</v>
      </c>
      <c r="G140" s="197"/>
      <c r="H140" s="214"/>
      <c r="I140" s="221"/>
      <c r="J140" s="222">
        <v>1</v>
      </c>
      <c r="K140" s="223"/>
      <c r="L140" s="224" t="s">
        <v>1270</v>
      </c>
      <c r="M140" s="223"/>
      <c r="N140" s="223"/>
      <c r="O140" s="256" t="s">
        <v>997</v>
      </c>
      <c r="P140" s="197"/>
      <c r="Q140" s="212">
        <v>1</v>
      </c>
      <c r="R140" s="204" t="str">
        <f>CONCATENATE($L$138,".",TEXT(Q140,"0000"))</f>
        <v>.0001</v>
      </c>
      <c r="S140" s="197" t="str">
        <f>CONCATENATE($E$139," TIPO ",L140)</f>
        <v xml:space="preserve"> TIPO LIVIANA  ( A )</v>
      </c>
    </row>
    <row r="141" spans="1:19" x14ac:dyDescent="0.2">
      <c r="A141" s="203">
        <v>2</v>
      </c>
      <c r="B141" s="204" t="str">
        <f>CONCATENATE($B$138,".",TEXT(A141,"0000"))</f>
        <v>II-0013.0002</v>
      </c>
      <c r="C141" s="197" t="str">
        <f>CONCATENATE($K$139," - TIPO ",L141)</f>
        <v>VEHICULAR  H-10237 - TIPO PESADA ( B )</v>
      </c>
      <c r="D141" s="220" t="s">
        <v>997</v>
      </c>
      <c r="G141" s="197"/>
      <c r="H141" s="214"/>
      <c r="I141" s="221"/>
      <c r="J141" s="228">
        <v>2</v>
      </c>
      <c r="K141" s="229"/>
      <c r="L141" s="230" t="s">
        <v>1271</v>
      </c>
      <c r="M141" s="229"/>
      <c r="N141" s="229"/>
      <c r="O141" s="275" t="s">
        <v>997</v>
      </c>
      <c r="P141" s="197"/>
      <c r="Q141" s="212">
        <v>2</v>
      </c>
      <c r="R141" s="204" t="str">
        <f>CONCATENATE($L$138,".",TEXT(Q141,"0000"))</f>
        <v>.0002</v>
      </c>
      <c r="S141" s="197" t="str">
        <f>CONCATENATE($E$139," TIPO ",L141)</f>
        <v xml:space="preserve"> TIPO PESADA ( B )</v>
      </c>
    </row>
    <row r="142" spans="1:19" x14ac:dyDescent="0.2">
      <c r="A142" s="203"/>
      <c r="B142" s="204"/>
      <c r="C142" s="205"/>
      <c r="D142" s="220" t="s">
        <v>997</v>
      </c>
      <c r="G142" s="197"/>
      <c r="H142" s="214"/>
      <c r="I142" s="215" t="s">
        <v>1049</v>
      </c>
      <c r="J142" s="223"/>
      <c r="K142" s="224" t="s">
        <v>1272</v>
      </c>
      <c r="L142" s="223"/>
      <c r="M142" s="223"/>
      <c r="N142" s="223"/>
      <c r="O142" s="256" t="s">
        <v>997</v>
      </c>
      <c r="P142" s="197"/>
      <c r="Q142" s="197"/>
      <c r="R142" s="197"/>
      <c r="S142" s="197"/>
    </row>
    <row r="143" spans="1:19" x14ac:dyDescent="0.2">
      <c r="A143" s="203">
        <v>3</v>
      </c>
      <c r="B143" s="204" t="str">
        <f t="shared" ref="B143:B146" si="17">CONCATENATE($B$138,".",TEXT(A143,"0000"))</f>
        <v>II-0013.0003</v>
      </c>
      <c r="C143" s="197" t="str">
        <f>CONCATENATE($K$142," - TIPO ",L143)</f>
        <v>PEATONAL  H-10237 - TIPO LIVIANA  ( A )</v>
      </c>
      <c r="D143" s="220" t="s">
        <v>997</v>
      </c>
      <c r="G143" s="197"/>
      <c r="H143" s="214"/>
      <c r="I143" s="221"/>
      <c r="J143" s="222">
        <v>1</v>
      </c>
      <c r="K143" s="223"/>
      <c r="L143" s="224" t="s">
        <v>1270</v>
      </c>
      <c r="M143" s="223"/>
      <c r="N143" s="223"/>
      <c r="O143" s="256" t="s">
        <v>997</v>
      </c>
      <c r="P143" s="197"/>
      <c r="Q143" s="212">
        <v>3</v>
      </c>
      <c r="R143" s="204" t="str">
        <f>CONCATENATE($L$138,".",TEXT(Q143,"0000"))</f>
        <v>.0003</v>
      </c>
      <c r="S143" s="197" t="str">
        <f>CONCATENATE($E$142," TIPO ",L143)</f>
        <v xml:space="preserve"> TIPO LIVIANA  ( A )</v>
      </c>
    </row>
    <row r="144" spans="1:19" x14ac:dyDescent="0.2">
      <c r="A144" s="203">
        <v>4</v>
      </c>
      <c r="B144" s="204" t="str">
        <f t="shared" si="17"/>
        <v>II-0013.0004</v>
      </c>
      <c r="C144" s="197" t="str">
        <f>CONCATENATE($K$142," - TIPO ",L144)</f>
        <v>PEATONAL  H-10237 - TIPO PESADA ( B )</v>
      </c>
      <c r="D144" s="220" t="s">
        <v>997</v>
      </c>
      <c r="G144" s="197"/>
      <c r="H144" s="214"/>
      <c r="I144" s="221"/>
      <c r="J144" s="228">
        <v>2</v>
      </c>
      <c r="K144" s="223"/>
      <c r="L144" s="224" t="s">
        <v>1271</v>
      </c>
      <c r="M144" s="223"/>
      <c r="N144" s="223"/>
      <c r="O144" s="256" t="s">
        <v>997</v>
      </c>
      <c r="P144" s="197"/>
      <c r="Q144" s="212">
        <v>4</v>
      </c>
      <c r="R144" s="204" t="str">
        <f>CONCATENATE($L$138,".",TEXT(Q144,"0000"))</f>
        <v>.0004</v>
      </c>
      <c r="S144" s="197" t="str">
        <f>CONCATENATE($E$142," TIPO ",L144)</f>
        <v xml:space="preserve"> TIPO PESADA ( B )</v>
      </c>
    </row>
    <row r="145" spans="1:19" x14ac:dyDescent="0.2">
      <c r="A145" s="203">
        <v>10</v>
      </c>
      <c r="B145" s="204" t="str">
        <f t="shared" si="17"/>
        <v>II-0013.0010</v>
      </c>
      <c r="C145" s="197" t="str">
        <f>CONCATENATE($K$145)</f>
        <v xml:space="preserve">RETIRO </v>
      </c>
      <c r="D145" s="220" t="s">
        <v>997</v>
      </c>
      <c r="G145" s="197"/>
      <c r="H145" s="214"/>
      <c r="I145" s="215" t="s">
        <v>1059</v>
      </c>
      <c r="J145" s="262"/>
      <c r="K145" s="283" t="s">
        <v>1141</v>
      </c>
      <c r="L145" s="262"/>
      <c r="M145" s="262"/>
      <c r="N145" s="262"/>
      <c r="O145" s="297" t="s">
        <v>997</v>
      </c>
      <c r="P145" s="197"/>
      <c r="Q145" s="212">
        <v>10</v>
      </c>
      <c r="R145" s="204" t="str">
        <f t="shared" ref="R145:R146" si="18">CONCATENATE($L$138,".",TEXT(Q145,"0000"))</f>
        <v>.0010</v>
      </c>
      <c r="S145" s="197" t="str">
        <f>CONCATENATE($E$145)</f>
        <v/>
      </c>
    </row>
    <row r="146" spans="1:19" ht="15.75" thickBot="1" x14ac:dyDescent="0.25">
      <c r="A146" s="203">
        <v>11</v>
      </c>
      <c r="B146" s="204" t="str">
        <f t="shared" si="17"/>
        <v>II-0013.0011</v>
      </c>
      <c r="C146" s="197" t="str">
        <f>CONCATENATE(K146)</f>
        <v>RETIRO Y REPARACION</v>
      </c>
      <c r="D146" s="220" t="s">
        <v>997</v>
      </c>
      <c r="G146" s="197"/>
      <c r="H146" s="267"/>
      <c r="I146" s="324" t="s">
        <v>1085</v>
      </c>
      <c r="J146" s="270"/>
      <c r="K146" s="271" t="s">
        <v>1273</v>
      </c>
      <c r="L146" s="270"/>
      <c r="M146" s="270"/>
      <c r="N146" s="270"/>
      <c r="O146" s="325" t="s">
        <v>997</v>
      </c>
      <c r="P146" s="197"/>
      <c r="Q146" s="212">
        <v>11</v>
      </c>
      <c r="R146" s="204" t="str">
        <f t="shared" si="18"/>
        <v>.0011</v>
      </c>
      <c r="S146" s="197" t="str">
        <f>CONCATENATE($E$146)</f>
        <v/>
      </c>
    </row>
    <row r="147" spans="1:19" x14ac:dyDescent="0.2">
      <c r="A147" s="203"/>
      <c r="B147" s="204"/>
      <c r="C147" s="205"/>
      <c r="D147" s="220"/>
      <c r="G147" s="197"/>
      <c r="H147" s="214"/>
      <c r="I147" s="221"/>
      <c r="J147" s="223"/>
      <c r="K147" s="224"/>
      <c r="L147" s="223"/>
      <c r="M147" s="223"/>
      <c r="N147" s="223"/>
      <c r="O147" s="256"/>
      <c r="P147" s="197"/>
      <c r="Q147" s="212"/>
      <c r="R147" s="204"/>
      <c r="S147" s="197"/>
    </row>
    <row r="148" spans="1:19" x14ac:dyDescent="0.2">
      <c r="A148" s="203">
        <v>14</v>
      </c>
      <c r="B148" s="196" t="s">
        <v>1274</v>
      </c>
      <c r="C148" s="205" t="s">
        <v>1275</v>
      </c>
      <c r="D148" s="220"/>
      <c r="G148" s="197"/>
      <c r="H148" s="241">
        <v>14</v>
      </c>
      <c r="I148" s="326"/>
      <c r="J148" s="327"/>
      <c r="K148" s="295" t="s">
        <v>1275</v>
      </c>
      <c r="L148" s="327"/>
      <c r="M148" s="327"/>
      <c r="N148" s="327"/>
      <c r="O148" s="328"/>
      <c r="P148" s="197"/>
      <c r="Q148" s="212">
        <f>H148</f>
        <v>14</v>
      </c>
      <c r="R148" s="202" t="str">
        <f>CONCATENATE("II-",TEXT(Q148,"0000"))</f>
        <v>II-0014</v>
      </c>
      <c r="S148" s="213" t="str">
        <f>K148</f>
        <v>BASE</v>
      </c>
    </row>
    <row r="149" spans="1:19" x14ac:dyDescent="0.2">
      <c r="A149" s="203">
        <v>1</v>
      </c>
      <c r="B149" s="204" t="str">
        <f>CONCATENATE($B$148,".",TEXT(A149,"0000"))</f>
        <v>II-0014.0001</v>
      </c>
      <c r="C149" s="205" t="s">
        <v>1276</v>
      </c>
      <c r="D149" s="220" t="s">
        <v>1133</v>
      </c>
      <c r="G149" s="223"/>
      <c r="H149" s="298"/>
      <c r="I149" s="215" t="s">
        <v>1022</v>
      </c>
      <c r="J149" s="262"/>
      <c r="K149" s="329" t="s">
        <v>1276</v>
      </c>
      <c r="L149" s="262"/>
      <c r="M149" s="262"/>
      <c r="N149" s="262"/>
      <c r="O149" s="297" t="s">
        <v>1133</v>
      </c>
      <c r="P149" s="223"/>
      <c r="Q149" s="212">
        <v>1</v>
      </c>
      <c r="R149" s="204" t="str">
        <f>CONCATENATE($L$148,".",TEXT(Q149,"0000"))</f>
        <v>.0001</v>
      </c>
      <c r="S149" s="197" t="str">
        <f>CONCATENATE(K149)</f>
        <v>ARENA ASFALTO</v>
      </c>
    </row>
    <row r="150" spans="1:19" x14ac:dyDescent="0.2">
      <c r="A150" s="203">
        <v>2</v>
      </c>
      <c r="B150" s="204" t="str">
        <f>CONCATENATE($B$148,".",TEXT(A150,"0000"))</f>
        <v>II-0014.0002</v>
      </c>
      <c r="C150" s="227" t="s">
        <v>1277</v>
      </c>
      <c r="D150" s="220" t="s">
        <v>1133</v>
      </c>
      <c r="G150" s="223"/>
      <c r="H150" s="214"/>
      <c r="I150" s="215" t="s">
        <v>1049</v>
      </c>
      <c r="J150" s="262"/>
      <c r="K150" s="283" t="s">
        <v>1277</v>
      </c>
      <c r="L150" s="262"/>
      <c r="M150" s="262"/>
      <c r="N150" s="262"/>
      <c r="O150" s="297" t="s">
        <v>1133</v>
      </c>
      <c r="P150" s="223"/>
      <c r="Q150" s="212">
        <v>2</v>
      </c>
      <c r="R150" s="204" t="str">
        <f>CONCATENATE($L$148,".",TEXT(Q150,"0000"))</f>
        <v>.0002</v>
      </c>
      <c r="S150" s="197" t="str">
        <f>CONCATENATE(K150)</f>
        <v>CONCRETO ASFALTICO BITUMINOSO</v>
      </c>
    </row>
    <row r="151" spans="1:19" x14ac:dyDescent="0.2">
      <c r="A151" s="203"/>
      <c r="B151" s="204"/>
      <c r="C151" s="205"/>
      <c r="D151" s="220"/>
      <c r="G151" s="223"/>
      <c r="H151" s="214"/>
      <c r="I151" s="228" t="s">
        <v>1059</v>
      </c>
      <c r="J151" s="223"/>
      <c r="K151" s="224" t="s">
        <v>1278</v>
      </c>
      <c r="L151" s="223"/>
      <c r="M151" s="223"/>
      <c r="N151" s="223"/>
      <c r="O151" s="256"/>
      <c r="P151" s="223"/>
      <c r="Q151" s="223"/>
      <c r="R151" s="223"/>
      <c r="S151" s="223"/>
    </row>
    <row r="152" spans="1:19" x14ac:dyDescent="0.2">
      <c r="A152" s="203">
        <v>3</v>
      </c>
      <c r="B152" s="204" t="str">
        <f t="shared" ref="B152:B154" si="19">CONCATENATE($B$148,".",TEXT(A152,"0000"))</f>
        <v>II-0014.0003</v>
      </c>
      <c r="C152" s="197" t="str">
        <f>CONCATENATE($K$151," - TIPO ",L152)</f>
        <v>GRANULAR - TIPO ANTICOGELANTES</v>
      </c>
      <c r="D152" s="220" t="s">
        <v>1133</v>
      </c>
      <c r="G152" s="223"/>
      <c r="H152" s="214"/>
      <c r="I152" s="221"/>
      <c r="J152" s="222">
        <v>1</v>
      </c>
      <c r="K152" s="223"/>
      <c r="L152" s="224" t="s">
        <v>1279</v>
      </c>
      <c r="M152" s="223"/>
      <c r="N152" s="223"/>
      <c r="O152" s="256" t="s">
        <v>1133</v>
      </c>
      <c r="P152" s="223"/>
      <c r="Q152" s="212">
        <v>3</v>
      </c>
      <c r="R152" s="204" t="str">
        <f>CONCATENATE($L$148,".",TEXT(Q152,"0000"))</f>
        <v>.0003</v>
      </c>
      <c r="S152" s="197" t="str">
        <f>CONCATENATE($E$151," ",L152)</f>
        <v xml:space="preserve"> ANTICOGELANTES</v>
      </c>
    </row>
    <row r="153" spans="1:19" x14ac:dyDescent="0.2">
      <c r="A153" s="203">
        <v>4</v>
      </c>
      <c r="B153" s="204" t="str">
        <f t="shared" si="19"/>
        <v>II-0014.0004</v>
      </c>
      <c r="C153" s="197" t="str">
        <f t="shared" ref="C153:C154" si="20">CONCATENATE($K$151," - TIPO ",L153)</f>
        <v>GRANULAR - TIPO DRENANTES</v>
      </c>
      <c r="D153" s="220" t="s">
        <v>1133</v>
      </c>
      <c r="G153" s="223"/>
      <c r="H153" s="214"/>
      <c r="I153" s="221"/>
      <c r="J153" s="222">
        <v>2</v>
      </c>
      <c r="K153" s="224"/>
      <c r="L153" s="224" t="s">
        <v>1280</v>
      </c>
      <c r="M153" s="223"/>
      <c r="N153" s="223"/>
      <c r="O153" s="256" t="s">
        <v>1133</v>
      </c>
      <c r="P153" s="223"/>
      <c r="Q153" s="212">
        <v>4</v>
      </c>
      <c r="R153" s="204" t="str">
        <f t="shared" ref="R153:R154" si="21">CONCATENATE($L$148,".",TEXT(Q153,"0000"))</f>
        <v>.0004</v>
      </c>
      <c r="S153" s="197" t="str">
        <f t="shared" ref="S153" si="22">CONCATENATE($E$151," ",L153)</f>
        <v xml:space="preserve"> DRENANTES</v>
      </c>
    </row>
    <row r="154" spans="1:19" ht="15.75" thickBot="1" x14ac:dyDescent="0.25">
      <c r="A154" s="203">
        <v>5</v>
      </c>
      <c r="B154" s="204" t="str">
        <f t="shared" si="19"/>
        <v>II-0014.0005</v>
      </c>
      <c r="C154" s="197" t="str">
        <f t="shared" si="20"/>
        <v>GRANULAR - TIPO GRANULAR</v>
      </c>
      <c r="D154" s="220" t="s">
        <v>1133</v>
      </c>
      <c r="G154" s="223"/>
      <c r="H154" s="267"/>
      <c r="I154" s="330"/>
      <c r="J154" s="269">
        <v>3</v>
      </c>
      <c r="K154" s="271"/>
      <c r="L154" s="271" t="s">
        <v>1278</v>
      </c>
      <c r="M154" s="270"/>
      <c r="N154" s="270"/>
      <c r="O154" s="325" t="s">
        <v>1133</v>
      </c>
      <c r="P154" s="223"/>
      <c r="Q154" s="212">
        <v>5</v>
      </c>
      <c r="R154" s="204" t="str">
        <f t="shared" si="21"/>
        <v>.0005</v>
      </c>
      <c r="S154" s="197" t="str">
        <f>CONCATENATE($E$151)</f>
        <v/>
      </c>
    </row>
    <row r="155" spans="1:19" x14ac:dyDescent="0.2">
      <c r="A155" s="203"/>
      <c r="B155" s="204"/>
      <c r="C155" s="205"/>
      <c r="D155" s="220"/>
      <c r="G155" s="223"/>
      <c r="H155" s="273"/>
      <c r="I155" s="221"/>
      <c r="J155" s="221"/>
      <c r="K155" s="224"/>
      <c r="L155" s="224"/>
      <c r="M155" s="223"/>
      <c r="N155" s="223"/>
      <c r="O155" s="331"/>
      <c r="P155" s="223"/>
      <c r="Q155" s="212"/>
      <c r="R155" s="223"/>
      <c r="S155" s="223"/>
    </row>
    <row r="156" spans="1:19" x14ac:dyDescent="0.2">
      <c r="A156" s="203"/>
      <c r="B156" s="204"/>
      <c r="C156" s="205"/>
      <c r="D156" s="220"/>
      <c r="G156" s="197"/>
      <c r="H156" s="241">
        <v>14</v>
      </c>
      <c r="I156" s="243"/>
      <c r="J156" s="254"/>
      <c r="K156" s="311" t="s">
        <v>1275</v>
      </c>
      <c r="L156" s="254"/>
      <c r="M156" s="254"/>
      <c r="N156" s="254"/>
      <c r="O156" s="265"/>
      <c r="P156" s="197"/>
      <c r="Q156" s="212"/>
      <c r="R156" s="197"/>
      <c r="S156" s="197"/>
    </row>
    <row r="157" spans="1:19" x14ac:dyDescent="0.2">
      <c r="A157" s="203">
        <v>6</v>
      </c>
      <c r="B157" s="204" t="str">
        <f t="shared" ref="B157" si="23">CONCATENATE($B$148,".",TEXT(A157,"0000"))</f>
        <v>II-0014.0006</v>
      </c>
      <c r="C157" s="197" t="str">
        <f>CONCATENATE(K157)</f>
        <v>AGREGADO PETREO Y SUELO</v>
      </c>
      <c r="D157" s="220" t="s">
        <v>1133</v>
      </c>
      <c r="G157" s="197"/>
      <c r="H157" s="214"/>
      <c r="I157" s="215" t="s">
        <v>1085</v>
      </c>
      <c r="J157" s="262"/>
      <c r="K157" s="329" t="s">
        <v>1281</v>
      </c>
      <c r="L157" s="262"/>
      <c r="M157" s="262"/>
      <c r="N157" s="262"/>
      <c r="O157" s="297" t="s">
        <v>1133</v>
      </c>
      <c r="P157" s="197"/>
      <c r="Q157" s="212">
        <v>6</v>
      </c>
      <c r="R157" s="204" t="str">
        <f t="shared" ref="R157" si="24">CONCATENATE($L$148,".",TEXT(Q157,"0000"))</f>
        <v>.0006</v>
      </c>
      <c r="S157" s="197" t="str">
        <f>CONCATENATE($E$157)</f>
        <v/>
      </c>
    </row>
    <row r="158" spans="1:19" x14ac:dyDescent="0.2">
      <c r="A158" s="203"/>
      <c r="B158" s="204"/>
      <c r="C158" s="205"/>
      <c r="D158" s="220"/>
      <c r="G158" s="197"/>
      <c r="H158" s="214"/>
      <c r="I158" s="215" t="s">
        <v>1127</v>
      </c>
      <c r="J158" s="223"/>
      <c r="K158" s="301" t="s">
        <v>1136</v>
      </c>
      <c r="L158" s="223"/>
      <c r="M158" s="223"/>
      <c r="N158" s="223"/>
      <c r="O158" s="256"/>
      <c r="P158" s="197"/>
      <c r="Q158" s="197"/>
      <c r="R158" s="197"/>
      <c r="S158" s="197"/>
    </row>
    <row r="159" spans="1:19" x14ac:dyDescent="0.2">
      <c r="A159" s="203">
        <v>10</v>
      </c>
      <c r="B159" s="204" t="str">
        <f t="shared" ref="B159:B167" si="25">CONCATENATE($B$148,".",TEXT(A159,"0000"))</f>
        <v>II-0014.0010</v>
      </c>
      <c r="C159" s="197" t="str">
        <f>CONCATENATE($K$158," ",L159)</f>
        <v>REPARACION AGREGADO PETREO Y SUELO</v>
      </c>
      <c r="D159" s="220" t="s">
        <v>1133</v>
      </c>
      <c r="G159" s="197"/>
      <c r="H159" s="214"/>
      <c r="I159" s="221"/>
      <c r="J159" s="222">
        <v>1</v>
      </c>
      <c r="K159" s="301"/>
      <c r="L159" s="224" t="s">
        <v>1281</v>
      </c>
      <c r="M159" s="223"/>
      <c r="N159" s="223"/>
      <c r="O159" s="256" t="s">
        <v>1133</v>
      </c>
      <c r="P159" s="197"/>
      <c r="Q159" s="212">
        <v>10</v>
      </c>
      <c r="R159" s="204" t="str">
        <f>CONCATENATE($L$148,".",TEXT(Q159,"0000"))</f>
        <v>.0010</v>
      </c>
      <c r="S159" s="197" t="str">
        <f>CONCATENATE($E$158," ",L159)</f>
        <v xml:space="preserve"> AGREGADO PETREO Y SUELO</v>
      </c>
    </row>
    <row r="160" spans="1:19" x14ac:dyDescent="0.2">
      <c r="A160" s="203">
        <v>11</v>
      </c>
      <c r="B160" s="204" t="str">
        <f t="shared" si="25"/>
        <v>II-0014.0011</v>
      </c>
      <c r="C160" s="197" t="str">
        <f t="shared" ref="C160:C163" si="26">CONCATENATE($K$158," ",L160)</f>
        <v>REPARACION SUELO CAL</v>
      </c>
      <c r="D160" s="220" t="s">
        <v>1133</v>
      </c>
      <c r="G160" s="197"/>
      <c r="H160" s="214"/>
      <c r="I160" s="221"/>
      <c r="J160" s="222">
        <v>2</v>
      </c>
      <c r="K160" s="301"/>
      <c r="L160" s="224" t="s">
        <v>1217</v>
      </c>
      <c r="M160" s="223"/>
      <c r="N160" s="223"/>
      <c r="O160" s="256" t="s">
        <v>1133</v>
      </c>
      <c r="P160" s="197"/>
      <c r="Q160" s="212">
        <v>11</v>
      </c>
      <c r="R160" s="204" t="str">
        <f t="shared" ref="R160:R167" si="27">CONCATENATE($L$148,".",TEXT(Q160,"0000"))</f>
        <v>.0011</v>
      </c>
      <c r="S160" s="197" t="str">
        <f t="shared" ref="S160:S163" si="28">CONCATENATE($E$158," ",L160)</f>
        <v xml:space="preserve"> SUELO CAL</v>
      </c>
    </row>
    <row r="161" spans="1:19" x14ac:dyDescent="0.2">
      <c r="A161" s="203">
        <v>12</v>
      </c>
      <c r="B161" s="204" t="str">
        <f t="shared" si="25"/>
        <v>II-0014.0012</v>
      </c>
      <c r="C161" s="197" t="str">
        <f t="shared" si="26"/>
        <v>REPARACION SUELO CEMENTO</v>
      </c>
      <c r="D161" s="220" t="s">
        <v>1133</v>
      </c>
      <c r="G161" s="197"/>
      <c r="H161" s="214"/>
      <c r="I161" s="221"/>
      <c r="J161" s="222">
        <v>3</v>
      </c>
      <c r="K161" s="301"/>
      <c r="L161" s="224" t="s">
        <v>1220</v>
      </c>
      <c r="M161" s="223"/>
      <c r="N161" s="223"/>
      <c r="O161" s="256" t="s">
        <v>1133</v>
      </c>
      <c r="P161" s="197"/>
      <c r="Q161" s="212">
        <v>12</v>
      </c>
      <c r="R161" s="204" t="str">
        <f t="shared" si="27"/>
        <v>.0012</v>
      </c>
      <c r="S161" s="197" t="str">
        <f t="shared" si="28"/>
        <v xml:space="preserve"> SUELO CEMENTO</v>
      </c>
    </row>
    <row r="162" spans="1:19" x14ac:dyDescent="0.2">
      <c r="A162" s="203">
        <v>13</v>
      </c>
      <c r="B162" s="204" t="str">
        <f t="shared" si="25"/>
        <v>II-0014.0013</v>
      </c>
      <c r="C162" s="197" t="str">
        <f t="shared" si="26"/>
        <v>REPARACION SUELO ESCORIA</v>
      </c>
      <c r="D162" s="220" t="s">
        <v>1133</v>
      </c>
      <c r="G162" s="197"/>
      <c r="H162" s="214"/>
      <c r="I162" s="221"/>
      <c r="J162" s="222">
        <v>4</v>
      </c>
      <c r="K162" s="301"/>
      <c r="L162" s="224" t="s">
        <v>1282</v>
      </c>
      <c r="M162" s="223"/>
      <c r="N162" s="223"/>
      <c r="O162" s="256" t="s">
        <v>1133</v>
      </c>
      <c r="P162" s="197"/>
      <c r="Q162" s="212">
        <v>13</v>
      </c>
      <c r="R162" s="204" t="str">
        <f t="shared" si="27"/>
        <v>.0013</v>
      </c>
      <c r="S162" s="197" t="str">
        <f t="shared" si="28"/>
        <v xml:space="preserve"> SUELO ESCORIA</v>
      </c>
    </row>
    <row r="163" spans="1:19" x14ac:dyDescent="0.2">
      <c r="A163" s="203">
        <v>14</v>
      </c>
      <c r="B163" s="204" t="str">
        <f t="shared" si="25"/>
        <v>II-0014.0014</v>
      </c>
      <c r="C163" s="197" t="str">
        <f t="shared" si="26"/>
        <v>REPARACION SUELO SELECCIONADO</v>
      </c>
      <c r="D163" s="220" t="s">
        <v>1133</v>
      </c>
      <c r="G163" s="197"/>
      <c r="H163" s="214"/>
      <c r="I163" s="233"/>
      <c r="J163" s="228">
        <v>5</v>
      </c>
      <c r="K163" s="301"/>
      <c r="L163" s="224" t="s">
        <v>1223</v>
      </c>
      <c r="M163" s="223"/>
      <c r="N163" s="223"/>
      <c r="O163" s="256" t="s">
        <v>1133</v>
      </c>
      <c r="P163" s="197"/>
      <c r="Q163" s="212">
        <v>14</v>
      </c>
      <c r="R163" s="204" t="str">
        <f t="shared" si="27"/>
        <v>.0014</v>
      </c>
      <c r="S163" s="197" t="str">
        <f t="shared" si="28"/>
        <v xml:space="preserve"> SUELO SELECCIONADO</v>
      </c>
    </row>
    <row r="164" spans="1:19" x14ac:dyDescent="0.2">
      <c r="A164" s="203">
        <v>20</v>
      </c>
      <c r="B164" s="204" t="str">
        <f t="shared" si="25"/>
        <v>II-0014.0020</v>
      </c>
      <c r="C164" s="197" t="str">
        <f t="shared" ref="C164:C167" si="29">CONCATENATE(K164)</f>
        <v>SUELO CAL</v>
      </c>
      <c r="D164" s="220" t="s">
        <v>1133</v>
      </c>
      <c r="G164" s="197"/>
      <c r="H164" s="214"/>
      <c r="I164" s="228" t="s">
        <v>1130</v>
      </c>
      <c r="J164" s="262"/>
      <c r="K164" s="329" t="s">
        <v>1217</v>
      </c>
      <c r="L164" s="262"/>
      <c r="M164" s="262"/>
      <c r="N164" s="262"/>
      <c r="O164" s="297" t="s">
        <v>1133</v>
      </c>
      <c r="P164" s="197"/>
      <c r="Q164" s="212">
        <v>20</v>
      </c>
      <c r="R164" s="204" t="str">
        <f t="shared" si="27"/>
        <v>.0020</v>
      </c>
      <c r="S164" s="197" t="str">
        <f>CONCATENATE(K164)</f>
        <v>SUELO CAL</v>
      </c>
    </row>
    <row r="165" spans="1:19" x14ac:dyDescent="0.2">
      <c r="A165" s="203">
        <v>21</v>
      </c>
      <c r="B165" s="204" t="str">
        <f t="shared" si="25"/>
        <v>II-0014.0021</v>
      </c>
      <c r="C165" s="197" t="str">
        <f t="shared" si="29"/>
        <v>SUELO CEMENTO</v>
      </c>
      <c r="D165" s="220" t="s">
        <v>1133</v>
      </c>
      <c r="G165" s="197"/>
      <c r="H165" s="214"/>
      <c r="I165" s="222" t="s">
        <v>1134</v>
      </c>
      <c r="J165" s="223"/>
      <c r="K165" s="301" t="s">
        <v>1220</v>
      </c>
      <c r="L165" s="223"/>
      <c r="M165" s="223"/>
      <c r="N165" s="223"/>
      <c r="O165" s="256" t="s">
        <v>1133</v>
      </c>
      <c r="P165" s="197"/>
      <c r="Q165" s="212">
        <v>21</v>
      </c>
      <c r="R165" s="204" t="str">
        <f t="shared" si="27"/>
        <v>.0021</v>
      </c>
      <c r="S165" s="197" t="str">
        <f t="shared" ref="S165:S167" si="30">CONCATENATE(K165)</f>
        <v>SUELO CEMENTO</v>
      </c>
    </row>
    <row r="166" spans="1:19" x14ac:dyDescent="0.2">
      <c r="A166" s="203">
        <v>22</v>
      </c>
      <c r="B166" s="204" t="str">
        <f t="shared" si="25"/>
        <v>II-0014.0022</v>
      </c>
      <c r="C166" s="197" t="str">
        <f t="shared" si="29"/>
        <v>SUELO ESCORIA</v>
      </c>
      <c r="D166" s="220" t="s">
        <v>1133</v>
      </c>
      <c r="G166" s="197"/>
      <c r="H166" s="214"/>
      <c r="I166" s="215" t="s">
        <v>1137</v>
      </c>
      <c r="J166" s="262"/>
      <c r="K166" s="329" t="s">
        <v>1282</v>
      </c>
      <c r="L166" s="262"/>
      <c r="M166" s="262"/>
      <c r="N166" s="262"/>
      <c r="O166" s="297" t="s">
        <v>1133</v>
      </c>
      <c r="P166" s="197"/>
      <c r="Q166" s="212">
        <v>22</v>
      </c>
      <c r="R166" s="204" t="str">
        <f t="shared" si="27"/>
        <v>.0022</v>
      </c>
      <c r="S166" s="197" t="str">
        <f t="shared" si="30"/>
        <v>SUELO ESCORIA</v>
      </c>
    </row>
    <row r="167" spans="1:19" x14ac:dyDescent="0.2">
      <c r="A167" s="203">
        <v>23</v>
      </c>
      <c r="B167" s="204" t="str">
        <f t="shared" si="25"/>
        <v>II-0014.0023</v>
      </c>
      <c r="C167" s="197" t="str">
        <f t="shared" si="29"/>
        <v>SUELO SELECCIONADO</v>
      </c>
      <c r="D167" s="220" t="s">
        <v>1133</v>
      </c>
      <c r="G167" s="197"/>
      <c r="H167" s="214"/>
      <c r="I167" s="222" t="s">
        <v>889</v>
      </c>
      <c r="J167" s="223"/>
      <c r="K167" s="301" t="s">
        <v>1223</v>
      </c>
      <c r="L167" s="223"/>
      <c r="M167" s="223"/>
      <c r="N167" s="223"/>
      <c r="O167" s="256" t="s">
        <v>1133</v>
      </c>
      <c r="P167" s="197"/>
      <c r="Q167" s="212">
        <v>23</v>
      </c>
      <c r="R167" s="204" t="str">
        <f t="shared" si="27"/>
        <v>.0023</v>
      </c>
      <c r="S167" s="197" t="str">
        <f t="shared" si="30"/>
        <v>SUELO SELECCIONADO</v>
      </c>
    </row>
    <row r="168" spans="1:19" ht="15.75" thickBot="1" x14ac:dyDescent="0.25">
      <c r="A168" s="203"/>
      <c r="B168" s="204"/>
      <c r="C168" s="205"/>
      <c r="D168" s="220"/>
      <c r="G168" s="197"/>
      <c r="H168" s="214"/>
      <c r="I168" s="221"/>
      <c r="J168" s="223"/>
      <c r="K168" s="301"/>
      <c r="L168" s="223"/>
      <c r="M168" s="223"/>
      <c r="N168" s="223"/>
      <c r="O168" s="256"/>
      <c r="P168" s="197"/>
      <c r="Q168" s="212"/>
      <c r="R168" s="204"/>
      <c r="S168" s="197"/>
    </row>
    <row r="169" spans="1:19" ht="15.75" thickTop="1" x14ac:dyDescent="0.2">
      <c r="A169" s="203">
        <v>15</v>
      </c>
      <c r="B169" s="204" t="s">
        <v>1283</v>
      </c>
      <c r="C169" s="205" t="s">
        <v>1284</v>
      </c>
      <c r="D169" s="220"/>
      <c r="G169" s="197"/>
      <c r="H169" s="292">
        <v>15</v>
      </c>
      <c r="I169" s="242"/>
      <c r="J169" s="302"/>
      <c r="K169" s="303" t="s">
        <v>1284</v>
      </c>
      <c r="L169" s="302"/>
      <c r="M169" s="302"/>
      <c r="N169" s="302"/>
      <c r="O169" s="244"/>
      <c r="P169" s="197"/>
      <c r="Q169" s="212">
        <f>H169</f>
        <v>15</v>
      </c>
      <c r="R169" s="202" t="str">
        <f>CONCATENATE("II-",TEXT(Q169,"0000"))</f>
        <v>II-0015</v>
      </c>
      <c r="S169" s="213" t="str">
        <f>K169</f>
        <v>CALZADA</v>
      </c>
    </row>
    <row r="170" spans="1:19" x14ac:dyDescent="0.2">
      <c r="A170" s="203"/>
      <c r="B170" s="204"/>
      <c r="C170" s="205"/>
      <c r="D170" s="220"/>
      <c r="G170" s="197"/>
      <c r="H170" s="214"/>
      <c r="I170" s="215" t="s">
        <v>1022</v>
      </c>
      <c r="J170" s="223"/>
      <c r="K170" s="224" t="s">
        <v>1285</v>
      </c>
      <c r="L170" s="218"/>
      <c r="M170" s="218"/>
      <c r="N170" s="218"/>
      <c r="O170" s="266"/>
      <c r="P170" s="197"/>
      <c r="Q170" s="212"/>
      <c r="R170" s="197"/>
      <c r="S170" s="197"/>
    </row>
    <row r="171" spans="1:19" x14ac:dyDescent="0.2">
      <c r="A171" s="203">
        <v>1</v>
      </c>
      <c r="B171" s="204" t="str">
        <f>CONCATENATE($B$169,".",TEXT(A171,"0000"))</f>
        <v>II-0015.0001</v>
      </c>
      <c r="C171" s="197" t="str">
        <f>CONCATENATE($K$170," ",L171)</f>
        <v>CORRECCION DE AHUELLAMIENTO AGREGADO PETREO Y SUELO</v>
      </c>
      <c r="D171" s="220" t="s">
        <v>1216</v>
      </c>
      <c r="G171" s="197"/>
      <c r="H171" s="214"/>
      <c r="I171" s="221"/>
      <c r="J171" s="222">
        <v>1</v>
      </c>
      <c r="K171" s="223"/>
      <c r="L171" s="301" t="s">
        <v>1281</v>
      </c>
      <c r="M171" s="223"/>
      <c r="N171" s="223"/>
      <c r="O171" s="256" t="s">
        <v>1216</v>
      </c>
      <c r="P171" s="197"/>
      <c r="Q171" s="212"/>
      <c r="R171" s="197"/>
      <c r="S171" s="197"/>
    </row>
    <row r="172" spans="1:19" x14ac:dyDescent="0.2">
      <c r="A172" s="203">
        <v>2</v>
      </c>
      <c r="B172" s="204" t="str">
        <f t="shared" ref="B172:B181" si="31">CONCATENATE($B$169,".",TEXT(A172,"0000"))</f>
        <v>II-0015.0002</v>
      </c>
      <c r="C172" s="197" t="str">
        <f t="shared" ref="C172:C175" si="32">CONCATENATE($K$170," ",L172)</f>
        <v>CORRECCION DE AHUELLAMIENTO FRESADO</v>
      </c>
      <c r="D172" s="220" t="s">
        <v>1216</v>
      </c>
      <c r="G172" s="197"/>
      <c r="H172" s="214"/>
      <c r="I172" s="221"/>
      <c r="J172" s="222">
        <v>2</v>
      </c>
      <c r="K172" s="224"/>
      <c r="L172" s="213" t="s">
        <v>1286</v>
      </c>
      <c r="M172" s="300"/>
      <c r="N172" s="300"/>
      <c r="O172" s="256" t="s">
        <v>1216</v>
      </c>
      <c r="P172" s="197"/>
      <c r="Q172" s="212"/>
      <c r="R172" s="197"/>
      <c r="S172" s="197"/>
    </row>
    <row r="173" spans="1:19" x14ac:dyDescent="0.2">
      <c r="A173" s="203">
        <v>3</v>
      </c>
      <c r="B173" s="204" t="str">
        <f t="shared" si="31"/>
        <v>II-0015.0003</v>
      </c>
      <c r="C173" s="197" t="str">
        <f t="shared" si="32"/>
        <v>CORRECCION DE AHUELLAMIENTO MEZCLA ASFALTICA</v>
      </c>
      <c r="D173" s="220" t="s">
        <v>1216</v>
      </c>
      <c r="G173" s="197"/>
      <c r="H173" s="214"/>
      <c r="I173" s="221"/>
      <c r="J173" s="222">
        <v>3</v>
      </c>
      <c r="K173" s="224"/>
      <c r="L173" s="224" t="s">
        <v>1213</v>
      </c>
      <c r="M173" s="300"/>
      <c r="N173" s="300"/>
      <c r="O173" s="256" t="s">
        <v>1216</v>
      </c>
      <c r="P173" s="197"/>
      <c r="Q173" s="197"/>
      <c r="R173" s="197"/>
      <c r="S173" s="197"/>
    </row>
    <row r="174" spans="1:19" x14ac:dyDescent="0.2">
      <c r="A174" s="203">
        <v>4</v>
      </c>
      <c r="B174" s="204" t="str">
        <f t="shared" si="31"/>
        <v>II-0015.0004</v>
      </c>
      <c r="C174" s="197" t="str">
        <f t="shared" si="32"/>
        <v>CORRECCION DE AHUELLAMIENTO MICROAGLOMERADO</v>
      </c>
      <c r="D174" s="220" t="s">
        <v>1216</v>
      </c>
      <c r="G174" s="197"/>
      <c r="H174" s="214"/>
      <c r="I174" s="221"/>
      <c r="J174" s="312">
        <v>4</v>
      </c>
      <c r="K174" s="224"/>
      <c r="L174" s="224" t="s">
        <v>1287</v>
      </c>
      <c r="M174" s="223"/>
      <c r="N174" s="223"/>
      <c r="O174" s="256" t="s">
        <v>1216</v>
      </c>
      <c r="P174" s="197"/>
      <c r="Q174" s="197"/>
      <c r="R174" s="197"/>
      <c r="S174" s="197"/>
    </row>
    <row r="175" spans="1:19" x14ac:dyDescent="0.2">
      <c r="A175" s="203">
        <v>5</v>
      </c>
      <c r="B175" s="204" t="str">
        <f t="shared" si="31"/>
        <v>II-0015.0005</v>
      </c>
      <c r="C175" s="197" t="str">
        <f t="shared" si="32"/>
        <v>CORRECCION DE AHUELLAMIENTO SUELO CEMENTO</v>
      </c>
      <c r="D175" s="220" t="s">
        <v>1216</v>
      </c>
      <c r="G175" s="197"/>
      <c r="H175" s="214"/>
      <c r="I175" s="233"/>
      <c r="J175" s="313">
        <v>5</v>
      </c>
      <c r="K175" s="230"/>
      <c r="L175" s="230" t="s">
        <v>1220</v>
      </c>
      <c r="M175" s="229"/>
      <c r="N175" s="229"/>
      <c r="O175" s="275" t="s">
        <v>1216</v>
      </c>
      <c r="P175" s="197"/>
      <c r="Q175" s="197"/>
      <c r="R175" s="197"/>
      <c r="S175" s="197"/>
    </row>
    <row r="176" spans="1:19" x14ac:dyDescent="0.2">
      <c r="A176" s="203"/>
      <c r="B176" s="204"/>
      <c r="C176" s="205"/>
      <c r="D176" s="220"/>
      <c r="G176" s="197"/>
      <c r="H176" s="214"/>
      <c r="I176" s="215" t="s">
        <v>1049</v>
      </c>
      <c r="J176" s="220"/>
      <c r="K176" s="224" t="s">
        <v>1288</v>
      </c>
      <c r="L176" s="301"/>
      <c r="M176" s="223"/>
      <c r="N176" s="223"/>
      <c r="O176" s="256"/>
      <c r="P176" s="197"/>
      <c r="Q176" s="197"/>
      <c r="R176" s="197"/>
      <c r="S176" s="197"/>
    </row>
    <row r="177" spans="1:19" x14ac:dyDescent="0.2">
      <c r="A177" s="203">
        <v>11</v>
      </c>
      <c r="B177" s="204" t="str">
        <f t="shared" si="31"/>
        <v>II-0015.0011</v>
      </c>
      <c r="C177" s="197" t="str">
        <f>CONCATENATE($K$176," ",L177)</f>
        <v>CORRECCION DE DEPRESIONES Y DEFORMACIONES AGREGADO PETREO Y SUELO</v>
      </c>
      <c r="D177" s="220" t="s">
        <v>1133</v>
      </c>
      <c r="G177" s="197"/>
      <c r="H177" s="214"/>
      <c r="I177" s="221"/>
      <c r="J177" s="222">
        <v>1</v>
      </c>
      <c r="K177" s="224"/>
      <c r="L177" s="301" t="s">
        <v>1281</v>
      </c>
      <c r="M177" s="300"/>
      <c r="N177" s="300"/>
      <c r="O177" s="256" t="s">
        <v>1133</v>
      </c>
      <c r="P177" s="197"/>
      <c r="Q177" s="197"/>
      <c r="R177" s="197"/>
      <c r="S177" s="197"/>
    </row>
    <row r="178" spans="1:19" x14ac:dyDescent="0.2">
      <c r="A178" s="203">
        <v>12</v>
      </c>
      <c r="B178" s="204" t="str">
        <f t="shared" si="31"/>
        <v>II-0015.0012</v>
      </c>
      <c r="C178" s="197" t="str">
        <f t="shared" ref="C178:C181" si="33">CONCATENATE($K$176," ",L178)</f>
        <v>CORRECCION DE DEPRESIONES Y DEFORMACIONES SUELO CAL</v>
      </c>
      <c r="D178" s="220" t="s">
        <v>1133</v>
      </c>
      <c r="G178" s="197"/>
      <c r="H178" s="214"/>
      <c r="I178" s="221"/>
      <c r="J178" s="222">
        <v>2</v>
      </c>
      <c r="K178" s="224"/>
      <c r="L178" s="301" t="s">
        <v>1217</v>
      </c>
      <c r="M178" s="300"/>
      <c r="N178" s="300"/>
      <c r="O178" s="256" t="s">
        <v>1133</v>
      </c>
      <c r="P178" s="197"/>
      <c r="Q178" s="197"/>
      <c r="R178" s="197"/>
      <c r="S178" s="197"/>
    </row>
    <row r="179" spans="1:19" x14ac:dyDescent="0.2">
      <c r="A179" s="203">
        <v>13</v>
      </c>
      <c r="B179" s="204" t="str">
        <f t="shared" si="31"/>
        <v>II-0015.0013</v>
      </c>
      <c r="C179" s="197" t="str">
        <f t="shared" si="33"/>
        <v>CORRECCION DE DEPRESIONES Y DEFORMACIONES SUELO CEMENTO</v>
      </c>
      <c r="D179" s="220" t="s">
        <v>1133</v>
      </c>
      <c r="G179" s="197"/>
      <c r="H179" s="214"/>
      <c r="I179" s="221"/>
      <c r="J179" s="222">
        <v>3</v>
      </c>
      <c r="K179" s="224"/>
      <c r="L179" s="301" t="s">
        <v>1220</v>
      </c>
      <c r="M179" s="300"/>
      <c r="N179" s="300"/>
      <c r="O179" s="256" t="s">
        <v>1133</v>
      </c>
      <c r="P179" s="197"/>
      <c r="Q179" s="197"/>
      <c r="R179" s="197"/>
      <c r="S179" s="197"/>
    </row>
    <row r="180" spans="1:19" x14ac:dyDescent="0.2">
      <c r="A180" s="203">
        <v>14</v>
      </c>
      <c r="B180" s="204" t="str">
        <f t="shared" si="31"/>
        <v>II-0015.0014</v>
      </c>
      <c r="C180" s="197" t="str">
        <f t="shared" si="33"/>
        <v>CORRECCION DE DEPRESIONES Y DEFORMACIONES SUELO ESCORIA</v>
      </c>
      <c r="D180" s="220" t="s">
        <v>1133</v>
      </c>
      <c r="G180" s="197"/>
      <c r="H180" s="214"/>
      <c r="I180" s="221"/>
      <c r="J180" s="312">
        <v>4</v>
      </c>
      <c r="K180" s="224"/>
      <c r="L180" s="301" t="s">
        <v>1282</v>
      </c>
      <c r="M180" s="223"/>
      <c r="N180" s="223"/>
      <c r="O180" s="256" t="s">
        <v>1133</v>
      </c>
      <c r="P180" s="197"/>
      <c r="Q180" s="197"/>
      <c r="R180" s="197"/>
      <c r="S180" s="197"/>
    </row>
    <row r="181" spans="1:19" x14ac:dyDescent="0.2">
      <c r="A181" s="203">
        <v>15</v>
      </c>
      <c r="B181" s="204" t="str">
        <f t="shared" si="31"/>
        <v>II-0015.0015</v>
      </c>
      <c r="C181" s="197" t="str">
        <f t="shared" si="33"/>
        <v>CORRECCION DE DEPRESIONES Y DEFORMACIONES SUELO SELECCIONADO</v>
      </c>
      <c r="D181" s="220" t="s">
        <v>1133</v>
      </c>
      <c r="G181" s="197"/>
      <c r="H181" s="214"/>
      <c r="I181" s="233"/>
      <c r="J181" s="313">
        <v>5</v>
      </c>
      <c r="K181" s="230"/>
      <c r="L181" s="314" t="s">
        <v>1223</v>
      </c>
      <c r="M181" s="229"/>
      <c r="N181" s="229"/>
      <c r="O181" s="275" t="s">
        <v>1133</v>
      </c>
      <c r="P181" s="197"/>
      <c r="Q181" s="197"/>
      <c r="R181" s="197"/>
      <c r="S181" s="197"/>
    </row>
    <row r="182" spans="1:19" ht="15.75" thickBot="1" x14ac:dyDescent="0.25">
      <c r="A182" s="203"/>
      <c r="B182" s="226"/>
      <c r="C182" s="227"/>
      <c r="D182" s="220" t="s">
        <v>997</v>
      </c>
      <c r="G182" s="197"/>
      <c r="H182" s="234"/>
      <c r="I182" s="246" t="s">
        <v>1085</v>
      </c>
      <c r="J182" s="318"/>
      <c r="K182" s="238" t="s">
        <v>1289</v>
      </c>
      <c r="L182" s="320"/>
      <c r="M182" s="237"/>
      <c r="N182" s="237"/>
      <c r="O182" s="322" t="s">
        <v>997</v>
      </c>
      <c r="P182" s="197"/>
      <c r="Q182" s="197"/>
      <c r="R182" s="197"/>
      <c r="S182" s="197"/>
    </row>
    <row r="183" spans="1:19" ht="15.75" thickTop="1" x14ac:dyDescent="0.2">
      <c r="A183" s="203">
        <v>16</v>
      </c>
      <c r="B183" s="204" t="s">
        <v>1290</v>
      </c>
      <c r="C183" s="205" t="s">
        <v>1291</v>
      </c>
      <c r="D183" s="220"/>
      <c r="G183" s="197"/>
      <c r="H183" s="241">
        <v>16</v>
      </c>
      <c r="I183" s="243"/>
      <c r="J183" s="254"/>
      <c r="K183" s="311" t="s">
        <v>1291</v>
      </c>
      <c r="L183" s="254"/>
      <c r="M183" s="254"/>
      <c r="N183" s="254"/>
      <c r="O183" s="265"/>
      <c r="P183" s="197"/>
      <c r="Q183" s="212">
        <f>H183</f>
        <v>16</v>
      </c>
      <c r="R183" s="202" t="str">
        <f>CONCATENATE("II-",TEXT(Q183,"0000"))</f>
        <v>II-0016</v>
      </c>
      <c r="S183" s="213" t="str">
        <f>K183</f>
        <v>CAMARA DE INSPECCION</v>
      </c>
    </row>
    <row r="184" spans="1:19" ht="15.75" thickBot="1" x14ac:dyDescent="0.25">
      <c r="A184" s="203">
        <v>1</v>
      </c>
      <c r="B184" s="204" t="str">
        <f>CONCATENATE($B$183,".",TEXT(A184,"0000"))</f>
        <v>II-0016.0001</v>
      </c>
      <c r="C184" s="197" t="str">
        <f>CONCATENATE("S/PLANO ",K184)</f>
        <v>S/PLANO H-2465</v>
      </c>
      <c r="D184" s="220" t="s">
        <v>5</v>
      </c>
      <c r="G184" s="197"/>
      <c r="H184" s="245"/>
      <c r="I184" s="246" t="s">
        <v>1022</v>
      </c>
      <c r="J184" s="249"/>
      <c r="K184" s="285" t="s">
        <v>1292</v>
      </c>
      <c r="L184" s="249"/>
      <c r="M184" s="249"/>
      <c r="N184" s="249"/>
      <c r="O184" s="323" t="s">
        <v>5</v>
      </c>
      <c r="P184" s="197"/>
      <c r="Q184" s="197"/>
      <c r="R184" s="197"/>
      <c r="S184" s="197"/>
    </row>
    <row r="185" spans="1:19" ht="15.75" thickTop="1" x14ac:dyDescent="0.2">
      <c r="A185" s="203">
        <v>17</v>
      </c>
      <c r="B185" s="204" t="s">
        <v>1293</v>
      </c>
      <c r="C185" s="205" t="s">
        <v>1294</v>
      </c>
      <c r="D185" s="220"/>
      <c r="G185" s="197"/>
      <c r="H185" s="241">
        <v>17</v>
      </c>
      <c r="I185" s="243"/>
      <c r="J185" s="254"/>
      <c r="K185" s="311" t="s">
        <v>1294</v>
      </c>
      <c r="L185" s="254"/>
      <c r="M185" s="254"/>
      <c r="N185" s="254"/>
      <c r="O185" s="265"/>
      <c r="P185" s="197"/>
      <c r="Q185" s="212">
        <f>H185</f>
        <v>17</v>
      </c>
      <c r="R185" s="202" t="str">
        <f>CONCATENATE("II-",TEXT(Q185,"0000"))</f>
        <v>II-0017</v>
      </c>
      <c r="S185" s="213" t="str">
        <f>K185</f>
        <v>CARPETA</v>
      </c>
    </row>
    <row r="186" spans="1:19" x14ac:dyDescent="0.2">
      <c r="A186" s="203"/>
      <c r="B186" s="204"/>
      <c r="C186" s="205"/>
      <c r="D186" s="220"/>
      <c r="G186" s="197"/>
      <c r="H186" s="214"/>
      <c r="I186" s="215" t="s">
        <v>1022</v>
      </c>
      <c r="J186" s="220"/>
      <c r="K186" s="224" t="s">
        <v>1295</v>
      </c>
      <c r="L186" s="301"/>
      <c r="M186" s="223"/>
      <c r="N186" s="223"/>
      <c r="O186" s="256"/>
      <c r="P186" s="197"/>
      <c r="Q186" s="197"/>
      <c r="R186" s="197"/>
      <c r="S186" s="197"/>
    </row>
    <row r="187" spans="1:19" x14ac:dyDescent="0.2">
      <c r="A187" s="203">
        <v>1</v>
      </c>
      <c r="B187" s="204" t="str">
        <f>CONCATENATE($B$185,".",TEXT(A187,"0000"))</f>
        <v>II-0017.0001</v>
      </c>
      <c r="C187" s="197" t="str">
        <f>CONCATENATE($K$186," ",L187)</f>
        <v>MEZCLA BITUMINOSA DE CONCRETO ASFALTICO MEZCLA EN CALIENTE</v>
      </c>
      <c r="D187" s="220" t="s">
        <v>1216</v>
      </c>
      <c r="G187" s="197"/>
      <c r="H187" s="214"/>
      <c r="I187" s="221"/>
      <c r="J187" s="222">
        <v>1</v>
      </c>
      <c r="K187" s="224"/>
      <c r="L187" s="301" t="s">
        <v>1296</v>
      </c>
      <c r="M187" s="300"/>
      <c r="N187" s="223"/>
      <c r="O187" s="256" t="s">
        <v>1216</v>
      </c>
      <c r="P187" s="197"/>
      <c r="Q187" s="197"/>
      <c r="R187" s="197"/>
      <c r="S187" s="197"/>
    </row>
    <row r="188" spans="1:19" x14ac:dyDescent="0.2">
      <c r="A188" s="203">
        <v>2</v>
      </c>
      <c r="B188" s="204" t="str">
        <f t="shared" ref="B188:B192" si="34">CONCATENATE($B$185,".",TEXT(A188,"0000"))</f>
        <v>II-0017.0002</v>
      </c>
      <c r="C188" s="197" t="str">
        <f>CONCATENATE($K$186," ",L188)</f>
        <v>MEZCLA BITUMINOSA DE CONCRETO ASFALTICO MEZCLA EN FRIO</v>
      </c>
      <c r="D188" s="220" t="s">
        <v>1216</v>
      </c>
      <c r="G188" s="197"/>
      <c r="H188" s="214"/>
      <c r="I188" s="221"/>
      <c r="J188" s="228">
        <v>2</v>
      </c>
      <c r="K188" s="230"/>
      <c r="L188" s="230" t="s">
        <v>1297</v>
      </c>
      <c r="M188" s="229"/>
      <c r="N188" s="229"/>
      <c r="O188" s="275" t="s">
        <v>1216</v>
      </c>
      <c r="P188" s="197"/>
      <c r="Q188" s="197"/>
      <c r="R188" s="197"/>
      <c r="S188" s="197"/>
    </row>
    <row r="189" spans="1:19" x14ac:dyDescent="0.2">
      <c r="A189" s="203"/>
      <c r="B189" s="204"/>
      <c r="C189" s="205"/>
      <c r="D189" s="220"/>
      <c r="G189" s="197"/>
      <c r="H189" s="214"/>
      <c r="I189" s="215" t="s">
        <v>1049</v>
      </c>
      <c r="J189" s="220"/>
      <c r="K189" s="224" t="s">
        <v>1298</v>
      </c>
      <c r="L189" s="301"/>
      <c r="M189" s="223"/>
      <c r="N189" s="223"/>
      <c r="O189" s="256"/>
      <c r="P189" s="197"/>
      <c r="Q189" s="197"/>
      <c r="R189" s="197"/>
      <c r="S189" s="197"/>
    </row>
    <row r="190" spans="1:19" x14ac:dyDescent="0.2">
      <c r="A190" s="203">
        <v>11</v>
      </c>
      <c r="B190" s="204" t="str">
        <f t="shared" si="34"/>
        <v>II-0017.0011</v>
      </c>
      <c r="C190" s="197" t="str">
        <f>CONCATENATE($K$189," ",L190)</f>
        <v>CARPETA DE BAJO ESPESOR MEZCLA EN CALIENTE</v>
      </c>
      <c r="D190" s="220" t="s">
        <v>1216</v>
      </c>
      <c r="G190" s="197"/>
      <c r="H190" s="214"/>
      <c r="I190" s="221"/>
      <c r="J190" s="222">
        <v>1</v>
      </c>
      <c r="K190" s="224"/>
      <c r="L190" s="301" t="s">
        <v>1296</v>
      </c>
      <c r="M190" s="300"/>
      <c r="N190" s="300"/>
      <c r="O190" s="256" t="s">
        <v>1216</v>
      </c>
      <c r="P190" s="197"/>
      <c r="Q190" s="197"/>
      <c r="R190" s="197"/>
      <c r="S190" s="197"/>
    </row>
    <row r="191" spans="1:19" x14ac:dyDescent="0.2">
      <c r="A191" s="203">
        <v>12</v>
      </c>
      <c r="B191" s="204" t="str">
        <f t="shared" si="34"/>
        <v>II-0017.0012</v>
      </c>
      <c r="C191" s="197" t="str">
        <f t="shared" ref="C191:C192" si="35">CONCATENATE($K$189," ",L191)</f>
        <v>CARPETA DE BAJO ESPESOR MEZCLA EN FRIO</v>
      </c>
      <c r="D191" s="220" t="s">
        <v>1216</v>
      </c>
      <c r="G191" s="197"/>
      <c r="H191" s="214"/>
      <c r="I191" s="221"/>
      <c r="J191" s="222">
        <v>2</v>
      </c>
      <c r="K191" s="224"/>
      <c r="L191" s="301" t="s">
        <v>1297</v>
      </c>
      <c r="M191" s="300"/>
      <c r="N191" s="300"/>
      <c r="O191" s="256" t="s">
        <v>1216</v>
      </c>
      <c r="P191" s="197"/>
      <c r="Q191" s="197"/>
      <c r="R191" s="197"/>
      <c r="S191" s="197"/>
    </row>
    <row r="192" spans="1:19" ht="15.75" thickBot="1" x14ac:dyDescent="0.25">
      <c r="A192" s="203">
        <v>13</v>
      </c>
      <c r="B192" s="204" t="str">
        <f t="shared" si="34"/>
        <v>II-0017.0013</v>
      </c>
      <c r="C192" s="197" t="str">
        <f t="shared" si="35"/>
        <v>CARPETA DE BAJO ESPESOR MICROAGLOMERADO</v>
      </c>
      <c r="D192" s="220" t="s">
        <v>1216</v>
      </c>
      <c r="G192" s="197"/>
      <c r="H192" s="214"/>
      <c r="I192" s="221"/>
      <c r="J192" s="222">
        <v>3</v>
      </c>
      <c r="K192" s="224"/>
      <c r="L192" s="301" t="s">
        <v>1287</v>
      </c>
      <c r="M192" s="300"/>
      <c r="N192" s="300"/>
      <c r="O192" s="256" t="s">
        <v>1216</v>
      </c>
      <c r="P192" s="197"/>
      <c r="Q192" s="197"/>
      <c r="R192" s="197"/>
      <c r="S192" s="197"/>
    </row>
    <row r="193" spans="1:19" ht="15.75" thickTop="1" x14ac:dyDescent="0.2">
      <c r="A193" s="203">
        <v>18</v>
      </c>
      <c r="B193" s="204" t="s">
        <v>1299</v>
      </c>
      <c r="C193" s="205" t="s">
        <v>1300</v>
      </c>
      <c r="D193" s="220"/>
      <c r="G193" s="197"/>
      <c r="H193" s="292">
        <v>18</v>
      </c>
      <c r="I193" s="242"/>
      <c r="J193" s="302"/>
      <c r="K193" s="303" t="s">
        <v>1300</v>
      </c>
      <c r="L193" s="302"/>
      <c r="M193" s="302"/>
      <c r="N193" s="302"/>
      <c r="O193" s="244"/>
      <c r="P193" s="197"/>
      <c r="Q193" s="212">
        <f>H193</f>
        <v>18</v>
      </c>
      <c r="R193" s="202" t="str">
        <f>CONCATENATE("II-",TEXT(Q193,"0000"))</f>
        <v>II-0018</v>
      </c>
      <c r="S193" s="213" t="str">
        <f>K193</f>
        <v>COLCHONETA ( PIEDRA EMBOLSADA)</v>
      </c>
    </row>
    <row r="194" spans="1:19" x14ac:dyDescent="0.2">
      <c r="A194" s="203">
        <v>1</v>
      </c>
      <c r="B194" s="204" t="str">
        <f>CONCATENATE($B$193,".",TEXT(A194,"0000"))</f>
        <v>II-0018.0001</v>
      </c>
      <c r="C194" s="197" t="str">
        <f>CONCATENATE(K194," ",L194)</f>
        <v xml:space="preserve">ELECTROSOLDADA </v>
      </c>
      <c r="D194" s="220" t="s">
        <v>1133</v>
      </c>
      <c r="G194" s="197"/>
      <c r="H194" s="332"/>
      <c r="I194" s="215" t="s">
        <v>1022</v>
      </c>
      <c r="J194" s="262"/>
      <c r="K194" s="283" t="s">
        <v>1301</v>
      </c>
      <c r="L194" s="262"/>
      <c r="M194" s="262"/>
      <c r="N194" s="262"/>
      <c r="O194" s="297" t="s">
        <v>1133</v>
      </c>
      <c r="P194" s="197"/>
      <c r="Q194" s="197"/>
      <c r="R194" s="197"/>
      <c r="S194" s="197"/>
    </row>
    <row r="195" spans="1:19" x14ac:dyDescent="0.2">
      <c r="A195" s="203">
        <v>2</v>
      </c>
      <c r="B195" s="204" t="str">
        <f t="shared" ref="B195:B197" si="36">CONCATENATE($B$193,".",TEXT(A195,"0000"))</f>
        <v>II-0018.0002</v>
      </c>
      <c r="C195" s="197" t="str">
        <f t="shared" ref="C195:C197" si="37">CONCATENATE(K195," ",L195)</f>
        <v xml:space="preserve">MALLA HEXAGONAL </v>
      </c>
      <c r="D195" s="220" t="s">
        <v>1133</v>
      </c>
      <c r="G195" s="197"/>
      <c r="H195" s="277"/>
      <c r="I195" s="215" t="s">
        <v>1049</v>
      </c>
      <c r="J195" s="262"/>
      <c r="K195" s="283" t="s">
        <v>1302</v>
      </c>
      <c r="L195" s="262"/>
      <c r="M195" s="262"/>
      <c r="N195" s="262"/>
      <c r="O195" s="297" t="s">
        <v>1133</v>
      </c>
      <c r="P195" s="197"/>
      <c r="Q195" s="197"/>
      <c r="R195" s="197"/>
      <c r="S195" s="197"/>
    </row>
    <row r="196" spans="1:19" x14ac:dyDescent="0.2">
      <c r="A196" s="203">
        <v>3</v>
      </c>
      <c r="B196" s="204" t="str">
        <f t="shared" si="36"/>
        <v>II-0018.0003</v>
      </c>
      <c r="C196" s="197" t="str">
        <f t="shared" si="37"/>
        <v xml:space="preserve">REPARACION </v>
      </c>
      <c r="D196" s="220" t="s">
        <v>1133</v>
      </c>
      <c r="G196" s="197"/>
      <c r="H196" s="277"/>
      <c r="I196" s="215" t="s">
        <v>1059</v>
      </c>
      <c r="J196" s="262"/>
      <c r="K196" s="283" t="s">
        <v>1136</v>
      </c>
      <c r="L196" s="262"/>
      <c r="M196" s="262"/>
      <c r="N196" s="262"/>
      <c r="O196" s="297" t="s">
        <v>1133</v>
      </c>
      <c r="P196" s="197"/>
      <c r="Q196" s="197"/>
      <c r="R196" s="197"/>
      <c r="S196" s="197"/>
    </row>
    <row r="197" spans="1:19" x14ac:dyDescent="0.2">
      <c r="A197" s="203">
        <v>4</v>
      </c>
      <c r="B197" s="204" t="str">
        <f t="shared" si="36"/>
        <v>II-0018.0004</v>
      </c>
      <c r="C197" s="197" t="str">
        <f t="shared" si="37"/>
        <v xml:space="preserve">RETIRO  </v>
      </c>
      <c r="D197" s="220" t="s">
        <v>1133</v>
      </c>
      <c r="G197" s="197"/>
      <c r="H197" s="277"/>
      <c r="I197" s="215" t="s">
        <v>1085</v>
      </c>
      <c r="J197" s="262"/>
      <c r="K197" s="283" t="s">
        <v>1141</v>
      </c>
      <c r="L197" s="262"/>
      <c r="M197" s="262"/>
      <c r="N197" s="262"/>
      <c r="O197" s="297" t="s">
        <v>1133</v>
      </c>
      <c r="P197" s="197"/>
      <c r="Q197" s="197"/>
      <c r="R197" s="197"/>
      <c r="S197" s="197"/>
    </row>
    <row r="198" spans="1:19" ht="15.75" thickBot="1" x14ac:dyDescent="0.25">
      <c r="A198" s="203"/>
      <c r="B198" s="204"/>
      <c r="C198" s="205"/>
      <c r="D198" s="220" t="s">
        <v>1133</v>
      </c>
      <c r="G198" s="197"/>
      <c r="H198" s="284"/>
      <c r="I198" s="246" t="s">
        <v>1127</v>
      </c>
      <c r="J198" s="249"/>
      <c r="K198" s="285" t="s">
        <v>1259</v>
      </c>
      <c r="L198" s="249"/>
      <c r="M198" s="249"/>
      <c r="N198" s="249"/>
      <c r="O198" s="323" t="s">
        <v>1133</v>
      </c>
      <c r="P198" s="197"/>
      <c r="Q198" s="197"/>
      <c r="R198" s="197"/>
      <c r="S198" s="197"/>
    </row>
    <row r="199" spans="1:19" ht="15.75" thickTop="1" x14ac:dyDescent="0.2">
      <c r="A199" s="203">
        <v>19</v>
      </c>
      <c r="B199" s="204" t="s">
        <v>1303</v>
      </c>
      <c r="C199" s="205" t="s">
        <v>1304</v>
      </c>
      <c r="D199" s="220"/>
      <c r="G199" s="223"/>
      <c r="H199" s="241">
        <v>19</v>
      </c>
      <c r="I199" s="243"/>
      <c r="J199" s="254"/>
      <c r="K199" s="311" t="s">
        <v>1304</v>
      </c>
      <c r="L199" s="254"/>
      <c r="M199" s="254"/>
      <c r="N199" s="254"/>
      <c r="O199" s="265"/>
      <c r="P199" s="223"/>
      <c r="Q199" s="212">
        <f>H199</f>
        <v>19</v>
      </c>
      <c r="R199" s="202" t="str">
        <f>CONCATENATE("II-",TEXT(Q199,"0000"))</f>
        <v>II-0019</v>
      </c>
      <c r="S199" s="213" t="str">
        <f>K199</f>
        <v>CORDONES</v>
      </c>
    </row>
    <row r="200" spans="1:19" x14ac:dyDescent="0.2">
      <c r="A200" s="203"/>
      <c r="B200" s="204"/>
      <c r="C200" s="205"/>
      <c r="D200" s="220"/>
      <c r="G200" s="223"/>
      <c r="H200" s="255"/>
      <c r="I200" s="215" t="s">
        <v>1022</v>
      </c>
      <c r="J200" s="221"/>
      <c r="K200" s="224" t="s">
        <v>1305</v>
      </c>
      <c r="L200" s="223"/>
      <c r="M200" s="223"/>
      <c r="N200" s="223"/>
      <c r="O200" s="256"/>
      <c r="P200" s="223"/>
      <c r="Q200" s="223"/>
      <c r="R200" s="223"/>
      <c r="S200" s="223"/>
    </row>
    <row r="201" spans="1:19" x14ac:dyDescent="0.2">
      <c r="A201" s="203">
        <v>1</v>
      </c>
      <c r="B201" s="205"/>
      <c r="C201" s="197" t="str">
        <f>CONCATENATE("S/PLANO ",$K$200," - TIPO ",L201 )</f>
        <v>S/PLANO H-8431 - TIPO A</v>
      </c>
      <c r="D201" s="220" t="s">
        <v>1258</v>
      </c>
      <c r="G201" s="197"/>
      <c r="H201" s="214"/>
      <c r="I201" s="221"/>
      <c r="J201" s="222">
        <v>1</v>
      </c>
      <c r="K201" s="223"/>
      <c r="L201" s="224" t="s">
        <v>1022</v>
      </c>
      <c r="M201" s="223"/>
      <c r="N201" s="223"/>
      <c r="O201" s="256" t="s">
        <v>1258</v>
      </c>
      <c r="P201" s="197"/>
      <c r="Q201" s="197"/>
      <c r="R201" s="197"/>
      <c r="S201" s="197"/>
    </row>
    <row r="202" spans="1:19" x14ac:dyDescent="0.2">
      <c r="A202" s="203">
        <v>2</v>
      </c>
      <c r="B202" s="204"/>
      <c r="C202" s="197" t="str">
        <f t="shared" ref="C202:C203" si="38">CONCATENATE("S/PLANO ",$K$200," - TIPO ",L202 )</f>
        <v>S/PLANO H-8431 - TIPO B</v>
      </c>
      <c r="D202" s="220" t="s">
        <v>1258</v>
      </c>
      <c r="G202" s="197"/>
      <c r="H202" s="214"/>
      <c r="I202" s="221"/>
      <c r="J202" s="222">
        <v>2</v>
      </c>
      <c r="K202" s="223"/>
      <c r="L202" s="224" t="s">
        <v>1049</v>
      </c>
      <c r="M202" s="223"/>
      <c r="N202" s="223"/>
      <c r="O202" s="256" t="s">
        <v>1258</v>
      </c>
      <c r="P202" s="197"/>
      <c r="Q202" s="197"/>
      <c r="R202" s="197"/>
      <c r="S202" s="197"/>
    </row>
    <row r="203" spans="1:19" ht="15.75" thickBot="1" x14ac:dyDescent="0.25">
      <c r="A203" s="203">
        <v>3</v>
      </c>
      <c r="B203" s="205"/>
      <c r="C203" s="197" t="str">
        <f t="shared" si="38"/>
        <v>S/PLANO H-8431 - TIPO C</v>
      </c>
      <c r="D203" s="220" t="s">
        <v>1258</v>
      </c>
      <c r="G203" s="197"/>
      <c r="H203" s="267"/>
      <c r="I203" s="268"/>
      <c r="J203" s="269">
        <v>3</v>
      </c>
      <c r="K203" s="270"/>
      <c r="L203" s="271" t="s">
        <v>1059</v>
      </c>
      <c r="M203" s="270"/>
      <c r="N203" s="270"/>
      <c r="O203" s="325" t="s">
        <v>1258</v>
      </c>
      <c r="P203" s="197"/>
      <c r="Q203" s="197"/>
      <c r="R203" s="197"/>
      <c r="S203" s="197"/>
    </row>
    <row r="204" spans="1:19" x14ac:dyDescent="0.2">
      <c r="A204" s="203"/>
      <c r="B204" s="204"/>
      <c r="C204" s="205"/>
      <c r="D204" s="220"/>
      <c r="G204" s="197"/>
      <c r="H204" s="201"/>
      <c r="I204" s="202"/>
      <c r="J204" s="197"/>
      <c r="K204" s="197"/>
      <c r="L204" s="197"/>
      <c r="M204" s="197"/>
      <c r="N204" s="197"/>
      <c r="O204" s="200"/>
      <c r="P204" s="197"/>
      <c r="Q204" s="197"/>
      <c r="R204" s="197"/>
      <c r="S204" s="197"/>
    </row>
    <row r="205" spans="1:19" x14ac:dyDescent="0.2">
      <c r="A205" s="203"/>
      <c r="B205" s="196"/>
      <c r="C205" s="205"/>
      <c r="D205" s="220"/>
      <c r="G205" s="223"/>
      <c r="H205" s="241">
        <v>19</v>
      </c>
      <c r="I205" s="243"/>
      <c r="J205" s="254"/>
      <c r="K205" s="311" t="s">
        <v>1304</v>
      </c>
      <c r="L205" s="254"/>
      <c r="M205" s="254"/>
      <c r="N205" s="254"/>
      <c r="O205" s="265"/>
      <c r="P205" s="223"/>
      <c r="Q205" s="223"/>
      <c r="R205" s="223"/>
      <c r="S205" s="223"/>
    </row>
    <row r="206" spans="1:19" x14ac:dyDescent="0.2">
      <c r="A206" s="203"/>
      <c r="B206" s="204"/>
      <c r="C206" s="205"/>
      <c r="D206" s="220"/>
      <c r="G206" s="300"/>
      <c r="H206" s="298"/>
      <c r="I206" s="215" t="s">
        <v>1022</v>
      </c>
      <c r="J206" s="221"/>
      <c r="K206" s="224" t="s">
        <v>1305</v>
      </c>
      <c r="L206" s="300"/>
      <c r="M206" s="300"/>
      <c r="N206" s="300"/>
      <c r="O206" s="287"/>
      <c r="P206" s="300"/>
      <c r="Q206" s="300"/>
      <c r="R206" s="300"/>
      <c r="S206" s="300"/>
    </row>
    <row r="207" spans="1:19" x14ac:dyDescent="0.2">
      <c r="A207" s="203"/>
      <c r="B207" s="196"/>
      <c r="C207" s="205"/>
      <c r="D207" s="220" t="s">
        <v>1258</v>
      </c>
      <c r="G207" s="197"/>
      <c r="H207" s="214"/>
      <c r="I207" s="221"/>
      <c r="J207" s="312">
        <v>4</v>
      </c>
      <c r="K207" s="223"/>
      <c r="L207" s="224" t="s">
        <v>1085</v>
      </c>
      <c r="M207" s="223"/>
      <c r="N207" s="223"/>
      <c r="O207" s="256" t="s">
        <v>1258</v>
      </c>
      <c r="P207" s="197"/>
      <c r="Q207" s="197"/>
      <c r="R207" s="197"/>
      <c r="S207" s="197"/>
    </row>
    <row r="208" spans="1:19" x14ac:dyDescent="0.2">
      <c r="A208" s="203"/>
      <c r="B208" s="204"/>
      <c r="C208" s="205"/>
      <c r="D208" s="220" t="s">
        <v>1258</v>
      </c>
      <c r="G208" s="197"/>
      <c r="H208" s="214"/>
      <c r="I208" s="221"/>
      <c r="J208" s="312">
        <v>5</v>
      </c>
      <c r="K208" s="223"/>
      <c r="L208" s="224" t="s">
        <v>1127</v>
      </c>
      <c r="M208" s="223"/>
      <c r="N208" s="223"/>
      <c r="O208" s="256" t="s">
        <v>1258</v>
      </c>
      <c r="P208" s="197"/>
      <c r="Q208" s="197"/>
      <c r="R208" s="197"/>
      <c r="S208" s="197"/>
    </row>
    <row r="209" spans="1:19" x14ac:dyDescent="0.2">
      <c r="A209" s="203"/>
      <c r="B209" s="196"/>
      <c r="C209" s="205"/>
      <c r="D209" s="220" t="s">
        <v>1258</v>
      </c>
      <c r="G209" s="197"/>
      <c r="H209" s="214"/>
      <c r="I209" s="221"/>
      <c r="J209" s="312">
        <v>6</v>
      </c>
      <c r="K209" s="223"/>
      <c r="L209" s="224" t="s">
        <v>1130</v>
      </c>
      <c r="M209" s="223"/>
      <c r="N209" s="223"/>
      <c r="O209" s="256" t="s">
        <v>1258</v>
      </c>
      <c r="P209" s="197"/>
      <c r="Q209" s="197"/>
      <c r="R209" s="197"/>
      <c r="S209" s="197"/>
    </row>
    <row r="210" spans="1:19" x14ac:dyDescent="0.2">
      <c r="A210" s="203"/>
      <c r="B210" s="196"/>
      <c r="C210" s="205"/>
      <c r="D210" s="220" t="s">
        <v>1258</v>
      </c>
      <c r="G210" s="197"/>
      <c r="H210" s="214"/>
      <c r="I210" s="221"/>
      <c r="J210" s="312">
        <v>7</v>
      </c>
      <c r="K210" s="223"/>
      <c r="L210" s="224" t="s">
        <v>1134</v>
      </c>
      <c r="M210" s="223"/>
      <c r="N210" s="223"/>
      <c r="O210" s="256" t="s">
        <v>1258</v>
      </c>
      <c r="P210" s="197"/>
      <c r="Q210" s="197"/>
      <c r="R210" s="197"/>
      <c r="S210" s="197"/>
    </row>
    <row r="211" spans="1:19" x14ac:dyDescent="0.2">
      <c r="A211" s="203"/>
      <c r="B211" s="226"/>
      <c r="C211" s="227"/>
      <c r="D211" s="220" t="s">
        <v>1258</v>
      </c>
      <c r="G211" s="197"/>
      <c r="H211" s="214"/>
      <c r="I211" s="221"/>
      <c r="J211" s="312">
        <v>8</v>
      </c>
      <c r="K211" s="223"/>
      <c r="L211" s="224" t="s">
        <v>1137</v>
      </c>
      <c r="M211" s="223"/>
      <c r="N211" s="223"/>
      <c r="O211" s="256" t="s">
        <v>1258</v>
      </c>
      <c r="P211" s="197"/>
      <c r="Q211" s="197"/>
      <c r="R211" s="197"/>
      <c r="S211" s="197"/>
    </row>
    <row r="212" spans="1:19" x14ac:dyDescent="0.2">
      <c r="A212" s="203"/>
      <c r="B212" s="204"/>
      <c r="C212" s="205"/>
      <c r="D212" s="220" t="s">
        <v>1258</v>
      </c>
      <c r="G212" s="197"/>
      <c r="H212" s="214"/>
      <c r="I212" s="221"/>
      <c r="J212" s="312">
        <v>9</v>
      </c>
      <c r="K212" s="223"/>
      <c r="L212" s="224" t="s">
        <v>889</v>
      </c>
      <c r="M212" s="223"/>
      <c r="N212" s="223"/>
      <c r="O212" s="256" t="s">
        <v>1258</v>
      </c>
      <c r="P212" s="197"/>
      <c r="Q212" s="197"/>
      <c r="R212" s="197"/>
      <c r="S212" s="197"/>
    </row>
    <row r="213" spans="1:19" x14ac:dyDescent="0.2">
      <c r="A213" s="203"/>
      <c r="B213" s="204"/>
      <c r="C213" s="205"/>
      <c r="D213" s="220" t="s">
        <v>1258</v>
      </c>
      <c r="G213" s="197"/>
      <c r="H213" s="214"/>
      <c r="I213" s="233"/>
      <c r="J213" s="313">
        <v>10</v>
      </c>
      <c r="K213" s="229"/>
      <c r="L213" s="230" t="s">
        <v>1142</v>
      </c>
      <c r="M213" s="229"/>
      <c r="N213" s="229"/>
      <c r="O213" s="275" t="s">
        <v>1258</v>
      </c>
      <c r="P213" s="197"/>
      <c r="Q213" s="197"/>
      <c r="R213" s="197"/>
      <c r="S213" s="197"/>
    </row>
    <row r="214" spans="1:19" x14ac:dyDescent="0.2">
      <c r="A214" s="203"/>
      <c r="B214" s="204"/>
      <c r="C214" s="205"/>
      <c r="D214" s="220" t="s">
        <v>1258</v>
      </c>
      <c r="G214" s="197"/>
      <c r="H214" s="214"/>
      <c r="I214" s="228" t="s">
        <v>1049</v>
      </c>
      <c r="J214" s="221"/>
      <c r="K214" s="224" t="s">
        <v>1306</v>
      </c>
      <c r="L214" s="223"/>
      <c r="M214" s="223"/>
      <c r="N214" s="223"/>
      <c r="O214" s="256" t="s">
        <v>1258</v>
      </c>
      <c r="P214" s="197"/>
      <c r="Q214" s="197"/>
      <c r="R214" s="197"/>
      <c r="S214" s="197"/>
    </row>
    <row r="215" spans="1:19" x14ac:dyDescent="0.2">
      <c r="A215" s="203"/>
      <c r="B215" s="204"/>
      <c r="C215" s="205"/>
      <c r="D215" s="220" t="s">
        <v>1258</v>
      </c>
      <c r="G215" s="197"/>
      <c r="H215" s="214"/>
      <c r="I215" s="221"/>
      <c r="J215" s="222">
        <v>1</v>
      </c>
      <c r="K215" s="223"/>
      <c r="L215" s="224" t="s">
        <v>1022</v>
      </c>
      <c r="M215" s="223"/>
      <c r="N215" s="223"/>
      <c r="O215" s="256" t="s">
        <v>1258</v>
      </c>
      <c r="P215" s="197"/>
      <c r="Q215" s="197"/>
      <c r="R215" s="197"/>
      <c r="S215" s="197"/>
    </row>
    <row r="216" spans="1:19" x14ac:dyDescent="0.2">
      <c r="A216" s="203"/>
      <c r="B216" s="204"/>
      <c r="C216" s="205"/>
      <c r="D216" s="220" t="s">
        <v>1258</v>
      </c>
      <c r="G216" s="197"/>
      <c r="H216" s="214"/>
      <c r="I216" s="221"/>
      <c r="J216" s="222">
        <v>2</v>
      </c>
      <c r="K216" s="223"/>
      <c r="L216" s="224" t="s">
        <v>1049</v>
      </c>
      <c r="M216" s="223"/>
      <c r="N216" s="223"/>
      <c r="O216" s="256" t="s">
        <v>1258</v>
      </c>
      <c r="P216" s="197"/>
      <c r="Q216" s="197"/>
      <c r="R216" s="197"/>
      <c r="S216" s="197"/>
    </row>
    <row r="217" spans="1:19" x14ac:dyDescent="0.2">
      <c r="A217" s="203"/>
      <c r="B217" s="196"/>
      <c r="C217" s="205"/>
      <c r="D217" s="220" t="s">
        <v>1258</v>
      </c>
      <c r="G217" s="197"/>
      <c r="H217" s="214"/>
      <c r="I217" s="221"/>
      <c r="J217" s="222">
        <v>3</v>
      </c>
      <c r="K217" s="223"/>
      <c r="L217" s="224" t="s">
        <v>1059</v>
      </c>
      <c r="M217" s="223"/>
      <c r="N217" s="223"/>
      <c r="O217" s="256" t="s">
        <v>1258</v>
      </c>
      <c r="P217" s="197"/>
      <c r="Q217" s="197"/>
      <c r="R217" s="197"/>
      <c r="S217" s="197"/>
    </row>
    <row r="218" spans="1:19" x14ac:dyDescent="0.2">
      <c r="A218" s="203"/>
      <c r="B218" s="226"/>
      <c r="C218" s="227"/>
      <c r="D218" s="220" t="s">
        <v>1258</v>
      </c>
      <c r="G218" s="197"/>
      <c r="H218" s="214"/>
      <c r="I218" s="221"/>
      <c r="J218" s="312">
        <v>4</v>
      </c>
      <c r="K218" s="223"/>
      <c r="L218" s="224" t="s">
        <v>1085</v>
      </c>
      <c r="M218" s="223"/>
      <c r="N218" s="223"/>
      <c r="O218" s="256" t="s">
        <v>1258</v>
      </c>
      <c r="P218" s="197"/>
      <c r="Q218" s="197"/>
      <c r="R218" s="197"/>
      <c r="S218" s="197"/>
    </row>
    <row r="219" spans="1:19" x14ac:dyDescent="0.2">
      <c r="A219" s="203"/>
      <c r="B219" s="204"/>
      <c r="C219" s="205"/>
      <c r="D219" s="220" t="s">
        <v>1258</v>
      </c>
      <c r="G219" s="197"/>
      <c r="H219" s="214"/>
      <c r="I219" s="197"/>
      <c r="J219" s="312">
        <v>5</v>
      </c>
      <c r="K219" s="223"/>
      <c r="L219" s="224" t="s">
        <v>1127</v>
      </c>
      <c r="M219" s="223"/>
      <c r="N219" s="223"/>
      <c r="O219" s="256" t="s">
        <v>1258</v>
      </c>
      <c r="P219" s="197"/>
      <c r="Q219" s="197"/>
      <c r="R219" s="197"/>
      <c r="S219" s="197"/>
    </row>
    <row r="220" spans="1:19" x14ac:dyDescent="0.2">
      <c r="A220" s="203"/>
      <c r="B220" s="204"/>
      <c r="C220" s="205"/>
      <c r="D220" s="220" t="s">
        <v>1258</v>
      </c>
      <c r="G220" s="197"/>
      <c r="H220" s="214"/>
      <c r="I220" s="197"/>
      <c r="J220" s="312">
        <v>6</v>
      </c>
      <c r="K220" s="223"/>
      <c r="L220" s="224" t="s">
        <v>1130</v>
      </c>
      <c r="M220" s="223"/>
      <c r="N220" s="223"/>
      <c r="O220" s="256" t="s">
        <v>1258</v>
      </c>
      <c r="P220" s="197"/>
      <c r="Q220" s="197"/>
      <c r="R220" s="197"/>
      <c r="S220" s="197"/>
    </row>
    <row r="221" spans="1:19" x14ac:dyDescent="0.2">
      <c r="A221" s="203"/>
      <c r="B221" s="196"/>
      <c r="C221" s="205"/>
      <c r="D221" s="220" t="s">
        <v>1258</v>
      </c>
      <c r="G221" s="197"/>
      <c r="H221" s="214"/>
      <c r="I221" s="221"/>
      <c r="J221" s="312">
        <v>7</v>
      </c>
      <c r="K221" s="223"/>
      <c r="L221" s="224" t="s">
        <v>1134</v>
      </c>
      <c r="M221" s="223"/>
      <c r="N221" s="223"/>
      <c r="O221" s="256" t="s">
        <v>1258</v>
      </c>
      <c r="P221" s="197"/>
      <c r="Q221" s="197"/>
      <c r="R221" s="197"/>
      <c r="S221" s="197"/>
    </row>
    <row r="222" spans="1:19" x14ac:dyDescent="0.2">
      <c r="A222" s="203"/>
      <c r="B222" s="196"/>
      <c r="C222" s="205"/>
      <c r="D222" s="220" t="s">
        <v>1258</v>
      </c>
      <c r="G222" s="197"/>
      <c r="H222" s="214"/>
      <c r="I222" s="221"/>
      <c r="J222" s="312">
        <v>8</v>
      </c>
      <c r="K222" s="223"/>
      <c r="L222" s="224" t="s">
        <v>1137</v>
      </c>
      <c r="M222" s="223"/>
      <c r="N222" s="223"/>
      <c r="O222" s="256" t="s">
        <v>1258</v>
      </c>
      <c r="P222" s="197"/>
      <c r="Q222" s="197"/>
      <c r="R222" s="197"/>
      <c r="S222" s="197"/>
    </row>
    <row r="223" spans="1:19" x14ac:dyDescent="0.2">
      <c r="A223" s="203"/>
      <c r="B223" s="196"/>
      <c r="C223" s="205"/>
      <c r="D223" s="220" t="s">
        <v>1258</v>
      </c>
      <c r="G223" s="197"/>
      <c r="H223" s="214"/>
      <c r="I223" s="221"/>
      <c r="J223" s="312">
        <v>9</v>
      </c>
      <c r="K223" s="223"/>
      <c r="L223" s="224" t="s">
        <v>889</v>
      </c>
      <c r="M223" s="223"/>
      <c r="N223" s="223"/>
      <c r="O223" s="256" t="s">
        <v>1258</v>
      </c>
      <c r="P223" s="197"/>
      <c r="Q223" s="197"/>
      <c r="R223" s="197"/>
      <c r="S223" s="197"/>
    </row>
    <row r="224" spans="1:19" x14ac:dyDescent="0.2">
      <c r="A224" s="203"/>
      <c r="B224" s="226"/>
      <c r="C224" s="227"/>
      <c r="D224" s="220" t="s">
        <v>1258</v>
      </c>
      <c r="G224" s="197"/>
      <c r="H224" s="214"/>
      <c r="I224" s="221"/>
      <c r="J224" s="313">
        <v>10</v>
      </c>
      <c r="K224" s="229"/>
      <c r="L224" s="224" t="s">
        <v>1142</v>
      </c>
      <c r="M224" s="223"/>
      <c r="N224" s="223"/>
      <c r="O224" s="256" t="s">
        <v>1258</v>
      </c>
      <c r="P224" s="197"/>
      <c r="Q224" s="197"/>
      <c r="R224" s="197"/>
      <c r="S224" s="197"/>
    </row>
    <row r="225" spans="1:19" x14ac:dyDescent="0.2">
      <c r="A225" s="203"/>
      <c r="B225" s="204"/>
      <c r="C225" s="205"/>
      <c r="D225" s="220" t="s">
        <v>1258</v>
      </c>
      <c r="G225" s="197"/>
      <c r="H225" s="214"/>
      <c r="I225" s="215" t="s">
        <v>1059</v>
      </c>
      <c r="J225" s="262"/>
      <c r="K225" s="230" t="s">
        <v>1307</v>
      </c>
      <c r="L225" s="262"/>
      <c r="M225" s="262"/>
      <c r="N225" s="262"/>
      <c r="O225" s="297" t="s">
        <v>1258</v>
      </c>
      <c r="P225" s="197"/>
      <c r="Q225" s="197"/>
      <c r="R225" s="197"/>
      <c r="S225" s="197"/>
    </row>
    <row r="226" spans="1:19" x14ac:dyDescent="0.2">
      <c r="A226" s="203"/>
      <c r="B226" s="204"/>
      <c r="C226" s="205"/>
      <c r="D226" s="220" t="s">
        <v>1258</v>
      </c>
      <c r="G226" s="197"/>
      <c r="H226" s="214"/>
      <c r="I226" s="215" t="s">
        <v>1085</v>
      </c>
      <c r="J226" s="262"/>
      <c r="K226" s="283" t="s">
        <v>1141</v>
      </c>
      <c r="L226" s="262"/>
      <c r="M226" s="262"/>
      <c r="N226" s="262"/>
      <c r="O226" s="256" t="s">
        <v>1258</v>
      </c>
      <c r="P226" s="197"/>
      <c r="Q226" s="197"/>
      <c r="R226" s="197"/>
      <c r="S226" s="197"/>
    </row>
    <row r="227" spans="1:19" ht="15.75" thickBot="1" x14ac:dyDescent="0.25">
      <c r="A227" s="203"/>
      <c r="B227" s="204"/>
      <c r="C227" s="205"/>
      <c r="D227" s="220" t="s">
        <v>1258</v>
      </c>
      <c r="G227" s="197"/>
      <c r="H227" s="234"/>
      <c r="I227" s="236" t="s">
        <v>1127</v>
      </c>
      <c r="J227" s="237"/>
      <c r="K227" s="238" t="s">
        <v>1308</v>
      </c>
      <c r="L227" s="237"/>
      <c r="M227" s="237"/>
      <c r="N227" s="237"/>
      <c r="O227" s="323" t="s">
        <v>1258</v>
      </c>
      <c r="P227" s="197"/>
      <c r="Q227" s="197"/>
      <c r="R227" s="197"/>
      <c r="S227" s="197"/>
    </row>
    <row r="228" spans="1:19" ht="16.5" thickTop="1" thickBot="1" x14ac:dyDescent="0.25">
      <c r="A228" s="203">
        <v>20</v>
      </c>
      <c r="B228" s="204" t="s">
        <v>1309</v>
      </c>
      <c r="C228" s="205" t="s">
        <v>1310</v>
      </c>
      <c r="D228" s="220" t="s">
        <v>998</v>
      </c>
      <c r="G228" s="197"/>
      <c r="H228" s="333">
        <v>20</v>
      </c>
      <c r="I228" s="334"/>
      <c r="J228" s="335"/>
      <c r="K228" s="336" t="s">
        <v>1310</v>
      </c>
      <c r="L228" s="335"/>
      <c r="M228" s="335"/>
      <c r="N228" s="335"/>
      <c r="O228" s="337" t="s">
        <v>998</v>
      </c>
      <c r="P228" s="197"/>
      <c r="Q228" s="212">
        <f>H228</f>
        <v>20</v>
      </c>
      <c r="R228" s="202" t="str">
        <f>CONCATENATE("II-",TEXT(Q228,"0000"))</f>
        <v>II-0020</v>
      </c>
      <c r="S228" s="213" t="str">
        <f>K228</f>
        <v>CORTE DE PASTO</v>
      </c>
    </row>
    <row r="229" spans="1:19" ht="15.75" thickTop="1" x14ac:dyDescent="0.2">
      <c r="A229" s="203">
        <v>21</v>
      </c>
      <c r="B229" s="204" t="s">
        <v>1311</v>
      </c>
      <c r="C229" s="205" t="s">
        <v>1312</v>
      </c>
      <c r="D229" s="220"/>
      <c r="G229" s="197"/>
      <c r="H229" s="292">
        <v>21</v>
      </c>
      <c r="I229" s="243"/>
      <c r="J229" s="254"/>
      <c r="K229" s="311" t="s">
        <v>1312</v>
      </c>
      <c r="L229" s="254"/>
      <c r="M229" s="254"/>
      <c r="N229" s="254"/>
      <c r="O229" s="265"/>
      <c r="P229" s="197"/>
      <c r="Q229" s="212">
        <f>H229</f>
        <v>21</v>
      </c>
      <c r="R229" s="202" t="str">
        <f>CONCATENATE("II-",TEXT(Q229,"0000"))</f>
        <v>II-0021</v>
      </c>
      <c r="S229" s="213" t="str">
        <f>K229</f>
        <v xml:space="preserve">CUNETA </v>
      </c>
    </row>
    <row r="230" spans="1:19" x14ac:dyDescent="0.2">
      <c r="A230" s="203"/>
      <c r="B230" s="204"/>
      <c r="C230" s="205"/>
      <c r="D230" s="220" t="s">
        <v>1133</v>
      </c>
      <c r="G230" s="276"/>
      <c r="H230" s="277"/>
      <c r="I230" s="278" t="s">
        <v>1022</v>
      </c>
      <c r="J230" s="315"/>
      <c r="K230" s="314" t="s">
        <v>1313</v>
      </c>
      <c r="L230" s="315"/>
      <c r="M230" s="315"/>
      <c r="N230" s="315"/>
      <c r="O230" s="281" t="s">
        <v>1133</v>
      </c>
      <c r="P230" s="276"/>
      <c r="Q230" s="276"/>
      <c r="R230" s="276"/>
      <c r="S230" s="276"/>
    </row>
    <row r="231" spans="1:19" x14ac:dyDescent="0.2">
      <c r="A231" s="203"/>
      <c r="B231" s="204"/>
      <c r="C231" s="205"/>
      <c r="D231" s="220" t="s">
        <v>1216</v>
      </c>
      <c r="G231" s="197"/>
      <c r="H231" s="277"/>
      <c r="I231" s="215" t="s">
        <v>1049</v>
      </c>
      <c r="J231" s="262"/>
      <c r="K231" s="283" t="s">
        <v>1136</v>
      </c>
      <c r="L231" s="262"/>
      <c r="M231" s="262"/>
      <c r="N231" s="262"/>
      <c r="O231" s="297" t="s">
        <v>1216</v>
      </c>
      <c r="P231" s="197"/>
      <c r="Q231" s="197"/>
      <c r="R231" s="197"/>
      <c r="S231" s="197"/>
    </row>
    <row r="232" spans="1:19" x14ac:dyDescent="0.2">
      <c r="A232" s="203"/>
      <c r="B232" s="204"/>
      <c r="C232" s="205"/>
      <c r="D232" s="220" t="s">
        <v>1258</v>
      </c>
      <c r="G232" s="197"/>
      <c r="H232" s="277"/>
      <c r="I232" s="215" t="s">
        <v>1059</v>
      </c>
      <c r="J232" s="262"/>
      <c r="K232" s="283" t="s">
        <v>1141</v>
      </c>
      <c r="L232" s="262"/>
      <c r="M232" s="262"/>
      <c r="N232" s="262"/>
      <c r="O232" s="297" t="s">
        <v>1258</v>
      </c>
      <c r="P232" s="197"/>
      <c r="Q232" s="197"/>
      <c r="R232" s="197"/>
      <c r="S232" s="197"/>
    </row>
    <row r="233" spans="1:19" x14ac:dyDescent="0.2">
      <c r="A233" s="203"/>
      <c r="B233" s="196"/>
      <c r="C233" s="205"/>
      <c r="D233" s="220" t="s">
        <v>997</v>
      </c>
      <c r="G233" s="197"/>
      <c r="H233" s="277"/>
      <c r="I233" s="215" t="s">
        <v>1085</v>
      </c>
      <c r="J233" s="262"/>
      <c r="K233" s="283" t="s">
        <v>1197</v>
      </c>
      <c r="L233" s="262"/>
      <c r="M233" s="262"/>
      <c r="N233" s="262"/>
      <c r="O233" s="297" t="s">
        <v>997</v>
      </c>
      <c r="P233" s="197"/>
      <c r="Q233" s="197"/>
      <c r="R233" s="197"/>
      <c r="S233" s="197"/>
    </row>
    <row r="234" spans="1:19" x14ac:dyDescent="0.2">
      <c r="A234" s="203"/>
      <c r="B234" s="196"/>
      <c r="C234" s="205"/>
      <c r="D234" s="220" t="s">
        <v>1133</v>
      </c>
      <c r="G234" s="197"/>
      <c r="H234" s="277"/>
      <c r="I234" s="215" t="s">
        <v>1127</v>
      </c>
      <c r="J234" s="262"/>
      <c r="K234" s="283" t="s">
        <v>1314</v>
      </c>
      <c r="L234" s="262"/>
      <c r="M234" s="262"/>
      <c r="N234" s="262"/>
      <c r="O234" s="297" t="s">
        <v>1133</v>
      </c>
      <c r="P234" s="197"/>
      <c r="Q234" s="197"/>
      <c r="R234" s="197"/>
      <c r="S234" s="197"/>
    </row>
    <row r="235" spans="1:19" ht="15.75" thickBot="1" x14ac:dyDescent="0.25">
      <c r="A235" s="203"/>
      <c r="B235" s="226"/>
      <c r="C235" s="227"/>
      <c r="D235" s="220" t="s">
        <v>997</v>
      </c>
      <c r="G235" s="197"/>
      <c r="H235" s="284"/>
      <c r="I235" s="246" t="s">
        <v>1130</v>
      </c>
      <c r="J235" s="249"/>
      <c r="K235" s="285" t="s">
        <v>1315</v>
      </c>
      <c r="L235" s="249"/>
      <c r="M235" s="249"/>
      <c r="N235" s="249"/>
      <c r="O235" s="323" t="s">
        <v>997</v>
      </c>
      <c r="P235" s="197"/>
      <c r="Q235" s="197"/>
      <c r="R235" s="197"/>
      <c r="S235" s="197"/>
    </row>
    <row r="236" spans="1:19" ht="16.5" thickTop="1" thickBot="1" x14ac:dyDescent="0.25">
      <c r="A236" s="203">
        <v>22</v>
      </c>
      <c r="B236" s="204" t="s">
        <v>1316</v>
      </c>
      <c r="C236" s="205" t="s">
        <v>1317</v>
      </c>
      <c r="D236" s="220" t="s">
        <v>5</v>
      </c>
      <c r="G236" s="197"/>
      <c r="H236" s="338">
        <v>22</v>
      </c>
      <c r="I236" s="339"/>
      <c r="J236" s="340"/>
      <c r="K236" s="341" t="s">
        <v>1317</v>
      </c>
      <c r="L236" s="340"/>
      <c r="M236" s="340"/>
      <c r="N236" s="340"/>
      <c r="O236" s="342" t="s">
        <v>5</v>
      </c>
      <c r="P236" s="197"/>
      <c r="Q236" s="212">
        <f>H236</f>
        <v>22</v>
      </c>
      <c r="R236" s="202" t="str">
        <f>CONCATENATE("II-",TEXT(Q236,"0000"))</f>
        <v>II-0022</v>
      </c>
      <c r="S236" s="213" t="str">
        <f>K236</f>
        <v>DARSENA DE DETENCION DE VEHICULOS</v>
      </c>
    </row>
    <row r="237" spans="1:19" ht="15.75" thickTop="1" x14ac:dyDescent="0.2">
      <c r="A237" s="203">
        <v>23</v>
      </c>
      <c r="B237" s="193" t="s">
        <v>1318</v>
      </c>
      <c r="C237" s="193" t="s">
        <v>1319</v>
      </c>
      <c r="D237" s="220"/>
      <c r="G237" s="197"/>
      <c r="H237" s="292">
        <v>23</v>
      </c>
      <c r="I237" s="242"/>
      <c r="J237" s="302"/>
      <c r="K237" s="303" t="s">
        <v>1319</v>
      </c>
      <c r="L237" s="302"/>
      <c r="M237" s="302"/>
      <c r="N237" s="302"/>
      <c r="O237" s="244"/>
      <c r="P237" s="197"/>
      <c r="Q237" s="212">
        <f>H237</f>
        <v>23</v>
      </c>
      <c r="R237" s="202" t="str">
        <f>CONCATENATE("II-",TEXT(Q237,"0000"))</f>
        <v>II-0023</v>
      </c>
      <c r="S237" s="213" t="str">
        <f>K237</f>
        <v>DEFENSA CAMINOS</v>
      </c>
    </row>
    <row r="238" spans="1:19" x14ac:dyDescent="0.2">
      <c r="A238" s="203"/>
      <c r="B238" s="193"/>
      <c r="C238" s="193"/>
      <c r="D238" s="220" t="s">
        <v>1216</v>
      </c>
      <c r="G238" s="197"/>
      <c r="H238" s="214"/>
      <c r="I238" s="215" t="s">
        <v>1022</v>
      </c>
      <c r="J238" s="262"/>
      <c r="K238" s="283" t="s">
        <v>1320</v>
      </c>
      <c r="L238" s="262"/>
      <c r="M238" s="262"/>
      <c r="N238" s="262"/>
      <c r="O238" s="297" t="s">
        <v>1216</v>
      </c>
      <c r="P238" s="197"/>
      <c r="Q238" s="197"/>
      <c r="R238" s="197"/>
      <c r="S238" s="197"/>
    </row>
    <row r="239" spans="1:19" x14ac:dyDescent="0.2">
      <c r="A239" s="203"/>
      <c r="B239" s="193"/>
      <c r="C239" s="193"/>
      <c r="D239" s="220" t="s">
        <v>1216</v>
      </c>
      <c r="G239" s="197"/>
      <c r="H239" s="214"/>
      <c r="I239" s="215" t="s">
        <v>1049</v>
      </c>
      <c r="J239" s="262"/>
      <c r="K239" s="283" t="s">
        <v>1321</v>
      </c>
      <c r="L239" s="262"/>
      <c r="M239" s="262"/>
      <c r="N239" s="262"/>
      <c r="O239" s="297" t="s">
        <v>1216</v>
      </c>
      <c r="P239" s="197"/>
      <c r="Q239" s="197"/>
      <c r="R239" s="197"/>
      <c r="S239" s="197"/>
    </row>
    <row r="240" spans="1:19" x14ac:dyDescent="0.2">
      <c r="A240" s="203"/>
      <c r="B240" s="193"/>
      <c r="C240" s="193"/>
      <c r="D240" s="220" t="s">
        <v>1216</v>
      </c>
      <c r="G240" s="197"/>
      <c r="H240" s="214"/>
      <c r="I240" s="215" t="s">
        <v>1059</v>
      </c>
      <c r="J240" s="262"/>
      <c r="K240" s="283" t="s">
        <v>1322</v>
      </c>
      <c r="L240" s="262"/>
      <c r="M240" s="262"/>
      <c r="N240" s="262"/>
      <c r="O240" s="297" t="s">
        <v>1216</v>
      </c>
      <c r="P240" s="197"/>
      <c r="Q240" s="197"/>
      <c r="R240" s="197"/>
      <c r="S240" s="197"/>
    </row>
    <row r="241" spans="1:19" x14ac:dyDescent="0.2">
      <c r="A241" s="203"/>
      <c r="B241" s="226"/>
      <c r="C241" s="227"/>
      <c r="D241" s="220" t="s">
        <v>1133</v>
      </c>
      <c r="G241" s="197"/>
      <c r="H241" s="214"/>
      <c r="I241" s="215" t="s">
        <v>1085</v>
      </c>
      <c r="J241" s="262"/>
      <c r="K241" s="283" t="s">
        <v>1323</v>
      </c>
      <c r="L241" s="262"/>
      <c r="M241" s="262"/>
      <c r="N241" s="262"/>
      <c r="O241" s="297" t="s">
        <v>1133</v>
      </c>
      <c r="P241" s="197"/>
      <c r="Q241" s="197"/>
      <c r="R241" s="197"/>
      <c r="S241" s="197"/>
    </row>
    <row r="242" spans="1:19" x14ac:dyDescent="0.2">
      <c r="A242" s="203"/>
      <c r="B242" s="204"/>
      <c r="C242" s="205"/>
      <c r="D242" s="220" t="s">
        <v>1133</v>
      </c>
      <c r="G242" s="197"/>
      <c r="H242" s="214"/>
      <c r="I242" s="215" t="s">
        <v>1127</v>
      </c>
      <c r="J242" s="262"/>
      <c r="K242" s="283" t="s">
        <v>1136</v>
      </c>
      <c r="L242" s="262"/>
      <c r="M242" s="262"/>
      <c r="N242" s="262"/>
      <c r="O242" s="297" t="s">
        <v>1133</v>
      </c>
      <c r="P242" s="197"/>
      <c r="Q242" s="197"/>
      <c r="R242" s="197"/>
      <c r="S242" s="197"/>
    </row>
    <row r="243" spans="1:19" x14ac:dyDescent="0.2">
      <c r="A243" s="203"/>
      <c r="B243" s="204"/>
      <c r="C243" s="205"/>
      <c r="D243" s="220" t="s">
        <v>1133</v>
      </c>
      <c r="G243" s="197"/>
      <c r="H243" s="214"/>
      <c r="I243" s="215" t="s">
        <v>1130</v>
      </c>
      <c r="J243" s="262"/>
      <c r="K243" s="283" t="s">
        <v>1091</v>
      </c>
      <c r="L243" s="262"/>
      <c r="M243" s="262"/>
      <c r="N243" s="262"/>
      <c r="O243" s="297" t="s">
        <v>1133</v>
      </c>
      <c r="P243" s="197"/>
      <c r="Q243" s="197"/>
      <c r="R243" s="197"/>
      <c r="S243" s="197"/>
    </row>
    <row r="244" spans="1:19" x14ac:dyDescent="0.2">
      <c r="A244" s="203"/>
      <c r="B244" s="204"/>
      <c r="C244" s="205"/>
      <c r="D244" s="220" t="s">
        <v>1133</v>
      </c>
      <c r="G244" s="197"/>
      <c r="H244" s="214"/>
      <c r="I244" s="215" t="s">
        <v>1134</v>
      </c>
      <c r="J244" s="262"/>
      <c r="K244" s="283" t="s">
        <v>1139</v>
      </c>
      <c r="L244" s="262"/>
      <c r="M244" s="262"/>
      <c r="N244" s="262"/>
      <c r="O244" s="297" t="s">
        <v>1133</v>
      </c>
      <c r="P244" s="197"/>
      <c r="Q244" s="197"/>
      <c r="R244" s="197"/>
      <c r="S244" s="197"/>
    </row>
    <row r="245" spans="1:19" ht="15.75" thickBot="1" x14ac:dyDescent="0.25">
      <c r="A245" s="203"/>
      <c r="B245" s="204"/>
      <c r="C245" s="205"/>
      <c r="D245" s="220" t="s">
        <v>1133</v>
      </c>
      <c r="G245" s="197"/>
      <c r="H245" s="234"/>
      <c r="I245" s="246" t="s">
        <v>1137</v>
      </c>
      <c r="J245" s="249"/>
      <c r="K245" s="285" t="s">
        <v>1324</v>
      </c>
      <c r="L245" s="249"/>
      <c r="M245" s="249"/>
      <c r="N245" s="249"/>
      <c r="O245" s="323" t="s">
        <v>1133</v>
      </c>
      <c r="P245" s="197"/>
      <c r="Q245" s="197"/>
      <c r="R245" s="197"/>
      <c r="S245" s="197"/>
    </row>
    <row r="246" spans="1:19" ht="15.75" thickTop="1" x14ac:dyDescent="0.2">
      <c r="A246" s="203">
        <v>24</v>
      </c>
      <c r="B246" s="196" t="s">
        <v>1325</v>
      </c>
      <c r="C246" s="205" t="s">
        <v>1326</v>
      </c>
      <c r="D246" s="220"/>
      <c r="G246" s="197"/>
      <c r="H246" s="292">
        <v>24</v>
      </c>
      <c r="I246" s="242"/>
      <c r="J246" s="302"/>
      <c r="K246" s="303" t="s">
        <v>1326</v>
      </c>
      <c r="L246" s="302"/>
      <c r="M246" s="302"/>
      <c r="N246" s="302"/>
      <c r="O246" s="244"/>
      <c r="P246" s="197"/>
      <c r="Q246" s="212">
        <f>H246</f>
        <v>24</v>
      </c>
      <c r="R246" s="202" t="str">
        <f>CONCATENATE("II-",TEXT(Q246,"0000"))</f>
        <v>II-0024</v>
      </c>
      <c r="S246" s="213" t="str">
        <f>K246</f>
        <v>DEFENSA DE MARGENES</v>
      </c>
    </row>
    <row r="247" spans="1:19" x14ac:dyDescent="0.2">
      <c r="A247" s="203"/>
      <c r="B247" s="196"/>
      <c r="C247" s="205"/>
      <c r="D247" s="220" t="s">
        <v>1216</v>
      </c>
      <c r="G247" s="197"/>
      <c r="H247" s="214"/>
      <c r="I247" s="215" t="s">
        <v>1022</v>
      </c>
      <c r="J247" s="262"/>
      <c r="K247" s="283" t="s">
        <v>1327</v>
      </c>
      <c r="L247" s="262"/>
      <c r="M247" s="262"/>
      <c r="N247" s="262"/>
      <c r="O247" s="297" t="s">
        <v>1216</v>
      </c>
      <c r="P247" s="197"/>
      <c r="Q247" s="197"/>
      <c r="R247" s="197"/>
      <c r="S247" s="197"/>
    </row>
    <row r="248" spans="1:19" x14ac:dyDescent="0.2">
      <c r="A248" s="203"/>
      <c r="B248" s="226"/>
      <c r="C248" s="227"/>
      <c r="D248" s="220" t="s">
        <v>1133</v>
      </c>
      <c r="G248" s="197"/>
      <c r="H248" s="214"/>
      <c r="I248" s="215" t="s">
        <v>1049</v>
      </c>
      <c r="J248" s="262"/>
      <c r="K248" s="283" t="s">
        <v>1328</v>
      </c>
      <c r="L248" s="262"/>
      <c r="M248" s="262"/>
      <c r="N248" s="262"/>
      <c r="O248" s="297" t="s">
        <v>1133</v>
      </c>
      <c r="P248" s="197"/>
      <c r="Q248" s="197"/>
      <c r="R248" s="197"/>
      <c r="S248" s="197"/>
    </row>
    <row r="249" spans="1:19" x14ac:dyDescent="0.2">
      <c r="A249" s="203"/>
      <c r="B249" s="204"/>
      <c r="C249" s="205"/>
      <c r="D249" s="220" t="s">
        <v>1133</v>
      </c>
      <c r="G249" s="197"/>
      <c r="H249" s="214"/>
      <c r="I249" s="228" t="s">
        <v>1059</v>
      </c>
      <c r="J249" s="229"/>
      <c r="K249" s="230" t="s">
        <v>1329</v>
      </c>
      <c r="L249" s="229"/>
      <c r="M249" s="229"/>
      <c r="N249" s="229"/>
      <c r="O249" s="275" t="s">
        <v>1133</v>
      </c>
      <c r="P249" s="197"/>
      <c r="Q249" s="197"/>
      <c r="R249" s="197"/>
      <c r="S249" s="197"/>
    </row>
    <row r="250" spans="1:19" x14ac:dyDescent="0.2">
      <c r="A250" s="203"/>
      <c r="B250" s="204"/>
      <c r="C250" s="205"/>
      <c r="D250" s="220" t="s">
        <v>1133</v>
      </c>
      <c r="G250" s="197"/>
      <c r="H250" s="214"/>
      <c r="I250" s="215" t="s">
        <v>1085</v>
      </c>
      <c r="J250" s="262"/>
      <c r="K250" s="283" t="s">
        <v>1330</v>
      </c>
      <c r="L250" s="262"/>
      <c r="M250" s="262"/>
      <c r="N250" s="262"/>
      <c r="O250" s="297" t="s">
        <v>1133</v>
      </c>
      <c r="P250" s="197"/>
      <c r="Q250" s="197"/>
      <c r="R250" s="197"/>
      <c r="S250" s="197"/>
    </row>
    <row r="251" spans="1:19" ht="15.75" thickBot="1" x14ac:dyDescent="0.25">
      <c r="A251" s="203"/>
      <c r="B251" s="204"/>
      <c r="C251" s="205"/>
      <c r="D251" s="220" t="s">
        <v>997</v>
      </c>
      <c r="G251" s="197"/>
      <c r="H251" s="267"/>
      <c r="I251" s="324" t="s">
        <v>1127</v>
      </c>
      <c r="J251" s="343"/>
      <c r="K251" s="344" t="s">
        <v>1331</v>
      </c>
      <c r="L251" s="343"/>
      <c r="M251" s="343"/>
      <c r="N251" s="343"/>
      <c r="O251" s="345" t="s">
        <v>997</v>
      </c>
      <c r="P251" s="197"/>
      <c r="Q251" s="197"/>
      <c r="R251" s="197"/>
      <c r="S251" s="197"/>
    </row>
    <row r="252" spans="1:19" x14ac:dyDescent="0.2">
      <c r="A252" s="203"/>
      <c r="B252" s="204"/>
      <c r="C252" s="205"/>
      <c r="D252" s="220"/>
      <c r="G252" s="223"/>
      <c r="H252" s="273"/>
      <c r="I252" s="221"/>
      <c r="J252" s="223"/>
      <c r="K252" s="224"/>
      <c r="L252" s="223"/>
      <c r="M252" s="223"/>
      <c r="N252" s="223"/>
      <c r="O252" s="331"/>
      <c r="P252" s="223"/>
      <c r="Q252" s="223"/>
      <c r="R252" s="223"/>
      <c r="S252" s="223"/>
    </row>
    <row r="253" spans="1:19" s="45" customFormat="1" x14ac:dyDescent="0.2">
      <c r="A253" s="203">
        <v>25</v>
      </c>
      <c r="B253" s="193" t="s">
        <v>1332</v>
      </c>
      <c r="C253" s="193" t="s">
        <v>1333</v>
      </c>
      <c r="D253" s="220"/>
      <c r="G253" s="197"/>
      <c r="H253" s="241">
        <v>25</v>
      </c>
      <c r="I253" s="243"/>
      <c r="J253" s="254"/>
      <c r="K253" s="311" t="s">
        <v>1333</v>
      </c>
      <c r="L253" s="254"/>
      <c r="M253" s="254"/>
      <c r="N253" s="254"/>
      <c r="O253" s="265"/>
      <c r="P253" s="197"/>
      <c r="Q253" s="212">
        <f>H253</f>
        <v>25</v>
      </c>
      <c r="R253" s="202" t="str">
        <f>CONCATENATE("II-",TEXT(Q253,"0000"))</f>
        <v>II-0025</v>
      </c>
      <c r="S253" s="213" t="str">
        <f>K253</f>
        <v>DEFENSA VEHICULAR</v>
      </c>
    </row>
    <row r="254" spans="1:19" x14ac:dyDescent="0.2">
      <c r="A254" s="203"/>
      <c r="B254" s="193"/>
      <c r="C254" s="193"/>
      <c r="D254" s="220"/>
      <c r="G254" s="197"/>
      <c r="H254" s="255"/>
      <c r="I254" s="215" t="s">
        <v>1022</v>
      </c>
      <c r="J254" s="218"/>
      <c r="K254" s="232" t="s">
        <v>1246</v>
      </c>
      <c r="L254" s="218"/>
      <c r="M254" s="218"/>
      <c r="N254" s="218"/>
      <c r="O254" s="266"/>
      <c r="P254" s="197"/>
      <c r="Q254" s="197"/>
      <c r="R254" s="197"/>
      <c r="S254" s="197"/>
    </row>
    <row r="255" spans="1:19" x14ac:dyDescent="0.2">
      <c r="A255" s="203"/>
      <c r="B255" s="193"/>
      <c r="C255" s="193"/>
      <c r="D255" s="220" t="s">
        <v>1258</v>
      </c>
      <c r="G255" s="197"/>
      <c r="H255" s="214"/>
      <c r="I255" s="221"/>
      <c r="J255" s="222">
        <v>1</v>
      </c>
      <c r="K255" s="223"/>
      <c r="L255" s="224" t="s">
        <v>1334</v>
      </c>
      <c r="M255" s="223"/>
      <c r="N255" s="223"/>
      <c r="O255" s="256" t="s">
        <v>1258</v>
      </c>
      <c r="P255" s="197"/>
      <c r="Q255" s="197"/>
      <c r="R255" s="197"/>
      <c r="S255" s="197"/>
    </row>
    <row r="256" spans="1:19" x14ac:dyDescent="0.2">
      <c r="A256" s="203"/>
      <c r="B256" s="193"/>
      <c r="C256" s="193"/>
      <c r="D256" s="220" t="s">
        <v>1258</v>
      </c>
      <c r="G256" s="197"/>
      <c r="H256" s="214"/>
      <c r="I256" s="221"/>
      <c r="J256" s="228">
        <v>2</v>
      </c>
      <c r="K256" s="229"/>
      <c r="L256" s="230" t="s">
        <v>1335</v>
      </c>
      <c r="M256" s="229"/>
      <c r="N256" s="229"/>
      <c r="O256" s="275" t="s">
        <v>1258</v>
      </c>
      <c r="P256" s="197"/>
      <c r="Q256" s="197"/>
      <c r="R256" s="197"/>
      <c r="S256" s="197"/>
    </row>
    <row r="257" spans="1:19" x14ac:dyDescent="0.2">
      <c r="A257" s="203"/>
      <c r="B257" s="193"/>
      <c r="C257" s="193"/>
      <c r="D257" s="220"/>
      <c r="G257" s="197"/>
      <c r="H257" s="214"/>
      <c r="I257" s="215" t="s">
        <v>1049</v>
      </c>
      <c r="J257" s="223"/>
      <c r="K257" s="224" t="s">
        <v>1247</v>
      </c>
      <c r="L257" s="223"/>
      <c r="M257" s="223"/>
      <c r="N257" s="223"/>
      <c r="O257" s="256"/>
      <c r="P257" s="197"/>
      <c r="Q257" s="197"/>
      <c r="R257" s="197"/>
      <c r="S257" s="197"/>
    </row>
    <row r="258" spans="1:19" x14ac:dyDescent="0.2">
      <c r="A258" s="203"/>
      <c r="B258" s="193"/>
      <c r="C258" s="193"/>
      <c r="D258" s="220" t="s">
        <v>1258</v>
      </c>
      <c r="G258" s="197"/>
      <c r="H258" s="214"/>
      <c r="I258" s="221"/>
      <c r="J258" s="222">
        <v>1</v>
      </c>
      <c r="K258" s="223"/>
      <c r="L258" s="224" t="s">
        <v>1336</v>
      </c>
      <c r="M258" s="223"/>
      <c r="N258" s="223"/>
      <c r="O258" s="256" t="s">
        <v>1258</v>
      </c>
      <c r="P258" s="197"/>
      <c r="Q258" s="197"/>
      <c r="R258" s="197"/>
      <c r="S258" s="197"/>
    </row>
    <row r="259" spans="1:19" x14ac:dyDescent="0.2">
      <c r="A259" s="203"/>
      <c r="B259" s="193"/>
      <c r="C259" s="193"/>
      <c r="D259" s="220" t="s">
        <v>1258</v>
      </c>
      <c r="G259" s="197"/>
      <c r="H259" s="214"/>
      <c r="I259" s="221"/>
      <c r="J259" s="222">
        <v>2</v>
      </c>
      <c r="K259" s="223"/>
      <c r="L259" s="224" t="s">
        <v>1337</v>
      </c>
      <c r="M259" s="223"/>
      <c r="N259" s="223"/>
      <c r="O259" s="256" t="s">
        <v>1258</v>
      </c>
      <c r="P259" s="197"/>
      <c r="Q259" s="197"/>
      <c r="R259" s="197"/>
      <c r="S259" s="197"/>
    </row>
    <row r="260" spans="1:19" x14ac:dyDescent="0.2">
      <c r="A260" s="203"/>
      <c r="B260" s="193"/>
      <c r="C260" s="193"/>
      <c r="D260" s="220" t="s">
        <v>997</v>
      </c>
      <c r="G260" s="197"/>
      <c r="H260" s="214"/>
      <c r="I260" s="215" t="s">
        <v>1059</v>
      </c>
      <c r="J260" s="262"/>
      <c r="K260" s="283" t="s">
        <v>1141</v>
      </c>
      <c r="L260" s="262"/>
      <c r="M260" s="262"/>
      <c r="N260" s="262"/>
      <c r="O260" s="297" t="s">
        <v>997</v>
      </c>
      <c r="P260" s="197"/>
      <c r="Q260" s="197"/>
      <c r="R260" s="197"/>
      <c r="S260" s="197"/>
    </row>
    <row r="261" spans="1:19" ht="15.75" thickBot="1" x14ac:dyDescent="0.25">
      <c r="A261" s="203"/>
      <c r="B261" s="193"/>
      <c r="C261" s="193"/>
      <c r="D261" s="220" t="s">
        <v>997</v>
      </c>
      <c r="G261" s="197"/>
      <c r="H261" s="234"/>
      <c r="I261" s="246" t="s">
        <v>1085</v>
      </c>
      <c r="J261" s="249"/>
      <c r="K261" s="285" t="s">
        <v>1139</v>
      </c>
      <c r="L261" s="249"/>
      <c r="M261" s="249"/>
      <c r="N261" s="249"/>
      <c r="O261" s="323" t="s">
        <v>997</v>
      </c>
      <c r="P261" s="197"/>
      <c r="Q261" s="197"/>
      <c r="R261" s="197"/>
      <c r="S261" s="197"/>
    </row>
    <row r="262" spans="1:19" ht="15.75" thickTop="1" x14ac:dyDescent="0.2">
      <c r="A262" s="203">
        <v>26</v>
      </c>
      <c r="B262" s="193" t="s">
        <v>1338</v>
      </c>
      <c r="C262" s="193" t="s">
        <v>1339</v>
      </c>
      <c r="D262" s="220"/>
      <c r="G262" s="197"/>
      <c r="H262" s="292">
        <v>26</v>
      </c>
      <c r="I262" s="242"/>
      <c r="J262" s="302"/>
      <c r="K262" s="303" t="s">
        <v>1339</v>
      </c>
      <c r="L262" s="302"/>
      <c r="M262" s="302"/>
      <c r="N262" s="302"/>
      <c r="O262" s="244"/>
      <c r="P262" s="197"/>
      <c r="Q262" s="212">
        <f>H262</f>
        <v>26</v>
      </c>
      <c r="R262" s="202" t="str">
        <f>CONCATENATE("II-",TEXT(Q262,"0000"))</f>
        <v>II-0026</v>
      </c>
      <c r="S262" s="213" t="str">
        <f>K262</f>
        <v xml:space="preserve">DEMOLICION </v>
      </c>
    </row>
    <row r="263" spans="1:19" x14ac:dyDescent="0.2">
      <c r="A263" s="203"/>
      <c r="B263" s="193"/>
      <c r="C263" s="193"/>
      <c r="D263" s="220" t="s">
        <v>1216</v>
      </c>
      <c r="G263" s="197"/>
      <c r="H263" s="214"/>
      <c r="I263" s="215" t="s">
        <v>1022</v>
      </c>
      <c r="J263" s="262"/>
      <c r="K263" s="283" t="s">
        <v>1264</v>
      </c>
      <c r="L263" s="262"/>
      <c r="M263" s="262"/>
      <c r="N263" s="262"/>
      <c r="O263" s="297" t="s">
        <v>1216</v>
      </c>
      <c r="P263" s="197"/>
      <c r="Q263" s="197"/>
      <c r="R263" s="197"/>
      <c r="S263" s="197"/>
    </row>
    <row r="264" spans="1:19" ht="15.75" thickBot="1" x14ac:dyDescent="0.25">
      <c r="A264" s="203"/>
      <c r="B264" s="193"/>
      <c r="C264" s="193"/>
      <c r="D264" s="220" t="s">
        <v>5</v>
      </c>
      <c r="G264" s="197"/>
      <c r="H264" s="234"/>
      <c r="I264" s="246" t="s">
        <v>1049</v>
      </c>
      <c r="J264" s="249"/>
      <c r="K264" s="285" t="s">
        <v>1340</v>
      </c>
      <c r="L264" s="249"/>
      <c r="M264" s="249"/>
      <c r="N264" s="249"/>
      <c r="O264" s="323" t="s">
        <v>5</v>
      </c>
      <c r="P264" s="197"/>
      <c r="Q264" s="197"/>
      <c r="R264" s="197"/>
      <c r="S264" s="197"/>
    </row>
    <row r="265" spans="1:19" ht="15.75" thickTop="1" x14ac:dyDescent="0.2">
      <c r="A265" s="203">
        <v>27</v>
      </c>
      <c r="B265" s="193" t="s">
        <v>1341</v>
      </c>
      <c r="C265" s="193" t="s">
        <v>1342</v>
      </c>
      <c r="D265" s="220"/>
      <c r="G265" s="197"/>
      <c r="H265" s="241">
        <v>27</v>
      </c>
      <c r="I265" s="243"/>
      <c r="J265" s="254"/>
      <c r="K265" s="311" t="s">
        <v>1342</v>
      </c>
      <c r="L265" s="254"/>
      <c r="M265" s="254"/>
      <c r="N265" s="254"/>
      <c r="O265" s="265"/>
      <c r="P265" s="197"/>
      <c r="Q265" s="212">
        <f>H265</f>
        <v>27</v>
      </c>
      <c r="R265" s="202" t="str">
        <f>CONCATENATE("II-",TEXT(Q265,"0000"))</f>
        <v>II-0027</v>
      </c>
      <c r="S265" s="213" t="str">
        <f>K265</f>
        <v>DESAGUES</v>
      </c>
    </row>
    <row r="266" spans="1:19" x14ac:dyDescent="0.2">
      <c r="A266" s="203"/>
      <c r="B266" s="193"/>
      <c r="C266" s="193"/>
      <c r="D266" s="220" t="s">
        <v>1250</v>
      </c>
      <c r="G266" s="197"/>
      <c r="H266" s="214"/>
      <c r="I266" s="215" t="s">
        <v>1022</v>
      </c>
      <c r="J266" s="262"/>
      <c r="K266" s="283" t="s">
        <v>1343</v>
      </c>
      <c r="L266" s="262"/>
      <c r="M266" s="262"/>
      <c r="N266" s="262"/>
      <c r="O266" s="297" t="s">
        <v>1250</v>
      </c>
      <c r="P266" s="197"/>
      <c r="Q266" s="197"/>
      <c r="R266" s="197"/>
      <c r="S266" s="197"/>
    </row>
    <row r="267" spans="1:19" x14ac:dyDescent="0.2">
      <c r="A267" s="203"/>
      <c r="B267" s="193"/>
      <c r="C267" s="193"/>
      <c r="D267" s="220" t="s">
        <v>1250</v>
      </c>
      <c r="G267" s="197"/>
      <c r="H267" s="214"/>
      <c r="I267" s="215" t="s">
        <v>1049</v>
      </c>
      <c r="J267" s="262"/>
      <c r="K267" s="283" t="s">
        <v>1344</v>
      </c>
      <c r="L267" s="262"/>
      <c r="M267" s="262"/>
      <c r="N267" s="262"/>
      <c r="O267" s="297" t="s">
        <v>1250</v>
      </c>
      <c r="P267" s="197"/>
      <c r="Q267" s="197"/>
      <c r="R267" s="197"/>
      <c r="S267" s="197"/>
    </row>
    <row r="268" spans="1:19" x14ac:dyDescent="0.2">
      <c r="A268" s="203"/>
      <c r="B268" s="193"/>
      <c r="C268" s="193"/>
      <c r="D268" s="220"/>
      <c r="G268" s="197"/>
      <c r="H268" s="214"/>
      <c r="I268" s="215" t="s">
        <v>1059</v>
      </c>
      <c r="J268" s="223"/>
      <c r="K268" s="224" t="s">
        <v>1345</v>
      </c>
      <c r="L268" s="223"/>
      <c r="M268" s="223"/>
      <c r="N268" s="223"/>
      <c r="O268" s="256"/>
      <c r="P268" s="197"/>
      <c r="Q268" s="197"/>
      <c r="R268" s="197"/>
      <c r="S268" s="197"/>
    </row>
    <row r="269" spans="1:19" x14ac:dyDescent="0.2">
      <c r="A269" s="203"/>
      <c r="B269" s="193"/>
      <c r="C269" s="193"/>
      <c r="D269" s="220" t="s">
        <v>1250</v>
      </c>
      <c r="G269" s="197"/>
      <c r="H269" s="214"/>
      <c r="I269" s="221"/>
      <c r="J269" s="222">
        <v>1</v>
      </c>
      <c r="K269" s="223"/>
      <c r="L269" s="224" t="s">
        <v>1251</v>
      </c>
      <c r="M269" s="223"/>
      <c r="N269" s="223"/>
      <c r="O269" s="256" t="s">
        <v>1250</v>
      </c>
      <c r="P269" s="197"/>
      <c r="Q269" s="197"/>
      <c r="R269" s="197"/>
      <c r="S269" s="197"/>
    </row>
    <row r="270" spans="1:19" x14ac:dyDescent="0.2">
      <c r="A270" s="203"/>
      <c r="B270" s="193"/>
      <c r="C270" s="193"/>
      <c r="D270" s="220" t="s">
        <v>1250</v>
      </c>
      <c r="G270" s="197"/>
      <c r="H270" s="214"/>
      <c r="I270" s="221"/>
      <c r="J270" s="228">
        <v>2</v>
      </c>
      <c r="K270" s="223"/>
      <c r="L270" s="224" t="s">
        <v>1254</v>
      </c>
      <c r="M270" s="223"/>
      <c r="N270" s="223"/>
      <c r="O270" s="256" t="s">
        <v>1250</v>
      </c>
      <c r="P270" s="197"/>
      <c r="Q270" s="197"/>
      <c r="R270" s="197"/>
      <c r="S270" s="197"/>
    </row>
    <row r="271" spans="1:19" x14ac:dyDescent="0.2">
      <c r="A271" s="203"/>
      <c r="B271" s="193"/>
      <c r="C271" s="193"/>
      <c r="D271" s="220" t="s">
        <v>1250</v>
      </c>
      <c r="G271" s="197"/>
      <c r="H271" s="214"/>
      <c r="I271" s="215" t="s">
        <v>1085</v>
      </c>
      <c r="J271" s="262"/>
      <c r="K271" s="283" t="s">
        <v>1141</v>
      </c>
      <c r="L271" s="262"/>
      <c r="M271" s="262"/>
      <c r="N271" s="262"/>
      <c r="O271" s="297" t="s">
        <v>1250</v>
      </c>
      <c r="P271" s="197"/>
      <c r="Q271" s="197"/>
      <c r="R271" s="197"/>
      <c r="S271" s="197"/>
    </row>
    <row r="272" spans="1:19" x14ac:dyDescent="0.2">
      <c r="A272" s="203"/>
      <c r="B272" s="193"/>
      <c r="C272" s="193"/>
      <c r="D272" s="220" t="s">
        <v>1250</v>
      </c>
      <c r="G272" s="197"/>
      <c r="H272" s="214"/>
      <c r="I272" s="228" t="s">
        <v>1127</v>
      </c>
      <c r="J272" s="229"/>
      <c r="K272" s="230" t="s">
        <v>1139</v>
      </c>
      <c r="L272" s="229"/>
      <c r="M272" s="229"/>
      <c r="N272" s="229"/>
      <c r="O272" s="275" t="s">
        <v>1250</v>
      </c>
      <c r="P272" s="197"/>
      <c r="Q272" s="197"/>
      <c r="R272" s="197"/>
      <c r="S272" s="197"/>
    </row>
    <row r="273" spans="1:19" ht="15.75" thickBot="1" x14ac:dyDescent="0.25">
      <c r="A273" s="203"/>
      <c r="B273" s="193"/>
      <c r="C273" s="193"/>
      <c r="D273" s="220" t="s">
        <v>1250</v>
      </c>
      <c r="G273" s="197"/>
      <c r="H273" s="214"/>
      <c r="I273" s="215" t="s">
        <v>1130</v>
      </c>
      <c r="J273" s="262"/>
      <c r="K273" s="283" t="s">
        <v>1136</v>
      </c>
      <c r="L273" s="262"/>
      <c r="M273" s="262"/>
      <c r="N273" s="262"/>
      <c r="O273" s="297" t="s">
        <v>1250</v>
      </c>
      <c r="P273" s="197"/>
      <c r="Q273" s="197"/>
      <c r="R273" s="197"/>
      <c r="S273" s="197"/>
    </row>
    <row r="274" spans="1:19" ht="16.5" thickTop="1" thickBot="1" x14ac:dyDescent="0.25">
      <c r="A274" s="203">
        <v>28</v>
      </c>
      <c r="B274" s="193" t="s">
        <v>1346</v>
      </c>
      <c r="C274" s="193" t="s">
        <v>1347</v>
      </c>
      <c r="D274" s="220" t="s">
        <v>998</v>
      </c>
      <c r="G274" s="197"/>
      <c r="H274" s="292">
        <v>28</v>
      </c>
      <c r="I274" s="242"/>
      <c r="J274" s="302"/>
      <c r="K274" s="303" t="s">
        <v>1347</v>
      </c>
      <c r="L274" s="302"/>
      <c r="M274" s="302"/>
      <c r="N274" s="302"/>
      <c r="O274" s="244" t="s">
        <v>998</v>
      </c>
      <c r="P274" s="197"/>
      <c r="Q274" s="212">
        <f t="shared" ref="Q274:Q279" si="39">H274</f>
        <v>28</v>
      </c>
      <c r="R274" s="202" t="str">
        <f t="shared" ref="R274:R279" si="40">CONCATENATE("II-",TEXT(Q274,"0000"))</f>
        <v>II-0028</v>
      </c>
      <c r="S274" s="213" t="str">
        <f t="shared" ref="S274:S279" si="41">K274</f>
        <v>DESBOSQUE / DESTRONQUE LIMPIEZA</v>
      </c>
    </row>
    <row r="275" spans="1:19" ht="16.5" thickTop="1" thickBot="1" x14ac:dyDescent="0.25">
      <c r="A275" s="203">
        <v>29</v>
      </c>
      <c r="B275" s="193" t="s">
        <v>1348</v>
      </c>
      <c r="C275" s="193" t="s">
        <v>1349</v>
      </c>
      <c r="D275" s="220" t="s">
        <v>1133</v>
      </c>
      <c r="G275" s="197"/>
      <c r="H275" s="292">
        <v>29</v>
      </c>
      <c r="I275" s="242"/>
      <c r="J275" s="302"/>
      <c r="K275" s="303" t="s">
        <v>1349</v>
      </c>
      <c r="L275" s="302"/>
      <c r="M275" s="302"/>
      <c r="N275" s="302"/>
      <c r="O275" s="244" t="s">
        <v>1133</v>
      </c>
      <c r="P275" s="197"/>
      <c r="Q275" s="212">
        <f t="shared" si="39"/>
        <v>29</v>
      </c>
      <c r="R275" s="202" t="str">
        <f t="shared" si="40"/>
        <v>II-0029</v>
      </c>
      <c r="S275" s="213" t="str">
        <f t="shared" si="41"/>
        <v>DESCARGA</v>
      </c>
    </row>
    <row r="276" spans="1:19" ht="16.5" thickTop="1" thickBot="1" x14ac:dyDescent="0.25">
      <c r="A276" s="203">
        <v>30</v>
      </c>
      <c r="B276" s="193" t="s">
        <v>1350</v>
      </c>
      <c r="C276" s="193" t="s">
        <v>1351</v>
      </c>
      <c r="D276" s="220" t="s">
        <v>1133</v>
      </c>
      <c r="G276" s="197"/>
      <c r="H276" s="338">
        <v>30</v>
      </c>
      <c r="I276" s="339"/>
      <c r="J276" s="340"/>
      <c r="K276" s="341" t="s">
        <v>1351</v>
      </c>
      <c r="L276" s="340"/>
      <c r="M276" s="340"/>
      <c r="N276" s="340"/>
      <c r="O276" s="342" t="s">
        <v>1133</v>
      </c>
      <c r="P276" s="197"/>
      <c r="Q276" s="212">
        <f t="shared" si="39"/>
        <v>30</v>
      </c>
      <c r="R276" s="202" t="str">
        <f t="shared" si="40"/>
        <v>II-0030</v>
      </c>
      <c r="S276" s="213" t="str">
        <f t="shared" si="41"/>
        <v>DESEMBARRO P/ SANEAMIENTO</v>
      </c>
    </row>
    <row r="277" spans="1:19" ht="16.5" thickTop="1" thickBot="1" x14ac:dyDescent="0.25">
      <c r="A277" s="203">
        <v>31</v>
      </c>
      <c r="B277" s="193" t="s">
        <v>1352</v>
      </c>
      <c r="C277" s="193" t="s">
        <v>1353</v>
      </c>
      <c r="D277" s="220" t="s">
        <v>998</v>
      </c>
      <c r="G277" s="197"/>
      <c r="H277" s="338">
        <v>31</v>
      </c>
      <c r="I277" s="339"/>
      <c r="J277" s="340"/>
      <c r="K277" s="341" t="s">
        <v>1353</v>
      </c>
      <c r="L277" s="340"/>
      <c r="M277" s="340"/>
      <c r="N277" s="340"/>
      <c r="O277" s="342" t="s">
        <v>998</v>
      </c>
      <c r="P277" s="197"/>
      <c r="Q277" s="212">
        <f t="shared" si="39"/>
        <v>31</v>
      </c>
      <c r="R277" s="202" t="str">
        <f t="shared" si="40"/>
        <v>II-0031</v>
      </c>
      <c r="S277" s="213" t="str">
        <f t="shared" si="41"/>
        <v>DESPEDRADO DE LADERAS</v>
      </c>
    </row>
    <row r="278" spans="1:19" ht="16.5" thickTop="1" thickBot="1" x14ac:dyDescent="0.25">
      <c r="A278" s="203">
        <v>32</v>
      </c>
      <c r="B278" s="193" t="s">
        <v>1354</v>
      </c>
      <c r="C278" s="193" t="s">
        <v>1355</v>
      </c>
      <c r="D278" s="220" t="s">
        <v>5</v>
      </c>
      <c r="G278" s="197"/>
      <c r="H278" s="338">
        <v>32</v>
      </c>
      <c r="I278" s="339"/>
      <c r="J278" s="340"/>
      <c r="K278" s="341" t="s">
        <v>1355</v>
      </c>
      <c r="L278" s="340"/>
      <c r="M278" s="340"/>
      <c r="N278" s="340"/>
      <c r="O278" s="342" t="s">
        <v>5</v>
      </c>
      <c r="P278" s="197"/>
      <c r="Q278" s="212">
        <f t="shared" si="39"/>
        <v>32</v>
      </c>
      <c r="R278" s="202" t="str">
        <f t="shared" si="40"/>
        <v>II-0032</v>
      </c>
      <c r="S278" s="213" t="str">
        <f t="shared" si="41"/>
        <v>DESVIO</v>
      </c>
    </row>
    <row r="279" spans="1:19" ht="15.75" thickTop="1" x14ac:dyDescent="0.2">
      <c r="A279" s="203">
        <v>33</v>
      </c>
      <c r="B279" s="193" t="s">
        <v>1356</v>
      </c>
      <c r="C279" s="193" t="s">
        <v>1357</v>
      </c>
      <c r="D279" s="220"/>
      <c r="G279" s="197"/>
      <c r="H279" s="241">
        <v>33</v>
      </c>
      <c r="I279" s="243"/>
      <c r="J279" s="254"/>
      <c r="K279" s="311" t="s">
        <v>1357</v>
      </c>
      <c r="L279" s="254"/>
      <c r="M279" s="254"/>
      <c r="N279" s="254"/>
      <c r="O279" s="265"/>
      <c r="P279" s="197"/>
      <c r="Q279" s="212">
        <f t="shared" si="39"/>
        <v>33</v>
      </c>
      <c r="R279" s="202" t="str">
        <f t="shared" si="40"/>
        <v>II-0033</v>
      </c>
      <c r="S279" s="213" t="str">
        <f t="shared" si="41"/>
        <v>DRENES</v>
      </c>
    </row>
    <row r="280" spans="1:19" x14ac:dyDescent="0.2">
      <c r="A280" s="203"/>
      <c r="B280" s="193"/>
      <c r="C280" s="193"/>
      <c r="D280" s="220"/>
      <c r="G280" s="197"/>
      <c r="H280" s="214"/>
      <c r="I280" s="215" t="s">
        <v>1022</v>
      </c>
      <c r="J280" s="221"/>
      <c r="K280" s="224" t="s">
        <v>1358</v>
      </c>
      <c r="L280" s="223"/>
      <c r="M280" s="223"/>
      <c r="N280" s="223"/>
      <c r="O280" s="256"/>
      <c r="P280" s="197"/>
      <c r="Q280" s="197"/>
      <c r="R280" s="197"/>
      <c r="S280" s="197"/>
    </row>
    <row r="281" spans="1:19" x14ac:dyDescent="0.2">
      <c r="A281" s="203"/>
      <c r="B281" s="193"/>
      <c r="C281" s="193"/>
      <c r="D281" s="220" t="s">
        <v>1216</v>
      </c>
      <c r="G281" s="197"/>
      <c r="H281" s="214"/>
      <c r="I281" s="221"/>
      <c r="J281" s="222">
        <v>1</v>
      </c>
      <c r="K281" s="223"/>
      <c r="L281" s="224" t="s">
        <v>1359</v>
      </c>
      <c r="M281" s="223"/>
      <c r="N281" s="223"/>
      <c r="O281" s="256" t="s">
        <v>1216</v>
      </c>
      <c r="P281" s="197"/>
      <c r="Q281" s="197"/>
      <c r="R281" s="197"/>
      <c r="S281" s="197"/>
    </row>
    <row r="282" spans="1:19" x14ac:dyDescent="0.2">
      <c r="A282" s="203"/>
      <c r="B282" s="193"/>
      <c r="C282" s="193"/>
      <c r="D282" s="220" t="s">
        <v>1133</v>
      </c>
      <c r="G282" s="197"/>
      <c r="H282" s="214"/>
      <c r="I282" s="221"/>
      <c r="J282" s="222">
        <v>2</v>
      </c>
      <c r="K282" s="223"/>
      <c r="L282" s="224" t="s">
        <v>1360</v>
      </c>
      <c r="M282" s="223"/>
      <c r="N282" s="223"/>
      <c r="O282" s="256" t="s">
        <v>1133</v>
      </c>
      <c r="P282" s="197"/>
      <c r="Q282" s="197"/>
      <c r="R282" s="197"/>
      <c r="S282" s="197"/>
    </row>
    <row r="283" spans="1:19" x14ac:dyDescent="0.2">
      <c r="A283" s="203"/>
      <c r="B283" s="193"/>
      <c r="C283" s="193"/>
      <c r="D283" s="220" t="s">
        <v>997</v>
      </c>
      <c r="G283" s="197"/>
      <c r="H283" s="214"/>
      <c r="I283" s="233"/>
      <c r="J283" s="228">
        <v>3</v>
      </c>
      <c r="K283" s="229"/>
      <c r="L283" s="230" t="s">
        <v>1361</v>
      </c>
      <c r="M283" s="229"/>
      <c r="N283" s="229"/>
      <c r="O283" s="275" t="s">
        <v>997</v>
      </c>
      <c r="P283" s="197"/>
      <c r="Q283" s="197"/>
      <c r="R283" s="197"/>
      <c r="S283" s="197"/>
    </row>
    <row r="284" spans="1:19" x14ac:dyDescent="0.2">
      <c r="A284" s="203"/>
      <c r="B284" s="193"/>
      <c r="C284" s="193"/>
      <c r="D284" s="220"/>
      <c r="G284" s="197"/>
      <c r="H284" s="214"/>
      <c r="I284" s="228" t="s">
        <v>1049</v>
      </c>
      <c r="J284" s="221"/>
      <c r="K284" s="224" t="s">
        <v>1362</v>
      </c>
      <c r="L284" s="223"/>
      <c r="M284" s="223"/>
      <c r="N284" s="223"/>
      <c r="O284" s="256"/>
      <c r="P284" s="197"/>
      <c r="Q284" s="197"/>
      <c r="R284" s="197"/>
      <c r="S284" s="197"/>
    </row>
    <row r="285" spans="1:19" x14ac:dyDescent="0.2">
      <c r="A285" s="203"/>
      <c r="B285" s="193"/>
      <c r="C285" s="193"/>
      <c r="D285" s="220" t="s">
        <v>1216</v>
      </c>
      <c r="G285" s="197"/>
      <c r="H285" s="214"/>
      <c r="I285" s="221"/>
      <c r="J285" s="222">
        <v>1</v>
      </c>
      <c r="K285" s="223"/>
      <c r="L285" s="224" t="s">
        <v>1359</v>
      </c>
      <c r="M285" s="223"/>
      <c r="N285" s="223"/>
      <c r="O285" s="256" t="s">
        <v>1216</v>
      </c>
      <c r="P285" s="197"/>
      <c r="Q285" s="197"/>
      <c r="R285" s="197"/>
      <c r="S285" s="197"/>
    </row>
    <row r="286" spans="1:19" x14ac:dyDescent="0.2">
      <c r="A286" s="203"/>
      <c r="B286" s="193"/>
      <c r="C286" s="193"/>
      <c r="D286" s="220" t="s">
        <v>1133</v>
      </c>
      <c r="G286" s="197"/>
      <c r="H286" s="214"/>
      <c r="I286" s="221"/>
      <c r="J286" s="222">
        <v>2</v>
      </c>
      <c r="K286" s="223"/>
      <c r="L286" s="224" t="s">
        <v>1360</v>
      </c>
      <c r="M286" s="223"/>
      <c r="N286" s="223"/>
      <c r="O286" s="256" t="s">
        <v>1133</v>
      </c>
      <c r="P286" s="197"/>
      <c r="Q286" s="197"/>
      <c r="R286" s="197"/>
      <c r="S286" s="197"/>
    </row>
    <row r="287" spans="1:19" x14ac:dyDescent="0.2">
      <c r="A287" s="203"/>
      <c r="B287" s="193"/>
      <c r="C287" s="193"/>
      <c r="D287" s="220" t="s">
        <v>997</v>
      </c>
      <c r="G287" s="197"/>
      <c r="H287" s="214"/>
      <c r="I287" s="233"/>
      <c r="J287" s="228">
        <v>3</v>
      </c>
      <c r="K287" s="229"/>
      <c r="L287" s="230" t="s">
        <v>1361</v>
      </c>
      <c r="M287" s="229"/>
      <c r="N287" s="229"/>
      <c r="O287" s="275" t="s">
        <v>997</v>
      </c>
      <c r="P287" s="197"/>
      <c r="Q287" s="197"/>
      <c r="R287" s="197"/>
      <c r="S287" s="197"/>
    </row>
    <row r="288" spans="1:19" x14ac:dyDescent="0.2">
      <c r="A288" s="203"/>
      <c r="B288" s="193"/>
      <c r="C288" s="193"/>
      <c r="D288" s="220"/>
      <c r="G288" s="197"/>
      <c r="H288" s="214"/>
      <c r="I288" s="228" t="s">
        <v>1059</v>
      </c>
      <c r="J288" s="221"/>
      <c r="K288" s="224" t="s">
        <v>1363</v>
      </c>
      <c r="L288" s="223"/>
      <c r="M288" s="223"/>
      <c r="N288" s="223"/>
      <c r="O288" s="256"/>
      <c r="P288" s="197"/>
      <c r="Q288" s="197"/>
      <c r="R288" s="197"/>
      <c r="S288" s="197"/>
    </row>
    <row r="289" spans="1:19" x14ac:dyDescent="0.2">
      <c r="A289" s="203"/>
      <c r="B289" s="193"/>
      <c r="C289" s="193"/>
      <c r="D289" s="220" t="s">
        <v>1258</v>
      </c>
      <c r="G289" s="197"/>
      <c r="H289" s="214"/>
      <c r="I289" s="221"/>
      <c r="J289" s="222">
        <v>1</v>
      </c>
      <c r="K289" s="223"/>
      <c r="L289" s="224" t="s">
        <v>1364</v>
      </c>
      <c r="M289" s="223"/>
      <c r="N289" s="223"/>
      <c r="O289" s="256" t="s">
        <v>1258</v>
      </c>
      <c r="P289" s="197"/>
      <c r="Q289" s="197"/>
      <c r="R289" s="197"/>
      <c r="S289" s="197"/>
    </row>
    <row r="290" spans="1:19" x14ac:dyDescent="0.2">
      <c r="A290" s="203"/>
      <c r="B290" s="193"/>
      <c r="C290" s="193"/>
      <c r="D290" s="220" t="s">
        <v>1258</v>
      </c>
      <c r="G290" s="197"/>
      <c r="H290" s="214"/>
      <c r="I290" s="215" t="s">
        <v>1085</v>
      </c>
      <c r="J290" s="262"/>
      <c r="K290" s="283" t="s">
        <v>1091</v>
      </c>
      <c r="L290" s="262"/>
      <c r="M290" s="262"/>
      <c r="N290" s="262"/>
      <c r="O290" s="297" t="s">
        <v>1258</v>
      </c>
      <c r="P290" s="197"/>
      <c r="Q290" s="197"/>
      <c r="R290" s="197"/>
      <c r="S290" s="197"/>
    </row>
    <row r="291" spans="1:19" ht="15.75" thickBot="1" x14ac:dyDescent="0.25">
      <c r="A291" s="203"/>
      <c r="B291" s="193"/>
      <c r="C291" s="193"/>
      <c r="D291" s="220" t="s">
        <v>1258</v>
      </c>
      <c r="G291" s="197"/>
      <c r="H291" s="214"/>
      <c r="I291" s="246" t="s">
        <v>1127</v>
      </c>
      <c r="J291" s="223"/>
      <c r="K291" s="224" t="s">
        <v>1139</v>
      </c>
      <c r="L291" s="223"/>
      <c r="M291" s="223"/>
      <c r="N291" s="223"/>
      <c r="O291" s="256" t="s">
        <v>1258</v>
      </c>
      <c r="P291" s="197"/>
      <c r="Q291" s="197"/>
      <c r="R291" s="197"/>
      <c r="S291" s="197"/>
    </row>
    <row r="292" spans="1:19" ht="15.75" thickTop="1" x14ac:dyDescent="0.2">
      <c r="A292" s="203">
        <v>34</v>
      </c>
      <c r="B292" s="193" t="s">
        <v>1365</v>
      </c>
      <c r="C292" s="193" t="s">
        <v>1366</v>
      </c>
      <c r="D292" s="220"/>
      <c r="G292" s="197"/>
      <c r="H292" s="292">
        <v>34</v>
      </c>
      <c r="I292" s="242"/>
      <c r="J292" s="302"/>
      <c r="K292" s="303" t="s">
        <v>1366</v>
      </c>
      <c r="L292" s="302"/>
      <c r="M292" s="302"/>
      <c r="N292" s="302"/>
      <c r="O292" s="244"/>
      <c r="P292" s="197"/>
      <c r="Q292" s="212">
        <f>H292</f>
        <v>34</v>
      </c>
      <c r="R292" s="202" t="str">
        <f>CONCATENATE("II-",TEXT(Q292,"0000"))</f>
        <v>II-0034</v>
      </c>
      <c r="S292" s="213" t="str">
        <f>K292</f>
        <v>ELEVACION DE GUARDARUEDAS</v>
      </c>
    </row>
    <row r="293" spans="1:19" ht="15.75" thickBot="1" x14ac:dyDescent="0.25">
      <c r="A293" s="203"/>
      <c r="B293" s="193"/>
      <c r="C293" s="193"/>
      <c r="D293" s="220" t="s">
        <v>1216</v>
      </c>
      <c r="G293" s="197"/>
      <c r="H293" s="346"/>
      <c r="I293" s="324" t="s">
        <v>1022</v>
      </c>
      <c r="J293" s="343"/>
      <c r="K293" s="344" t="s">
        <v>1367</v>
      </c>
      <c r="L293" s="343"/>
      <c r="M293" s="343"/>
      <c r="N293" s="343"/>
      <c r="O293" s="345" t="s">
        <v>1216</v>
      </c>
      <c r="P293" s="197"/>
      <c r="Q293" s="197"/>
      <c r="R293" s="197"/>
      <c r="S293" s="197"/>
    </row>
    <row r="294" spans="1:19" x14ac:dyDescent="0.2">
      <c r="A294" s="203">
        <v>35</v>
      </c>
      <c r="B294" s="193" t="s">
        <v>1368</v>
      </c>
      <c r="C294" s="193" t="s">
        <v>1369</v>
      </c>
      <c r="D294" s="220"/>
      <c r="G294" s="197"/>
      <c r="H294" s="241">
        <v>35</v>
      </c>
      <c r="I294" s="243"/>
      <c r="J294" s="254"/>
      <c r="K294" s="311" t="s">
        <v>1369</v>
      </c>
      <c r="L294" s="254"/>
      <c r="M294" s="254"/>
      <c r="N294" s="254"/>
      <c r="O294" s="265"/>
      <c r="P294" s="197"/>
      <c r="Q294" s="212">
        <f>H294</f>
        <v>35</v>
      </c>
      <c r="R294" s="202" t="str">
        <f>CONCATENATE("II-",TEXT(Q294,"0000"))</f>
        <v>II-0035</v>
      </c>
      <c r="S294" s="213" t="str">
        <f>K294</f>
        <v>ENCAUZAMIENTO</v>
      </c>
    </row>
    <row r="295" spans="1:19" x14ac:dyDescent="0.2">
      <c r="A295" s="203"/>
      <c r="B295" s="193"/>
      <c r="C295" s="193"/>
      <c r="D295" s="220" t="s">
        <v>1133</v>
      </c>
      <c r="G295" s="197"/>
      <c r="H295" s="214"/>
      <c r="I295" s="215" t="s">
        <v>1022</v>
      </c>
      <c r="J295" s="262"/>
      <c r="K295" s="283" t="s">
        <v>1315</v>
      </c>
      <c r="L295" s="262"/>
      <c r="M295" s="262"/>
      <c r="N295" s="262"/>
      <c r="O295" s="297" t="s">
        <v>1133</v>
      </c>
      <c r="P295" s="197"/>
      <c r="Q295" s="197"/>
      <c r="R295" s="197"/>
      <c r="S295" s="197"/>
    </row>
    <row r="296" spans="1:19" x14ac:dyDescent="0.2">
      <c r="A296" s="203"/>
      <c r="B296" s="193"/>
      <c r="C296" s="193"/>
      <c r="D296" s="220"/>
      <c r="G296" s="197"/>
      <c r="H296" s="214"/>
      <c r="I296" s="215" t="s">
        <v>1049</v>
      </c>
      <c r="J296" s="221"/>
      <c r="K296" s="224" t="s">
        <v>1370</v>
      </c>
      <c r="L296" s="223"/>
      <c r="M296" s="223"/>
      <c r="N296" s="223"/>
      <c r="O296" s="256"/>
      <c r="P296" s="197"/>
      <c r="Q296" s="197"/>
      <c r="R296" s="197"/>
      <c r="S296" s="197"/>
    </row>
    <row r="297" spans="1:19" x14ac:dyDescent="0.2">
      <c r="A297" s="203"/>
      <c r="B297" s="193"/>
      <c r="C297" s="193"/>
      <c r="D297" s="220" t="s">
        <v>1133</v>
      </c>
      <c r="G297" s="197"/>
      <c r="H297" s="214"/>
      <c r="I297" s="221"/>
      <c r="J297" s="222">
        <v>1</v>
      </c>
      <c r="K297" s="223"/>
      <c r="L297" s="224" t="s">
        <v>1371</v>
      </c>
      <c r="M297" s="223"/>
      <c r="N297" s="223"/>
      <c r="O297" s="256" t="s">
        <v>1133</v>
      </c>
      <c r="P297" s="197"/>
      <c r="Q297" s="197"/>
      <c r="R297" s="197"/>
      <c r="S297" s="197"/>
    </row>
    <row r="298" spans="1:19" ht="15.75" thickBot="1" x14ac:dyDescent="0.25">
      <c r="A298" s="203"/>
      <c r="B298" s="193"/>
      <c r="C298" s="193"/>
      <c r="D298" s="220" t="s">
        <v>1133</v>
      </c>
      <c r="G298" s="197"/>
      <c r="H298" s="267"/>
      <c r="I298" s="268"/>
      <c r="J298" s="269">
        <v>2</v>
      </c>
      <c r="K298" s="270"/>
      <c r="L298" s="271" t="s">
        <v>1247</v>
      </c>
      <c r="M298" s="270"/>
      <c r="N298" s="270"/>
      <c r="O298" s="325" t="s">
        <v>1133</v>
      </c>
      <c r="P298" s="197"/>
      <c r="Q298" s="197"/>
      <c r="R298" s="197"/>
      <c r="S298" s="197"/>
    </row>
    <row r="299" spans="1:19" x14ac:dyDescent="0.2">
      <c r="A299" s="203"/>
      <c r="B299" s="193"/>
      <c r="C299" s="193"/>
      <c r="D299" s="220"/>
      <c r="G299" s="223"/>
      <c r="H299" s="273"/>
      <c r="I299" s="221"/>
      <c r="J299" s="221"/>
      <c r="K299" s="223"/>
      <c r="L299" s="224"/>
      <c r="M299" s="223"/>
      <c r="N299" s="223"/>
      <c r="O299" s="331"/>
      <c r="P299" s="223"/>
      <c r="Q299" s="223"/>
      <c r="R299" s="223"/>
      <c r="S299" s="223"/>
    </row>
    <row r="300" spans="1:19" ht="15.75" thickBot="1" x14ac:dyDescent="0.25">
      <c r="A300" s="203">
        <v>36</v>
      </c>
      <c r="B300" s="193" t="s">
        <v>1372</v>
      </c>
      <c r="C300" s="193" t="s">
        <v>1373</v>
      </c>
      <c r="D300" s="220" t="s">
        <v>1133</v>
      </c>
      <c r="G300" s="197"/>
      <c r="H300" s="241">
        <v>36</v>
      </c>
      <c r="I300" s="243"/>
      <c r="J300" s="254"/>
      <c r="K300" s="311" t="s">
        <v>1373</v>
      </c>
      <c r="L300" s="254"/>
      <c r="M300" s="254"/>
      <c r="N300" s="254"/>
      <c r="O300" s="265" t="s">
        <v>1133</v>
      </c>
      <c r="P300" s="197"/>
      <c r="Q300" s="212">
        <f t="shared" ref="Q300:Q303" si="42">H300</f>
        <v>36</v>
      </c>
      <c r="R300" s="202" t="str">
        <f t="shared" ref="R300:R303" si="43">CONCATENATE("II-",TEXT(Q300,"0000"))</f>
        <v>II-0036</v>
      </c>
      <c r="S300" s="213" t="str">
        <f t="shared" ref="S300:S303" si="44">K300</f>
        <v>ENROCADOS</v>
      </c>
    </row>
    <row r="301" spans="1:19" ht="16.5" thickTop="1" thickBot="1" x14ac:dyDescent="0.25">
      <c r="A301" s="203">
        <v>37</v>
      </c>
      <c r="B301" s="193" t="s">
        <v>1374</v>
      </c>
      <c r="C301" s="193" t="s">
        <v>1375</v>
      </c>
      <c r="D301" s="220" t="s">
        <v>1216</v>
      </c>
      <c r="G301" s="197"/>
      <c r="H301" s="292">
        <v>37</v>
      </c>
      <c r="I301" s="242"/>
      <c r="J301" s="302"/>
      <c r="K301" s="303" t="s">
        <v>1375</v>
      </c>
      <c r="L301" s="302"/>
      <c r="M301" s="302"/>
      <c r="N301" s="302"/>
      <c r="O301" s="244" t="s">
        <v>1216</v>
      </c>
      <c r="P301" s="197"/>
      <c r="Q301" s="212">
        <f t="shared" si="42"/>
        <v>37</v>
      </c>
      <c r="R301" s="202" t="str">
        <f t="shared" si="43"/>
        <v>II-0037</v>
      </c>
      <c r="S301" s="213" t="str">
        <f t="shared" si="44"/>
        <v>ENRIPIADO</v>
      </c>
    </row>
    <row r="302" spans="1:19" ht="16.5" thickTop="1" thickBot="1" x14ac:dyDescent="0.25">
      <c r="A302" s="203">
        <v>38</v>
      </c>
      <c r="B302" s="193" t="s">
        <v>1376</v>
      </c>
      <c r="C302" s="193" t="s">
        <v>1377</v>
      </c>
      <c r="D302" s="220" t="s">
        <v>1216</v>
      </c>
      <c r="G302" s="197"/>
      <c r="H302" s="292">
        <v>38</v>
      </c>
      <c r="I302" s="242"/>
      <c r="J302" s="302"/>
      <c r="K302" s="303" t="s">
        <v>1377</v>
      </c>
      <c r="L302" s="302"/>
      <c r="M302" s="302"/>
      <c r="N302" s="302"/>
      <c r="O302" s="244" t="s">
        <v>1216</v>
      </c>
      <c r="P302" s="197"/>
      <c r="Q302" s="212">
        <f t="shared" si="42"/>
        <v>38</v>
      </c>
      <c r="R302" s="202" t="str">
        <f t="shared" si="43"/>
        <v>II-0038</v>
      </c>
      <c r="S302" s="213" t="str">
        <f t="shared" si="44"/>
        <v>ESCARIFICADO</v>
      </c>
    </row>
    <row r="303" spans="1:19" ht="15.75" thickTop="1" x14ac:dyDescent="0.2">
      <c r="A303" s="203">
        <v>39</v>
      </c>
      <c r="B303" s="193" t="s">
        <v>1378</v>
      </c>
      <c r="C303" s="193" t="s">
        <v>1379</v>
      </c>
      <c r="D303" s="220"/>
      <c r="G303" s="197"/>
      <c r="H303" s="292">
        <v>39</v>
      </c>
      <c r="I303" s="242"/>
      <c r="J303" s="302"/>
      <c r="K303" s="303" t="s">
        <v>1379</v>
      </c>
      <c r="L303" s="302"/>
      <c r="M303" s="302"/>
      <c r="N303" s="302"/>
      <c r="O303" s="244"/>
      <c r="P303" s="197"/>
      <c r="Q303" s="212">
        <f t="shared" si="42"/>
        <v>39</v>
      </c>
      <c r="R303" s="202" t="str">
        <f t="shared" si="43"/>
        <v>II-0039</v>
      </c>
      <c r="S303" s="213" t="str">
        <f t="shared" si="44"/>
        <v>EXCAVACIONES</v>
      </c>
    </row>
    <row r="304" spans="1:19" x14ac:dyDescent="0.2">
      <c r="A304" s="203"/>
      <c r="B304" s="193"/>
      <c r="C304" s="193"/>
      <c r="D304" s="220" t="s">
        <v>1133</v>
      </c>
      <c r="G304" s="197"/>
      <c r="H304" s="214"/>
      <c r="I304" s="215" t="s">
        <v>1022</v>
      </c>
      <c r="J304" s="262"/>
      <c r="K304" s="283" t="s">
        <v>1380</v>
      </c>
      <c r="L304" s="283"/>
      <c r="M304" s="283"/>
      <c r="N304" s="283"/>
      <c r="O304" s="297" t="s">
        <v>1133</v>
      </c>
      <c r="P304" s="197"/>
      <c r="Q304" s="197"/>
      <c r="R304" s="197"/>
      <c r="S304" s="197"/>
    </row>
    <row r="305" spans="1:19" x14ac:dyDescent="0.2">
      <c r="A305" s="203"/>
      <c r="B305" s="193"/>
      <c r="C305" s="193"/>
      <c r="D305" s="220" t="s">
        <v>1133</v>
      </c>
      <c r="G305" s="197"/>
      <c r="H305" s="214"/>
      <c r="I305" s="215" t="s">
        <v>1049</v>
      </c>
      <c r="J305" s="262"/>
      <c r="K305" s="283" t="s">
        <v>1381</v>
      </c>
      <c r="L305" s="283"/>
      <c r="M305" s="283"/>
      <c r="N305" s="283"/>
      <c r="O305" s="297" t="s">
        <v>1133</v>
      </c>
      <c r="P305" s="197"/>
      <c r="Q305" s="197"/>
      <c r="R305" s="197"/>
      <c r="S305" s="197"/>
    </row>
    <row r="306" spans="1:19" x14ac:dyDescent="0.2">
      <c r="A306" s="203"/>
      <c r="B306" s="193"/>
      <c r="C306" s="193"/>
      <c r="D306" s="220" t="s">
        <v>1133</v>
      </c>
      <c r="G306" s="197"/>
      <c r="H306" s="214"/>
      <c r="I306" s="215" t="s">
        <v>1059</v>
      </c>
      <c r="J306" s="262"/>
      <c r="K306" s="283" t="s">
        <v>1382</v>
      </c>
      <c r="L306" s="283"/>
      <c r="M306" s="283"/>
      <c r="N306" s="283"/>
      <c r="O306" s="297" t="s">
        <v>1133</v>
      </c>
      <c r="P306" s="197"/>
      <c r="Q306" s="197"/>
      <c r="R306" s="197"/>
      <c r="S306" s="197"/>
    </row>
    <row r="307" spans="1:19" x14ac:dyDescent="0.2">
      <c r="A307" s="203"/>
      <c r="B307" s="193"/>
      <c r="C307" s="193"/>
      <c r="D307" s="220" t="s">
        <v>1133</v>
      </c>
      <c r="G307" s="197"/>
      <c r="H307" s="214"/>
      <c r="I307" s="215" t="s">
        <v>1085</v>
      </c>
      <c r="J307" s="262"/>
      <c r="K307" s="283" t="s">
        <v>1383</v>
      </c>
      <c r="L307" s="283"/>
      <c r="M307" s="283"/>
      <c r="N307" s="283"/>
      <c r="O307" s="297" t="s">
        <v>1133</v>
      </c>
      <c r="P307" s="197"/>
      <c r="Q307" s="197"/>
      <c r="R307" s="197"/>
      <c r="S307" s="197"/>
    </row>
    <row r="308" spans="1:19" x14ac:dyDescent="0.2">
      <c r="A308" s="203"/>
      <c r="B308" s="193"/>
      <c r="C308" s="193"/>
      <c r="D308" s="220" t="s">
        <v>1133</v>
      </c>
      <c r="G308" s="197"/>
      <c r="H308" s="214"/>
      <c r="I308" s="215" t="s">
        <v>1127</v>
      </c>
      <c r="J308" s="262"/>
      <c r="K308" s="283" t="s">
        <v>1384</v>
      </c>
      <c r="L308" s="283"/>
      <c r="M308" s="283"/>
      <c r="N308" s="283"/>
      <c r="O308" s="297" t="s">
        <v>1133</v>
      </c>
      <c r="P308" s="197"/>
      <c r="Q308" s="197"/>
      <c r="R308" s="197"/>
      <c r="S308" s="197"/>
    </row>
    <row r="309" spans="1:19" x14ac:dyDescent="0.2">
      <c r="A309" s="203"/>
      <c r="B309" s="193"/>
      <c r="C309" s="193"/>
      <c r="D309" s="220" t="s">
        <v>1133</v>
      </c>
      <c r="G309" s="197"/>
      <c r="H309" s="214"/>
      <c r="I309" s="215" t="s">
        <v>1130</v>
      </c>
      <c r="J309" s="262"/>
      <c r="K309" s="283" t="s">
        <v>1385</v>
      </c>
      <c r="L309" s="283"/>
      <c r="M309" s="283"/>
      <c r="N309" s="283"/>
      <c r="O309" s="297" t="s">
        <v>1133</v>
      </c>
      <c r="P309" s="197"/>
      <c r="Q309" s="197"/>
      <c r="R309" s="197"/>
      <c r="S309" s="197"/>
    </row>
    <row r="310" spans="1:19" x14ac:dyDescent="0.2">
      <c r="A310" s="203"/>
      <c r="B310" s="193"/>
      <c r="C310" s="193"/>
      <c r="D310" s="220" t="s">
        <v>1133</v>
      </c>
      <c r="G310" s="197"/>
      <c r="H310" s="214"/>
      <c r="I310" s="215" t="s">
        <v>1134</v>
      </c>
      <c r="J310" s="262"/>
      <c r="K310" s="283" t="s">
        <v>1386</v>
      </c>
      <c r="L310" s="283"/>
      <c r="M310" s="283"/>
      <c r="N310" s="283"/>
      <c r="O310" s="297" t="s">
        <v>1133</v>
      </c>
      <c r="P310" s="197"/>
      <c r="Q310" s="197"/>
      <c r="R310" s="197"/>
      <c r="S310" s="197"/>
    </row>
    <row r="311" spans="1:19" x14ac:dyDescent="0.2">
      <c r="A311" s="203"/>
      <c r="B311" s="193"/>
      <c r="C311" s="193"/>
      <c r="D311" s="220" t="s">
        <v>1133</v>
      </c>
      <c r="G311" s="197"/>
      <c r="H311" s="214"/>
      <c r="I311" s="215" t="s">
        <v>1137</v>
      </c>
      <c r="J311" s="262"/>
      <c r="K311" s="283" t="s">
        <v>1387</v>
      </c>
      <c r="L311" s="283"/>
      <c r="M311" s="283"/>
      <c r="N311" s="283"/>
      <c r="O311" s="297" t="s">
        <v>1133</v>
      </c>
      <c r="P311" s="197"/>
      <c r="Q311" s="197"/>
      <c r="R311" s="197"/>
      <c r="S311" s="197"/>
    </row>
    <row r="312" spans="1:19" x14ac:dyDescent="0.2">
      <c r="A312" s="203"/>
      <c r="B312" s="193"/>
      <c r="C312" s="193"/>
      <c r="D312" s="220" t="s">
        <v>1133</v>
      </c>
      <c r="G312" s="197"/>
      <c r="H312" s="214"/>
      <c r="I312" s="215" t="s">
        <v>889</v>
      </c>
      <c r="J312" s="262"/>
      <c r="K312" s="283" t="s">
        <v>1388</v>
      </c>
      <c r="L312" s="283"/>
      <c r="M312" s="283"/>
      <c r="N312" s="283"/>
      <c r="O312" s="297" t="s">
        <v>1133</v>
      </c>
      <c r="P312" s="197"/>
      <c r="Q312" s="197"/>
      <c r="R312" s="197"/>
      <c r="S312" s="197"/>
    </row>
    <row r="313" spans="1:19" ht="15.75" thickBot="1" x14ac:dyDescent="0.25">
      <c r="A313" s="203"/>
      <c r="B313" s="193"/>
      <c r="C313" s="193"/>
      <c r="D313" s="220" t="s">
        <v>1133</v>
      </c>
      <c r="G313" s="197"/>
      <c r="H313" s="234"/>
      <c r="I313" s="246" t="s">
        <v>1142</v>
      </c>
      <c r="J313" s="249"/>
      <c r="K313" s="285" t="s">
        <v>1389</v>
      </c>
      <c r="L313" s="285"/>
      <c r="M313" s="285"/>
      <c r="N313" s="285"/>
      <c r="O313" s="323" t="s">
        <v>1133</v>
      </c>
      <c r="P313" s="197"/>
      <c r="Q313" s="197"/>
      <c r="R313" s="197"/>
      <c r="S313" s="197"/>
    </row>
    <row r="314" spans="1:19" ht="15.75" thickTop="1" x14ac:dyDescent="0.2">
      <c r="A314" s="203">
        <v>40</v>
      </c>
      <c r="B314" s="193" t="s">
        <v>1390</v>
      </c>
      <c r="C314" s="193" t="s">
        <v>1286</v>
      </c>
      <c r="D314" s="220"/>
      <c r="G314" s="197"/>
      <c r="H314" s="241">
        <v>40</v>
      </c>
      <c r="I314" s="243"/>
      <c r="J314" s="254"/>
      <c r="K314" s="311" t="s">
        <v>1286</v>
      </c>
      <c r="L314" s="254"/>
      <c r="M314" s="254"/>
      <c r="N314" s="254"/>
      <c r="O314" s="265"/>
      <c r="P314" s="197"/>
      <c r="Q314" s="212">
        <f>H314</f>
        <v>40</v>
      </c>
      <c r="R314" s="202" t="str">
        <f>CONCATENATE("II-",TEXT(Q314,"0000"))</f>
        <v>II-0040</v>
      </c>
      <c r="S314" s="213" t="str">
        <f>K314</f>
        <v>FRESADO</v>
      </c>
    </row>
    <row r="315" spans="1:19" ht="15.75" thickBot="1" x14ac:dyDescent="0.25">
      <c r="A315" s="203"/>
      <c r="B315" s="193"/>
      <c r="C315" s="193"/>
      <c r="D315" s="220" t="s">
        <v>1216</v>
      </c>
      <c r="G315" s="197"/>
      <c r="H315" s="298"/>
      <c r="I315" s="299" t="s">
        <v>1022</v>
      </c>
      <c r="J315" s="300"/>
      <c r="K315" s="301" t="s">
        <v>1391</v>
      </c>
      <c r="L315" s="300"/>
      <c r="M315" s="300"/>
      <c r="N315" s="300"/>
      <c r="O315" s="287" t="s">
        <v>1216</v>
      </c>
      <c r="P315" s="197"/>
      <c r="Q315" s="197"/>
      <c r="R315" s="197"/>
      <c r="S315" s="197"/>
    </row>
    <row r="316" spans="1:19" ht="15.75" thickTop="1" x14ac:dyDescent="0.2">
      <c r="A316" s="203">
        <v>41</v>
      </c>
      <c r="B316" s="193" t="s">
        <v>1392</v>
      </c>
      <c r="C316" s="193" t="s">
        <v>1393</v>
      </c>
      <c r="D316" s="220"/>
      <c r="G316" s="197"/>
      <c r="H316" s="292">
        <v>41</v>
      </c>
      <c r="I316" s="242"/>
      <c r="J316" s="302"/>
      <c r="K316" s="303" t="s">
        <v>1393</v>
      </c>
      <c r="L316" s="303"/>
      <c r="M316" s="302"/>
      <c r="N316" s="302"/>
      <c r="O316" s="244"/>
      <c r="P316" s="197"/>
      <c r="Q316" s="212">
        <f>H316</f>
        <v>41</v>
      </c>
      <c r="R316" s="202" t="str">
        <f>CONCATENATE("II-",TEXT(Q316,"0000"))</f>
        <v>II-0041</v>
      </c>
      <c r="S316" s="213" t="str">
        <f>K316</f>
        <v>GAVIONES (PIEDRA EMBOLSADA)</v>
      </c>
    </row>
    <row r="317" spans="1:19" x14ac:dyDescent="0.2">
      <c r="A317" s="203"/>
      <c r="B317" s="193"/>
      <c r="C317" s="193"/>
      <c r="D317" s="220"/>
      <c r="G317" s="197"/>
      <c r="H317" s="298"/>
      <c r="I317" s="215" t="s">
        <v>1022</v>
      </c>
      <c r="J317" s="221"/>
      <c r="K317" s="224" t="s">
        <v>1302</v>
      </c>
      <c r="L317" s="223"/>
      <c r="M317" s="223"/>
      <c r="N317" s="223"/>
      <c r="O317" s="256"/>
      <c r="P317" s="197"/>
      <c r="Q317" s="197"/>
      <c r="R317" s="197"/>
      <c r="S317" s="197"/>
    </row>
    <row r="318" spans="1:19" x14ac:dyDescent="0.2">
      <c r="A318" s="203"/>
      <c r="B318" s="193"/>
      <c r="C318" s="193"/>
      <c r="D318" s="220" t="s">
        <v>1133</v>
      </c>
      <c r="G318" s="197"/>
      <c r="H318" s="298"/>
      <c r="I318" s="221"/>
      <c r="J318" s="222">
        <v>1</v>
      </c>
      <c r="K318" s="223"/>
      <c r="L318" s="224" t="s">
        <v>1394</v>
      </c>
      <c r="M318" s="223"/>
      <c r="N318" s="223"/>
      <c r="O318" s="256" t="s">
        <v>1133</v>
      </c>
      <c r="P318" s="197"/>
      <c r="Q318" s="197"/>
      <c r="R318" s="197"/>
      <c r="S318" s="197"/>
    </row>
    <row r="319" spans="1:19" x14ac:dyDescent="0.2">
      <c r="A319" s="203"/>
      <c r="B319" s="193"/>
      <c r="C319" s="193"/>
      <c r="D319" s="220" t="s">
        <v>1133</v>
      </c>
      <c r="G319" s="197"/>
      <c r="H319" s="298"/>
      <c r="I319" s="274"/>
      <c r="J319" s="228">
        <v>2</v>
      </c>
      <c r="K319" s="229"/>
      <c r="L319" s="230" t="s">
        <v>1395</v>
      </c>
      <c r="M319" s="229"/>
      <c r="N319" s="229"/>
      <c r="O319" s="275" t="s">
        <v>1133</v>
      </c>
      <c r="P319" s="197"/>
      <c r="Q319" s="197"/>
      <c r="R319" s="197"/>
      <c r="S319" s="197"/>
    </row>
    <row r="320" spans="1:19" x14ac:dyDescent="0.2">
      <c r="A320" s="203"/>
      <c r="B320" s="193"/>
      <c r="C320" s="193"/>
      <c r="D320" s="220"/>
      <c r="G320" s="197"/>
      <c r="H320" s="298"/>
      <c r="I320" s="228" t="s">
        <v>1049</v>
      </c>
      <c r="J320" s="221"/>
      <c r="K320" s="224" t="s">
        <v>1301</v>
      </c>
      <c r="L320" s="223"/>
      <c r="M320" s="223"/>
      <c r="N320" s="223"/>
      <c r="O320" s="256"/>
      <c r="P320" s="197"/>
      <c r="Q320" s="197"/>
      <c r="R320" s="197"/>
      <c r="S320" s="197"/>
    </row>
    <row r="321" spans="1:19" x14ac:dyDescent="0.2">
      <c r="A321" s="203"/>
      <c r="B321" s="193"/>
      <c r="C321" s="193"/>
      <c r="D321" s="220" t="s">
        <v>1133</v>
      </c>
      <c r="G321" s="197"/>
      <c r="H321" s="298"/>
      <c r="I321" s="221"/>
      <c r="J321" s="222">
        <v>1</v>
      </c>
      <c r="K321" s="223"/>
      <c r="L321" s="224" t="s">
        <v>1394</v>
      </c>
      <c r="M321" s="223"/>
      <c r="N321" s="223"/>
      <c r="O321" s="256" t="s">
        <v>1133</v>
      </c>
      <c r="P321" s="197"/>
      <c r="Q321" s="197"/>
      <c r="R321" s="197"/>
      <c r="S321" s="197"/>
    </row>
    <row r="322" spans="1:19" x14ac:dyDescent="0.2">
      <c r="A322" s="203"/>
      <c r="B322" s="193"/>
      <c r="C322" s="193"/>
      <c r="D322" s="220" t="s">
        <v>1133</v>
      </c>
      <c r="G322" s="197"/>
      <c r="H322" s="298"/>
      <c r="I322" s="233"/>
      <c r="J322" s="228">
        <v>2</v>
      </c>
      <c r="K322" s="229"/>
      <c r="L322" s="230" t="s">
        <v>1395</v>
      </c>
      <c r="M322" s="229"/>
      <c r="N322" s="229"/>
      <c r="O322" s="275" t="s">
        <v>1133</v>
      </c>
      <c r="P322" s="197"/>
      <c r="Q322" s="197"/>
      <c r="R322" s="197"/>
      <c r="S322" s="197"/>
    </row>
    <row r="323" spans="1:19" x14ac:dyDescent="0.2">
      <c r="A323" s="203"/>
      <c r="B323" s="193"/>
      <c r="C323" s="193"/>
      <c r="D323" s="220" t="s">
        <v>1133</v>
      </c>
      <c r="G323" s="223"/>
      <c r="H323" s="298"/>
      <c r="I323" s="316" t="s">
        <v>1059</v>
      </c>
      <c r="J323" s="347"/>
      <c r="K323" s="329" t="s">
        <v>1091</v>
      </c>
      <c r="L323" s="329"/>
      <c r="M323" s="347"/>
      <c r="N323" s="347"/>
      <c r="O323" s="282" t="s">
        <v>1133</v>
      </c>
      <c r="P323" s="223"/>
      <c r="Q323" s="223"/>
      <c r="R323" s="223"/>
      <c r="S323" s="223"/>
    </row>
    <row r="324" spans="1:19" ht="15.75" thickBot="1" x14ac:dyDescent="0.25">
      <c r="A324" s="203"/>
      <c r="B324" s="193"/>
      <c r="C324" s="193"/>
      <c r="D324" s="220" t="s">
        <v>1133</v>
      </c>
      <c r="G324" s="197"/>
      <c r="H324" s="298"/>
      <c r="I324" s="312" t="s">
        <v>1085</v>
      </c>
      <c r="J324" s="300"/>
      <c r="K324" s="301" t="s">
        <v>1139</v>
      </c>
      <c r="L324" s="301"/>
      <c r="M324" s="300"/>
      <c r="N324" s="300"/>
      <c r="O324" s="287" t="s">
        <v>1133</v>
      </c>
      <c r="P324" s="197"/>
      <c r="Q324" s="197"/>
      <c r="R324" s="197"/>
      <c r="S324" s="197"/>
    </row>
    <row r="325" spans="1:19" ht="16.5" thickTop="1" thickBot="1" x14ac:dyDescent="0.25">
      <c r="A325" s="203">
        <v>42</v>
      </c>
      <c r="B325" s="193" t="s">
        <v>1396</v>
      </c>
      <c r="C325" s="193" t="s">
        <v>1397</v>
      </c>
      <c r="D325" s="220" t="s">
        <v>5</v>
      </c>
      <c r="G325" s="223"/>
      <c r="H325" s="338">
        <v>42</v>
      </c>
      <c r="I325" s="339"/>
      <c r="J325" s="340"/>
      <c r="K325" s="341" t="s">
        <v>1397</v>
      </c>
      <c r="L325" s="341"/>
      <c r="M325" s="340"/>
      <c r="N325" s="340"/>
      <c r="O325" s="342" t="s">
        <v>5</v>
      </c>
      <c r="P325" s="223"/>
      <c r="Q325" s="212">
        <f t="shared" ref="Q325:Q326" si="45">H325</f>
        <v>42</v>
      </c>
      <c r="R325" s="202" t="str">
        <f t="shared" ref="R325:R326" si="46">CONCATENATE("II-",TEXT(Q325,"0000"))</f>
        <v>II-0042</v>
      </c>
      <c r="S325" s="213" t="str">
        <f t="shared" ref="S325:S326" si="47">K325</f>
        <v>GUARDAGANADO</v>
      </c>
    </row>
    <row r="326" spans="1:19" ht="15.75" thickTop="1" x14ac:dyDescent="0.2">
      <c r="A326" s="203">
        <v>43</v>
      </c>
      <c r="B326" s="193" t="s">
        <v>1398</v>
      </c>
      <c r="C326" s="193" t="s">
        <v>1399</v>
      </c>
      <c r="D326" s="220"/>
      <c r="G326" s="197"/>
      <c r="H326" s="241">
        <v>43</v>
      </c>
      <c r="I326" s="243"/>
      <c r="J326" s="254"/>
      <c r="K326" s="311" t="s">
        <v>1399</v>
      </c>
      <c r="L326" s="254"/>
      <c r="M326" s="254"/>
      <c r="N326" s="254"/>
      <c r="O326" s="265"/>
      <c r="P326" s="197"/>
      <c r="Q326" s="212">
        <f t="shared" si="45"/>
        <v>43</v>
      </c>
      <c r="R326" s="202" t="str">
        <f t="shared" si="46"/>
        <v>II-0043</v>
      </c>
      <c r="S326" s="213" t="str">
        <f t="shared" si="47"/>
        <v>HORMIGON CEMENTO PORTLAND EXCLUIDA LA ARAMDURA</v>
      </c>
    </row>
    <row r="327" spans="1:19" x14ac:dyDescent="0.2">
      <c r="A327" s="203"/>
      <c r="B327" s="193"/>
      <c r="C327" s="193"/>
      <c r="D327" s="220"/>
      <c r="G327" s="197"/>
      <c r="H327" s="214"/>
      <c r="I327" s="215" t="s">
        <v>1022</v>
      </c>
      <c r="J327" s="221"/>
      <c r="K327" s="224" t="s">
        <v>1400</v>
      </c>
      <c r="L327" s="223"/>
      <c r="M327" s="223"/>
      <c r="N327" s="223"/>
      <c r="O327" s="256"/>
      <c r="P327" s="197"/>
      <c r="Q327" s="197"/>
      <c r="R327" s="197"/>
      <c r="S327" s="197"/>
    </row>
    <row r="328" spans="1:19" x14ac:dyDescent="0.2">
      <c r="A328" s="203"/>
      <c r="B328" s="193"/>
      <c r="C328" s="193"/>
      <c r="D328" s="220" t="s">
        <v>1133</v>
      </c>
      <c r="G328" s="197"/>
      <c r="H328" s="214"/>
      <c r="I328" s="221"/>
      <c r="J328" s="222">
        <v>1</v>
      </c>
      <c r="K328" s="223"/>
      <c r="L328" s="224" t="s">
        <v>1401</v>
      </c>
      <c r="M328" s="223"/>
      <c r="N328" s="223"/>
      <c r="O328" s="256" t="s">
        <v>1133</v>
      </c>
      <c r="P328" s="197"/>
      <c r="Q328" s="197"/>
      <c r="R328" s="197"/>
      <c r="S328" s="197"/>
    </row>
    <row r="329" spans="1:19" x14ac:dyDescent="0.2">
      <c r="A329" s="203"/>
      <c r="B329" s="193"/>
      <c r="C329" s="193"/>
      <c r="D329" s="220" t="s">
        <v>1133</v>
      </c>
      <c r="G329" s="197"/>
      <c r="H329" s="214"/>
      <c r="I329" s="221"/>
      <c r="J329" s="222">
        <v>2</v>
      </c>
      <c r="K329" s="223"/>
      <c r="L329" s="224" t="s">
        <v>1231</v>
      </c>
      <c r="M329" s="223"/>
      <c r="N329" s="223"/>
      <c r="O329" s="256" t="s">
        <v>1133</v>
      </c>
      <c r="P329" s="197"/>
      <c r="Q329" s="197"/>
      <c r="R329" s="197"/>
      <c r="S329" s="197"/>
    </row>
    <row r="330" spans="1:19" x14ac:dyDescent="0.2">
      <c r="A330" s="203"/>
      <c r="B330" s="193"/>
      <c r="C330" s="193"/>
      <c r="D330" s="220" t="s">
        <v>1133</v>
      </c>
      <c r="G330" s="197"/>
      <c r="H330" s="214"/>
      <c r="I330" s="221"/>
      <c r="J330" s="222">
        <v>3</v>
      </c>
      <c r="K330" s="223"/>
      <c r="L330" s="224" t="s">
        <v>1402</v>
      </c>
      <c r="M330" s="223"/>
      <c r="N330" s="223"/>
      <c r="O330" s="256" t="s">
        <v>1133</v>
      </c>
      <c r="P330" s="197"/>
      <c r="Q330" s="197"/>
      <c r="R330" s="197"/>
      <c r="S330" s="197"/>
    </row>
    <row r="331" spans="1:19" x14ac:dyDescent="0.2">
      <c r="A331" s="203"/>
      <c r="B331" s="193"/>
      <c r="C331" s="193"/>
      <c r="D331" s="220" t="s">
        <v>1133</v>
      </c>
      <c r="G331" s="197"/>
      <c r="H331" s="214"/>
      <c r="I331" s="221"/>
      <c r="J331" s="222">
        <v>4</v>
      </c>
      <c r="K331" s="223"/>
      <c r="L331" s="224" t="s">
        <v>1382</v>
      </c>
      <c r="M331" s="223"/>
      <c r="N331" s="223"/>
      <c r="O331" s="256" t="s">
        <v>1133</v>
      </c>
      <c r="P331" s="197"/>
      <c r="Q331" s="197"/>
      <c r="R331" s="197"/>
      <c r="S331" s="197"/>
    </row>
    <row r="332" spans="1:19" x14ac:dyDescent="0.2">
      <c r="A332" s="203"/>
      <c r="B332" s="193"/>
      <c r="C332" s="193"/>
      <c r="D332" s="220" t="s">
        <v>1133</v>
      </c>
      <c r="G332" s="197"/>
      <c r="H332" s="214"/>
      <c r="I332" s="233"/>
      <c r="J332" s="228">
        <v>5</v>
      </c>
      <c r="K332" s="229"/>
      <c r="L332" s="230" t="s">
        <v>1403</v>
      </c>
      <c r="M332" s="229"/>
      <c r="N332" s="229"/>
      <c r="O332" s="275" t="s">
        <v>1133</v>
      </c>
      <c r="P332" s="197"/>
      <c r="Q332" s="197"/>
      <c r="R332" s="197"/>
      <c r="S332" s="197"/>
    </row>
    <row r="333" spans="1:19" x14ac:dyDescent="0.2">
      <c r="A333" s="203"/>
      <c r="B333" s="193"/>
      <c r="C333" s="193"/>
      <c r="D333" s="220"/>
      <c r="G333" s="197"/>
      <c r="H333" s="214"/>
      <c r="I333" s="215" t="s">
        <v>1049</v>
      </c>
      <c r="J333" s="221"/>
      <c r="K333" s="224" t="s">
        <v>1404</v>
      </c>
      <c r="L333" s="223"/>
      <c r="M333" s="223"/>
      <c r="N333" s="223"/>
      <c r="O333" s="256"/>
      <c r="P333" s="197"/>
      <c r="Q333" s="197"/>
      <c r="R333" s="197"/>
      <c r="S333" s="197"/>
    </row>
    <row r="334" spans="1:19" x14ac:dyDescent="0.2">
      <c r="A334" s="203"/>
      <c r="B334" s="193"/>
      <c r="C334" s="193"/>
      <c r="D334" s="220" t="s">
        <v>1133</v>
      </c>
      <c r="G334" s="197"/>
      <c r="H334" s="214"/>
      <c r="I334" s="221"/>
      <c r="J334" s="222">
        <v>1</v>
      </c>
      <c r="K334" s="223"/>
      <c r="L334" s="224" t="s">
        <v>1231</v>
      </c>
      <c r="M334" s="223"/>
      <c r="N334" s="223"/>
      <c r="O334" s="256" t="s">
        <v>1133</v>
      </c>
      <c r="P334" s="197"/>
      <c r="Q334" s="197"/>
      <c r="R334" s="197"/>
      <c r="S334" s="197"/>
    </row>
    <row r="335" spans="1:19" x14ac:dyDescent="0.2">
      <c r="A335" s="203"/>
      <c r="B335" s="193"/>
      <c r="C335" s="193"/>
      <c r="D335" s="220" t="s">
        <v>1133</v>
      </c>
      <c r="G335" s="197"/>
      <c r="H335" s="214"/>
      <c r="I335" s="221"/>
      <c r="J335" s="222">
        <v>2</v>
      </c>
      <c r="K335" s="223"/>
      <c r="L335" s="224" t="s">
        <v>1405</v>
      </c>
      <c r="M335" s="223"/>
      <c r="N335" s="223"/>
      <c r="O335" s="256" t="s">
        <v>1133</v>
      </c>
      <c r="P335" s="197"/>
      <c r="Q335" s="197"/>
      <c r="R335" s="197"/>
      <c r="S335" s="197"/>
    </row>
    <row r="336" spans="1:19" x14ac:dyDescent="0.2">
      <c r="A336" s="203"/>
      <c r="B336" s="193"/>
      <c r="C336" s="193"/>
      <c r="D336" s="220" t="s">
        <v>1133</v>
      </c>
      <c r="G336" s="197"/>
      <c r="H336" s="214"/>
      <c r="I336" s="221"/>
      <c r="J336" s="222">
        <v>3</v>
      </c>
      <c r="K336" s="223"/>
      <c r="L336" s="224" t="s">
        <v>1406</v>
      </c>
      <c r="M336" s="223"/>
      <c r="N336" s="223"/>
      <c r="O336" s="256" t="s">
        <v>1133</v>
      </c>
      <c r="P336" s="197"/>
      <c r="Q336" s="197"/>
      <c r="R336" s="197"/>
      <c r="S336" s="197"/>
    </row>
    <row r="337" spans="1:19" x14ac:dyDescent="0.2">
      <c r="A337" s="203"/>
      <c r="B337" s="193"/>
      <c r="C337" s="193"/>
      <c r="D337" s="220" t="s">
        <v>1133</v>
      </c>
      <c r="G337" s="197"/>
      <c r="H337" s="214"/>
      <c r="I337" s="221"/>
      <c r="J337" s="222">
        <v>4</v>
      </c>
      <c r="K337" s="223"/>
      <c r="L337" s="224" t="s">
        <v>1407</v>
      </c>
      <c r="M337" s="223"/>
      <c r="N337" s="223"/>
      <c r="O337" s="256" t="s">
        <v>1133</v>
      </c>
      <c r="P337" s="197"/>
      <c r="Q337" s="197"/>
      <c r="R337" s="197"/>
      <c r="S337" s="197"/>
    </row>
    <row r="338" spans="1:19" x14ac:dyDescent="0.2">
      <c r="A338" s="203"/>
      <c r="B338" s="193"/>
      <c r="C338" s="193"/>
      <c r="D338" s="220" t="s">
        <v>1133</v>
      </c>
      <c r="G338" s="197"/>
      <c r="H338" s="214"/>
      <c r="I338" s="221"/>
      <c r="J338" s="222">
        <v>5</v>
      </c>
      <c r="K338" s="223"/>
      <c r="L338" s="224" t="s">
        <v>1408</v>
      </c>
      <c r="M338" s="223"/>
      <c r="N338" s="223"/>
      <c r="O338" s="256" t="s">
        <v>1133</v>
      </c>
      <c r="P338" s="197"/>
      <c r="Q338" s="197"/>
      <c r="R338" s="197"/>
      <c r="S338" s="197"/>
    </row>
    <row r="339" spans="1:19" x14ac:dyDescent="0.2">
      <c r="A339" s="203"/>
      <c r="B339" s="193"/>
      <c r="C339" s="193"/>
      <c r="D339" s="220" t="s">
        <v>1133</v>
      </c>
      <c r="G339" s="197"/>
      <c r="H339" s="214"/>
      <c r="I339" s="274"/>
      <c r="J339" s="221">
        <v>6</v>
      </c>
      <c r="K339" s="224"/>
      <c r="L339" s="223" t="s">
        <v>1403</v>
      </c>
      <c r="M339" s="223"/>
      <c r="N339" s="223"/>
      <c r="O339" s="256" t="s">
        <v>1133</v>
      </c>
      <c r="P339" s="197"/>
      <c r="Q339" s="197"/>
      <c r="R339" s="197"/>
      <c r="S339" s="197"/>
    </row>
    <row r="340" spans="1:19" x14ac:dyDescent="0.2">
      <c r="A340" s="203"/>
      <c r="B340" s="193"/>
      <c r="C340" s="193"/>
      <c r="D340" s="220"/>
      <c r="G340" s="197"/>
      <c r="H340" s="214"/>
      <c r="I340" s="228" t="s">
        <v>1059</v>
      </c>
      <c r="J340" s="221"/>
      <c r="K340" s="224" t="s">
        <v>1409</v>
      </c>
      <c r="L340" s="223"/>
      <c r="M340" s="223"/>
      <c r="N340" s="223"/>
      <c r="O340" s="256"/>
      <c r="P340" s="197"/>
      <c r="Q340" s="197"/>
      <c r="R340" s="197"/>
      <c r="S340" s="197"/>
    </row>
    <row r="341" spans="1:19" x14ac:dyDescent="0.2">
      <c r="A341" s="203"/>
      <c r="B341" s="193"/>
      <c r="C341" s="193"/>
      <c r="D341" s="220" t="s">
        <v>1133</v>
      </c>
      <c r="G341" s="197"/>
      <c r="H341" s="214"/>
      <c r="I341" s="221"/>
      <c r="J341" s="222">
        <v>1</v>
      </c>
      <c r="K341" s="223"/>
      <c r="L341" s="224" t="s">
        <v>1410</v>
      </c>
      <c r="M341" s="223"/>
      <c r="N341" s="223"/>
      <c r="O341" s="256" t="s">
        <v>1133</v>
      </c>
      <c r="P341" s="197"/>
      <c r="Q341" s="197"/>
      <c r="R341" s="197"/>
      <c r="S341" s="197"/>
    </row>
    <row r="342" spans="1:19" x14ac:dyDescent="0.2">
      <c r="A342" s="203"/>
      <c r="B342" s="193"/>
      <c r="C342" s="193"/>
      <c r="D342" s="220" t="s">
        <v>1133</v>
      </c>
      <c r="G342" s="197"/>
      <c r="H342" s="214"/>
      <c r="I342" s="221"/>
      <c r="J342" s="222">
        <v>2</v>
      </c>
      <c r="K342" s="223"/>
      <c r="L342" s="224" t="s">
        <v>1231</v>
      </c>
      <c r="M342" s="223"/>
      <c r="N342" s="223"/>
      <c r="O342" s="256" t="s">
        <v>1133</v>
      </c>
      <c r="P342" s="197"/>
      <c r="Q342" s="197"/>
      <c r="R342" s="197"/>
      <c r="S342" s="197"/>
    </row>
    <row r="343" spans="1:19" x14ac:dyDescent="0.2">
      <c r="A343" s="203"/>
      <c r="B343" s="193"/>
      <c r="C343" s="193"/>
      <c r="D343" s="220" t="s">
        <v>1133</v>
      </c>
      <c r="G343" s="197"/>
      <c r="H343" s="214"/>
      <c r="I343" s="221"/>
      <c r="J343" s="222">
        <v>3</v>
      </c>
      <c r="K343" s="223"/>
      <c r="L343" s="224" t="s">
        <v>1411</v>
      </c>
      <c r="M343" s="223"/>
      <c r="N343" s="223"/>
      <c r="O343" s="256" t="s">
        <v>1133</v>
      </c>
      <c r="P343" s="197"/>
      <c r="Q343" s="197"/>
      <c r="R343" s="197"/>
      <c r="S343" s="197"/>
    </row>
    <row r="344" spans="1:19" x14ac:dyDescent="0.2">
      <c r="A344" s="203"/>
      <c r="B344" s="193"/>
      <c r="C344" s="193"/>
      <c r="D344" s="220" t="s">
        <v>1133</v>
      </c>
      <c r="G344" s="197"/>
      <c r="H344" s="214"/>
      <c r="I344" s="221"/>
      <c r="J344" s="222">
        <v>4</v>
      </c>
      <c r="K344" s="223"/>
      <c r="L344" s="224" t="s">
        <v>1405</v>
      </c>
      <c r="M344" s="223"/>
      <c r="N344" s="223"/>
      <c r="O344" s="256" t="s">
        <v>1133</v>
      </c>
      <c r="P344" s="197"/>
      <c r="Q344" s="197"/>
      <c r="R344" s="197"/>
      <c r="S344" s="197"/>
    </row>
    <row r="345" spans="1:19" x14ac:dyDescent="0.2">
      <c r="A345" s="203"/>
      <c r="B345" s="193"/>
      <c r="C345" s="193"/>
      <c r="D345" s="220" t="s">
        <v>1133</v>
      </c>
      <c r="G345" s="197"/>
      <c r="H345" s="214"/>
      <c r="I345" s="221"/>
      <c r="J345" s="222">
        <v>5</v>
      </c>
      <c r="K345" s="223"/>
      <c r="L345" s="224" t="s">
        <v>1342</v>
      </c>
      <c r="M345" s="223"/>
      <c r="N345" s="223"/>
      <c r="O345" s="256" t="s">
        <v>1133</v>
      </c>
      <c r="P345" s="197"/>
      <c r="Q345" s="197"/>
      <c r="R345" s="197"/>
      <c r="S345" s="197"/>
    </row>
    <row r="346" spans="1:19" x14ac:dyDescent="0.2">
      <c r="A346" s="203"/>
      <c r="B346" s="193"/>
      <c r="C346" s="193"/>
      <c r="D346" s="220" t="s">
        <v>1133</v>
      </c>
      <c r="G346" s="197"/>
      <c r="H346" s="214"/>
      <c r="I346" s="221"/>
      <c r="J346" s="222">
        <v>6</v>
      </c>
      <c r="K346" s="223"/>
      <c r="L346" s="224" t="s">
        <v>1407</v>
      </c>
      <c r="M346" s="223"/>
      <c r="N346" s="223"/>
      <c r="O346" s="256" t="s">
        <v>1133</v>
      </c>
      <c r="P346" s="197"/>
      <c r="Q346" s="197"/>
      <c r="R346" s="197"/>
      <c r="S346" s="197"/>
    </row>
    <row r="347" spans="1:19" x14ac:dyDescent="0.2">
      <c r="A347" s="203"/>
      <c r="B347" s="193"/>
      <c r="C347" s="193"/>
      <c r="D347" s="220" t="s">
        <v>1133</v>
      </c>
      <c r="G347" s="197"/>
      <c r="H347" s="214"/>
      <c r="I347" s="221"/>
      <c r="J347" s="222">
        <v>7</v>
      </c>
      <c r="K347" s="223"/>
      <c r="L347" s="224" t="s">
        <v>1408</v>
      </c>
      <c r="M347" s="223"/>
      <c r="N347" s="223"/>
      <c r="O347" s="256" t="s">
        <v>1133</v>
      </c>
      <c r="P347" s="197"/>
      <c r="Q347" s="197"/>
      <c r="R347" s="197"/>
      <c r="S347" s="197"/>
    </row>
    <row r="348" spans="1:19" x14ac:dyDescent="0.2">
      <c r="A348" s="203"/>
      <c r="B348" s="193"/>
      <c r="C348" s="193"/>
      <c r="D348" s="220" t="s">
        <v>1133</v>
      </c>
      <c r="G348" s="197"/>
      <c r="H348" s="214"/>
      <c r="I348" s="274"/>
      <c r="J348" s="228">
        <v>8</v>
      </c>
      <c r="K348" s="229"/>
      <c r="L348" s="230" t="s">
        <v>1403</v>
      </c>
      <c r="M348" s="229"/>
      <c r="N348" s="229"/>
      <c r="O348" s="275" t="s">
        <v>1133</v>
      </c>
      <c r="P348" s="197"/>
      <c r="Q348" s="197"/>
      <c r="R348" s="197"/>
      <c r="S348" s="197"/>
    </row>
    <row r="349" spans="1:19" x14ac:dyDescent="0.2">
      <c r="A349" s="203"/>
      <c r="B349" s="193"/>
      <c r="C349" s="193"/>
      <c r="D349" s="220"/>
      <c r="G349" s="197"/>
      <c r="H349" s="214"/>
      <c r="I349" s="228" t="s">
        <v>1085</v>
      </c>
      <c r="J349" s="221"/>
      <c r="K349" s="224" t="s">
        <v>1412</v>
      </c>
      <c r="L349" s="223"/>
      <c r="M349" s="223"/>
      <c r="N349" s="223"/>
      <c r="O349" s="256"/>
      <c r="P349" s="197"/>
      <c r="Q349" s="197"/>
      <c r="R349" s="197"/>
      <c r="S349" s="197"/>
    </row>
    <row r="350" spans="1:19" x14ac:dyDescent="0.2">
      <c r="A350" s="203"/>
      <c r="B350" s="193"/>
      <c r="C350" s="193"/>
      <c r="D350" s="220" t="s">
        <v>1133</v>
      </c>
      <c r="G350" s="197"/>
      <c r="H350" s="214"/>
      <c r="I350" s="221"/>
      <c r="J350" s="222">
        <v>1</v>
      </c>
      <c r="K350" s="223"/>
      <c r="L350" s="224" t="s">
        <v>1410</v>
      </c>
      <c r="M350" s="223"/>
      <c r="N350" s="223"/>
      <c r="O350" s="256" t="s">
        <v>1133</v>
      </c>
      <c r="P350" s="197"/>
      <c r="Q350" s="197"/>
      <c r="R350" s="197"/>
      <c r="S350" s="197"/>
    </row>
    <row r="351" spans="1:19" x14ac:dyDescent="0.2">
      <c r="A351" s="203"/>
      <c r="B351" s="193"/>
      <c r="C351" s="193"/>
      <c r="D351" s="220" t="s">
        <v>1133</v>
      </c>
      <c r="G351" s="197"/>
      <c r="H351" s="214"/>
      <c r="I351" s="221"/>
      <c r="J351" s="222">
        <v>2</v>
      </c>
      <c r="K351" s="223"/>
      <c r="L351" s="224" t="s">
        <v>1231</v>
      </c>
      <c r="M351" s="223"/>
      <c r="N351" s="223"/>
      <c r="O351" s="256" t="s">
        <v>1133</v>
      </c>
      <c r="P351" s="197"/>
      <c r="Q351" s="197"/>
      <c r="R351" s="197"/>
      <c r="S351" s="197"/>
    </row>
    <row r="352" spans="1:19" x14ac:dyDescent="0.2">
      <c r="A352" s="203"/>
      <c r="B352" s="193"/>
      <c r="C352" s="193"/>
      <c r="D352" s="220" t="s">
        <v>1133</v>
      </c>
      <c r="G352" s="197"/>
      <c r="H352" s="214"/>
      <c r="I352" s="221"/>
      <c r="J352" s="222">
        <v>3</v>
      </c>
      <c r="K352" s="223"/>
      <c r="L352" s="224" t="s">
        <v>1413</v>
      </c>
      <c r="M352" s="223"/>
      <c r="N352" s="223"/>
      <c r="O352" s="256" t="s">
        <v>1133</v>
      </c>
      <c r="P352" s="197"/>
      <c r="Q352" s="197"/>
      <c r="R352" s="197"/>
      <c r="S352" s="197"/>
    </row>
    <row r="353" spans="1:19" x14ac:dyDescent="0.2">
      <c r="A353" s="203"/>
      <c r="B353" s="193"/>
      <c r="C353" s="193"/>
      <c r="D353" s="220" t="s">
        <v>1133</v>
      </c>
      <c r="G353" s="197"/>
      <c r="H353" s="214"/>
      <c r="I353" s="221"/>
      <c r="J353" s="222">
        <v>4</v>
      </c>
      <c r="K353" s="223"/>
      <c r="L353" s="224" t="s">
        <v>1411</v>
      </c>
      <c r="M353" s="223"/>
      <c r="N353" s="223"/>
      <c r="O353" s="256" t="s">
        <v>1133</v>
      </c>
      <c r="P353" s="197"/>
      <c r="Q353" s="197"/>
      <c r="R353" s="197"/>
      <c r="S353" s="197"/>
    </row>
    <row r="354" spans="1:19" x14ac:dyDescent="0.2">
      <c r="A354" s="203"/>
      <c r="B354" s="193"/>
      <c r="C354" s="193"/>
      <c r="D354" s="220" t="s">
        <v>1133</v>
      </c>
      <c r="G354" s="197"/>
      <c r="H354" s="214"/>
      <c r="I354" s="221"/>
      <c r="J354" s="222">
        <v>5</v>
      </c>
      <c r="K354" s="223"/>
      <c r="L354" s="224" t="s">
        <v>1342</v>
      </c>
      <c r="M354" s="223"/>
      <c r="N354" s="223"/>
      <c r="O354" s="256" t="s">
        <v>1133</v>
      </c>
      <c r="P354" s="197"/>
      <c r="Q354" s="197"/>
      <c r="R354" s="197"/>
      <c r="S354" s="197"/>
    </row>
    <row r="355" spans="1:19" x14ac:dyDescent="0.2">
      <c r="A355" s="203"/>
      <c r="B355" s="193"/>
      <c r="C355" s="193"/>
      <c r="D355" s="220" t="s">
        <v>1133</v>
      </c>
      <c r="G355" s="197"/>
      <c r="H355" s="214"/>
      <c r="I355" s="221"/>
      <c r="J355" s="222">
        <v>6</v>
      </c>
      <c r="K355" s="223"/>
      <c r="L355" s="224" t="s">
        <v>1414</v>
      </c>
      <c r="M355" s="223"/>
      <c r="N355" s="223"/>
      <c r="O355" s="256" t="s">
        <v>1133</v>
      </c>
      <c r="P355" s="197"/>
      <c r="Q355" s="197"/>
      <c r="R355" s="197"/>
      <c r="S355" s="197"/>
    </row>
    <row r="356" spans="1:19" x14ac:dyDescent="0.2">
      <c r="A356" s="203"/>
      <c r="B356" s="193"/>
      <c r="C356" s="193"/>
      <c r="D356" s="220" t="s">
        <v>1133</v>
      </c>
      <c r="G356" s="197"/>
      <c r="H356" s="214"/>
      <c r="I356" s="221"/>
      <c r="J356" s="222">
        <v>7</v>
      </c>
      <c r="K356" s="223"/>
      <c r="L356" s="224" t="s">
        <v>1415</v>
      </c>
      <c r="M356" s="223"/>
      <c r="N356" s="223"/>
      <c r="O356" s="256" t="s">
        <v>1133</v>
      </c>
      <c r="P356" s="197"/>
      <c r="Q356" s="197"/>
      <c r="R356" s="197"/>
      <c r="S356" s="197"/>
    </row>
    <row r="357" spans="1:19" x14ac:dyDescent="0.2">
      <c r="A357" s="203"/>
      <c r="B357" s="193"/>
      <c r="C357" s="193"/>
      <c r="D357" s="220" t="s">
        <v>1133</v>
      </c>
      <c r="G357" s="197"/>
      <c r="H357" s="214"/>
      <c r="I357" s="221"/>
      <c r="J357" s="222">
        <v>8</v>
      </c>
      <c r="K357" s="223"/>
      <c r="L357" s="224" t="s">
        <v>1416</v>
      </c>
      <c r="M357" s="223"/>
      <c r="N357" s="223"/>
      <c r="O357" s="256" t="s">
        <v>1133</v>
      </c>
      <c r="P357" s="197"/>
      <c r="Q357" s="197"/>
      <c r="R357" s="197"/>
      <c r="S357" s="197"/>
    </row>
    <row r="358" spans="1:19" x14ac:dyDescent="0.2">
      <c r="A358" s="203"/>
      <c r="B358" s="193"/>
      <c r="C358" s="193"/>
      <c r="D358" s="220" t="s">
        <v>1133</v>
      </c>
      <c r="G358" s="197"/>
      <c r="H358" s="214"/>
      <c r="I358" s="233"/>
      <c r="J358" s="228">
        <v>9</v>
      </c>
      <c r="K358" s="229"/>
      <c r="L358" s="230" t="s">
        <v>1403</v>
      </c>
      <c r="M358" s="229"/>
      <c r="N358" s="229"/>
      <c r="O358" s="275" t="s">
        <v>1133</v>
      </c>
      <c r="P358" s="197"/>
      <c r="Q358" s="197"/>
      <c r="R358" s="197"/>
      <c r="S358" s="197"/>
    </row>
    <row r="359" spans="1:19" x14ac:dyDescent="0.2">
      <c r="A359" s="203"/>
      <c r="B359" s="193"/>
      <c r="C359" s="193"/>
      <c r="D359" s="220"/>
      <c r="G359" s="197"/>
      <c r="H359" s="214"/>
      <c r="I359" s="228" t="s">
        <v>1127</v>
      </c>
      <c r="J359" s="221"/>
      <c r="K359" s="224" t="s">
        <v>1417</v>
      </c>
      <c r="L359" s="223"/>
      <c r="M359" s="223"/>
      <c r="N359" s="223"/>
      <c r="O359" s="256"/>
      <c r="P359" s="197"/>
      <c r="Q359" s="197"/>
      <c r="R359" s="197"/>
      <c r="S359" s="197"/>
    </row>
    <row r="360" spans="1:19" x14ac:dyDescent="0.2">
      <c r="A360" s="203"/>
      <c r="B360" s="193"/>
      <c r="C360" s="193"/>
      <c r="D360" s="220" t="s">
        <v>1133</v>
      </c>
      <c r="G360" s="197"/>
      <c r="H360" s="214"/>
      <c r="I360" s="221"/>
      <c r="J360" s="222">
        <v>1</v>
      </c>
      <c r="K360" s="223"/>
      <c r="L360" s="224" t="s">
        <v>1231</v>
      </c>
      <c r="M360" s="223"/>
      <c r="N360" s="223"/>
      <c r="O360" s="256" t="s">
        <v>1133</v>
      </c>
      <c r="P360" s="197"/>
      <c r="Q360" s="197"/>
      <c r="R360" s="197"/>
      <c r="S360" s="197"/>
    </row>
    <row r="361" spans="1:19" x14ac:dyDescent="0.2">
      <c r="A361" s="203"/>
      <c r="B361" s="193"/>
      <c r="C361" s="193"/>
      <c r="D361" s="220" t="s">
        <v>1133</v>
      </c>
      <c r="G361" s="197"/>
      <c r="H361" s="214"/>
      <c r="I361" s="221"/>
      <c r="J361" s="222">
        <v>2</v>
      </c>
      <c r="K361" s="223"/>
      <c r="L361" s="224" t="s">
        <v>1418</v>
      </c>
      <c r="M361" s="223"/>
      <c r="N361" s="223"/>
      <c r="O361" s="256" t="s">
        <v>1133</v>
      </c>
      <c r="P361" s="197"/>
      <c r="Q361" s="197"/>
      <c r="R361" s="197"/>
      <c r="S361" s="197"/>
    </row>
    <row r="362" spans="1:19" x14ac:dyDescent="0.2">
      <c r="A362" s="203"/>
      <c r="B362" s="193"/>
      <c r="C362" s="193"/>
      <c r="D362" s="220" t="s">
        <v>1133</v>
      </c>
      <c r="G362" s="197"/>
      <c r="H362" s="214"/>
      <c r="I362" s="221"/>
      <c r="J362" s="222">
        <v>3</v>
      </c>
      <c r="K362" s="223"/>
      <c r="L362" s="224" t="s">
        <v>1419</v>
      </c>
      <c r="M362" s="223"/>
      <c r="N362" s="223"/>
      <c r="O362" s="256" t="s">
        <v>1133</v>
      </c>
      <c r="P362" s="197"/>
      <c r="Q362" s="197"/>
      <c r="R362" s="197"/>
      <c r="S362" s="197"/>
    </row>
    <row r="363" spans="1:19" x14ac:dyDescent="0.2">
      <c r="A363" s="203"/>
      <c r="B363" s="193"/>
      <c r="C363" s="193"/>
      <c r="D363" s="220" t="s">
        <v>1133</v>
      </c>
      <c r="G363" s="197"/>
      <c r="H363" s="214"/>
      <c r="I363" s="221"/>
      <c r="J363" s="222">
        <v>4</v>
      </c>
      <c r="K363" s="223"/>
      <c r="L363" s="224" t="s">
        <v>1420</v>
      </c>
      <c r="M363" s="223"/>
      <c r="N363" s="223"/>
      <c r="O363" s="256" t="s">
        <v>1133</v>
      </c>
      <c r="P363" s="197"/>
      <c r="Q363" s="197"/>
      <c r="R363" s="197"/>
      <c r="S363" s="197"/>
    </row>
    <row r="364" spans="1:19" x14ac:dyDescent="0.2">
      <c r="A364" s="203"/>
      <c r="B364" s="193"/>
      <c r="C364" s="193"/>
      <c r="D364" s="220" t="s">
        <v>1133</v>
      </c>
      <c r="G364" s="197"/>
      <c r="H364" s="214"/>
      <c r="I364" s="221"/>
      <c r="J364" s="222">
        <v>5</v>
      </c>
      <c r="K364" s="223"/>
      <c r="L364" s="224" t="s">
        <v>1284</v>
      </c>
      <c r="M364" s="223"/>
      <c r="N364" s="223"/>
      <c r="O364" s="256" t="s">
        <v>1133</v>
      </c>
      <c r="P364" s="197"/>
      <c r="Q364" s="197"/>
      <c r="R364" s="197"/>
      <c r="S364" s="197"/>
    </row>
    <row r="365" spans="1:19" x14ac:dyDescent="0.2">
      <c r="A365" s="203"/>
      <c r="B365" s="193"/>
      <c r="C365" s="193"/>
      <c r="D365" s="220" t="s">
        <v>1133</v>
      </c>
      <c r="G365" s="197"/>
      <c r="H365" s="214"/>
      <c r="I365" s="221"/>
      <c r="J365" s="222">
        <v>6</v>
      </c>
      <c r="K365" s="223"/>
      <c r="L365" s="224" t="s">
        <v>1421</v>
      </c>
      <c r="M365" s="223"/>
      <c r="N365" s="223"/>
      <c r="O365" s="256" t="s">
        <v>1133</v>
      </c>
      <c r="P365" s="197"/>
      <c r="Q365" s="197"/>
      <c r="R365" s="197"/>
      <c r="S365" s="197"/>
    </row>
    <row r="366" spans="1:19" x14ac:dyDescent="0.2">
      <c r="A366" s="203"/>
      <c r="B366" s="193"/>
      <c r="C366" s="193"/>
      <c r="D366" s="220" t="s">
        <v>1133</v>
      </c>
      <c r="G366" s="197"/>
      <c r="H366" s="214"/>
      <c r="I366" s="221"/>
      <c r="J366" s="222">
        <v>7</v>
      </c>
      <c r="K366" s="223"/>
      <c r="L366" s="224" t="s">
        <v>1422</v>
      </c>
      <c r="M366" s="223"/>
      <c r="N366" s="223"/>
      <c r="O366" s="256" t="s">
        <v>1133</v>
      </c>
      <c r="P366" s="197"/>
      <c r="Q366" s="197"/>
      <c r="R366" s="197"/>
      <c r="S366" s="197"/>
    </row>
    <row r="367" spans="1:19" x14ac:dyDescent="0.2">
      <c r="A367" s="203"/>
      <c r="B367" s="193"/>
      <c r="C367" s="193"/>
      <c r="D367" s="220" t="s">
        <v>1133</v>
      </c>
      <c r="G367" s="197"/>
      <c r="H367" s="214"/>
      <c r="I367" s="233"/>
      <c r="J367" s="228">
        <v>8</v>
      </c>
      <c r="K367" s="229"/>
      <c r="L367" s="230" t="s">
        <v>1414</v>
      </c>
      <c r="M367" s="229"/>
      <c r="N367" s="229"/>
      <c r="O367" s="275" t="s">
        <v>1133</v>
      </c>
      <c r="P367" s="197"/>
      <c r="Q367" s="197"/>
      <c r="R367" s="197"/>
      <c r="S367" s="197"/>
    </row>
    <row r="368" spans="1:19" x14ac:dyDescent="0.2">
      <c r="A368" s="203"/>
      <c r="B368" s="193"/>
      <c r="C368" s="193"/>
      <c r="D368" s="220"/>
      <c r="G368" s="276"/>
      <c r="H368" s="214"/>
      <c r="I368" s="228" t="s">
        <v>1130</v>
      </c>
      <c r="J368" s="221"/>
      <c r="K368" s="224" t="s">
        <v>1417</v>
      </c>
      <c r="L368" s="223"/>
      <c r="M368" s="223"/>
      <c r="N368" s="223"/>
      <c r="O368" s="256"/>
      <c r="P368" s="276"/>
      <c r="Q368" s="276"/>
      <c r="R368" s="276"/>
      <c r="S368" s="276"/>
    </row>
    <row r="369" spans="1:19" x14ac:dyDescent="0.2">
      <c r="A369" s="203"/>
      <c r="B369" s="193"/>
      <c r="C369" s="193"/>
      <c r="D369" s="220" t="s">
        <v>1133</v>
      </c>
      <c r="G369" s="197"/>
      <c r="H369" s="214"/>
      <c r="I369" s="221"/>
      <c r="J369" s="222">
        <v>9</v>
      </c>
      <c r="K369" s="223"/>
      <c r="L369" s="224" t="s">
        <v>1406</v>
      </c>
      <c r="M369" s="223"/>
      <c r="N369" s="223"/>
      <c r="O369" s="256" t="s">
        <v>1133</v>
      </c>
      <c r="P369" s="197"/>
      <c r="Q369" s="197"/>
      <c r="R369" s="197"/>
      <c r="S369" s="197"/>
    </row>
    <row r="370" spans="1:19" x14ac:dyDescent="0.2">
      <c r="A370" s="203"/>
      <c r="B370" s="193"/>
      <c r="C370" s="193"/>
      <c r="D370" s="220" t="s">
        <v>1133</v>
      </c>
      <c r="G370" s="197"/>
      <c r="H370" s="214"/>
      <c r="I370" s="221"/>
      <c r="J370" s="222">
        <v>10</v>
      </c>
      <c r="K370" s="223"/>
      <c r="L370" s="224" t="s">
        <v>1423</v>
      </c>
      <c r="M370" s="223"/>
      <c r="N370" s="223"/>
      <c r="O370" s="256" t="s">
        <v>1133</v>
      </c>
      <c r="P370" s="197"/>
      <c r="Q370" s="197"/>
      <c r="R370" s="197"/>
      <c r="S370" s="197"/>
    </row>
    <row r="371" spans="1:19" x14ac:dyDescent="0.2">
      <c r="A371" s="203"/>
      <c r="B371" s="193"/>
      <c r="C371" s="193"/>
      <c r="D371" s="220" t="s">
        <v>1133</v>
      </c>
      <c r="G371" s="197"/>
      <c r="H371" s="214"/>
      <c r="I371" s="221"/>
      <c r="J371" s="222">
        <v>11</v>
      </c>
      <c r="K371" s="223"/>
      <c r="L371" s="224" t="s">
        <v>1415</v>
      </c>
      <c r="M371" s="223"/>
      <c r="N371" s="223"/>
      <c r="O371" s="256" t="s">
        <v>1133</v>
      </c>
      <c r="P371" s="197"/>
      <c r="Q371" s="197"/>
      <c r="R371" s="197"/>
      <c r="S371" s="197"/>
    </row>
    <row r="372" spans="1:19" x14ac:dyDescent="0.2">
      <c r="A372" s="203"/>
      <c r="B372" s="193"/>
      <c r="C372" s="193"/>
      <c r="D372" s="220" t="s">
        <v>1133</v>
      </c>
      <c r="G372" s="197"/>
      <c r="H372" s="214"/>
      <c r="I372" s="221"/>
      <c r="J372" s="222">
        <v>12</v>
      </c>
      <c r="K372" s="223"/>
      <c r="L372" s="224" t="s">
        <v>1424</v>
      </c>
      <c r="M372" s="223"/>
      <c r="N372" s="223"/>
      <c r="O372" s="256" t="s">
        <v>1133</v>
      </c>
      <c r="P372" s="197"/>
      <c r="Q372" s="197"/>
      <c r="R372" s="197"/>
      <c r="S372" s="197"/>
    </row>
    <row r="373" spans="1:19" x14ac:dyDescent="0.2">
      <c r="A373" s="203"/>
      <c r="B373" s="193"/>
      <c r="C373" s="193"/>
      <c r="D373" s="220" t="s">
        <v>1133</v>
      </c>
      <c r="G373" s="197"/>
      <c r="H373" s="214"/>
      <c r="I373" s="221"/>
      <c r="J373" s="222">
        <v>13</v>
      </c>
      <c r="K373" s="223"/>
      <c r="L373" s="224" t="s">
        <v>1416</v>
      </c>
      <c r="M373" s="223"/>
      <c r="N373" s="223"/>
      <c r="O373" s="256" t="s">
        <v>1133</v>
      </c>
      <c r="P373" s="197"/>
      <c r="Q373" s="197"/>
      <c r="R373" s="197"/>
      <c r="S373" s="197"/>
    </row>
    <row r="374" spans="1:19" x14ac:dyDescent="0.2">
      <c r="A374" s="203"/>
      <c r="B374" s="193"/>
      <c r="C374" s="193"/>
      <c r="D374" s="220" t="s">
        <v>1133</v>
      </c>
      <c r="G374" s="197"/>
      <c r="H374" s="214"/>
      <c r="I374" s="233"/>
      <c r="J374" s="228">
        <v>14</v>
      </c>
      <c r="K374" s="229"/>
      <c r="L374" s="230" t="s">
        <v>1425</v>
      </c>
      <c r="M374" s="229"/>
      <c r="N374" s="229"/>
      <c r="O374" s="275" t="s">
        <v>1133</v>
      </c>
      <c r="P374" s="197"/>
      <c r="Q374" s="197"/>
      <c r="R374" s="197"/>
      <c r="S374" s="197"/>
    </row>
    <row r="375" spans="1:19" x14ac:dyDescent="0.2">
      <c r="A375" s="203"/>
      <c r="B375" s="193"/>
      <c r="C375" s="193"/>
      <c r="D375" s="220"/>
      <c r="G375" s="197"/>
      <c r="H375" s="214"/>
      <c r="I375" s="228" t="s">
        <v>1134</v>
      </c>
      <c r="J375" s="221"/>
      <c r="K375" s="224" t="s">
        <v>1426</v>
      </c>
      <c r="L375" s="223"/>
      <c r="M375" s="223"/>
      <c r="N375" s="223"/>
      <c r="O375" s="256"/>
      <c r="P375" s="197"/>
      <c r="Q375" s="197"/>
      <c r="R375" s="197"/>
      <c r="S375" s="197"/>
    </row>
    <row r="376" spans="1:19" x14ac:dyDescent="0.2">
      <c r="A376" s="203"/>
      <c r="B376" s="193"/>
      <c r="C376" s="193"/>
      <c r="D376" s="220" t="s">
        <v>1133</v>
      </c>
      <c r="G376" s="197"/>
      <c r="H376" s="214"/>
      <c r="I376" s="221"/>
      <c r="J376" s="222">
        <v>1</v>
      </c>
      <c r="K376" s="223"/>
      <c r="L376" s="224" t="s">
        <v>1231</v>
      </c>
      <c r="M376" s="223"/>
      <c r="N376" s="223"/>
      <c r="O376" s="256" t="s">
        <v>1133</v>
      </c>
      <c r="P376" s="197"/>
      <c r="Q376" s="197"/>
      <c r="R376" s="197"/>
      <c r="S376" s="197"/>
    </row>
    <row r="377" spans="1:19" x14ac:dyDescent="0.2">
      <c r="A377" s="203"/>
      <c r="B377" s="193"/>
      <c r="C377" s="193"/>
      <c r="D377" s="220" t="s">
        <v>1133</v>
      </c>
      <c r="G377" s="197"/>
      <c r="H377" s="214"/>
      <c r="I377" s="221"/>
      <c r="J377" s="222">
        <v>2</v>
      </c>
      <c r="K377" s="223"/>
      <c r="L377" s="224" t="s">
        <v>1418</v>
      </c>
      <c r="M377" s="223"/>
      <c r="N377" s="223"/>
      <c r="O377" s="256" t="s">
        <v>1133</v>
      </c>
      <c r="P377" s="197"/>
      <c r="Q377" s="197"/>
      <c r="R377" s="197"/>
      <c r="S377" s="197"/>
    </row>
    <row r="378" spans="1:19" x14ac:dyDescent="0.2">
      <c r="A378" s="203"/>
      <c r="B378" s="193"/>
      <c r="C378" s="193"/>
      <c r="D378" s="220" t="s">
        <v>1133</v>
      </c>
      <c r="G378" s="197"/>
      <c r="H378" s="214"/>
      <c r="I378" s="221"/>
      <c r="J378" s="222">
        <v>3</v>
      </c>
      <c r="K378" s="223"/>
      <c r="L378" s="224" t="s">
        <v>1419</v>
      </c>
      <c r="M378" s="223"/>
      <c r="N378" s="223"/>
      <c r="O378" s="256" t="s">
        <v>1133</v>
      </c>
      <c r="P378" s="197"/>
      <c r="Q378" s="197"/>
      <c r="R378" s="197"/>
      <c r="S378" s="197"/>
    </row>
    <row r="379" spans="1:19" x14ac:dyDescent="0.2">
      <c r="A379" s="203"/>
      <c r="B379" s="193"/>
      <c r="C379" s="193"/>
      <c r="D379" s="220" t="s">
        <v>1133</v>
      </c>
      <c r="G379" s="197"/>
      <c r="H379" s="214"/>
      <c r="I379" s="221"/>
      <c r="J379" s="222">
        <v>4</v>
      </c>
      <c r="K379" s="223"/>
      <c r="L379" s="224" t="s">
        <v>1420</v>
      </c>
      <c r="M379" s="223"/>
      <c r="N379" s="223"/>
      <c r="O379" s="256" t="s">
        <v>1133</v>
      </c>
      <c r="P379" s="197"/>
      <c r="Q379" s="197"/>
      <c r="R379" s="197"/>
      <c r="S379" s="197"/>
    </row>
    <row r="380" spans="1:19" x14ac:dyDescent="0.2">
      <c r="A380" s="203"/>
      <c r="B380" s="193"/>
      <c r="C380" s="193"/>
      <c r="D380" s="220" t="s">
        <v>1133</v>
      </c>
      <c r="G380" s="197"/>
      <c r="H380" s="214"/>
      <c r="I380" s="221"/>
      <c r="J380" s="222">
        <v>5</v>
      </c>
      <c r="K380" s="223"/>
      <c r="L380" s="224" t="s">
        <v>1284</v>
      </c>
      <c r="M380" s="223"/>
      <c r="N380" s="223"/>
      <c r="O380" s="256" t="s">
        <v>1133</v>
      </c>
      <c r="P380" s="197"/>
      <c r="Q380" s="197"/>
      <c r="R380" s="197"/>
      <c r="S380" s="197"/>
    </row>
    <row r="381" spans="1:19" x14ac:dyDescent="0.2">
      <c r="A381" s="203"/>
      <c r="B381" s="193"/>
      <c r="C381" s="193"/>
      <c r="D381" s="220" t="s">
        <v>1133</v>
      </c>
      <c r="G381" s="197"/>
      <c r="H381" s="214"/>
      <c r="I381" s="221"/>
      <c r="J381" s="222">
        <v>6</v>
      </c>
      <c r="K381" s="223"/>
      <c r="L381" s="224" t="s">
        <v>1421</v>
      </c>
      <c r="M381" s="223"/>
      <c r="N381" s="223"/>
      <c r="O381" s="256" t="s">
        <v>1133</v>
      </c>
      <c r="P381" s="197"/>
      <c r="Q381" s="197"/>
      <c r="R381" s="197"/>
      <c r="S381" s="197"/>
    </row>
    <row r="382" spans="1:19" x14ac:dyDescent="0.2">
      <c r="A382" s="203"/>
      <c r="B382" s="193"/>
      <c r="C382" s="193"/>
      <c r="D382" s="220" t="s">
        <v>1133</v>
      </c>
      <c r="G382" s="197"/>
      <c r="H382" s="214"/>
      <c r="I382" s="221"/>
      <c r="J382" s="222">
        <v>7</v>
      </c>
      <c r="K382" s="223"/>
      <c r="L382" s="224" t="s">
        <v>1427</v>
      </c>
      <c r="M382" s="223"/>
      <c r="N382" s="223"/>
      <c r="O382" s="256" t="s">
        <v>1133</v>
      </c>
      <c r="P382" s="197"/>
      <c r="Q382" s="197"/>
      <c r="R382" s="197"/>
      <c r="S382" s="197"/>
    </row>
    <row r="383" spans="1:19" x14ac:dyDescent="0.2">
      <c r="A383" s="203"/>
      <c r="B383" s="193"/>
      <c r="C383" s="193"/>
      <c r="D383" s="220" t="s">
        <v>1133</v>
      </c>
      <c r="G383" s="197"/>
      <c r="H383" s="214"/>
      <c r="I383" s="221"/>
      <c r="J383" s="222">
        <v>8</v>
      </c>
      <c r="K383" s="223"/>
      <c r="L383" s="224" t="s">
        <v>1414</v>
      </c>
      <c r="M383" s="223"/>
      <c r="N383" s="223"/>
      <c r="O383" s="256" t="s">
        <v>1133</v>
      </c>
      <c r="P383" s="197"/>
      <c r="Q383" s="197"/>
      <c r="R383" s="197"/>
      <c r="S383" s="197"/>
    </row>
    <row r="384" spans="1:19" ht="15.75" thickBot="1" x14ac:dyDescent="0.25">
      <c r="A384" s="203"/>
      <c r="B384" s="193"/>
      <c r="C384" s="193"/>
      <c r="D384" s="220" t="s">
        <v>1133</v>
      </c>
      <c r="G384" s="197"/>
      <c r="H384" s="267"/>
      <c r="I384" s="268"/>
      <c r="J384" s="269">
        <v>9</v>
      </c>
      <c r="K384" s="270"/>
      <c r="L384" s="271" t="s">
        <v>1406</v>
      </c>
      <c r="M384" s="270"/>
      <c r="N384" s="270"/>
      <c r="O384" s="325" t="s">
        <v>1133</v>
      </c>
      <c r="P384" s="197"/>
      <c r="Q384" s="197"/>
      <c r="R384" s="197"/>
      <c r="S384" s="197"/>
    </row>
    <row r="385" spans="1:19" x14ac:dyDescent="0.2">
      <c r="A385" s="203"/>
      <c r="B385" s="193"/>
      <c r="C385" s="193"/>
      <c r="D385" s="220"/>
      <c r="G385" s="223"/>
      <c r="H385" s="273"/>
      <c r="I385" s="221"/>
      <c r="J385" s="221"/>
      <c r="K385" s="223"/>
      <c r="L385" s="224"/>
      <c r="M385" s="223"/>
      <c r="N385" s="223"/>
      <c r="O385" s="331"/>
      <c r="P385" s="223"/>
      <c r="Q385" s="223"/>
      <c r="R385" s="223"/>
      <c r="S385" s="223"/>
    </row>
    <row r="386" spans="1:19" x14ac:dyDescent="0.2">
      <c r="A386" s="203"/>
      <c r="B386" s="193"/>
      <c r="C386" s="193"/>
      <c r="D386" s="220"/>
      <c r="G386" s="223"/>
      <c r="H386" s="273"/>
      <c r="I386" s="221"/>
      <c r="J386" s="221"/>
      <c r="K386" s="223"/>
      <c r="L386" s="224"/>
      <c r="M386" s="223"/>
      <c r="N386" s="223"/>
      <c r="O386" s="331"/>
      <c r="P386" s="223"/>
      <c r="Q386" s="223"/>
      <c r="R386" s="223"/>
      <c r="S386" s="223"/>
    </row>
    <row r="387" spans="1:19" x14ac:dyDescent="0.2">
      <c r="A387" s="203">
        <v>43</v>
      </c>
      <c r="B387" s="193" t="s">
        <v>1398</v>
      </c>
      <c r="C387" s="193" t="s">
        <v>1399</v>
      </c>
      <c r="D387" s="220"/>
      <c r="G387" s="197"/>
      <c r="H387" s="241">
        <v>43</v>
      </c>
      <c r="I387" s="243"/>
      <c r="J387" s="254"/>
      <c r="K387" s="311" t="s">
        <v>1399</v>
      </c>
      <c r="L387" s="254"/>
      <c r="M387" s="254"/>
      <c r="N387" s="254"/>
      <c r="O387" s="265"/>
      <c r="P387" s="197"/>
      <c r="Q387" s="212">
        <f>H387</f>
        <v>43</v>
      </c>
      <c r="R387" s="202" t="str">
        <f>CONCATENATE("II-",TEXT(Q387,"0000"))</f>
        <v>II-0043</v>
      </c>
      <c r="S387" s="213" t="str">
        <f>K387</f>
        <v>HORMIGON CEMENTO PORTLAND EXCLUIDA LA ARAMDURA</v>
      </c>
    </row>
    <row r="388" spans="1:19" x14ac:dyDescent="0.2">
      <c r="A388" s="203"/>
      <c r="B388" s="193"/>
      <c r="C388" s="193"/>
      <c r="D388" s="220"/>
      <c r="G388" s="276"/>
      <c r="H388" s="298"/>
      <c r="I388" s="228" t="s">
        <v>1134</v>
      </c>
      <c r="J388" s="221"/>
      <c r="K388" s="224" t="s">
        <v>1426</v>
      </c>
      <c r="L388" s="300"/>
      <c r="M388" s="300"/>
      <c r="N388" s="300"/>
      <c r="O388" s="287"/>
      <c r="P388" s="276"/>
      <c r="Q388" s="276"/>
      <c r="R388" s="276"/>
      <c r="S388" s="276"/>
    </row>
    <row r="389" spans="1:19" x14ac:dyDescent="0.2">
      <c r="A389" s="203"/>
      <c r="B389" s="193"/>
      <c r="C389" s="193"/>
      <c r="D389" s="220" t="s">
        <v>1133</v>
      </c>
      <c r="G389" s="197"/>
      <c r="H389" s="214"/>
      <c r="I389" s="221"/>
      <c r="J389" s="222">
        <v>10</v>
      </c>
      <c r="K389" s="223"/>
      <c r="L389" s="224" t="s">
        <v>1423</v>
      </c>
      <c r="M389" s="223"/>
      <c r="N389" s="223"/>
      <c r="O389" s="256" t="s">
        <v>1133</v>
      </c>
      <c r="P389" s="197"/>
      <c r="Q389" s="197"/>
      <c r="R389" s="197"/>
      <c r="S389" s="197"/>
    </row>
    <row r="390" spans="1:19" x14ac:dyDescent="0.2">
      <c r="A390" s="203"/>
      <c r="B390" s="193"/>
      <c r="C390" s="193"/>
      <c r="D390" s="220" t="s">
        <v>1133</v>
      </c>
      <c r="G390" s="197"/>
      <c r="H390" s="214"/>
      <c r="I390" s="221"/>
      <c r="J390" s="222">
        <v>11</v>
      </c>
      <c r="K390" s="223"/>
      <c r="L390" s="224" t="s">
        <v>1415</v>
      </c>
      <c r="M390" s="223"/>
      <c r="N390" s="223"/>
      <c r="O390" s="256" t="s">
        <v>1133</v>
      </c>
      <c r="P390" s="197"/>
      <c r="Q390" s="197"/>
      <c r="R390" s="197"/>
      <c r="S390" s="197"/>
    </row>
    <row r="391" spans="1:19" x14ac:dyDescent="0.2">
      <c r="A391" s="203"/>
      <c r="B391" s="193"/>
      <c r="C391" s="193"/>
      <c r="D391" s="220" t="s">
        <v>1133</v>
      </c>
      <c r="G391" s="197"/>
      <c r="H391" s="214"/>
      <c r="I391" s="221"/>
      <c r="J391" s="222">
        <v>12</v>
      </c>
      <c r="K391" s="223"/>
      <c r="L391" s="224" t="s">
        <v>1424</v>
      </c>
      <c r="M391" s="223"/>
      <c r="N391" s="223"/>
      <c r="O391" s="256" t="s">
        <v>1133</v>
      </c>
      <c r="P391" s="197"/>
      <c r="Q391" s="197"/>
      <c r="R391" s="197"/>
      <c r="S391" s="197"/>
    </row>
    <row r="392" spans="1:19" x14ac:dyDescent="0.2">
      <c r="A392" s="203"/>
      <c r="B392" s="193"/>
      <c r="C392" s="193"/>
      <c r="D392" s="220" t="s">
        <v>1133</v>
      </c>
      <c r="G392" s="197"/>
      <c r="H392" s="214"/>
      <c r="I392" s="221"/>
      <c r="J392" s="222">
        <v>13</v>
      </c>
      <c r="K392" s="223"/>
      <c r="L392" s="224" t="s">
        <v>1416</v>
      </c>
      <c r="M392" s="223"/>
      <c r="N392" s="223"/>
      <c r="O392" s="256" t="s">
        <v>1133</v>
      </c>
      <c r="P392" s="197"/>
      <c r="Q392" s="197"/>
      <c r="R392" s="197"/>
      <c r="S392" s="197"/>
    </row>
    <row r="393" spans="1:19" x14ac:dyDescent="0.2">
      <c r="A393" s="203"/>
      <c r="B393" s="193"/>
      <c r="C393" s="193"/>
      <c r="D393" s="220" t="s">
        <v>1133</v>
      </c>
      <c r="G393" s="197"/>
      <c r="H393" s="214"/>
      <c r="I393" s="233"/>
      <c r="J393" s="228">
        <v>14</v>
      </c>
      <c r="K393" s="229"/>
      <c r="L393" s="230" t="s">
        <v>1425</v>
      </c>
      <c r="M393" s="229"/>
      <c r="N393" s="229"/>
      <c r="O393" s="275" t="s">
        <v>1133</v>
      </c>
      <c r="P393" s="197"/>
      <c r="Q393" s="197"/>
      <c r="R393" s="197"/>
      <c r="S393" s="197"/>
    </row>
    <row r="394" spans="1:19" x14ac:dyDescent="0.2">
      <c r="A394" s="203"/>
      <c r="B394" s="193"/>
      <c r="C394" s="193"/>
      <c r="D394" s="220"/>
      <c r="G394" s="197"/>
      <c r="H394" s="214"/>
      <c r="I394" s="228" t="s">
        <v>1137</v>
      </c>
      <c r="J394" s="221"/>
      <c r="K394" s="224" t="s">
        <v>1428</v>
      </c>
      <c r="L394" s="223"/>
      <c r="M394" s="223"/>
      <c r="N394" s="223"/>
      <c r="O394" s="256"/>
      <c r="P394" s="197"/>
      <c r="Q394" s="197"/>
      <c r="R394" s="197"/>
      <c r="S394" s="197"/>
    </row>
    <row r="395" spans="1:19" x14ac:dyDescent="0.2">
      <c r="A395" s="203"/>
      <c r="B395" s="193"/>
      <c r="C395" s="193"/>
      <c r="D395" s="220" t="s">
        <v>1133</v>
      </c>
      <c r="G395" s="197"/>
      <c r="H395" s="214"/>
      <c r="I395" s="221"/>
      <c r="J395" s="222">
        <v>1</v>
      </c>
      <c r="K395" s="223"/>
      <c r="L395" s="224" t="s">
        <v>1419</v>
      </c>
      <c r="M395" s="223"/>
      <c r="N395" s="223"/>
      <c r="O395" s="256" t="s">
        <v>1133</v>
      </c>
      <c r="P395" s="197"/>
      <c r="Q395" s="197"/>
      <c r="R395" s="197"/>
      <c r="S395" s="197"/>
    </row>
    <row r="396" spans="1:19" x14ac:dyDescent="0.2">
      <c r="A396" s="203"/>
      <c r="B396" s="193"/>
      <c r="C396" s="193"/>
      <c r="D396" s="220" t="s">
        <v>1133</v>
      </c>
      <c r="G396" s="197"/>
      <c r="H396" s="214"/>
      <c r="I396" s="221"/>
      <c r="J396" s="222">
        <v>2</v>
      </c>
      <c r="K396" s="223"/>
      <c r="L396" s="224" t="s">
        <v>1420</v>
      </c>
      <c r="M396" s="223"/>
      <c r="N396" s="223"/>
      <c r="O396" s="256" t="s">
        <v>1133</v>
      </c>
      <c r="P396" s="197"/>
      <c r="Q396" s="197"/>
      <c r="R396" s="197"/>
      <c r="S396" s="197"/>
    </row>
    <row r="397" spans="1:19" x14ac:dyDescent="0.2">
      <c r="A397" s="203"/>
      <c r="B397" s="193"/>
      <c r="C397" s="193"/>
      <c r="D397" s="220" t="s">
        <v>1133</v>
      </c>
      <c r="G397" s="197"/>
      <c r="H397" s="214"/>
      <c r="I397" s="221"/>
      <c r="J397" s="222">
        <v>3</v>
      </c>
      <c r="K397" s="223"/>
      <c r="L397" s="224" t="s">
        <v>1284</v>
      </c>
      <c r="M397" s="223"/>
      <c r="N397" s="223"/>
      <c r="O397" s="256" t="s">
        <v>1133</v>
      </c>
      <c r="P397" s="197"/>
      <c r="Q397" s="197"/>
      <c r="R397" s="197"/>
      <c r="S397" s="197"/>
    </row>
    <row r="398" spans="1:19" x14ac:dyDescent="0.2">
      <c r="A398" s="203"/>
      <c r="B398" s="193"/>
      <c r="C398" s="193"/>
      <c r="D398" s="220" t="s">
        <v>1133</v>
      </c>
      <c r="G398" s="197"/>
      <c r="H398" s="214"/>
      <c r="I398" s="221"/>
      <c r="J398" s="222">
        <v>4</v>
      </c>
      <c r="K398" s="223"/>
      <c r="L398" s="224" t="s">
        <v>1421</v>
      </c>
      <c r="M398" s="223"/>
      <c r="N398" s="223"/>
      <c r="O398" s="256" t="s">
        <v>1133</v>
      </c>
      <c r="P398" s="197"/>
      <c r="Q398" s="197"/>
      <c r="R398" s="197"/>
      <c r="S398" s="197"/>
    </row>
    <row r="399" spans="1:19" x14ac:dyDescent="0.2">
      <c r="A399" s="203"/>
      <c r="B399" s="193"/>
      <c r="C399" s="193"/>
      <c r="D399" s="220" t="s">
        <v>1133</v>
      </c>
      <c r="G399" s="197"/>
      <c r="H399" s="214"/>
      <c r="I399" s="221"/>
      <c r="J399" s="222">
        <v>5</v>
      </c>
      <c r="K399" s="223"/>
      <c r="L399" s="224" t="s">
        <v>1427</v>
      </c>
      <c r="M399" s="223"/>
      <c r="N399" s="223"/>
      <c r="O399" s="256" t="s">
        <v>1133</v>
      </c>
      <c r="P399" s="197"/>
      <c r="Q399" s="197"/>
      <c r="R399" s="197"/>
      <c r="S399" s="197"/>
    </row>
    <row r="400" spans="1:19" x14ac:dyDescent="0.2">
      <c r="A400" s="203"/>
      <c r="B400" s="193"/>
      <c r="C400" s="193"/>
      <c r="D400" s="220" t="s">
        <v>1133</v>
      </c>
      <c r="G400" s="197"/>
      <c r="H400" s="214"/>
      <c r="I400" s="221"/>
      <c r="J400" s="222">
        <v>6</v>
      </c>
      <c r="K400" s="223"/>
      <c r="L400" s="224" t="s">
        <v>1406</v>
      </c>
      <c r="M400" s="223"/>
      <c r="N400" s="223"/>
      <c r="O400" s="256" t="s">
        <v>1133</v>
      </c>
      <c r="P400" s="197"/>
      <c r="Q400" s="197"/>
      <c r="R400" s="197"/>
      <c r="S400" s="197"/>
    </row>
    <row r="401" spans="1:19" x14ac:dyDescent="0.2">
      <c r="A401" s="203"/>
      <c r="B401" s="193"/>
      <c r="C401" s="193"/>
      <c r="D401" s="220" t="s">
        <v>1133</v>
      </c>
      <c r="G401" s="197"/>
      <c r="H401" s="214"/>
      <c r="I401" s="221"/>
      <c r="J401" s="222">
        <v>7</v>
      </c>
      <c r="K401" s="223"/>
      <c r="L401" s="224" t="s">
        <v>1423</v>
      </c>
      <c r="M401" s="223"/>
      <c r="N401" s="223"/>
      <c r="O401" s="256" t="s">
        <v>1133</v>
      </c>
      <c r="P401" s="197"/>
      <c r="Q401" s="197"/>
      <c r="R401" s="197"/>
      <c r="S401" s="197"/>
    </row>
    <row r="402" spans="1:19" x14ac:dyDescent="0.2">
      <c r="A402" s="203"/>
      <c r="B402" s="193"/>
      <c r="C402" s="193"/>
      <c r="D402" s="220" t="s">
        <v>1133</v>
      </c>
      <c r="G402" s="197"/>
      <c r="H402" s="214"/>
      <c r="I402" s="221"/>
      <c r="J402" s="222">
        <v>8</v>
      </c>
      <c r="K402" s="223"/>
      <c r="L402" s="224" t="s">
        <v>1415</v>
      </c>
      <c r="M402" s="223"/>
      <c r="N402" s="223"/>
      <c r="O402" s="256" t="s">
        <v>1133</v>
      </c>
      <c r="P402" s="197"/>
      <c r="Q402" s="197"/>
      <c r="R402" s="197"/>
      <c r="S402" s="197"/>
    </row>
    <row r="403" spans="1:19" x14ac:dyDescent="0.2">
      <c r="A403" s="203"/>
      <c r="B403" s="193"/>
      <c r="C403" s="193"/>
      <c r="D403" s="220" t="s">
        <v>1133</v>
      </c>
      <c r="G403" s="197"/>
      <c r="H403" s="214"/>
      <c r="I403" s="221"/>
      <c r="J403" s="222">
        <v>9</v>
      </c>
      <c r="K403" s="223"/>
      <c r="L403" s="224" t="s">
        <v>1424</v>
      </c>
      <c r="M403" s="223"/>
      <c r="N403" s="223"/>
      <c r="O403" s="256" t="s">
        <v>1133</v>
      </c>
      <c r="P403" s="197"/>
      <c r="Q403" s="197"/>
      <c r="R403" s="197"/>
      <c r="S403" s="197"/>
    </row>
    <row r="404" spans="1:19" ht="15.75" thickBot="1" x14ac:dyDescent="0.25">
      <c r="A404" s="203"/>
      <c r="B404" s="193"/>
      <c r="C404" s="193"/>
      <c r="D404" s="220" t="s">
        <v>1133</v>
      </c>
      <c r="G404" s="197"/>
      <c r="H404" s="234"/>
      <c r="I404" s="235"/>
      <c r="J404" s="236">
        <v>10</v>
      </c>
      <c r="K404" s="237"/>
      <c r="L404" s="238" t="s">
        <v>1425</v>
      </c>
      <c r="M404" s="237"/>
      <c r="N404" s="237"/>
      <c r="O404" s="322" t="s">
        <v>1133</v>
      </c>
      <c r="P404" s="197"/>
      <c r="Q404" s="197"/>
      <c r="R404" s="197"/>
      <c r="S404" s="197"/>
    </row>
    <row r="405" spans="1:19" ht="15.75" thickTop="1" x14ac:dyDescent="0.2">
      <c r="A405" s="203">
        <v>44</v>
      </c>
      <c r="B405" s="193" t="s">
        <v>1429</v>
      </c>
      <c r="C405" s="193" t="s">
        <v>1430</v>
      </c>
      <c r="D405" s="220"/>
      <c r="G405" s="197"/>
      <c r="H405" s="241">
        <v>44</v>
      </c>
      <c r="I405" s="243"/>
      <c r="J405" s="254"/>
      <c r="K405" s="311" t="s">
        <v>1430</v>
      </c>
      <c r="L405" s="254"/>
      <c r="M405" s="254"/>
      <c r="N405" s="254"/>
      <c r="O405" s="265"/>
      <c r="P405" s="197"/>
      <c r="Q405" s="212">
        <f>H405</f>
        <v>44</v>
      </c>
      <c r="R405" s="202" t="str">
        <f>CONCATENATE("II-",TEXT(Q405,"0000"))</f>
        <v>II-0044</v>
      </c>
      <c r="S405" s="213" t="str">
        <f>K405</f>
        <v>HORMIGON  ARS EXCLUIDA LA ARAMDURA</v>
      </c>
    </row>
    <row r="406" spans="1:19" x14ac:dyDescent="0.2">
      <c r="A406" s="203"/>
      <c r="B406" s="193"/>
      <c r="C406" s="193"/>
      <c r="D406" s="220"/>
      <c r="G406" s="197"/>
      <c r="H406" s="214"/>
      <c r="I406" s="228" t="s">
        <v>1022</v>
      </c>
      <c r="J406" s="221"/>
      <c r="K406" s="224" t="s">
        <v>1400</v>
      </c>
      <c r="L406" s="223"/>
      <c r="M406" s="223"/>
      <c r="N406" s="223"/>
      <c r="O406" s="256"/>
      <c r="P406" s="197"/>
      <c r="Q406" s="197"/>
      <c r="R406" s="197"/>
      <c r="S406" s="197"/>
    </row>
    <row r="407" spans="1:19" x14ac:dyDescent="0.2">
      <c r="A407" s="203"/>
      <c r="B407" s="193"/>
      <c r="C407" s="193"/>
      <c r="D407" s="220" t="s">
        <v>1133</v>
      </c>
      <c r="G407" s="197"/>
      <c r="H407" s="214"/>
      <c r="I407" s="221"/>
      <c r="J407" s="222">
        <v>1</v>
      </c>
      <c r="K407" s="223"/>
      <c r="L407" s="224" t="s">
        <v>1231</v>
      </c>
      <c r="M407" s="223"/>
      <c r="N407" s="223"/>
      <c r="O407" s="256" t="s">
        <v>1133</v>
      </c>
      <c r="P407" s="197"/>
      <c r="Q407" s="197"/>
      <c r="R407" s="197"/>
      <c r="S407" s="197"/>
    </row>
    <row r="408" spans="1:19" x14ac:dyDescent="0.2">
      <c r="A408" s="203"/>
      <c r="B408" s="193"/>
      <c r="C408" s="193"/>
      <c r="D408" s="220" t="s">
        <v>1133</v>
      </c>
      <c r="G408" s="197"/>
      <c r="H408" s="214"/>
      <c r="I408" s="221"/>
      <c r="J408" s="222">
        <v>2</v>
      </c>
      <c r="K408" s="223"/>
      <c r="L408" s="224" t="s">
        <v>1402</v>
      </c>
      <c r="M408" s="223"/>
      <c r="N408" s="223"/>
      <c r="O408" s="256" t="s">
        <v>1133</v>
      </c>
      <c r="P408" s="197"/>
      <c r="Q408" s="197"/>
      <c r="R408" s="197"/>
      <c r="S408" s="197"/>
    </row>
    <row r="409" spans="1:19" x14ac:dyDescent="0.2">
      <c r="A409" s="203"/>
      <c r="B409" s="193"/>
      <c r="C409" s="193"/>
      <c r="D409" s="220" t="s">
        <v>1133</v>
      </c>
      <c r="G409" s="197"/>
      <c r="H409" s="214"/>
      <c r="I409" s="221"/>
      <c r="J409" s="222">
        <v>3</v>
      </c>
      <c r="K409" s="223"/>
      <c r="L409" s="224" t="s">
        <v>1431</v>
      </c>
      <c r="M409" s="223"/>
      <c r="N409" s="223"/>
      <c r="O409" s="256" t="s">
        <v>1133</v>
      </c>
      <c r="P409" s="197"/>
      <c r="Q409" s="197"/>
      <c r="R409" s="197"/>
      <c r="S409" s="197"/>
    </row>
    <row r="410" spans="1:19" x14ac:dyDescent="0.2">
      <c r="A410" s="203"/>
      <c r="B410" s="193"/>
      <c r="C410" s="193"/>
      <c r="D410" s="220" t="s">
        <v>1133</v>
      </c>
      <c r="G410" s="197"/>
      <c r="H410" s="214"/>
      <c r="I410" s="221"/>
      <c r="J410" s="222">
        <v>4</v>
      </c>
      <c r="K410" s="223"/>
      <c r="L410" s="224" t="s">
        <v>1382</v>
      </c>
      <c r="M410" s="223"/>
      <c r="N410" s="223"/>
      <c r="O410" s="256" t="s">
        <v>1133</v>
      </c>
      <c r="P410" s="197"/>
      <c r="Q410" s="197"/>
      <c r="R410" s="197"/>
      <c r="S410" s="197"/>
    </row>
    <row r="411" spans="1:19" x14ac:dyDescent="0.2">
      <c r="A411" s="203"/>
      <c r="B411" s="193"/>
      <c r="C411" s="193"/>
      <c r="D411" s="220" t="s">
        <v>1133</v>
      </c>
      <c r="G411" s="197"/>
      <c r="H411" s="214"/>
      <c r="I411" s="233"/>
      <c r="J411" s="228">
        <v>5</v>
      </c>
      <c r="K411" s="229"/>
      <c r="L411" s="230" t="s">
        <v>1403</v>
      </c>
      <c r="M411" s="229"/>
      <c r="N411" s="229"/>
      <c r="O411" s="275" t="s">
        <v>1133</v>
      </c>
      <c r="P411" s="197"/>
      <c r="Q411" s="197"/>
      <c r="R411" s="197"/>
      <c r="S411" s="197"/>
    </row>
    <row r="412" spans="1:19" x14ac:dyDescent="0.2">
      <c r="A412" s="203"/>
      <c r="B412" s="193"/>
      <c r="C412" s="193"/>
      <c r="D412" s="220"/>
      <c r="G412" s="197"/>
      <c r="H412" s="214"/>
      <c r="I412" s="228" t="s">
        <v>1049</v>
      </c>
      <c r="J412" s="221"/>
      <c r="K412" s="224" t="s">
        <v>1404</v>
      </c>
      <c r="L412" s="223"/>
      <c r="M412" s="223"/>
      <c r="N412" s="223"/>
      <c r="O412" s="256"/>
      <c r="P412" s="197"/>
      <c r="Q412" s="197"/>
      <c r="R412" s="197"/>
      <c r="S412" s="197"/>
    </row>
    <row r="413" spans="1:19" x14ac:dyDescent="0.2">
      <c r="A413" s="203"/>
      <c r="B413" s="193"/>
      <c r="C413" s="193"/>
      <c r="D413" s="220" t="s">
        <v>1133</v>
      </c>
      <c r="G413" s="197"/>
      <c r="H413" s="214"/>
      <c r="I413" s="221"/>
      <c r="J413" s="222">
        <v>1</v>
      </c>
      <c r="K413" s="223"/>
      <c r="L413" s="224" t="s">
        <v>1231</v>
      </c>
      <c r="M413" s="223"/>
      <c r="N413" s="223"/>
      <c r="O413" s="256" t="s">
        <v>1133</v>
      </c>
      <c r="P413" s="197"/>
      <c r="Q413" s="197"/>
      <c r="R413" s="197"/>
      <c r="S413" s="197"/>
    </row>
    <row r="414" spans="1:19" x14ac:dyDescent="0.2">
      <c r="A414" s="203"/>
      <c r="B414" s="193"/>
      <c r="C414" s="193"/>
      <c r="D414" s="220" t="s">
        <v>1133</v>
      </c>
      <c r="G414" s="197"/>
      <c r="H414" s="214"/>
      <c r="I414" s="221"/>
      <c r="J414" s="222">
        <v>2</v>
      </c>
      <c r="K414" s="223"/>
      <c r="L414" s="224" t="s">
        <v>1405</v>
      </c>
      <c r="M414" s="223"/>
      <c r="N414" s="223"/>
      <c r="O414" s="256" t="s">
        <v>1133</v>
      </c>
      <c r="P414" s="197"/>
      <c r="Q414" s="197"/>
      <c r="R414" s="197"/>
      <c r="S414" s="197"/>
    </row>
    <row r="415" spans="1:19" x14ac:dyDescent="0.2">
      <c r="A415" s="203"/>
      <c r="B415" s="193"/>
      <c r="C415" s="193"/>
      <c r="D415" s="220" t="s">
        <v>1133</v>
      </c>
      <c r="G415" s="197"/>
      <c r="H415" s="214"/>
      <c r="I415" s="221"/>
      <c r="J415" s="222">
        <v>3</v>
      </c>
      <c r="K415" s="223"/>
      <c r="L415" s="224" t="s">
        <v>1406</v>
      </c>
      <c r="M415" s="223"/>
      <c r="N415" s="223"/>
      <c r="O415" s="256" t="s">
        <v>1133</v>
      </c>
      <c r="P415" s="197"/>
      <c r="Q415" s="197"/>
      <c r="R415" s="197"/>
      <c r="S415" s="197"/>
    </row>
    <row r="416" spans="1:19" x14ac:dyDescent="0.2">
      <c r="A416" s="203"/>
      <c r="B416" s="193"/>
      <c r="C416" s="193"/>
      <c r="D416" s="220" t="s">
        <v>1133</v>
      </c>
      <c r="G416" s="197"/>
      <c r="H416" s="214"/>
      <c r="I416" s="348"/>
      <c r="J416" s="222">
        <v>4</v>
      </c>
      <c r="K416" s="223"/>
      <c r="L416" s="224" t="s">
        <v>1407</v>
      </c>
      <c r="M416" s="223"/>
      <c r="N416" s="223"/>
      <c r="O416" s="256" t="s">
        <v>1133</v>
      </c>
      <c r="P416" s="197"/>
      <c r="Q416" s="197"/>
      <c r="R416" s="197"/>
      <c r="S416" s="197"/>
    </row>
    <row r="417" spans="1:19" x14ac:dyDescent="0.2">
      <c r="A417" s="203"/>
      <c r="B417" s="193"/>
      <c r="C417" s="193"/>
      <c r="D417" s="220" t="s">
        <v>1133</v>
      </c>
      <c r="G417" s="197"/>
      <c r="H417" s="214"/>
      <c r="I417" s="221"/>
      <c r="J417" s="222">
        <v>5</v>
      </c>
      <c r="K417" s="223"/>
      <c r="L417" s="224" t="s">
        <v>1408</v>
      </c>
      <c r="M417" s="223"/>
      <c r="N417" s="223"/>
      <c r="O417" s="256" t="s">
        <v>1133</v>
      </c>
      <c r="P417" s="197"/>
      <c r="Q417" s="197"/>
      <c r="R417" s="197"/>
      <c r="S417" s="197"/>
    </row>
    <row r="418" spans="1:19" x14ac:dyDescent="0.2">
      <c r="A418" s="203"/>
      <c r="B418" s="193"/>
      <c r="C418" s="193"/>
      <c r="D418" s="220" t="s">
        <v>1133</v>
      </c>
      <c r="G418" s="197"/>
      <c r="H418" s="214"/>
      <c r="I418" s="233"/>
      <c r="J418" s="228">
        <v>6</v>
      </c>
      <c r="K418" s="229"/>
      <c r="L418" s="230" t="s">
        <v>1403</v>
      </c>
      <c r="M418" s="229"/>
      <c r="N418" s="229"/>
      <c r="O418" s="275" t="s">
        <v>1133</v>
      </c>
      <c r="P418" s="197"/>
      <c r="Q418" s="197"/>
      <c r="R418" s="197"/>
      <c r="S418" s="197"/>
    </row>
    <row r="419" spans="1:19" x14ac:dyDescent="0.2">
      <c r="A419" s="203"/>
      <c r="B419" s="193"/>
      <c r="C419" s="193"/>
      <c r="D419" s="220"/>
      <c r="G419" s="197"/>
      <c r="H419" s="214"/>
      <c r="I419" s="228" t="s">
        <v>1059</v>
      </c>
      <c r="J419" s="221"/>
      <c r="K419" s="224" t="s">
        <v>1409</v>
      </c>
      <c r="L419" s="223"/>
      <c r="M419" s="223"/>
      <c r="N419" s="223"/>
      <c r="O419" s="256"/>
      <c r="P419" s="197"/>
      <c r="Q419" s="197"/>
      <c r="R419" s="197"/>
      <c r="S419" s="197"/>
    </row>
    <row r="420" spans="1:19" x14ac:dyDescent="0.2">
      <c r="A420" s="203"/>
      <c r="B420" s="193"/>
      <c r="C420" s="193"/>
      <c r="D420" s="220" t="s">
        <v>1133</v>
      </c>
      <c r="G420" s="197"/>
      <c r="H420" s="214"/>
      <c r="I420" s="221"/>
      <c r="J420" s="222">
        <v>1</v>
      </c>
      <c r="K420" s="223"/>
      <c r="L420" s="224" t="s">
        <v>1410</v>
      </c>
      <c r="M420" s="223"/>
      <c r="N420" s="223"/>
      <c r="O420" s="256" t="s">
        <v>1133</v>
      </c>
      <c r="P420" s="197"/>
      <c r="Q420" s="197"/>
      <c r="R420" s="197"/>
      <c r="S420" s="197"/>
    </row>
    <row r="421" spans="1:19" x14ac:dyDescent="0.2">
      <c r="A421" s="203"/>
      <c r="B421" s="193"/>
      <c r="C421" s="193"/>
      <c r="D421" s="220" t="s">
        <v>1133</v>
      </c>
      <c r="G421" s="197"/>
      <c r="H421" s="214"/>
      <c r="I421" s="221"/>
      <c r="J421" s="222">
        <v>2</v>
      </c>
      <c r="K421" s="223"/>
      <c r="L421" s="224" t="s">
        <v>1231</v>
      </c>
      <c r="M421" s="223"/>
      <c r="N421" s="223"/>
      <c r="O421" s="256" t="s">
        <v>1133</v>
      </c>
      <c r="P421" s="197"/>
      <c r="Q421" s="197"/>
      <c r="R421" s="197"/>
      <c r="S421" s="197"/>
    </row>
    <row r="422" spans="1:19" x14ac:dyDescent="0.2">
      <c r="A422" s="203"/>
      <c r="B422" s="193"/>
      <c r="C422" s="193"/>
      <c r="D422" s="220" t="s">
        <v>1133</v>
      </c>
      <c r="G422" s="197"/>
      <c r="H422" s="214"/>
      <c r="I422" s="221"/>
      <c r="J422" s="222">
        <v>3</v>
      </c>
      <c r="K422" s="223"/>
      <c r="L422" s="224" t="s">
        <v>1411</v>
      </c>
      <c r="M422" s="223"/>
      <c r="N422" s="223"/>
      <c r="O422" s="256" t="s">
        <v>1133</v>
      </c>
      <c r="P422" s="197"/>
      <c r="Q422" s="197"/>
      <c r="R422" s="197"/>
      <c r="S422" s="197"/>
    </row>
    <row r="423" spans="1:19" x14ac:dyDescent="0.2">
      <c r="A423" s="203"/>
      <c r="B423" s="193"/>
      <c r="C423" s="193"/>
      <c r="D423" s="220" t="s">
        <v>1133</v>
      </c>
      <c r="G423" s="197"/>
      <c r="H423" s="214"/>
      <c r="I423" s="221"/>
      <c r="J423" s="222">
        <v>4</v>
      </c>
      <c r="K423" s="223"/>
      <c r="L423" s="224" t="s">
        <v>1342</v>
      </c>
      <c r="M423" s="223"/>
      <c r="N423" s="223"/>
      <c r="O423" s="256" t="s">
        <v>1133</v>
      </c>
      <c r="P423" s="197"/>
      <c r="Q423" s="197"/>
      <c r="R423" s="197"/>
      <c r="S423" s="197"/>
    </row>
    <row r="424" spans="1:19" x14ac:dyDescent="0.2">
      <c r="A424" s="203"/>
      <c r="B424" s="193"/>
      <c r="C424" s="193"/>
      <c r="D424" s="220" t="s">
        <v>1133</v>
      </c>
      <c r="G424" s="197"/>
      <c r="H424" s="214"/>
      <c r="I424" s="233"/>
      <c r="J424" s="228">
        <v>5</v>
      </c>
      <c r="K424" s="229"/>
      <c r="L424" s="230" t="s">
        <v>1403</v>
      </c>
      <c r="M424" s="229"/>
      <c r="N424" s="229"/>
      <c r="O424" s="275" t="s">
        <v>1133</v>
      </c>
      <c r="P424" s="197"/>
      <c r="Q424" s="197"/>
      <c r="R424" s="197"/>
      <c r="S424" s="197"/>
    </row>
    <row r="425" spans="1:19" x14ac:dyDescent="0.2">
      <c r="A425" s="203"/>
      <c r="B425" s="193"/>
      <c r="C425" s="193"/>
      <c r="D425" s="220"/>
      <c r="G425" s="197"/>
      <c r="H425" s="214"/>
      <c r="I425" s="228" t="s">
        <v>1085</v>
      </c>
      <c r="J425" s="221"/>
      <c r="K425" s="224" t="s">
        <v>1412</v>
      </c>
      <c r="L425" s="223"/>
      <c r="M425" s="223"/>
      <c r="N425" s="223"/>
      <c r="O425" s="256"/>
      <c r="P425" s="197"/>
      <c r="Q425" s="197"/>
      <c r="R425" s="197"/>
      <c r="S425" s="197"/>
    </row>
    <row r="426" spans="1:19" x14ac:dyDescent="0.2">
      <c r="A426" s="203"/>
      <c r="B426" s="193"/>
      <c r="C426" s="193"/>
      <c r="D426" s="220" t="s">
        <v>1133</v>
      </c>
      <c r="G426" s="197"/>
      <c r="H426" s="214"/>
      <c r="I426" s="221"/>
      <c r="J426" s="222">
        <v>1</v>
      </c>
      <c r="K426" s="223"/>
      <c r="L426" s="224" t="s">
        <v>1410</v>
      </c>
      <c r="M426" s="223"/>
      <c r="N426" s="223"/>
      <c r="O426" s="256" t="s">
        <v>1133</v>
      </c>
      <c r="P426" s="197"/>
      <c r="Q426" s="197"/>
      <c r="R426" s="197"/>
      <c r="S426" s="197"/>
    </row>
    <row r="427" spans="1:19" x14ac:dyDescent="0.2">
      <c r="A427" s="203"/>
      <c r="B427" s="193"/>
      <c r="C427" s="193"/>
      <c r="D427" s="220" t="s">
        <v>1133</v>
      </c>
      <c r="G427" s="197"/>
      <c r="H427" s="214"/>
      <c r="I427" s="221"/>
      <c r="J427" s="222">
        <v>2</v>
      </c>
      <c r="K427" s="223"/>
      <c r="L427" s="224" t="s">
        <v>1231</v>
      </c>
      <c r="M427" s="223"/>
      <c r="N427" s="223"/>
      <c r="O427" s="256" t="s">
        <v>1133</v>
      </c>
      <c r="P427" s="197"/>
      <c r="Q427" s="197"/>
      <c r="R427" s="197"/>
      <c r="S427" s="197"/>
    </row>
    <row r="428" spans="1:19" x14ac:dyDescent="0.2">
      <c r="A428" s="203"/>
      <c r="B428" s="193"/>
      <c r="C428" s="193"/>
      <c r="D428" s="220" t="s">
        <v>1133</v>
      </c>
      <c r="G428" s="197"/>
      <c r="H428" s="214"/>
      <c r="I428" s="221"/>
      <c r="J428" s="222">
        <v>3</v>
      </c>
      <c r="K428" s="223"/>
      <c r="L428" s="224" t="s">
        <v>1413</v>
      </c>
      <c r="M428" s="223"/>
      <c r="N428" s="223"/>
      <c r="O428" s="256" t="s">
        <v>1133</v>
      </c>
      <c r="P428" s="197"/>
      <c r="Q428" s="197"/>
      <c r="R428" s="197"/>
      <c r="S428" s="197"/>
    </row>
    <row r="429" spans="1:19" x14ac:dyDescent="0.2">
      <c r="A429" s="203"/>
      <c r="B429" s="193"/>
      <c r="C429" s="193"/>
      <c r="D429" s="220" t="s">
        <v>1133</v>
      </c>
      <c r="G429" s="197"/>
      <c r="H429" s="214"/>
      <c r="I429" s="221"/>
      <c r="J429" s="222">
        <v>4</v>
      </c>
      <c r="K429" s="223"/>
      <c r="L429" s="224" t="s">
        <v>1411</v>
      </c>
      <c r="M429" s="223"/>
      <c r="N429" s="223"/>
      <c r="O429" s="256" t="s">
        <v>1133</v>
      </c>
      <c r="P429" s="197"/>
      <c r="Q429" s="197"/>
      <c r="R429" s="197"/>
      <c r="S429" s="197"/>
    </row>
    <row r="430" spans="1:19" x14ac:dyDescent="0.2">
      <c r="A430" s="203"/>
      <c r="B430" s="193"/>
      <c r="C430" s="193"/>
      <c r="D430" s="220" t="s">
        <v>1133</v>
      </c>
      <c r="G430" s="197"/>
      <c r="H430" s="214"/>
      <c r="I430" s="221"/>
      <c r="J430" s="222">
        <v>5</v>
      </c>
      <c r="K430" s="223"/>
      <c r="L430" s="224" t="s">
        <v>1342</v>
      </c>
      <c r="M430" s="223"/>
      <c r="N430" s="223"/>
      <c r="O430" s="256" t="s">
        <v>1133</v>
      </c>
      <c r="P430" s="197"/>
      <c r="Q430" s="197"/>
      <c r="R430" s="197"/>
      <c r="S430" s="197"/>
    </row>
    <row r="431" spans="1:19" x14ac:dyDescent="0.2">
      <c r="A431" s="203"/>
      <c r="B431" s="193"/>
      <c r="C431" s="193"/>
      <c r="D431" s="220" t="s">
        <v>1133</v>
      </c>
      <c r="G431" s="197"/>
      <c r="H431" s="214"/>
      <c r="I431" s="221"/>
      <c r="J431" s="222">
        <v>6</v>
      </c>
      <c r="K431" s="223"/>
      <c r="L431" s="224" t="s">
        <v>1414</v>
      </c>
      <c r="M431" s="223"/>
      <c r="N431" s="223"/>
      <c r="O431" s="256" t="s">
        <v>1133</v>
      </c>
      <c r="P431" s="197"/>
      <c r="Q431" s="197"/>
      <c r="R431" s="197"/>
      <c r="S431" s="197"/>
    </row>
    <row r="432" spans="1:19" ht="15.75" thickBot="1" x14ac:dyDescent="0.25">
      <c r="A432" s="203"/>
      <c r="B432" s="193"/>
      <c r="C432" s="193"/>
      <c r="D432" s="220" t="s">
        <v>1133</v>
      </c>
      <c r="G432" s="197"/>
      <c r="H432" s="267"/>
      <c r="I432" s="268"/>
      <c r="J432" s="269">
        <v>7</v>
      </c>
      <c r="K432" s="270"/>
      <c r="L432" s="271" t="s">
        <v>1415</v>
      </c>
      <c r="M432" s="270"/>
      <c r="N432" s="270"/>
      <c r="O432" s="325" t="s">
        <v>1133</v>
      </c>
      <c r="P432" s="197"/>
      <c r="Q432" s="197"/>
      <c r="R432" s="197"/>
      <c r="S432" s="197"/>
    </row>
    <row r="433" spans="1:19" x14ac:dyDescent="0.2">
      <c r="A433" s="203"/>
      <c r="B433" s="193"/>
      <c r="C433" s="193"/>
      <c r="D433" s="220"/>
      <c r="G433" s="223"/>
      <c r="H433" s="273"/>
      <c r="I433" s="221"/>
      <c r="J433" s="221"/>
      <c r="K433" s="223"/>
      <c r="L433" s="224"/>
      <c r="M433" s="223"/>
      <c r="N433" s="223"/>
      <c r="O433" s="331"/>
      <c r="P433" s="223"/>
      <c r="Q433" s="223"/>
      <c r="R433" s="223"/>
      <c r="S433" s="223"/>
    </row>
    <row r="434" spans="1:19" x14ac:dyDescent="0.2">
      <c r="A434" s="203"/>
      <c r="B434" s="193"/>
      <c r="C434" s="193"/>
      <c r="D434" s="220"/>
      <c r="G434" s="223"/>
      <c r="H434" s="273"/>
      <c r="I434" s="221"/>
      <c r="J434" s="221"/>
      <c r="K434" s="223"/>
      <c r="L434" s="224"/>
      <c r="M434" s="223"/>
      <c r="N434" s="223"/>
      <c r="O434" s="331"/>
      <c r="P434" s="223"/>
      <c r="Q434" s="223"/>
      <c r="R434" s="223"/>
      <c r="S434" s="223"/>
    </row>
    <row r="435" spans="1:19" x14ac:dyDescent="0.2">
      <c r="A435" s="203">
        <v>44</v>
      </c>
      <c r="B435" s="193" t="s">
        <v>1429</v>
      </c>
      <c r="C435" s="193" t="s">
        <v>1430</v>
      </c>
      <c r="D435" s="220"/>
      <c r="G435" s="197"/>
      <c r="H435" s="241">
        <v>44</v>
      </c>
      <c r="I435" s="243"/>
      <c r="J435" s="254"/>
      <c r="K435" s="311" t="s">
        <v>1430</v>
      </c>
      <c r="L435" s="254"/>
      <c r="M435" s="254"/>
      <c r="N435" s="254"/>
      <c r="O435" s="265"/>
      <c r="P435" s="197"/>
      <c r="Q435" s="212">
        <f>H435</f>
        <v>44</v>
      </c>
      <c r="R435" s="202" t="str">
        <f>CONCATENATE("II-",TEXT(Q435,"0000"))</f>
        <v>II-0044</v>
      </c>
      <c r="S435" s="213" t="str">
        <f>K435</f>
        <v>HORMIGON  ARS EXCLUIDA LA ARAMDURA</v>
      </c>
    </row>
    <row r="436" spans="1:19" x14ac:dyDescent="0.2">
      <c r="A436" s="203"/>
      <c r="B436" s="193"/>
      <c r="C436" s="193"/>
      <c r="D436" s="220"/>
      <c r="G436" s="223"/>
      <c r="H436" s="214"/>
      <c r="I436" s="228" t="s">
        <v>1085</v>
      </c>
      <c r="J436" s="221"/>
      <c r="K436" s="224" t="s">
        <v>1412</v>
      </c>
      <c r="L436" s="224"/>
      <c r="M436" s="223"/>
      <c r="N436" s="223"/>
      <c r="O436" s="331"/>
      <c r="P436" s="223"/>
      <c r="Q436" s="223"/>
      <c r="R436" s="223"/>
      <c r="S436" s="223"/>
    </row>
    <row r="437" spans="1:19" x14ac:dyDescent="0.2">
      <c r="A437" s="203"/>
      <c r="B437" s="193"/>
      <c r="C437" s="193"/>
      <c r="D437" s="220" t="s">
        <v>1133</v>
      </c>
      <c r="G437" s="197"/>
      <c r="H437" s="214"/>
      <c r="I437" s="221"/>
      <c r="J437" s="222">
        <v>8</v>
      </c>
      <c r="K437" s="223"/>
      <c r="L437" s="224" t="s">
        <v>1416</v>
      </c>
      <c r="M437" s="223"/>
      <c r="N437" s="223"/>
      <c r="O437" s="256" t="s">
        <v>1133</v>
      </c>
      <c r="P437" s="197"/>
      <c r="Q437" s="197"/>
      <c r="R437" s="197"/>
      <c r="S437" s="197"/>
    </row>
    <row r="438" spans="1:19" x14ac:dyDescent="0.2">
      <c r="A438" s="203"/>
      <c r="B438" s="193"/>
      <c r="C438" s="193"/>
      <c r="D438" s="220" t="s">
        <v>1133</v>
      </c>
      <c r="G438" s="197"/>
      <c r="H438" s="214"/>
      <c r="I438" s="233"/>
      <c r="J438" s="228">
        <v>9</v>
      </c>
      <c r="K438" s="229"/>
      <c r="L438" s="230" t="s">
        <v>1403</v>
      </c>
      <c r="M438" s="229"/>
      <c r="N438" s="229"/>
      <c r="O438" s="275" t="s">
        <v>1133</v>
      </c>
      <c r="P438" s="197"/>
      <c r="Q438" s="197"/>
      <c r="R438" s="197"/>
      <c r="S438" s="197"/>
    </row>
    <row r="439" spans="1:19" x14ac:dyDescent="0.2">
      <c r="A439" s="203"/>
      <c r="B439" s="193"/>
      <c r="C439" s="193"/>
      <c r="D439" s="220"/>
      <c r="G439" s="197"/>
      <c r="H439" s="214"/>
      <c r="I439" s="228" t="s">
        <v>1127</v>
      </c>
      <c r="J439" s="221"/>
      <c r="K439" s="224" t="s">
        <v>1417</v>
      </c>
      <c r="L439" s="223"/>
      <c r="M439" s="223"/>
      <c r="N439" s="223"/>
      <c r="O439" s="256"/>
      <c r="P439" s="197"/>
      <c r="Q439" s="197"/>
      <c r="R439" s="197"/>
      <c r="S439" s="197"/>
    </row>
    <row r="440" spans="1:19" x14ac:dyDescent="0.2">
      <c r="A440" s="203"/>
      <c r="B440" s="193"/>
      <c r="C440" s="193"/>
      <c r="D440" s="220" t="s">
        <v>1133</v>
      </c>
      <c r="G440" s="197"/>
      <c r="H440" s="214"/>
      <c r="I440" s="221"/>
      <c r="J440" s="222">
        <v>1</v>
      </c>
      <c r="K440" s="223"/>
      <c r="L440" s="224" t="s">
        <v>1231</v>
      </c>
      <c r="M440" s="223"/>
      <c r="N440" s="223"/>
      <c r="O440" s="256" t="s">
        <v>1133</v>
      </c>
      <c r="P440" s="197"/>
      <c r="Q440" s="197"/>
      <c r="R440" s="197"/>
      <c r="S440" s="197"/>
    </row>
    <row r="441" spans="1:19" x14ac:dyDescent="0.2">
      <c r="A441" s="203"/>
      <c r="B441" s="193"/>
      <c r="C441" s="193"/>
      <c r="D441" s="220" t="s">
        <v>1133</v>
      </c>
      <c r="G441" s="197"/>
      <c r="H441" s="214"/>
      <c r="I441" s="221"/>
      <c r="J441" s="222">
        <v>2</v>
      </c>
      <c r="K441" s="223"/>
      <c r="L441" s="224" t="s">
        <v>1418</v>
      </c>
      <c r="M441" s="223"/>
      <c r="N441" s="223"/>
      <c r="O441" s="256" t="s">
        <v>1133</v>
      </c>
      <c r="P441" s="197"/>
      <c r="Q441" s="197"/>
      <c r="R441" s="197"/>
      <c r="S441" s="197"/>
    </row>
    <row r="442" spans="1:19" x14ac:dyDescent="0.2">
      <c r="A442" s="203"/>
      <c r="B442" s="193"/>
      <c r="C442" s="193"/>
      <c r="D442" s="220" t="s">
        <v>1133</v>
      </c>
      <c r="G442" s="197"/>
      <c r="H442" s="214"/>
      <c r="I442" s="221"/>
      <c r="J442" s="222">
        <v>3</v>
      </c>
      <c r="K442" s="223"/>
      <c r="L442" s="224" t="s">
        <v>1419</v>
      </c>
      <c r="M442" s="223"/>
      <c r="N442" s="223"/>
      <c r="O442" s="256" t="s">
        <v>1133</v>
      </c>
      <c r="P442" s="197"/>
      <c r="Q442" s="197"/>
      <c r="R442" s="197"/>
      <c r="S442" s="197"/>
    </row>
    <row r="443" spans="1:19" x14ac:dyDescent="0.2">
      <c r="A443" s="203"/>
      <c r="B443" s="193"/>
      <c r="C443" s="193"/>
      <c r="D443" s="220" t="s">
        <v>1133</v>
      </c>
      <c r="G443" s="197"/>
      <c r="H443" s="214"/>
      <c r="I443" s="221"/>
      <c r="J443" s="222">
        <v>4</v>
      </c>
      <c r="K443" s="223"/>
      <c r="L443" s="224" t="s">
        <v>1420</v>
      </c>
      <c r="M443" s="223"/>
      <c r="N443" s="223"/>
      <c r="O443" s="256" t="s">
        <v>1133</v>
      </c>
      <c r="P443" s="197"/>
      <c r="Q443" s="197"/>
      <c r="R443" s="197"/>
      <c r="S443" s="197"/>
    </row>
    <row r="444" spans="1:19" x14ac:dyDescent="0.2">
      <c r="A444" s="203"/>
      <c r="B444" s="193"/>
      <c r="C444" s="193"/>
      <c r="D444" s="220" t="s">
        <v>1133</v>
      </c>
      <c r="G444" s="197"/>
      <c r="H444" s="214"/>
      <c r="I444" s="221"/>
      <c r="J444" s="222">
        <v>5</v>
      </c>
      <c r="K444" s="223"/>
      <c r="L444" s="224" t="s">
        <v>1284</v>
      </c>
      <c r="M444" s="223"/>
      <c r="N444" s="223"/>
      <c r="O444" s="256" t="s">
        <v>1133</v>
      </c>
      <c r="P444" s="197"/>
      <c r="Q444" s="197"/>
      <c r="R444" s="197"/>
      <c r="S444" s="197"/>
    </row>
    <row r="445" spans="1:19" x14ac:dyDescent="0.2">
      <c r="A445" s="203"/>
      <c r="B445" s="193"/>
      <c r="C445" s="193"/>
      <c r="D445" s="220" t="s">
        <v>1133</v>
      </c>
      <c r="G445" s="197"/>
      <c r="H445" s="214"/>
      <c r="I445" s="221"/>
      <c r="J445" s="222">
        <v>6</v>
      </c>
      <c r="K445" s="223"/>
      <c r="L445" s="224" t="s">
        <v>1421</v>
      </c>
      <c r="M445" s="223"/>
      <c r="N445" s="223"/>
      <c r="O445" s="256" t="s">
        <v>1133</v>
      </c>
      <c r="P445" s="197"/>
      <c r="Q445" s="197"/>
      <c r="R445" s="197"/>
      <c r="S445" s="197"/>
    </row>
    <row r="446" spans="1:19" x14ac:dyDescent="0.2">
      <c r="A446" s="203"/>
      <c r="B446" s="193"/>
      <c r="C446" s="193"/>
      <c r="D446" s="220" t="s">
        <v>1133</v>
      </c>
      <c r="G446" s="197"/>
      <c r="H446" s="214"/>
      <c r="I446" s="221"/>
      <c r="J446" s="222">
        <v>7</v>
      </c>
      <c r="K446" s="223"/>
      <c r="L446" s="224" t="s">
        <v>1422</v>
      </c>
      <c r="M446" s="223"/>
      <c r="N446" s="223"/>
      <c r="O446" s="256" t="s">
        <v>1133</v>
      </c>
      <c r="P446" s="197"/>
      <c r="Q446" s="197"/>
      <c r="R446" s="197"/>
      <c r="S446" s="197"/>
    </row>
    <row r="447" spans="1:19" x14ac:dyDescent="0.2">
      <c r="A447" s="203"/>
      <c r="B447" s="193"/>
      <c r="C447" s="193"/>
      <c r="D447" s="220" t="s">
        <v>1133</v>
      </c>
      <c r="G447" s="197"/>
      <c r="H447" s="214"/>
      <c r="I447" s="221"/>
      <c r="J447" s="222">
        <v>8</v>
      </c>
      <c r="K447" s="223"/>
      <c r="L447" s="224" t="s">
        <v>1414</v>
      </c>
      <c r="M447" s="223"/>
      <c r="N447" s="223"/>
      <c r="O447" s="256" t="s">
        <v>1133</v>
      </c>
      <c r="P447" s="197"/>
      <c r="Q447" s="197"/>
      <c r="R447" s="197"/>
      <c r="S447" s="197"/>
    </row>
    <row r="448" spans="1:19" x14ac:dyDescent="0.2">
      <c r="A448" s="203"/>
      <c r="B448" s="193"/>
      <c r="C448" s="193"/>
      <c r="D448" s="220" t="s">
        <v>1133</v>
      </c>
      <c r="G448" s="197"/>
      <c r="H448" s="214"/>
      <c r="I448" s="221"/>
      <c r="J448" s="222">
        <v>9</v>
      </c>
      <c r="K448" s="223"/>
      <c r="L448" s="224" t="s">
        <v>1406</v>
      </c>
      <c r="M448" s="223"/>
      <c r="N448" s="223"/>
      <c r="O448" s="256" t="s">
        <v>1133</v>
      </c>
      <c r="P448" s="197"/>
      <c r="Q448" s="197"/>
      <c r="R448" s="197"/>
      <c r="S448" s="197"/>
    </row>
    <row r="449" spans="1:19" x14ac:dyDescent="0.2">
      <c r="A449" s="203"/>
      <c r="B449" s="193"/>
      <c r="C449" s="193"/>
      <c r="D449" s="220" t="s">
        <v>1133</v>
      </c>
      <c r="G449" s="197"/>
      <c r="H449" s="214"/>
      <c r="I449" s="221"/>
      <c r="J449" s="222">
        <v>10</v>
      </c>
      <c r="K449" s="223"/>
      <c r="L449" s="224" t="s">
        <v>1423</v>
      </c>
      <c r="M449" s="223"/>
      <c r="N449" s="223"/>
      <c r="O449" s="256" t="s">
        <v>1133</v>
      </c>
      <c r="P449" s="197"/>
      <c r="Q449" s="197"/>
      <c r="R449" s="197"/>
      <c r="S449" s="197"/>
    </row>
    <row r="450" spans="1:19" x14ac:dyDescent="0.2">
      <c r="A450" s="203"/>
      <c r="B450" s="193"/>
      <c r="C450" s="193"/>
      <c r="D450" s="220" t="s">
        <v>1133</v>
      </c>
      <c r="G450" s="197"/>
      <c r="H450" s="214"/>
      <c r="I450" s="221"/>
      <c r="J450" s="222">
        <v>11</v>
      </c>
      <c r="K450" s="223"/>
      <c r="L450" s="224" t="s">
        <v>1415</v>
      </c>
      <c r="M450" s="223"/>
      <c r="N450" s="223"/>
      <c r="O450" s="256" t="s">
        <v>1133</v>
      </c>
      <c r="P450" s="197"/>
      <c r="Q450" s="197"/>
      <c r="R450" s="197"/>
      <c r="S450" s="197"/>
    </row>
    <row r="451" spans="1:19" x14ac:dyDescent="0.2">
      <c r="A451" s="203"/>
      <c r="B451" s="193"/>
      <c r="C451" s="193"/>
      <c r="D451" s="220" t="s">
        <v>1133</v>
      </c>
      <c r="G451" s="197"/>
      <c r="H451" s="214"/>
      <c r="I451" s="221"/>
      <c r="J451" s="222">
        <v>12</v>
      </c>
      <c r="K451" s="223"/>
      <c r="L451" s="224" t="s">
        <v>1424</v>
      </c>
      <c r="M451" s="223"/>
      <c r="N451" s="223"/>
      <c r="O451" s="256" t="s">
        <v>1133</v>
      </c>
      <c r="P451" s="197"/>
      <c r="Q451" s="197"/>
      <c r="R451" s="197"/>
      <c r="S451" s="197"/>
    </row>
    <row r="452" spans="1:19" x14ac:dyDescent="0.2">
      <c r="A452" s="203"/>
      <c r="B452" s="193"/>
      <c r="C452" s="193"/>
      <c r="D452" s="220" t="s">
        <v>1133</v>
      </c>
      <c r="G452" s="197"/>
      <c r="H452" s="214"/>
      <c r="I452" s="221"/>
      <c r="J452" s="222">
        <v>13</v>
      </c>
      <c r="K452" s="223"/>
      <c r="L452" s="224" t="s">
        <v>1416</v>
      </c>
      <c r="M452" s="223"/>
      <c r="N452" s="223"/>
      <c r="O452" s="256" t="s">
        <v>1133</v>
      </c>
      <c r="P452" s="197"/>
      <c r="Q452" s="197"/>
      <c r="R452" s="197"/>
      <c r="S452" s="197"/>
    </row>
    <row r="453" spans="1:19" x14ac:dyDescent="0.2">
      <c r="A453" s="203"/>
      <c r="B453" s="193"/>
      <c r="C453" s="193"/>
      <c r="D453" s="220" t="s">
        <v>1133</v>
      </c>
      <c r="G453" s="197"/>
      <c r="H453" s="214"/>
      <c r="I453" s="233"/>
      <c r="J453" s="228">
        <v>14</v>
      </c>
      <c r="K453" s="229"/>
      <c r="L453" s="230" t="s">
        <v>1425</v>
      </c>
      <c r="M453" s="229"/>
      <c r="N453" s="229"/>
      <c r="O453" s="275" t="s">
        <v>1133</v>
      </c>
      <c r="P453" s="197"/>
      <c r="Q453" s="197"/>
      <c r="R453" s="197"/>
      <c r="S453" s="197"/>
    </row>
    <row r="454" spans="1:19" x14ac:dyDescent="0.2">
      <c r="A454" s="203"/>
      <c r="B454" s="193"/>
      <c r="C454" s="193"/>
      <c r="D454" s="220"/>
      <c r="G454" s="197"/>
      <c r="H454" s="214"/>
      <c r="I454" s="228" t="s">
        <v>1130</v>
      </c>
      <c r="J454" s="221"/>
      <c r="K454" s="224" t="s">
        <v>1426</v>
      </c>
      <c r="L454" s="223"/>
      <c r="M454" s="223"/>
      <c r="N454" s="223"/>
      <c r="O454" s="256"/>
      <c r="P454" s="197"/>
      <c r="Q454" s="197"/>
      <c r="R454" s="197"/>
      <c r="S454" s="197"/>
    </row>
    <row r="455" spans="1:19" x14ac:dyDescent="0.2">
      <c r="A455" s="203"/>
      <c r="B455" s="193"/>
      <c r="C455" s="193"/>
      <c r="D455" s="220" t="s">
        <v>1133</v>
      </c>
      <c r="G455" s="197"/>
      <c r="H455" s="214"/>
      <c r="I455" s="221"/>
      <c r="J455" s="222">
        <v>1</v>
      </c>
      <c r="K455" s="223"/>
      <c r="L455" s="224" t="s">
        <v>1231</v>
      </c>
      <c r="M455" s="223"/>
      <c r="N455" s="223"/>
      <c r="O455" s="256" t="s">
        <v>1133</v>
      </c>
      <c r="P455" s="197"/>
      <c r="Q455" s="197"/>
      <c r="R455" s="197"/>
      <c r="S455" s="197"/>
    </row>
    <row r="456" spans="1:19" x14ac:dyDescent="0.2">
      <c r="A456" s="203"/>
      <c r="B456" s="193"/>
      <c r="C456" s="193"/>
      <c r="D456" s="220" t="s">
        <v>1133</v>
      </c>
      <c r="G456" s="197"/>
      <c r="H456" s="214"/>
      <c r="I456" s="221"/>
      <c r="J456" s="222">
        <v>2</v>
      </c>
      <c r="K456" s="223"/>
      <c r="L456" s="224" t="s">
        <v>1418</v>
      </c>
      <c r="M456" s="223"/>
      <c r="N456" s="223"/>
      <c r="O456" s="256" t="s">
        <v>1133</v>
      </c>
      <c r="P456" s="197"/>
      <c r="Q456" s="197"/>
      <c r="R456" s="197"/>
      <c r="S456" s="197"/>
    </row>
    <row r="457" spans="1:19" x14ac:dyDescent="0.2">
      <c r="A457" s="203"/>
      <c r="B457" s="193"/>
      <c r="C457" s="193"/>
      <c r="D457" s="220" t="s">
        <v>1133</v>
      </c>
      <c r="G457" s="197"/>
      <c r="H457" s="214"/>
      <c r="I457" s="221"/>
      <c r="J457" s="222">
        <v>3</v>
      </c>
      <c r="K457" s="223"/>
      <c r="L457" s="224" t="s">
        <v>1419</v>
      </c>
      <c r="M457" s="223"/>
      <c r="N457" s="223"/>
      <c r="O457" s="256" t="s">
        <v>1133</v>
      </c>
      <c r="P457" s="197"/>
      <c r="Q457" s="197"/>
      <c r="R457" s="197"/>
      <c r="S457" s="197"/>
    </row>
    <row r="458" spans="1:19" x14ac:dyDescent="0.2">
      <c r="A458" s="203"/>
      <c r="B458" s="193"/>
      <c r="C458" s="193"/>
      <c r="D458" s="220" t="s">
        <v>1133</v>
      </c>
      <c r="G458" s="197"/>
      <c r="H458" s="214"/>
      <c r="I458" s="221"/>
      <c r="J458" s="222">
        <v>4</v>
      </c>
      <c r="K458" s="223"/>
      <c r="L458" s="224" t="s">
        <v>1420</v>
      </c>
      <c r="M458" s="223"/>
      <c r="N458" s="223"/>
      <c r="O458" s="256" t="s">
        <v>1133</v>
      </c>
      <c r="P458" s="197"/>
      <c r="Q458" s="197"/>
      <c r="R458" s="197"/>
      <c r="S458" s="197"/>
    </row>
    <row r="459" spans="1:19" x14ac:dyDescent="0.2">
      <c r="A459" s="203"/>
      <c r="B459" s="193"/>
      <c r="C459" s="193"/>
      <c r="D459" s="220" t="s">
        <v>1133</v>
      </c>
      <c r="G459" s="197"/>
      <c r="H459" s="214"/>
      <c r="I459" s="221"/>
      <c r="J459" s="222">
        <v>5</v>
      </c>
      <c r="K459" s="223"/>
      <c r="L459" s="224" t="s">
        <v>1284</v>
      </c>
      <c r="M459" s="223"/>
      <c r="N459" s="223"/>
      <c r="O459" s="256" t="s">
        <v>1133</v>
      </c>
      <c r="P459" s="197"/>
      <c r="Q459" s="197"/>
      <c r="R459" s="197"/>
      <c r="S459" s="197"/>
    </row>
    <row r="460" spans="1:19" x14ac:dyDescent="0.2">
      <c r="A460" s="203"/>
      <c r="B460" s="193"/>
      <c r="C460" s="193"/>
      <c r="D460" s="220" t="s">
        <v>1133</v>
      </c>
      <c r="G460" s="197"/>
      <c r="H460" s="214"/>
      <c r="I460" s="221"/>
      <c r="J460" s="222">
        <v>6</v>
      </c>
      <c r="K460" s="223"/>
      <c r="L460" s="224" t="s">
        <v>1432</v>
      </c>
      <c r="M460" s="223"/>
      <c r="N460" s="223"/>
      <c r="O460" s="256" t="s">
        <v>1133</v>
      </c>
      <c r="P460" s="197"/>
      <c r="Q460" s="197"/>
      <c r="R460" s="197"/>
      <c r="S460" s="197"/>
    </row>
    <row r="461" spans="1:19" x14ac:dyDescent="0.2">
      <c r="A461" s="203"/>
      <c r="B461" s="193"/>
      <c r="C461" s="193"/>
      <c r="D461" s="220" t="s">
        <v>1133</v>
      </c>
      <c r="G461" s="197"/>
      <c r="H461" s="214"/>
      <c r="I461" s="221"/>
      <c r="J461" s="222">
        <v>7</v>
      </c>
      <c r="K461" s="223"/>
      <c r="L461" s="224" t="s">
        <v>1421</v>
      </c>
      <c r="M461" s="223"/>
      <c r="N461" s="223"/>
      <c r="O461" s="256" t="s">
        <v>1133</v>
      </c>
      <c r="P461" s="276"/>
      <c r="Q461" s="276"/>
      <c r="R461" s="276"/>
      <c r="S461" s="276"/>
    </row>
    <row r="462" spans="1:19" x14ac:dyDescent="0.2">
      <c r="A462" s="203"/>
      <c r="B462" s="193"/>
      <c r="C462" s="193"/>
      <c r="D462" s="220" t="s">
        <v>1133</v>
      </c>
      <c r="G462" s="197"/>
      <c r="H462" s="214"/>
      <c r="I462" s="221"/>
      <c r="J462" s="222">
        <v>8</v>
      </c>
      <c r="K462" s="223"/>
      <c r="L462" s="224" t="s">
        <v>1422</v>
      </c>
      <c r="M462" s="223"/>
      <c r="N462" s="223"/>
      <c r="O462" s="256" t="s">
        <v>1133</v>
      </c>
      <c r="P462" s="197"/>
      <c r="Q462" s="197"/>
      <c r="R462" s="197"/>
      <c r="S462" s="197"/>
    </row>
    <row r="463" spans="1:19" x14ac:dyDescent="0.2">
      <c r="A463" s="203"/>
      <c r="B463" s="193"/>
      <c r="C463" s="193"/>
      <c r="D463" s="220" t="s">
        <v>1133</v>
      </c>
      <c r="G463" s="197"/>
      <c r="H463" s="214"/>
      <c r="I463" s="221"/>
      <c r="J463" s="222">
        <v>9</v>
      </c>
      <c r="K463" s="223"/>
      <c r="L463" s="224" t="s">
        <v>1414</v>
      </c>
      <c r="M463" s="223"/>
      <c r="N463" s="223"/>
      <c r="O463" s="256" t="s">
        <v>1133</v>
      </c>
      <c r="P463" s="197"/>
      <c r="Q463" s="197"/>
      <c r="R463" s="197"/>
      <c r="S463" s="197"/>
    </row>
    <row r="464" spans="1:19" x14ac:dyDescent="0.2">
      <c r="A464" s="203"/>
      <c r="B464" s="193"/>
      <c r="C464" s="193"/>
      <c r="D464" s="220" t="s">
        <v>1133</v>
      </c>
      <c r="G464" s="197"/>
      <c r="H464" s="214"/>
      <c r="I464" s="221"/>
      <c r="J464" s="222">
        <v>10</v>
      </c>
      <c r="K464" s="223"/>
      <c r="L464" s="224" t="s">
        <v>1406</v>
      </c>
      <c r="M464" s="223"/>
      <c r="N464" s="223"/>
      <c r="O464" s="256" t="s">
        <v>1133</v>
      </c>
      <c r="P464" s="197"/>
      <c r="Q464" s="197"/>
      <c r="R464" s="197"/>
      <c r="S464" s="197"/>
    </row>
    <row r="465" spans="1:19" x14ac:dyDescent="0.2">
      <c r="A465" s="203"/>
      <c r="B465" s="193"/>
      <c r="C465" s="193"/>
      <c r="D465" s="220" t="s">
        <v>1133</v>
      </c>
      <c r="G465" s="197"/>
      <c r="H465" s="214"/>
      <c r="I465" s="221"/>
      <c r="J465" s="222">
        <v>11</v>
      </c>
      <c r="K465" s="223"/>
      <c r="L465" s="224" t="s">
        <v>1423</v>
      </c>
      <c r="M465" s="223"/>
      <c r="N465" s="223"/>
      <c r="O465" s="256" t="s">
        <v>1133</v>
      </c>
      <c r="P465" s="197"/>
      <c r="Q465" s="197"/>
      <c r="R465" s="197"/>
      <c r="S465" s="197"/>
    </row>
    <row r="466" spans="1:19" x14ac:dyDescent="0.2">
      <c r="A466" s="203"/>
      <c r="B466" s="193"/>
      <c r="C466" s="193"/>
      <c r="D466" s="220" t="s">
        <v>1133</v>
      </c>
      <c r="G466" s="197"/>
      <c r="H466" s="214"/>
      <c r="I466" s="221"/>
      <c r="J466" s="222">
        <v>12</v>
      </c>
      <c r="K466" s="223"/>
      <c r="L466" s="224" t="s">
        <v>1415</v>
      </c>
      <c r="M466" s="223"/>
      <c r="N466" s="223"/>
      <c r="O466" s="256" t="s">
        <v>1133</v>
      </c>
      <c r="P466" s="197"/>
      <c r="Q466" s="197"/>
      <c r="R466" s="197"/>
      <c r="S466" s="197"/>
    </row>
    <row r="467" spans="1:19" x14ac:dyDescent="0.2">
      <c r="A467" s="203"/>
      <c r="B467" s="193"/>
      <c r="C467" s="193"/>
      <c r="D467" s="220" t="s">
        <v>1133</v>
      </c>
      <c r="G467" s="223"/>
      <c r="H467" s="214"/>
      <c r="I467" s="221"/>
      <c r="J467" s="222">
        <v>13</v>
      </c>
      <c r="K467" s="224"/>
      <c r="L467" s="224" t="s">
        <v>1424</v>
      </c>
      <c r="M467" s="223"/>
      <c r="N467" s="223"/>
      <c r="O467" s="256" t="s">
        <v>1133</v>
      </c>
      <c r="P467" s="223"/>
      <c r="Q467" s="223"/>
      <c r="R467" s="223"/>
      <c r="S467" s="223"/>
    </row>
    <row r="468" spans="1:19" x14ac:dyDescent="0.2">
      <c r="A468" s="203"/>
      <c r="B468" s="193"/>
      <c r="C468" s="193"/>
      <c r="D468" s="220" t="s">
        <v>1133</v>
      </c>
      <c r="G468" s="197"/>
      <c r="H468" s="214"/>
      <c r="I468" s="221"/>
      <c r="J468" s="222">
        <v>14</v>
      </c>
      <c r="K468" s="223"/>
      <c r="L468" s="224" t="s">
        <v>1416</v>
      </c>
      <c r="M468" s="223"/>
      <c r="N468" s="223"/>
      <c r="O468" s="256" t="s">
        <v>1133</v>
      </c>
      <c r="P468" s="197"/>
      <c r="Q468" s="197"/>
      <c r="R468" s="197"/>
      <c r="S468" s="197"/>
    </row>
    <row r="469" spans="1:19" x14ac:dyDescent="0.2">
      <c r="A469" s="203"/>
      <c r="B469" s="193"/>
      <c r="C469" s="193"/>
      <c r="D469" s="220" t="s">
        <v>1133</v>
      </c>
      <c r="G469" s="197"/>
      <c r="H469" s="214"/>
      <c r="I469" s="221"/>
      <c r="J469" s="222">
        <v>15</v>
      </c>
      <c r="K469" s="223"/>
      <c r="L469" s="224" t="s">
        <v>1408</v>
      </c>
      <c r="M469" s="223"/>
      <c r="N469" s="223"/>
      <c r="O469" s="256" t="s">
        <v>1133</v>
      </c>
      <c r="P469" s="197"/>
      <c r="Q469" s="197"/>
      <c r="R469" s="197"/>
      <c r="S469" s="197"/>
    </row>
    <row r="470" spans="1:19" x14ac:dyDescent="0.2">
      <c r="A470" s="203"/>
      <c r="B470" s="193"/>
      <c r="C470" s="193"/>
      <c r="D470" s="220" t="s">
        <v>1133</v>
      </c>
      <c r="G470" s="197"/>
      <c r="H470" s="214"/>
      <c r="I470" s="221"/>
      <c r="J470" s="222">
        <v>16</v>
      </c>
      <c r="K470" s="223"/>
      <c r="L470" s="224" t="s">
        <v>1425</v>
      </c>
      <c r="M470" s="223"/>
      <c r="N470" s="223"/>
      <c r="O470" s="256" t="s">
        <v>1133</v>
      </c>
      <c r="P470" s="197"/>
      <c r="Q470" s="197"/>
      <c r="R470" s="197"/>
      <c r="S470" s="197"/>
    </row>
    <row r="471" spans="1:19" x14ac:dyDescent="0.2">
      <c r="A471" s="203"/>
      <c r="B471" s="193"/>
      <c r="C471" s="193"/>
      <c r="D471" s="220"/>
      <c r="G471" s="197"/>
      <c r="H471" s="214"/>
      <c r="I471" s="215" t="s">
        <v>1134</v>
      </c>
      <c r="J471" s="216"/>
      <c r="K471" s="232" t="s">
        <v>1428</v>
      </c>
      <c r="L471" s="218"/>
      <c r="M471" s="218"/>
      <c r="N471" s="218"/>
      <c r="O471" s="266"/>
      <c r="P471" s="197"/>
      <c r="Q471" s="197"/>
      <c r="R471" s="197"/>
      <c r="S471" s="197"/>
    </row>
    <row r="472" spans="1:19" x14ac:dyDescent="0.2">
      <c r="A472" s="203"/>
      <c r="B472" s="193"/>
      <c r="C472" s="193"/>
      <c r="D472" s="220" t="s">
        <v>1133</v>
      </c>
      <c r="G472" s="197"/>
      <c r="H472" s="214"/>
      <c r="I472" s="221"/>
      <c r="J472" s="222">
        <v>1</v>
      </c>
      <c r="K472" s="223"/>
      <c r="L472" s="224" t="s">
        <v>1419</v>
      </c>
      <c r="M472" s="223"/>
      <c r="N472" s="223"/>
      <c r="O472" s="256" t="s">
        <v>1133</v>
      </c>
      <c r="P472" s="197"/>
      <c r="Q472" s="197"/>
      <c r="R472" s="197"/>
      <c r="S472" s="197"/>
    </row>
    <row r="473" spans="1:19" x14ac:dyDescent="0.2">
      <c r="A473" s="203"/>
      <c r="B473" s="193"/>
      <c r="C473" s="193"/>
      <c r="D473" s="220" t="s">
        <v>1133</v>
      </c>
      <c r="G473" s="197"/>
      <c r="H473" s="214"/>
      <c r="I473" s="221"/>
      <c r="J473" s="222">
        <v>2</v>
      </c>
      <c r="K473" s="223"/>
      <c r="L473" s="224" t="s">
        <v>1420</v>
      </c>
      <c r="M473" s="223"/>
      <c r="N473" s="223"/>
      <c r="O473" s="256" t="s">
        <v>1133</v>
      </c>
      <c r="P473" s="197"/>
      <c r="Q473" s="197"/>
      <c r="R473" s="197"/>
      <c r="S473" s="197"/>
    </row>
    <row r="474" spans="1:19" x14ac:dyDescent="0.2">
      <c r="A474" s="203"/>
      <c r="B474" s="193"/>
      <c r="C474" s="193"/>
      <c r="D474" s="220" t="s">
        <v>1133</v>
      </c>
      <c r="G474" s="197"/>
      <c r="H474" s="214"/>
      <c r="I474" s="221"/>
      <c r="J474" s="222">
        <v>3</v>
      </c>
      <c r="K474" s="223"/>
      <c r="L474" s="224" t="s">
        <v>1284</v>
      </c>
      <c r="M474" s="223"/>
      <c r="N474" s="223"/>
      <c r="O474" s="256" t="s">
        <v>1133</v>
      </c>
      <c r="P474" s="197"/>
      <c r="Q474" s="197"/>
      <c r="R474" s="197"/>
      <c r="S474" s="197"/>
    </row>
    <row r="475" spans="1:19" x14ac:dyDescent="0.2">
      <c r="A475" s="203"/>
      <c r="B475" s="193"/>
      <c r="C475" s="193"/>
      <c r="D475" s="220" t="s">
        <v>1133</v>
      </c>
      <c r="G475" s="197"/>
      <c r="H475" s="214"/>
      <c r="I475" s="221"/>
      <c r="J475" s="222">
        <v>4</v>
      </c>
      <c r="K475" s="223"/>
      <c r="L475" s="224" t="s">
        <v>1421</v>
      </c>
      <c r="M475" s="223"/>
      <c r="N475" s="223"/>
      <c r="O475" s="256" t="s">
        <v>1133</v>
      </c>
      <c r="P475" s="197"/>
      <c r="Q475" s="197"/>
      <c r="R475" s="197"/>
      <c r="S475" s="197"/>
    </row>
    <row r="476" spans="1:19" x14ac:dyDescent="0.2">
      <c r="A476" s="203"/>
      <c r="B476" s="193"/>
      <c r="C476" s="193"/>
      <c r="D476" s="220" t="s">
        <v>1133</v>
      </c>
      <c r="G476" s="197"/>
      <c r="H476" s="214"/>
      <c r="I476" s="221"/>
      <c r="J476" s="222">
        <v>5</v>
      </c>
      <c r="K476" s="223"/>
      <c r="L476" s="224" t="s">
        <v>1422</v>
      </c>
      <c r="M476" s="223"/>
      <c r="N476" s="223"/>
      <c r="O476" s="256" t="s">
        <v>1133</v>
      </c>
      <c r="P476" s="197"/>
      <c r="Q476" s="197"/>
      <c r="R476" s="197"/>
      <c r="S476" s="197"/>
    </row>
    <row r="477" spans="1:19" x14ac:dyDescent="0.2">
      <c r="A477" s="203"/>
      <c r="B477" s="193"/>
      <c r="C477" s="193"/>
      <c r="D477" s="220" t="s">
        <v>1133</v>
      </c>
      <c r="G477" s="197"/>
      <c r="H477" s="214"/>
      <c r="I477" s="221"/>
      <c r="J477" s="222">
        <v>6</v>
      </c>
      <c r="K477" s="223"/>
      <c r="L477" s="224" t="s">
        <v>1406</v>
      </c>
      <c r="M477" s="223"/>
      <c r="N477" s="223"/>
      <c r="O477" s="256" t="s">
        <v>1133</v>
      </c>
      <c r="P477" s="197"/>
      <c r="Q477" s="197"/>
      <c r="R477" s="197"/>
      <c r="S477" s="197"/>
    </row>
    <row r="478" spans="1:19" x14ac:dyDescent="0.2">
      <c r="A478" s="203"/>
      <c r="B478" s="193"/>
      <c r="C478" s="193"/>
      <c r="D478" s="220" t="s">
        <v>1133</v>
      </c>
      <c r="G478" s="197"/>
      <c r="H478" s="214"/>
      <c r="I478" s="221"/>
      <c r="J478" s="222">
        <v>7</v>
      </c>
      <c r="K478" s="223"/>
      <c r="L478" s="224" t="s">
        <v>1423</v>
      </c>
      <c r="M478" s="223"/>
      <c r="N478" s="223"/>
      <c r="O478" s="256" t="s">
        <v>1133</v>
      </c>
      <c r="P478" s="197"/>
      <c r="Q478" s="197"/>
      <c r="R478" s="197"/>
      <c r="S478" s="197"/>
    </row>
    <row r="479" spans="1:19" x14ac:dyDescent="0.2">
      <c r="A479" s="203"/>
      <c r="B479" s="193"/>
      <c r="C479" s="193"/>
      <c r="D479" s="220" t="s">
        <v>1133</v>
      </c>
      <c r="G479" s="197"/>
      <c r="H479" s="214"/>
      <c r="I479" s="221"/>
      <c r="J479" s="222">
        <v>8</v>
      </c>
      <c r="K479" s="223"/>
      <c r="L479" s="224" t="s">
        <v>1415</v>
      </c>
      <c r="M479" s="223"/>
      <c r="N479" s="223"/>
      <c r="O479" s="256" t="s">
        <v>1133</v>
      </c>
      <c r="P479" s="197"/>
      <c r="Q479" s="197"/>
      <c r="R479" s="197"/>
      <c r="S479" s="197"/>
    </row>
    <row r="480" spans="1:19" x14ac:dyDescent="0.2">
      <c r="A480" s="203"/>
      <c r="B480" s="193"/>
      <c r="C480" s="193"/>
      <c r="D480" s="220" t="s">
        <v>1133</v>
      </c>
      <c r="G480" s="197"/>
      <c r="H480" s="214"/>
      <c r="I480" s="221"/>
      <c r="J480" s="222">
        <v>9</v>
      </c>
      <c r="K480" s="223"/>
      <c r="L480" s="224" t="s">
        <v>1424</v>
      </c>
      <c r="M480" s="223"/>
      <c r="N480" s="223"/>
      <c r="O480" s="256" t="s">
        <v>1133</v>
      </c>
      <c r="P480" s="197"/>
      <c r="Q480" s="197"/>
      <c r="R480" s="197"/>
      <c r="S480" s="197"/>
    </row>
    <row r="481" spans="1:19" ht="15.75" thickBot="1" x14ac:dyDescent="0.25">
      <c r="A481" s="203"/>
      <c r="B481" s="193"/>
      <c r="C481" s="193"/>
      <c r="D481" s="220" t="s">
        <v>1133</v>
      </c>
      <c r="G481" s="197"/>
      <c r="H481" s="267"/>
      <c r="I481" s="268"/>
      <c r="J481" s="269">
        <v>10</v>
      </c>
      <c r="K481" s="270"/>
      <c r="L481" s="271" t="s">
        <v>1425</v>
      </c>
      <c r="M481" s="270"/>
      <c r="N481" s="270"/>
      <c r="O481" s="325" t="s">
        <v>1133</v>
      </c>
      <c r="P481" s="197"/>
      <c r="Q481" s="197"/>
      <c r="R481" s="197"/>
      <c r="S481" s="197"/>
    </row>
    <row r="482" spans="1:19" x14ac:dyDescent="0.2">
      <c r="A482" s="203"/>
      <c r="B482" s="193"/>
      <c r="C482" s="193"/>
      <c r="D482" s="220"/>
      <c r="G482" s="223"/>
      <c r="H482" s="273"/>
      <c r="I482" s="221"/>
      <c r="J482" s="221"/>
      <c r="K482" s="223"/>
      <c r="L482" s="224"/>
      <c r="M482" s="223"/>
      <c r="N482" s="223"/>
      <c r="O482" s="331"/>
      <c r="P482" s="223"/>
      <c r="Q482" s="223"/>
      <c r="R482" s="223"/>
      <c r="S482" s="223"/>
    </row>
    <row r="483" spans="1:19" x14ac:dyDescent="0.2">
      <c r="A483" s="203">
        <v>45</v>
      </c>
      <c r="B483" s="193" t="s">
        <v>1433</v>
      </c>
      <c r="C483" s="193" t="s">
        <v>1434</v>
      </c>
      <c r="D483" s="220"/>
      <c r="G483" s="197"/>
      <c r="H483" s="241">
        <v>45</v>
      </c>
      <c r="I483" s="243"/>
      <c r="J483" s="254"/>
      <c r="K483" s="311" t="s">
        <v>1434</v>
      </c>
      <c r="L483" s="254"/>
      <c r="M483" s="254"/>
      <c r="N483" s="254"/>
      <c r="O483" s="265"/>
      <c r="P483" s="197"/>
      <c r="Q483" s="212">
        <f>H483</f>
        <v>45</v>
      </c>
      <c r="R483" s="202" t="str">
        <f>CONCATENATE("II-",TEXT(Q483,"0000"))</f>
        <v>II-0045</v>
      </c>
      <c r="S483" s="213" t="str">
        <f>K483</f>
        <v>HORMIGON  PUZOLANICO EXCLUIDA LA ARAMDURA</v>
      </c>
    </row>
    <row r="484" spans="1:19" x14ac:dyDescent="0.2">
      <c r="A484" s="203"/>
      <c r="B484" s="193"/>
      <c r="C484" s="193"/>
      <c r="D484" s="220"/>
      <c r="G484" s="197"/>
      <c r="H484" s="214"/>
      <c r="I484" s="215" t="s">
        <v>1022</v>
      </c>
      <c r="J484" s="216"/>
      <c r="K484" s="232" t="s">
        <v>1400</v>
      </c>
      <c r="L484" s="218"/>
      <c r="M484" s="218"/>
      <c r="N484" s="218"/>
      <c r="O484" s="266"/>
      <c r="P484" s="197"/>
      <c r="Q484" s="197"/>
      <c r="R484" s="197"/>
      <c r="S484" s="197"/>
    </row>
    <row r="485" spans="1:19" x14ac:dyDescent="0.2">
      <c r="A485" s="203"/>
      <c r="B485" s="193"/>
      <c r="C485" s="193"/>
      <c r="D485" s="220" t="s">
        <v>1133</v>
      </c>
      <c r="G485" s="197"/>
      <c r="H485" s="214"/>
      <c r="I485" s="221"/>
      <c r="J485" s="222">
        <v>1</v>
      </c>
      <c r="K485" s="223"/>
      <c r="L485" s="224" t="s">
        <v>1405</v>
      </c>
      <c r="M485" s="223"/>
      <c r="N485" s="223"/>
      <c r="O485" s="256" t="s">
        <v>1133</v>
      </c>
      <c r="P485" s="197"/>
      <c r="Q485" s="197"/>
      <c r="R485" s="197"/>
      <c r="S485" s="197"/>
    </row>
    <row r="486" spans="1:19" x14ac:dyDescent="0.2">
      <c r="A486" s="203"/>
      <c r="B486" s="193"/>
      <c r="C486" s="193"/>
      <c r="D486" s="220" t="s">
        <v>1133</v>
      </c>
      <c r="G486" s="197"/>
      <c r="H486" s="214"/>
      <c r="I486" s="221"/>
      <c r="J486" s="222">
        <v>2</v>
      </c>
      <c r="K486" s="223"/>
      <c r="L486" s="224" t="s">
        <v>1407</v>
      </c>
      <c r="M486" s="223"/>
      <c r="N486" s="223"/>
      <c r="O486" s="256" t="s">
        <v>1133</v>
      </c>
      <c r="P486" s="197"/>
      <c r="Q486" s="197"/>
      <c r="R486" s="197"/>
      <c r="S486" s="197"/>
    </row>
    <row r="487" spans="1:19" x14ac:dyDescent="0.2">
      <c r="A487" s="203"/>
      <c r="B487" s="193"/>
      <c r="C487" s="193"/>
      <c r="D487" s="220"/>
      <c r="G487" s="197"/>
      <c r="H487" s="214"/>
      <c r="I487" s="215" t="s">
        <v>1049</v>
      </c>
      <c r="J487" s="216"/>
      <c r="K487" s="232" t="s">
        <v>1404</v>
      </c>
      <c r="L487" s="218"/>
      <c r="M487" s="218"/>
      <c r="N487" s="218"/>
      <c r="O487" s="266"/>
      <c r="P487" s="197"/>
      <c r="Q487" s="197"/>
      <c r="R487" s="197"/>
      <c r="S487" s="197"/>
    </row>
    <row r="488" spans="1:19" x14ac:dyDescent="0.2">
      <c r="A488" s="203"/>
      <c r="B488" s="193"/>
      <c r="C488" s="193"/>
      <c r="D488" s="220" t="s">
        <v>1133</v>
      </c>
      <c r="G488" s="197"/>
      <c r="H488" s="214"/>
      <c r="I488" s="221"/>
      <c r="J488" s="222">
        <v>1</v>
      </c>
      <c r="K488" s="223"/>
      <c r="L488" s="224" t="s">
        <v>1405</v>
      </c>
      <c r="M488" s="223"/>
      <c r="N488" s="223"/>
      <c r="O488" s="256" t="s">
        <v>1133</v>
      </c>
      <c r="P488" s="197"/>
      <c r="Q488" s="197"/>
      <c r="R488" s="197"/>
      <c r="S488" s="197"/>
    </row>
    <row r="489" spans="1:19" x14ac:dyDescent="0.2">
      <c r="A489" s="203"/>
      <c r="B489" s="193"/>
      <c r="C489" s="193"/>
      <c r="D489" s="220" t="s">
        <v>1133</v>
      </c>
      <c r="G489" s="197"/>
      <c r="H489" s="214"/>
      <c r="I489" s="221"/>
      <c r="J489" s="222">
        <v>2</v>
      </c>
      <c r="K489" s="223"/>
      <c r="L489" s="224" t="s">
        <v>1407</v>
      </c>
      <c r="M489" s="223"/>
      <c r="N489" s="223"/>
      <c r="O489" s="256" t="s">
        <v>1133</v>
      </c>
      <c r="P489" s="197"/>
      <c r="Q489" s="197"/>
      <c r="R489" s="197"/>
      <c r="S489" s="197"/>
    </row>
    <row r="490" spans="1:19" x14ac:dyDescent="0.2">
      <c r="A490" s="203"/>
      <c r="B490" s="193"/>
      <c r="C490" s="193"/>
      <c r="D490" s="220" t="s">
        <v>1133</v>
      </c>
      <c r="G490" s="197"/>
      <c r="H490" s="214"/>
      <c r="I490" s="221"/>
      <c r="J490" s="222">
        <v>3</v>
      </c>
      <c r="K490" s="223"/>
      <c r="L490" s="224" t="s">
        <v>1416</v>
      </c>
      <c r="M490" s="223"/>
      <c r="N490" s="223"/>
      <c r="O490" s="256" t="s">
        <v>1133</v>
      </c>
      <c r="P490" s="197"/>
      <c r="Q490" s="197"/>
      <c r="R490" s="197"/>
      <c r="S490" s="197"/>
    </row>
    <row r="491" spans="1:19" x14ac:dyDescent="0.2">
      <c r="A491" s="203"/>
      <c r="B491" s="193"/>
      <c r="C491" s="193"/>
      <c r="D491" s="220"/>
      <c r="G491" s="197"/>
      <c r="H491" s="214"/>
      <c r="I491" s="215" t="s">
        <v>1059</v>
      </c>
      <c r="J491" s="216"/>
      <c r="K491" s="232" t="s">
        <v>1409</v>
      </c>
      <c r="L491" s="218"/>
      <c r="M491" s="218"/>
      <c r="N491" s="218"/>
      <c r="O491" s="266"/>
      <c r="P491" s="197"/>
      <c r="Q491" s="197"/>
      <c r="R491" s="197"/>
      <c r="S491" s="197"/>
    </row>
    <row r="492" spans="1:19" x14ac:dyDescent="0.2">
      <c r="A492" s="203"/>
      <c r="B492" s="193"/>
      <c r="C492" s="193"/>
      <c r="D492" s="220" t="s">
        <v>1133</v>
      </c>
      <c r="G492" s="197"/>
      <c r="H492" s="214"/>
      <c r="I492" s="221"/>
      <c r="J492" s="222">
        <v>1</v>
      </c>
      <c r="K492" s="223"/>
      <c r="L492" s="224" t="s">
        <v>1405</v>
      </c>
      <c r="M492" s="223"/>
      <c r="N492" s="223"/>
      <c r="O492" s="256" t="s">
        <v>1133</v>
      </c>
      <c r="P492" s="197"/>
      <c r="Q492" s="197"/>
      <c r="R492" s="197"/>
      <c r="S492" s="197"/>
    </row>
    <row r="493" spans="1:19" x14ac:dyDescent="0.2">
      <c r="A493" s="203"/>
      <c r="B493" s="193"/>
      <c r="C493" s="193"/>
      <c r="D493" s="220" t="s">
        <v>1133</v>
      </c>
      <c r="G493" s="197"/>
      <c r="H493" s="214"/>
      <c r="I493" s="221"/>
      <c r="J493" s="222">
        <v>2</v>
      </c>
      <c r="K493" s="223"/>
      <c r="L493" s="224" t="s">
        <v>1342</v>
      </c>
      <c r="M493" s="223"/>
      <c r="N493" s="223"/>
      <c r="O493" s="256" t="s">
        <v>1133</v>
      </c>
      <c r="P493" s="197"/>
      <c r="Q493" s="197"/>
      <c r="R493" s="197"/>
      <c r="S493" s="197"/>
    </row>
    <row r="494" spans="1:19" x14ac:dyDescent="0.2">
      <c r="A494" s="203"/>
      <c r="B494" s="193"/>
      <c r="C494" s="193"/>
      <c r="D494" s="220" t="s">
        <v>1133</v>
      </c>
      <c r="G494" s="197"/>
      <c r="H494" s="214"/>
      <c r="I494" s="221"/>
      <c r="J494" s="222">
        <v>3</v>
      </c>
      <c r="K494" s="223"/>
      <c r="L494" s="224" t="s">
        <v>1407</v>
      </c>
      <c r="M494" s="223"/>
      <c r="N494" s="223"/>
      <c r="O494" s="256" t="s">
        <v>1133</v>
      </c>
      <c r="P494" s="197"/>
      <c r="Q494" s="197"/>
      <c r="R494" s="197"/>
      <c r="S494" s="197"/>
    </row>
    <row r="495" spans="1:19" x14ac:dyDescent="0.2">
      <c r="A495" s="203"/>
      <c r="B495" s="193"/>
      <c r="C495" s="193"/>
      <c r="D495" s="220" t="s">
        <v>1133</v>
      </c>
      <c r="G495" s="197"/>
      <c r="H495" s="214"/>
      <c r="I495" s="221"/>
      <c r="J495" s="222">
        <v>4</v>
      </c>
      <c r="K495" s="223"/>
      <c r="L495" s="224" t="s">
        <v>1416</v>
      </c>
      <c r="M495" s="223"/>
      <c r="N495" s="223"/>
      <c r="O495" s="256" t="s">
        <v>1133</v>
      </c>
      <c r="P495" s="197"/>
      <c r="Q495" s="197"/>
      <c r="R495" s="197"/>
      <c r="S495" s="197"/>
    </row>
    <row r="496" spans="1:19" x14ac:dyDescent="0.2">
      <c r="A496" s="203"/>
      <c r="B496" s="193"/>
      <c r="C496" s="193"/>
      <c r="D496" s="220" t="s">
        <v>1133</v>
      </c>
      <c r="G496" s="197"/>
      <c r="H496" s="214"/>
      <c r="I496" s="221"/>
      <c r="J496" s="222">
        <v>5</v>
      </c>
      <c r="K496" s="223"/>
      <c r="L496" s="224" t="s">
        <v>1408</v>
      </c>
      <c r="M496" s="223"/>
      <c r="N496" s="223"/>
      <c r="O496" s="256" t="s">
        <v>1133</v>
      </c>
      <c r="P496" s="197"/>
      <c r="Q496" s="197"/>
      <c r="R496" s="197"/>
      <c r="S496" s="197"/>
    </row>
    <row r="497" spans="1:19" x14ac:dyDescent="0.2">
      <c r="A497" s="203"/>
      <c r="B497" s="193"/>
      <c r="C497" s="193"/>
      <c r="D497" s="220"/>
      <c r="G497" s="197"/>
      <c r="H497" s="214"/>
      <c r="I497" s="215" t="s">
        <v>1085</v>
      </c>
      <c r="J497" s="216"/>
      <c r="K497" s="232" t="s">
        <v>1412</v>
      </c>
      <c r="L497" s="218"/>
      <c r="M497" s="218"/>
      <c r="N497" s="218"/>
      <c r="O497" s="266"/>
      <c r="P497" s="197"/>
      <c r="Q497" s="197"/>
      <c r="R497" s="197"/>
      <c r="S497" s="197"/>
    </row>
    <row r="498" spans="1:19" x14ac:dyDescent="0.2">
      <c r="A498" s="203"/>
      <c r="B498" s="193"/>
      <c r="C498" s="193"/>
      <c r="D498" s="220" t="s">
        <v>1133</v>
      </c>
      <c r="G498" s="197"/>
      <c r="H498" s="214"/>
      <c r="I498" s="221"/>
      <c r="J498" s="222">
        <v>1</v>
      </c>
      <c r="K498" s="223"/>
      <c r="L498" s="224" t="s">
        <v>1410</v>
      </c>
      <c r="M498" s="223"/>
      <c r="N498" s="223"/>
      <c r="O498" s="256" t="s">
        <v>1133</v>
      </c>
      <c r="P498" s="197"/>
      <c r="Q498" s="197"/>
      <c r="R498" s="197"/>
      <c r="S498" s="197"/>
    </row>
    <row r="499" spans="1:19" x14ac:dyDescent="0.2">
      <c r="A499" s="203"/>
      <c r="B499" s="193"/>
      <c r="C499" s="193"/>
      <c r="D499" s="220" t="s">
        <v>1133</v>
      </c>
      <c r="G499" s="197"/>
      <c r="H499" s="214"/>
      <c r="I499" s="221"/>
      <c r="J499" s="222">
        <v>2</v>
      </c>
      <c r="K499" s="223"/>
      <c r="L499" s="224" t="s">
        <v>1231</v>
      </c>
      <c r="M499" s="223"/>
      <c r="N499" s="223"/>
      <c r="O499" s="256" t="s">
        <v>1133</v>
      </c>
      <c r="P499" s="197"/>
      <c r="Q499" s="197"/>
      <c r="R499" s="197"/>
      <c r="S499" s="197"/>
    </row>
    <row r="500" spans="1:19" x14ac:dyDescent="0.2">
      <c r="A500" s="203"/>
      <c r="B500" s="193"/>
      <c r="C500" s="193"/>
      <c r="D500" s="220" t="s">
        <v>1133</v>
      </c>
      <c r="G500" s="197"/>
      <c r="H500" s="214"/>
      <c r="I500" s="221"/>
      <c r="J500" s="222">
        <v>3</v>
      </c>
      <c r="K500" s="223"/>
      <c r="L500" s="224" t="s">
        <v>1405</v>
      </c>
      <c r="M500" s="223"/>
      <c r="N500" s="223"/>
      <c r="O500" s="256" t="s">
        <v>1133</v>
      </c>
      <c r="P500" s="197"/>
      <c r="Q500" s="197"/>
      <c r="R500" s="197"/>
      <c r="S500" s="197"/>
    </row>
    <row r="501" spans="1:19" x14ac:dyDescent="0.2">
      <c r="A501" s="203"/>
      <c r="B501" s="193"/>
      <c r="C501" s="193"/>
      <c r="D501" s="220" t="s">
        <v>1133</v>
      </c>
      <c r="G501" s="197"/>
      <c r="H501" s="214"/>
      <c r="I501" s="221"/>
      <c r="J501" s="222">
        <v>4</v>
      </c>
      <c r="K501" s="223"/>
      <c r="L501" s="224" t="s">
        <v>1342</v>
      </c>
      <c r="M501" s="223"/>
      <c r="N501" s="223"/>
      <c r="O501" s="256" t="s">
        <v>1133</v>
      </c>
      <c r="P501" s="197"/>
      <c r="Q501" s="197"/>
      <c r="R501" s="197"/>
      <c r="S501" s="197"/>
    </row>
    <row r="502" spans="1:19" x14ac:dyDescent="0.2">
      <c r="A502" s="203"/>
      <c r="B502" s="193"/>
      <c r="C502" s="193"/>
      <c r="D502" s="220" t="s">
        <v>1133</v>
      </c>
      <c r="G502" s="197"/>
      <c r="H502" s="214"/>
      <c r="I502" s="221"/>
      <c r="J502" s="222">
        <v>5</v>
      </c>
      <c r="K502" s="223"/>
      <c r="L502" s="224" t="s">
        <v>1407</v>
      </c>
      <c r="M502" s="223"/>
      <c r="N502" s="223"/>
      <c r="O502" s="256" t="s">
        <v>1133</v>
      </c>
      <c r="P502" s="197"/>
      <c r="Q502" s="197"/>
      <c r="R502" s="197"/>
      <c r="S502" s="197"/>
    </row>
    <row r="503" spans="1:19" x14ac:dyDescent="0.2">
      <c r="A503" s="203"/>
      <c r="B503" s="193"/>
      <c r="C503" s="193"/>
      <c r="D503" s="220" t="s">
        <v>1133</v>
      </c>
      <c r="G503" s="197"/>
      <c r="H503" s="214"/>
      <c r="I503" s="221"/>
      <c r="J503" s="222">
        <v>6</v>
      </c>
      <c r="K503" s="223"/>
      <c r="L503" s="224" t="s">
        <v>1416</v>
      </c>
      <c r="M503" s="223"/>
      <c r="N503" s="223"/>
      <c r="O503" s="256" t="s">
        <v>1133</v>
      </c>
      <c r="P503" s="197"/>
      <c r="Q503" s="197"/>
      <c r="R503" s="197"/>
      <c r="S503" s="197"/>
    </row>
    <row r="504" spans="1:19" x14ac:dyDescent="0.2">
      <c r="A504" s="203"/>
      <c r="B504" s="193"/>
      <c r="C504" s="193"/>
      <c r="D504" s="220" t="s">
        <v>1133</v>
      </c>
      <c r="G504" s="197"/>
      <c r="H504" s="214"/>
      <c r="I504" s="221"/>
      <c r="J504" s="222">
        <v>7</v>
      </c>
      <c r="K504" s="223"/>
      <c r="L504" s="224" t="s">
        <v>1408</v>
      </c>
      <c r="M504" s="223"/>
      <c r="N504" s="223"/>
      <c r="O504" s="256" t="s">
        <v>1133</v>
      </c>
      <c r="P504" s="197"/>
      <c r="Q504" s="197"/>
      <c r="R504" s="197"/>
      <c r="S504" s="197"/>
    </row>
    <row r="505" spans="1:19" x14ac:dyDescent="0.2">
      <c r="A505" s="203"/>
      <c r="B505" s="193"/>
      <c r="C505" s="193"/>
      <c r="D505" s="220"/>
      <c r="G505" s="197"/>
      <c r="H505" s="214"/>
      <c r="I505" s="215" t="s">
        <v>1127</v>
      </c>
      <c r="J505" s="216"/>
      <c r="K505" s="232" t="s">
        <v>1417</v>
      </c>
      <c r="L505" s="218"/>
      <c r="M505" s="218"/>
      <c r="N505" s="218"/>
      <c r="O505" s="266"/>
      <c r="P505" s="197"/>
      <c r="Q505" s="197"/>
      <c r="R505" s="197"/>
      <c r="S505" s="197"/>
    </row>
    <row r="506" spans="1:19" x14ac:dyDescent="0.2">
      <c r="A506" s="203"/>
      <c r="B506" s="193"/>
      <c r="C506" s="193"/>
      <c r="D506" s="220" t="s">
        <v>1133</v>
      </c>
      <c r="G506" s="197"/>
      <c r="H506" s="214"/>
      <c r="I506" s="221"/>
      <c r="J506" s="222">
        <v>1</v>
      </c>
      <c r="K506" s="223"/>
      <c r="L506" s="224" t="s">
        <v>1410</v>
      </c>
      <c r="M506" s="223"/>
      <c r="N506" s="223"/>
      <c r="O506" s="256" t="s">
        <v>1133</v>
      </c>
      <c r="P506" s="197"/>
      <c r="Q506" s="197"/>
      <c r="R506" s="197"/>
      <c r="S506" s="197"/>
    </row>
    <row r="507" spans="1:19" x14ac:dyDescent="0.2">
      <c r="A507" s="203"/>
      <c r="B507" s="193"/>
      <c r="C507" s="193"/>
      <c r="D507" s="220" t="s">
        <v>1133</v>
      </c>
      <c r="G507" s="197"/>
      <c r="H507" s="214"/>
      <c r="I507" s="221"/>
      <c r="J507" s="222">
        <v>2</v>
      </c>
      <c r="K507" s="223"/>
      <c r="L507" s="224" t="s">
        <v>1231</v>
      </c>
      <c r="M507" s="223"/>
      <c r="N507" s="223"/>
      <c r="O507" s="256" t="s">
        <v>1133</v>
      </c>
      <c r="P507" s="197"/>
      <c r="Q507" s="197"/>
      <c r="R507" s="197"/>
      <c r="S507" s="197"/>
    </row>
    <row r="508" spans="1:19" x14ac:dyDescent="0.2">
      <c r="A508" s="203"/>
      <c r="B508" s="193"/>
      <c r="C508" s="193"/>
      <c r="D508" s="220" t="s">
        <v>1133</v>
      </c>
      <c r="G508" s="197"/>
      <c r="H508" s="214"/>
      <c r="I508" s="221"/>
      <c r="J508" s="222">
        <v>3</v>
      </c>
      <c r="K508" s="223"/>
      <c r="L508" s="224" t="s">
        <v>1420</v>
      </c>
      <c r="M508" s="223"/>
      <c r="N508" s="223"/>
      <c r="O508" s="256" t="s">
        <v>1133</v>
      </c>
      <c r="P508" s="197"/>
      <c r="Q508" s="197"/>
      <c r="R508" s="197"/>
      <c r="S508" s="197"/>
    </row>
    <row r="509" spans="1:19" x14ac:dyDescent="0.2">
      <c r="A509" s="203"/>
      <c r="B509" s="193"/>
      <c r="C509" s="193"/>
      <c r="D509" s="220" t="s">
        <v>1133</v>
      </c>
      <c r="G509" s="197"/>
      <c r="H509" s="214"/>
      <c r="I509" s="221"/>
      <c r="J509" s="222">
        <v>4</v>
      </c>
      <c r="K509" s="223"/>
      <c r="L509" s="224" t="s">
        <v>1405</v>
      </c>
      <c r="M509" s="223"/>
      <c r="N509" s="223"/>
      <c r="O509" s="256" t="s">
        <v>1133</v>
      </c>
      <c r="P509" s="197"/>
      <c r="Q509" s="197"/>
      <c r="R509" s="197"/>
      <c r="S509" s="197"/>
    </row>
    <row r="510" spans="1:19" x14ac:dyDescent="0.2">
      <c r="A510" s="203"/>
      <c r="B510" s="193"/>
      <c r="C510" s="193"/>
      <c r="D510" s="220" t="s">
        <v>1133</v>
      </c>
      <c r="G510" s="197"/>
      <c r="H510" s="214"/>
      <c r="I510" s="221"/>
      <c r="J510" s="222">
        <v>5</v>
      </c>
      <c r="K510" s="223"/>
      <c r="L510" s="224" t="s">
        <v>1342</v>
      </c>
      <c r="M510" s="223"/>
      <c r="N510" s="223"/>
      <c r="O510" s="256" t="s">
        <v>1133</v>
      </c>
      <c r="P510" s="197"/>
      <c r="Q510" s="197"/>
      <c r="R510" s="197"/>
      <c r="S510" s="197"/>
    </row>
    <row r="511" spans="1:19" x14ac:dyDescent="0.2">
      <c r="A511" s="203"/>
      <c r="B511" s="193"/>
      <c r="C511" s="193"/>
      <c r="D511" s="220" t="s">
        <v>1133</v>
      </c>
      <c r="G511" s="197"/>
      <c r="H511" s="214"/>
      <c r="I511" s="221"/>
      <c r="J511" s="222">
        <v>6</v>
      </c>
      <c r="K511" s="223"/>
      <c r="L511" s="224" t="s">
        <v>1424</v>
      </c>
      <c r="M511" s="223"/>
      <c r="N511" s="223"/>
      <c r="O511" s="256" t="s">
        <v>1133</v>
      </c>
      <c r="P511" s="197"/>
      <c r="Q511" s="197"/>
      <c r="R511" s="197"/>
      <c r="S511" s="197"/>
    </row>
    <row r="512" spans="1:19" x14ac:dyDescent="0.2">
      <c r="A512" s="203"/>
      <c r="B512" s="193"/>
      <c r="C512" s="193"/>
      <c r="D512" s="220" t="s">
        <v>1133</v>
      </c>
      <c r="G512" s="197"/>
      <c r="H512" s="214"/>
      <c r="I512" s="221"/>
      <c r="J512" s="222">
        <v>7</v>
      </c>
      <c r="K512" s="223"/>
      <c r="L512" s="224" t="s">
        <v>1416</v>
      </c>
      <c r="M512" s="223"/>
      <c r="N512" s="223"/>
      <c r="O512" s="256" t="s">
        <v>1133</v>
      </c>
      <c r="P512" s="197"/>
      <c r="Q512" s="197"/>
      <c r="R512" s="197"/>
      <c r="S512" s="197"/>
    </row>
    <row r="513" spans="1:19" x14ac:dyDescent="0.2">
      <c r="A513" s="203"/>
      <c r="B513" s="193"/>
      <c r="C513" s="193"/>
      <c r="D513" s="220" t="s">
        <v>1133</v>
      </c>
      <c r="G513" s="223"/>
      <c r="H513" s="214"/>
      <c r="I513" s="221"/>
      <c r="J513" s="222">
        <v>8</v>
      </c>
      <c r="K513" s="223"/>
      <c r="L513" s="230" t="s">
        <v>1435</v>
      </c>
      <c r="M513" s="229"/>
      <c r="N513" s="229"/>
      <c r="O513" s="275" t="s">
        <v>1133</v>
      </c>
      <c r="P513" s="197"/>
      <c r="Q513" s="197"/>
      <c r="R513" s="197"/>
      <c r="S513" s="197"/>
    </row>
    <row r="514" spans="1:19" x14ac:dyDescent="0.2">
      <c r="A514" s="203"/>
      <c r="B514" s="193"/>
      <c r="C514" s="193"/>
      <c r="D514" s="220"/>
      <c r="G514" s="197"/>
      <c r="H514" s="214"/>
      <c r="I514" s="215" t="s">
        <v>1130</v>
      </c>
      <c r="J514" s="216"/>
      <c r="K514" s="232" t="s">
        <v>1426</v>
      </c>
      <c r="L514" s="218"/>
      <c r="M514" s="218"/>
      <c r="N514" s="218"/>
      <c r="O514" s="266"/>
      <c r="P514" s="197"/>
      <c r="Q514" s="197"/>
      <c r="R514" s="197"/>
      <c r="S514" s="197"/>
    </row>
    <row r="515" spans="1:19" x14ac:dyDescent="0.2">
      <c r="A515" s="203"/>
      <c r="B515" s="193"/>
      <c r="C515" s="193"/>
      <c r="D515" s="220" t="s">
        <v>1133</v>
      </c>
      <c r="G515" s="197"/>
      <c r="H515" s="214"/>
      <c r="I515" s="221"/>
      <c r="J515" s="222">
        <v>1</v>
      </c>
      <c r="K515" s="223"/>
      <c r="L515" s="224" t="s">
        <v>1410</v>
      </c>
      <c r="M515" s="223"/>
      <c r="N515" s="223"/>
      <c r="O515" s="256" t="s">
        <v>1133</v>
      </c>
      <c r="P515" s="197"/>
      <c r="Q515" s="197"/>
      <c r="R515" s="197"/>
      <c r="S515" s="197"/>
    </row>
    <row r="516" spans="1:19" x14ac:dyDescent="0.2">
      <c r="A516" s="203"/>
      <c r="B516" s="193"/>
      <c r="C516" s="193"/>
      <c r="D516" s="220" t="s">
        <v>1133</v>
      </c>
      <c r="G516" s="197"/>
      <c r="H516" s="214"/>
      <c r="I516" s="221"/>
      <c r="J516" s="222">
        <v>2</v>
      </c>
      <c r="K516" s="223"/>
      <c r="L516" s="224" t="s">
        <v>1231</v>
      </c>
      <c r="M516" s="223"/>
      <c r="N516" s="223"/>
      <c r="O516" s="256" t="s">
        <v>1133</v>
      </c>
      <c r="P516" s="197"/>
      <c r="Q516" s="197"/>
      <c r="R516" s="197"/>
      <c r="S516" s="197"/>
    </row>
    <row r="517" spans="1:19" x14ac:dyDescent="0.2">
      <c r="A517" s="203"/>
      <c r="B517" s="193"/>
      <c r="C517" s="193"/>
      <c r="D517" s="220" t="s">
        <v>1133</v>
      </c>
      <c r="G517" s="197"/>
      <c r="H517" s="214"/>
      <c r="I517" s="221"/>
      <c r="J517" s="222">
        <v>3</v>
      </c>
      <c r="K517" s="223"/>
      <c r="L517" s="224" t="s">
        <v>1420</v>
      </c>
      <c r="M517" s="223"/>
      <c r="N517" s="223"/>
      <c r="O517" s="256" t="s">
        <v>1133</v>
      </c>
      <c r="P517" s="197"/>
      <c r="Q517" s="197"/>
      <c r="R517" s="197"/>
      <c r="S517" s="197"/>
    </row>
    <row r="518" spans="1:19" x14ac:dyDescent="0.2">
      <c r="A518" s="203"/>
      <c r="B518" s="193"/>
      <c r="C518" s="193"/>
      <c r="D518" s="220" t="s">
        <v>1133</v>
      </c>
      <c r="G518" s="197"/>
      <c r="H518" s="214"/>
      <c r="I518" s="221"/>
      <c r="J518" s="222">
        <v>4</v>
      </c>
      <c r="K518" s="223"/>
      <c r="L518" s="224" t="s">
        <v>1424</v>
      </c>
      <c r="M518" s="223"/>
      <c r="N518" s="223"/>
      <c r="O518" s="256" t="s">
        <v>1133</v>
      </c>
      <c r="P518" s="197"/>
      <c r="Q518" s="197"/>
      <c r="R518" s="197"/>
      <c r="S518" s="197"/>
    </row>
    <row r="519" spans="1:19" x14ac:dyDescent="0.2">
      <c r="A519" s="203"/>
      <c r="B519" s="193"/>
      <c r="C519" s="193"/>
      <c r="D519" s="220" t="s">
        <v>1133</v>
      </c>
      <c r="G519" s="197"/>
      <c r="H519" s="214"/>
      <c r="I519" s="221"/>
      <c r="J519" s="222">
        <v>5</v>
      </c>
      <c r="K519" s="223"/>
      <c r="L519" s="224" t="s">
        <v>1416</v>
      </c>
      <c r="M519" s="223"/>
      <c r="N519" s="223"/>
      <c r="O519" s="256" t="s">
        <v>1133</v>
      </c>
      <c r="P519" s="197"/>
      <c r="Q519" s="197"/>
      <c r="R519" s="197"/>
      <c r="S519" s="197"/>
    </row>
    <row r="520" spans="1:19" ht="15.75" thickBot="1" x14ac:dyDescent="0.25">
      <c r="A520" s="203"/>
      <c r="B520" s="193"/>
      <c r="C520" s="193"/>
      <c r="D520" s="220" t="s">
        <v>1133</v>
      </c>
      <c r="G520" s="197"/>
      <c r="H520" s="234"/>
      <c r="I520" s="235"/>
      <c r="J520" s="236">
        <v>6</v>
      </c>
      <c r="K520" s="237"/>
      <c r="L520" s="238" t="s">
        <v>1408</v>
      </c>
      <c r="M520" s="237"/>
      <c r="N520" s="237"/>
      <c r="O520" s="322" t="s">
        <v>1133</v>
      </c>
      <c r="P520" s="197"/>
      <c r="Q520" s="197"/>
      <c r="R520" s="197"/>
      <c r="S520" s="197"/>
    </row>
    <row r="521" spans="1:19" ht="15.75" thickTop="1" x14ac:dyDescent="0.2">
      <c r="A521" s="203">
        <v>46</v>
      </c>
      <c r="B521" s="193" t="s">
        <v>1436</v>
      </c>
      <c r="C521" s="193" t="s">
        <v>1437</v>
      </c>
      <c r="D521" s="220"/>
      <c r="G521" s="197"/>
      <c r="H521" s="241">
        <v>46</v>
      </c>
      <c r="I521" s="243"/>
      <c r="J521" s="254"/>
      <c r="K521" s="311" t="s">
        <v>1437</v>
      </c>
      <c r="L521" s="254"/>
      <c r="M521" s="254"/>
      <c r="N521" s="254"/>
      <c r="O521" s="265"/>
      <c r="P521" s="197"/>
      <c r="Q521" s="212">
        <f>H521</f>
        <v>46</v>
      </c>
      <c r="R521" s="202" t="str">
        <f>CONCATENATE("II-",TEXT(Q521,"0000"))</f>
        <v>II-0046</v>
      </c>
      <c r="S521" s="213" t="str">
        <f>K521</f>
        <v>IMPERMEABILIZACION</v>
      </c>
    </row>
    <row r="522" spans="1:19" x14ac:dyDescent="0.2">
      <c r="A522" s="203"/>
      <c r="B522" s="193"/>
      <c r="C522" s="193"/>
      <c r="D522" s="220" t="s">
        <v>1216</v>
      </c>
      <c r="G522" s="197"/>
      <c r="H522" s="214"/>
      <c r="I522" s="215" t="s">
        <v>1022</v>
      </c>
      <c r="J522" s="223"/>
      <c r="K522" s="224" t="s">
        <v>1438</v>
      </c>
      <c r="L522" s="223"/>
      <c r="M522" s="223"/>
      <c r="N522" s="223"/>
      <c r="O522" s="256" t="s">
        <v>1216</v>
      </c>
      <c r="P522" s="197"/>
      <c r="Q522" s="197"/>
      <c r="R522" s="197"/>
      <c r="S522" s="197"/>
    </row>
    <row r="523" spans="1:19" x14ac:dyDescent="0.2">
      <c r="A523" s="203"/>
      <c r="B523" s="193"/>
      <c r="C523" s="193"/>
      <c r="D523" s="220"/>
      <c r="G523" s="197"/>
      <c r="H523" s="214"/>
      <c r="I523" s="215" t="s">
        <v>1049</v>
      </c>
      <c r="J523" s="216"/>
      <c r="K523" s="232" t="s">
        <v>1439</v>
      </c>
      <c r="L523" s="218"/>
      <c r="M523" s="218"/>
      <c r="N523" s="218"/>
      <c r="O523" s="266"/>
      <c r="P523" s="197"/>
      <c r="Q523" s="197"/>
      <c r="R523" s="197"/>
      <c r="S523" s="197"/>
    </row>
    <row r="524" spans="1:19" x14ac:dyDescent="0.2">
      <c r="A524" s="203"/>
      <c r="B524" s="193"/>
      <c r="C524" s="193"/>
      <c r="D524" s="220" t="s">
        <v>1216</v>
      </c>
      <c r="G524" s="197"/>
      <c r="H524" s="214"/>
      <c r="I524" s="221"/>
      <c r="J524" s="222">
        <v>1</v>
      </c>
      <c r="K524" s="223"/>
      <c r="L524" s="224" t="s">
        <v>1440</v>
      </c>
      <c r="M524" s="223"/>
      <c r="N524" s="223"/>
      <c r="O524" s="256" t="s">
        <v>1216</v>
      </c>
      <c r="P524" s="197"/>
      <c r="Q524" s="197"/>
      <c r="R524" s="197"/>
      <c r="S524" s="197"/>
    </row>
    <row r="525" spans="1:19" ht="15.75" thickBot="1" x14ac:dyDescent="0.25">
      <c r="A525" s="203"/>
      <c r="B525" s="193"/>
      <c r="C525" s="193"/>
      <c r="D525" s="220" t="s">
        <v>1216</v>
      </c>
      <c r="G525" s="197"/>
      <c r="H525" s="234"/>
      <c r="I525" s="235"/>
      <c r="J525" s="236">
        <v>2</v>
      </c>
      <c r="K525" s="237"/>
      <c r="L525" s="238" t="s">
        <v>1441</v>
      </c>
      <c r="M525" s="237"/>
      <c r="N525" s="237"/>
      <c r="O525" s="322" t="s">
        <v>1216</v>
      </c>
      <c r="P525" s="197"/>
      <c r="Q525" s="197"/>
      <c r="R525" s="197"/>
      <c r="S525" s="197"/>
    </row>
    <row r="526" spans="1:19" ht="15.75" thickTop="1" x14ac:dyDescent="0.2">
      <c r="A526" s="203">
        <v>47</v>
      </c>
      <c r="B526" s="193" t="s">
        <v>1442</v>
      </c>
      <c r="C526" s="193" t="s">
        <v>1443</v>
      </c>
      <c r="D526" s="220"/>
      <c r="G526" s="197"/>
      <c r="H526" s="241">
        <v>47</v>
      </c>
      <c r="I526" s="243"/>
      <c r="J526" s="254"/>
      <c r="K526" s="311" t="s">
        <v>1443</v>
      </c>
      <c r="L526" s="254"/>
      <c r="M526" s="254"/>
      <c r="N526" s="254"/>
      <c r="O526" s="265"/>
      <c r="P526" s="197"/>
      <c r="Q526" s="212">
        <f>H526</f>
        <v>47</v>
      </c>
      <c r="R526" s="202" t="str">
        <f>CONCATENATE("II-",TEXT(Q526,"0000"))</f>
        <v>II-0047</v>
      </c>
      <c r="S526" s="213" t="str">
        <f>K526</f>
        <v>IMPRIMACIÒN CON MATERIAL BITUMINOSO</v>
      </c>
    </row>
    <row r="527" spans="1:19" x14ac:dyDescent="0.2">
      <c r="A527" s="203"/>
      <c r="B527" s="193"/>
      <c r="C527" s="193"/>
      <c r="D527" s="220" t="s">
        <v>1216</v>
      </c>
      <c r="G527" s="197"/>
      <c r="H527" s="214"/>
      <c r="I527" s="215" t="s">
        <v>1022</v>
      </c>
      <c r="J527" s="262"/>
      <c r="K527" s="283" t="s">
        <v>1440</v>
      </c>
      <c r="L527" s="283"/>
      <c r="M527" s="283"/>
      <c r="N527" s="262"/>
      <c r="O527" s="297" t="s">
        <v>1216</v>
      </c>
      <c r="P527" s="197"/>
      <c r="Q527" s="197"/>
      <c r="R527" s="197"/>
      <c r="S527" s="197"/>
    </row>
    <row r="528" spans="1:19" ht="15.75" thickBot="1" x14ac:dyDescent="0.25">
      <c r="A528" s="203"/>
      <c r="B528" s="193"/>
      <c r="C528" s="193"/>
      <c r="D528" s="220" t="s">
        <v>1216</v>
      </c>
      <c r="G528" s="197"/>
      <c r="H528" s="267"/>
      <c r="I528" s="269" t="s">
        <v>1049</v>
      </c>
      <c r="J528" s="270"/>
      <c r="K528" s="271" t="s">
        <v>1441</v>
      </c>
      <c r="L528" s="271"/>
      <c r="M528" s="271"/>
      <c r="N528" s="270"/>
      <c r="O528" s="325" t="s">
        <v>1216</v>
      </c>
      <c r="P528" s="197"/>
      <c r="Q528" s="197"/>
      <c r="R528" s="197"/>
      <c r="S528" s="197"/>
    </row>
    <row r="529" spans="1:19" x14ac:dyDescent="0.2">
      <c r="A529" s="203"/>
      <c r="B529" s="193"/>
      <c r="C529" s="193"/>
      <c r="D529" s="220"/>
      <c r="G529" s="197"/>
      <c r="H529" s="273"/>
      <c r="I529" s="221"/>
      <c r="J529" s="223"/>
      <c r="K529" s="224"/>
      <c r="L529" s="224"/>
      <c r="M529" s="224"/>
      <c r="N529" s="223"/>
      <c r="O529" s="331"/>
      <c r="P529" s="197"/>
      <c r="Q529" s="197"/>
      <c r="R529" s="197"/>
      <c r="S529" s="197"/>
    </row>
    <row r="530" spans="1:19" x14ac:dyDescent="0.2">
      <c r="A530" s="203"/>
      <c r="B530" s="193"/>
      <c r="C530" s="193"/>
      <c r="D530" s="220"/>
      <c r="G530" s="223"/>
      <c r="H530" s="273"/>
      <c r="I530" s="221"/>
      <c r="J530" s="223"/>
      <c r="K530" s="224"/>
      <c r="L530" s="224"/>
      <c r="M530" s="224"/>
      <c r="N530" s="223"/>
      <c r="O530" s="331"/>
      <c r="P530" s="223"/>
      <c r="Q530" s="223"/>
      <c r="R530" s="223"/>
      <c r="S530" s="223"/>
    </row>
    <row r="531" spans="1:19" x14ac:dyDescent="0.2">
      <c r="A531" s="203">
        <v>48</v>
      </c>
      <c r="B531" s="193" t="s">
        <v>1444</v>
      </c>
      <c r="C531" s="193" t="s">
        <v>1445</v>
      </c>
      <c r="D531" s="220"/>
      <c r="G531" s="197"/>
      <c r="H531" s="241">
        <v>48</v>
      </c>
      <c r="I531" s="243"/>
      <c r="J531" s="254"/>
      <c r="K531" s="311" t="s">
        <v>1445</v>
      </c>
      <c r="L531" s="254"/>
      <c r="M531" s="254"/>
      <c r="N531" s="254"/>
      <c r="O531" s="265"/>
      <c r="P531" s="197"/>
      <c r="Q531" s="212">
        <f>H531</f>
        <v>48</v>
      </c>
      <c r="R531" s="202" t="str">
        <f>CONCATENATE("II-",TEXT(Q531,"0000"))</f>
        <v>II-0048</v>
      </c>
      <c r="S531" s="213" t="str">
        <f>K531</f>
        <v>LIMPIEZA</v>
      </c>
    </row>
    <row r="532" spans="1:19" x14ac:dyDescent="0.2">
      <c r="A532" s="203"/>
      <c r="B532" s="193"/>
      <c r="C532" s="193"/>
      <c r="D532" s="220" t="s">
        <v>1446</v>
      </c>
      <c r="G532" s="197"/>
      <c r="H532" s="214"/>
      <c r="I532" s="349" t="s">
        <v>1022</v>
      </c>
      <c r="J532" s="223"/>
      <c r="K532" s="224" t="s">
        <v>1447</v>
      </c>
      <c r="L532" s="224"/>
      <c r="M532" s="224"/>
      <c r="N532" s="223"/>
      <c r="O532" s="256" t="s">
        <v>1446</v>
      </c>
      <c r="P532" s="197"/>
      <c r="Q532" s="197"/>
      <c r="R532" s="197"/>
      <c r="S532" s="197"/>
    </row>
    <row r="533" spans="1:19" x14ac:dyDescent="0.2">
      <c r="A533" s="203"/>
      <c r="B533" s="193"/>
      <c r="C533" s="193"/>
      <c r="D533" s="220" t="s">
        <v>1133</v>
      </c>
      <c r="G533" s="197"/>
      <c r="H533" s="214"/>
      <c r="I533" s="215" t="s">
        <v>1049</v>
      </c>
      <c r="J533" s="262"/>
      <c r="K533" s="283" t="s">
        <v>1448</v>
      </c>
      <c r="L533" s="283"/>
      <c r="M533" s="283"/>
      <c r="N533" s="262"/>
      <c r="O533" s="297" t="s">
        <v>1133</v>
      </c>
      <c r="P533" s="197"/>
      <c r="Q533" s="197"/>
      <c r="R533" s="197"/>
      <c r="S533" s="197"/>
    </row>
    <row r="534" spans="1:19" x14ac:dyDescent="0.2">
      <c r="A534" s="203"/>
      <c r="B534" s="193"/>
      <c r="C534" s="193"/>
      <c r="D534" s="220" t="s">
        <v>1133</v>
      </c>
      <c r="G534" s="197"/>
      <c r="H534" s="214"/>
      <c r="I534" s="222" t="s">
        <v>1059</v>
      </c>
      <c r="J534" s="223"/>
      <c r="K534" s="224" t="s">
        <v>1449</v>
      </c>
      <c r="L534" s="224"/>
      <c r="M534" s="224"/>
      <c r="N534" s="223"/>
      <c r="O534" s="256" t="s">
        <v>1133</v>
      </c>
      <c r="P534" s="197"/>
      <c r="Q534" s="197"/>
      <c r="R534" s="197"/>
      <c r="S534" s="197"/>
    </row>
    <row r="535" spans="1:19" x14ac:dyDescent="0.2">
      <c r="A535" s="203"/>
      <c r="B535" s="193"/>
      <c r="C535" s="193"/>
      <c r="D535" s="220" t="s">
        <v>1133</v>
      </c>
      <c r="G535" s="197"/>
      <c r="H535" s="214"/>
      <c r="I535" s="349" t="s">
        <v>1085</v>
      </c>
      <c r="J535" s="218"/>
      <c r="K535" s="232" t="s">
        <v>1450</v>
      </c>
      <c r="L535" s="232"/>
      <c r="M535" s="232"/>
      <c r="N535" s="218"/>
      <c r="O535" s="266" t="s">
        <v>1133</v>
      </c>
      <c r="P535" s="197"/>
      <c r="Q535" s="197"/>
      <c r="R535" s="197"/>
      <c r="S535" s="197"/>
    </row>
    <row r="536" spans="1:19" x14ac:dyDescent="0.2">
      <c r="A536" s="203"/>
      <c r="B536" s="193"/>
      <c r="C536" s="193"/>
      <c r="D536" s="220" t="s">
        <v>1133</v>
      </c>
      <c r="G536" s="197"/>
      <c r="H536" s="214"/>
      <c r="I536" s="215" t="s">
        <v>1127</v>
      </c>
      <c r="J536" s="262"/>
      <c r="K536" s="283" t="s">
        <v>1451</v>
      </c>
      <c r="L536" s="283"/>
      <c r="M536" s="283"/>
      <c r="N536" s="262"/>
      <c r="O536" s="297" t="s">
        <v>1133</v>
      </c>
      <c r="P536" s="197"/>
      <c r="Q536" s="197"/>
      <c r="R536" s="197"/>
      <c r="S536" s="197"/>
    </row>
    <row r="537" spans="1:19" x14ac:dyDescent="0.2">
      <c r="A537" s="203"/>
      <c r="B537" s="193"/>
      <c r="C537" s="193"/>
      <c r="D537" s="220" t="s">
        <v>1250</v>
      </c>
      <c r="G537" s="197"/>
      <c r="H537" s="214"/>
      <c r="I537" s="222" t="s">
        <v>1130</v>
      </c>
      <c r="J537" s="223"/>
      <c r="K537" s="224" t="s">
        <v>1452</v>
      </c>
      <c r="L537" s="224"/>
      <c r="M537" s="224"/>
      <c r="N537" s="223"/>
      <c r="O537" s="256" t="s">
        <v>1250</v>
      </c>
      <c r="P537" s="197"/>
      <c r="Q537" s="197"/>
      <c r="R537" s="197"/>
      <c r="S537" s="197"/>
    </row>
    <row r="538" spans="1:19" x14ac:dyDescent="0.2">
      <c r="A538" s="203"/>
      <c r="B538" s="193"/>
      <c r="C538" s="193"/>
      <c r="D538" s="220" t="s">
        <v>998</v>
      </c>
      <c r="G538" s="197"/>
      <c r="H538" s="214"/>
      <c r="I538" s="215" t="s">
        <v>1134</v>
      </c>
      <c r="J538" s="262"/>
      <c r="K538" s="283" t="s">
        <v>1453</v>
      </c>
      <c r="L538" s="283"/>
      <c r="M538" s="283"/>
      <c r="N538" s="262"/>
      <c r="O538" s="297" t="s">
        <v>998</v>
      </c>
      <c r="P538" s="197"/>
      <c r="Q538" s="197"/>
      <c r="R538" s="197"/>
      <c r="S538" s="197"/>
    </row>
    <row r="539" spans="1:19" ht="15.75" thickBot="1" x14ac:dyDescent="0.25">
      <c r="A539" s="203"/>
      <c r="B539" s="193"/>
      <c r="C539" s="193"/>
      <c r="D539" s="220" t="s">
        <v>998</v>
      </c>
      <c r="G539" s="197"/>
      <c r="H539" s="234"/>
      <c r="I539" s="236" t="s">
        <v>1137</v>
      </c>
      <c r="J539" s="237"/>
      <c r="K539" s="238" t="s">
        <v>1454</v>
      </c>
      <c r="L539" s="238"/>
      <c r="M539" s="238"/>
      <c r="N539" s="237"/>
      <c r="O539" s="322" t="s">
        <v>998</v>
      </c>
      <c r="P539" s="197"/>
      <c r="Q539" s="197"/>
      <c r="R539" s="197"/>
      <c r="S539" s="197"/>
    </row>
    <row r="540" spans="1:19" ht="15.75" thickTop="1" x14ac:dyDescent="0.2">
      <c r="A540" s="203">
        <v>49</v>
      </c>
      <c r="B540" s="193" t="s">
        <v>1455</v>
      </c>
      <c r="C540" s="193" t="s">
        <v>1456</v>
      </c>
      <c r="D540" s="220"/>
      <c r="G540" s="197"/>
      <c r="H540" s="241">
        <v>49</v>
      </c>
      <c r="I540" s="243"/>
      <c r="J540" s="254"/>
      <c r="K540" s="311" t="s">
        <v>1456</v>
      </c>
      <c r="L540" s="254"/>
      <c r="M540" s="254"/>
      <c r="N540" s="254"/>
      <c r="O540" s="265"/>
      <c r="P540" s="197"/>
      <c r="Q540" s="212">
        <f>H540</f>
        <v>49</v>
      </c>
      <c r="R540" s="202" t="str">
        <f>CONCATENATE("II-",TEXT(Q540,"0000"))</f>
        <v>II-0049</v>
      </c>
      <c r="S540" s="213" t="str">
        <f>K540</f>
        <v>LOSA DE HORMIGON</v>
      </c>
    </row>
    <row r="541" spans="1:19" ht="15.75" thickBot="1" x14ac:dyDescent="0.25">
      <c r="A541" s="203"/>
      <c r="B541" s="193"/>
      <c r="C541" s="193"/>
      <c r="D541" s="220" t="s">
        <v>1216</v>
      </c>
      <c r="G541" s="197"/>
      <c r="H541" s="245"/>
      <c r="I541" s="246" t="s">
        <v>1022</v>
      </c>
      <c r="J541" s="247"/>
      <c r="K541" s="285" t="s">
        <v>1136</v>
      </c>
      <c r="L541" s="249"/>
      <c r="M541" s="249"/>
      <c r="N541" s="249"/>
      <c r="O541" s="323" t="s">
        <v>1216</v>
      </c>
      <c r="P541" s="197"/>
      <c r="Q541" s="197"/>
      <c r="R541" s="197"/>
      <c r="S541" s="197"/>
    </row>
    <row r="542" spans="1:19" ht="15.75" thickTop="1" x14ac:dyDescent="0.2">
      <c r="A542" s="203">
        <v>50</v>
      </c>
      <c r="B542" s="193" t="s">
        <v>1457</v>
      </c>
      <c r="C542" s="193" t="s">
        <v>1458</v>
      </c>
      <c r="D542" s="220"/>
      <c r="G542" s="197"/>
      <c r="H542" s="241">
        <v>50</v>
      </c>
      <c r="I542" s="243"/>
      <c r="J542" s="254"/>
      <c r="K542" s="311" t="s">
        <v>1458</v>
      </c>
      <c r="L542" s="254"/>
      <c r="M542" s="254"/>
      <c r="N542" s="254"/>
      <c r="O542" s="265"/>
      <c r="P542" s="197"/>
      <c r="Q542" s="212">
        <f>H542</f>
        <v>50</v>
      </c>
      <c r="R542" s="202" t="str">
        <f>CONCATENATE("II-",TEXT(Q542,"0000"))</f>
        <v>II-0050</v>
      </c>
      <c r="S542" s="213" t="str">
        <f>K542</f>
        <v>LOSETAS DE HORMIGON</v>
      </c>
    </row>
    <row r="543" spans="1:19" x14ac:dyDescent="0.2">
      <c r="A543" s="203"/>
      <c r="B543" s="193"/>
      <c r="C543" s="193"/>
      <c r="D543" s="220"/>
      <c r="G543" s="197"/>
      <c r="H543" s="214"/>
      <c r="I543" s="215" t="s">
        <v>1022</v>
      </c>
      <c r="J543" s="216"/>
      <c r="K543" s="232" t="s">
        <v>1459</v>
      </c>
      <c r="L543" s="218"/>
      <c r="M543" s="218"/>
      <c r="N543" s="218"/>
      <c r="O543" s="266"/>
      <c r="P543" s="197"/>
      <c r="Q543" s="197"/>
      <c r="R543" s="197"/>
      <c r="S543" s="197"/>
    </row>
    <row r="544" spans="1:19" x14ac:dyDescent="0.2">
      <c r="A544" s="203"/>
      <c r="B544" s="193"/>
      <c r="C544" s="193"/>
      <c r="D544" s="220" t="s">
        <v>1216</v>
      </c>
      <c r="G544" s="197"/>
      <c r="H544" s="214"/>
      <c r="I544" s="221"/>
      <c r="J544" s="222">
        <v>1</v>
      </c>
      <c r="K544" s="223"/>
      <c r="L544" s="224" t="s">
        <v>1460</v>
      </c>
      <c r="M544" s="223"/>
      <c r="N544" s="223"/>
      <c r="O544" s="256" t="s">
        <v>1216</v>
      </c>
      <c r="P544" s="197"/>
      <c r="Q544" s="197"/>
      <c r="R544" s="197"/>
      <c r="S544" s="197"/>
    </row>
    <row r="545" spans="1:19" x14ac:dyDescent="0.2">
      <c r="A545" s="203"/>
      <c r="B545" s="193"/>
      <c r="C545" s="193"/>
      <c r="D545" s="220" t="s">
        <v>1216</v>
      </c>
      <c r="G545" s="197"/>
      <c r="H545" s="214"/>
      <c r="I545" s="221"/>
      <c r="J545" s="222">
        <v>2</v>
      </c>
      <c r="K545" s="223"/>
      <c r="L545" s="224" t="s">
        <v>1322</v>
      </c>
      <c r="M545" s="223"/>
      <c r="N545" s="223"/>
      <c r="O545" s="256" t="s">
        <v>1216</v>
      </c>
      <c r="P545" s="197"/>
      <c r="Q545" s="197"/>
      <c r="R545" s="197"/>
      <c r="S545" s="197"/>
    </row>
    <row r="546" spans="1:19" x14ac:dyDescent="0.2">
      <c r="A546" s="203"/>
      <c r="B546" s="193"/>
      <c r="C546" s="193"/>
      <c r="D546" s="220" t="s">
        <v>1216</v>
      </c>
      <c r="G546" s="197"/>
      <c r="H546" s="214"/>
      <c r="I546" s="221"/>
      <c r="J546" s="222">
        <v>3</v>
      </c>
      <c r="K546" s="223"/>
      <c r="L546" s="224" t="s">
        <v>1342</v>
      </c>
      <c r="M546" s="223"/>
      <c r="N546" s="223"/>
      <c r="O546" s="256" t="s">
        <v>1216</v>
      </c>
      <c r="P546" s="197"/>
      <c r="Q546" s="197"/>
      <c r="R546" s="197"/>
      <c r="S546" s="197"/>
    </row>
    <row r="547" spans="1:19" x14ac:dyDescent="0.2">
      <c r="A547" s="203"/>
      <c r="B547" s="193"/>
      <c r="C547" s="193"/>
      <c r="D547" s="220" t="s">
        <v>1216</v>
      </c>
      <c r="G547" s="197"/>
      <c r="H547" s="214"/>
      <c r="I547" s="221"/>
      <c r="J547" s="222">
        <v>4</v>
      </c>
      <c r="K547" s="223"/>
      <c r="L547" s="224" t="s">
        <v>1461</v>
      </c>
      <c r="M547" s="223"/>
      <c r="N547" s="223"/>
      <c r="O547" s="256" t="s">
        <v>1216</v>
      </c>
      <c r="P547" s="197"/>
      <c r="Q547" s="197"/>
      <c r="R547" s="197"/>
      <c r="S547" s="197"/>
    </row>
    <row r="548" spans="1:19" x14ac:dyDescent="0.2">
      <c r="A548" s="203"/>
      <c r="B548" s="193"/>
      <c r="C548" s="193"/>
      <c r="D548" s="220" t="s">
        <v>1216</v>
      </c>
      <c r="G548" s="197"/>
      <c r="H548" s="214"/>
      <c r="I548" s="221"/>
      <c r="J548" s="222">
        <v>5</v>
      </c>
      <c r="K548" s="223"/>
      <c r="L548" s="224" t="s">
        <v>1462</v>
      </c>
      <c r="M548" s="223"/>
      <c r="N548" s="223"/>
      <c r="O548" s="256" t="s">
        <v>1216</v>
      </c>
      <c r="P548" s="197"/>
      <c r="Q548" s="197"/>
      <c r="R548" s="197"/>
      <c r="S548" s="197"/>
    </row>
    <row r="549" spans="1:19" x14ac:dyDescent="0.2">
      <c r="A549" s="203"/>
      <c r="B549" s="193"/>
      <c r="C549" s="193"/>
      <c r="D549" s="220" t="s">
        <v>1216</v>
      </c>
      <c r="G549" s="197"/>
      <c r="H549" s="214"/>
      <c r="I549" s="215" t="s">
        <v>1049</v>
      </c>
      <c r="J549" s="350"/>
      <c r="K549" s="283" t="s">
        <v>1091</v>
      </c>
      <c r="L549" s="283"/>
      <c r="M549" s="262"/>
      <c r="N549" s="262"/>
      <c r="O549" s="297" t="s">
        <v>1216</v>
      </c>
      <c r="P549" s="197"/>
      <c r="Q549" s="197"/>
      <c r="R549" s="197"/>
      <c r="S549" s="197"/>
    </row>
    <row r="550" spans="1:19" ht="15.75" thickBot="1" x14ac:dyDescent="0.25">
      <c r="A550" s="203"/>
      <c r="B550" s="193"/>
      <c r="C550" s="193"/>
      <c r="D550" s="220" t="s">
        <v>1216</v>
      </c>
      <c r="G550" s="197"/>
      <c r="H550" s="214"/>
      <c r="I550" s="236" t="s">
        <v>1059</v>
      </c>
      <c r="J550" s="221"/>
      <c r="K550" s="224" t="s">
        <v>1197</v>
      </c>
      <c r="L550" s="224"/>
      <c r="M550" s="223"/>
      <c r="N550" s="223"/>
      <c r="O550" s="256" t="s">
        <v>1216</v>
      </c>
      <c r="P550" s="197"/>
      <c r="Q550" s="197"/>
      <c r="R550" s="197"/>
      <c r="S550" s="197"/>
    </row>
    <row r="551" spans="1:19" ht="16.5" thickTop="1" thickBot="1" x14ac:dyDescent="0.25">
      <c r="A551" s="203">
        <v>51</v>
      </c>
      <c r="B551" s="193" t="s">
        <v>1463</v>
      </c>
      <c r="C551" s="193" t="s">
        <v>1464</v>
      </c>
      <c r="D551" s="220" t="s">
        <v>1216</v>
      </c>
      <c r="G551" s="197"/>
      <c r="H551" s="292">
        <v>51</v>
      </c>
      <c r="I551" s="242"/>
      <c r="J551" s="302"/>
      <c r="K551" s="303" t="s">
        <v>1464</v>
      </c>
      <c r="L551" s="302"/>
      <c r="M551" s="302"/>
      <c r="N551" s="302"/>
      <c r="O551" s="244" t="s">
        <v>1216</v>
      </c>
      <c r="P551" s="197"/>
      <c r="Q551" s="212">
        <f t="shared" ref="Q551:Q552" si="48">H551</f>
        <v>51</v>
      </c>
      <c r="R551" s="202" t="str">
        <f t="shared" ref="R551:R552" si="49">CONCATENATE("II-",TEXT(Q551,"0000"))</f>
        <v>II-0051</v>
      </c>
      <c r="S551" s="213" t="str">
        <f t="shared" ref="S551:S552" si="50">K551</f>
        <v>MAMPOSTERIA DE PIEDRA</v>
      </c>
    </row>
    <row r="552" spans="1:19" ht="16.5" thickTop="1" thickBot="1" x14ac:dyDescent="0.25">
      <c r="A552" s="203">
        <v>52</v>
      </c>
      <c r="B552" s="193" t="s">
        <v>1465</v>
      </c>
      <c r="C552" s="193" t="s">
        <v>1466</v>
      </c>
      <c r="D552" s="220"/>
      <c r="G552" s="197"/>
      <c r="H552" s="292">
        <v>52</v>
      </c>
      <c r="I552" s="242"/>
      <c r="J552" s="302"/>
      <c r="K552" s="303" t="s">
        <v>1466</v>
      </c>
      <c r="L552" s="302"/>
      <c r="M552" s="302"/>
      <c r="N552" s="302"/>
      <c r="O552" s="244"/>
      <c r="P552" s="197"/>
      <c r="Q552" s="212">
        <f t="shared" si="48"/>
        <v>52</v>
      </c>
      <c r="R552" s="202" t="str">
        <f t="shared" si="49"/>
        <v>II-0052</v>
      </c>
      <c r="S552" s="213" t="str">
        <f t="shared" si="50"/>
        <v>MANTENIMIENTO INVERNAL</v>
      </c>
    </row>
    <row r="553" spans="1:19" ht="15.75" thickTop="1" x14ac:dyDescent="0.2">
      <c r="A553" s="203"/>
      <c r="B553" s="193"/>
      <c r="C553" s="193"/>
      <c r="D553" s="220" t="s">
        <v>998</v>
      </c>
      <c r="G553" s="276"/>
      <c r="H553" s="351"/>
      <c r="I553" s="352" t="s">
        <v>1022</v>
      </c>
      <c r="J553" s="353"/>
      <c r="K553" s="354" t="s">
        <v>1467</v>
      </c>
      <c r="L553" s="353"/>
      <c r="M553" s="353"/>
      <c r="N553" s="353"/>
      <c r="O553" s="355" t="s">
        <v>998</v>
      </c>
      <c r="P553" s="276"/>
      <c r="Q553" s="276"/>
      <c r="R553" s="276"/>
      <c r="S553" s="276"/>
    </row>
    <row r="554" spans="1:19" ht="15.75" thickBot="1" x14ac:dyDescent="0.25">
      <c r="A554" s="203"/>
      <c r="B554" s="193"/>
      <c r="C554" s="193"/>
      <c r="D554" s="220" t="s">
        <v>1468</v>
      </c>
      <c r="G554" s="276"/>
      <c r="H554" s="356"/>
      <c r="I554" s="316" t="s">
        <v>1049</v>
      </c>
      <c r="J554" s="315"/>
      <c r="K554" s="314" t="s">
        <v>1469</v>
      </c>
      <c r="L554" s="315"/>
      <c r="M554" s="315"/>
      <c r="N554" s="315"/>
      <c r="O554" s="281" t="s">
        <v>1468</v>
      </c>
      <c r="P554" s="276"/>
      <c r="Q554" s="276"/>
      <c r="R554" s="276"/>
      <c r="S554" s="276"/>
    </row>
    <row r="555" spans="1:19" ht="15.75" thickTop="1" x14ac:dyDescent="0.2">
      <c r="A555" s="203">
        <v>53</v>
      </c>
      <c r="B555" s="193" t="s">
        <v>1470</v>
      </c>
      <c r="C555" s="193" t="s">
        <v>1471</v>
      </c>
      <c r="D555" s="220"/>
      <c r="G555" s="197"/>
      <c r="H555" s="292">
        <v>53</v>
      </c>
      <c r="I555" s="242"/>
      <c r="J555" s="302"/>
      <c r="K555" s="357" t="s">
        <v>1471</v>
      </c>
      <c r="L555" s="302"/>
      <c r="M555" s="302"/>
      <c r="N555" s="302"/>
      <c r="O555" s="244"/>
      <c r="P555" s="197"/>
      <c r="Q555" s="212">
        <f>H555</f>
        <v>53</v>
      </c>
      <c r="R555" s="202" t="str">
        <f>CONCATENATE("II-",TEXT(Q555,"0000"))</f>
        <v>II-0053</v>
      </c>
      <c r="S555" s="213" t="str">
        <f>K555</f>
        <v>MEMBRANA PVC</v>
      </c>
    </row>
    <row r="556" spans="1:19" x14ac:dyDescent="0.2">
      <c r="A556" s="203"/>
      <c r="B556" s="193"/>
      <c r="C556" s="193"/>
      <c r="D556" s="220" t="s">
        <v>1216</v>
      </c>
      <c r="G556" s="197"/>
      <c r="H556" s="214"/>
      <c r="I556" s="349" t="s">
        <v>1022</v>
      </c>
      <c r="J556" s="223"/>
      <c r="K556" s="329" t="s">
        <v>1472</v>
      </c>
      <c r="L556" s="223"/>
      <c r="M556" s="223"/>
      <c r="N556" s="223"/>
      <c r="O556" s="256" t="s">
        <v>1216</v>
      </c>
      <c r="P556" s="197"/>
      <c r="Q556" s="197"/>
      <c r="R556" s="197"/>
      <c r="S556" s="197"/>
    </row>
    <row r="557" spans="1:19" x14ac:dyDescent="0.2">
      <c r="A557" s="203"/>
      <c r="B557" s="193"/>
      <c r="C557" s="193"/>
      <c r="D557" s="220" t="s">
        <v>1216</v>
      </c>
      <c r="G557" s="197"/>
      <c r="H557" s="214"/>
      <c r="I557" s="215" t="s">
        <v>1049</v>
      </c>
      <c r="J557" s="350"/>
      <c r="K557" s="224" t="s">
        <v>1473</v>
      </c>
      <c r="L557" s="283"/>
      <c r="M557" s="262"/>
      <c r="N557" s="262"/>
      <c r="O557" s="297" t="s">
        <v>1216</v>
      </c>
      <c r="P557" s="197"/>
      <c r="Q557" s="197"/>
      <c r="R557" s="197"/>
      <c r="S557" s="197"/>
    </row>
    <row r="558" spans="1:19" x14ac:dyDescent="0.2">
      <c r="A558" s="203"/>
      <c r="B558" s="193"/>
      <c r="C558" s="193"/>
      <c r="D558" s="220" t="s">
        <v>1216</v>
      </c>
      <c r="G558" s="197"/>
      <c r="H558" s="214"/>
      <c r="I558" s="215" t="s">
        <v>1059</v>
      </c>
      <c r="J558" s="350"/>
      <c r="K558" s="283" t="s">
        <v>1141</v>
      </c>
      <c r="L558" s="283"/>
      <c r="M558" s="283"/>
      <c r="N558" s="262"/>
      <c r="O558" s="297" t="s">
        <v>1216</v>
      </c>
      <c r="P558" s="197"/>
      <c r="Q558" s="197"/>
      <c r="R558" s="197"/>
      <c r="S558" s="197"/>
    </row>
    <row r="559" spans="1:19" ht="15.75" thickBot="1" x14ac:dyDescent="0.25">
      <c r="A559" s="203"/>
      <c r="B559" s="193"/>
      <c r="C559" s="193"/>
      <c r="D559" s="220" t="s">
        <v>1216</v>
      </c>
      <c r="G559" s="197"/>
      <c r="H559" s="214"/>
      <c r="I559" s="236" t="s">
        <v>1085</v>
      </c>
      <c r="J559" s="221"/>
      <c r="K559" s="285" t="s">
        <v>1139</v>
      </c>
      <c r="L559" s="224"/>
      <c r="M559" s="224"/>
      <c r="N559" s="223"/>
      <c r="O559" s="256" t="s">
        <v>1216</v>
      </c>
      <c r="P559" s="197"/>
      <c r="Q559" s="197"/>
      <c r="R559" s="197"/>
      <c r="S559" s="197"/>
    </row>
    <row r="560" spans="1:19" ht="15.75" thickTop="1" x14ac:dyDescent="0.2">
      <c r="A560" s="203">
        <v>54</v>
      </c>
      <c r="B560" s="193" t="s">
        <v>1474</v>
      </c>
      <c r="C560" s="193" t="s">
        <v>1475</v>
      </c>
      <c r="D560" s="220"/>
      <c r="G560" s="197"/>
      <c r="H560" s="292">
        <v>54</v>
      </c>
      <c r="I560" s="242"/>
      <c r="J560" s="302"/>
      <c r="K560" s="311" t="s">
        <v>1475</v>
      </c>
      <c r="L560" s="302"/>
      <c r="M560" s="302"/>
      <c r="N560" s="302"/>
      <c r="O560" s="244"/>
      <c r="P560" s="197"/>
      <c r="Q560" s="212">
        <f>H560</f>
        <v>54</v>
      </c>
      <c r="R560" s="202" t="str">
        <f>CONCATENATE("II-",TEXT(Q560,"0000"))</f>
        <v>II-0054</v>
      </c>
      <c r="S560" s="213" t="str">
        <f>K560</f>
        <v>MOVILIDAD PARA EL PERSONAL AUXILIAR DE SUPERVISION</v>
      </c>
    </row>
    <row r="561" spans="1:19" x14ac:dyDescent="0.2">
      <c r="A561" s="203">
        <v>1</v>
      </c>
      <c r="B561" s="204" t="str">
        <f>CONCATENATE($B$560,".",TEXT(A561,"0000"))</f>
        <v>II-0054.0001</v>
      </c>
      <c r="C561" s="193" t="str">
        <f>K561</f>
        <v xml:space="preserve">CUOTA FIJA </v>
      </c>
      <c r="D561" s="220" t="s">
        <v>1476</v>
      </c>
      <c r="G561" s="197"/>
      <c r="H561" s="214"/>
      <c r="I561" s="215" t="s">
        <v>1022</v>
      </c>
      <c r="J561" s="262"/>
      <c r="K561" s="283" t="s">
        <v>1477</v>
      </c>
      <c r="L561" s="283"/>
      <c r="M561" s="283"/>
      <c r="N561" s="262"/>
      <c r="O561" s="297" t="s">
        <v>1476</v>
      </c>
      <c r="P561" s="197"/>
      <c r="Q561" s="197"/>
      <c r="R561" s="197"/>
      <c r="S561" s="197"/>
    </row>
    <row r="562" spans="1:19" ht="15.75" thickBot="1" x14ac:dyDescent="0.25">
      <c r="A562" s="203">
        <v>2</v>
      </c>
      <c r="B562" s="204" t="str">
        <f>CONCATENATE($B$560,".",TEXT(A562,"0000"))</f>
        <v>II-0054.0002</v>
      </c>
      <c r="C562" s="193" t="str">
        <f>K562</f>
        <v>ADICIONAL POR KM</v>
      </c>
      <c r="D562" s="220" t="s">
        <v>1478</v>
      </c>
      <c r="G562" s="197"/>
      <c r="H562" s="234"/>
      <c r="I562" s="236" t="s">
        <v>1049</v>
      </c>
      <c r="J562" s="237"/>
      <c r="K562" s="238" t="s">
        <v>1479</v>
      </c>
      <c r="L562" s="238"/>
      <c r="M562" s="238"/>
      <c r="N562" s="237"/>
      <c r="O562" s="322" t="s">
        <v>1478</v>
      </c>
      <c r="P562" s="197"/>
      <c r="Q562" s="197"/>
      <c r="R562" s="197"/>
      <c r="S562" s="197"/>
    </row>
    <row r="563" spans="1:19" ht="16.5" thickTop="1" thickBot="1" x14ac:dyDescent="0.25">
      <c r="A563" s="203">
        <v>55</v>
      </c>
      <c r="B563" s="193" t="s">
        <v>1480</v>
      </c>
      <c r="C563" s="193" t="s">
        <v>1481</v>
      </c>
      <c r="D563" s="220" t="s">
        <v>5</v>
      </c>
      <c r="G563" s="197"/>
      <c r="H563" s="241">
        <v>55</v>
      </c>
      <c r="I563" s="243"/>
      <c r="J563" s="254"/>
      <c r="K563" s="311" t="s">
        <v>1481</v>
      </c>
      <c r="L563" s="254"/>
      <c r="M563" s="254"/>
      <c r="N563" s="254"/>
      <c r="O563" s="265" t="s">
        <v>5</v>
      </c>
      <c r="P563" s="197"/>
      <c r="Q563" s="212">
        <f t="shared" ref="Q563:Q564" si="51">H563</f>
        <v>55</v>
      </c>
      <c r="R563" s="202" t="str">
        <f t="shared" ref="R563:R564" si="52">CONCATENATE("II-",TEXT(Q563,"0000"))</f>
        <v>II-0055</v>
      </c>
      <c r="S563" s="213" t="str">
        <f t="shared" ref="S563:S564" si="53">K563</f>
        <v>MOVILIZACION DE OBRA</v>
      </c>
    </row>
    <row r="564" spans="1:19" ht="15.75" thickTop="1" x14ac:dyDescent="0.2">
      <c r="A564" s="203">
        <v>56</v>
      </c>
      <c r="B564" s="193" t="s">
        <v>1482</v>
      </c>
      <c r="C564" s="193" t="s">
        <v>1483</v>
      </c>
      <c r="D564" s="220"/>
      <c r="G564" s="197"/>
      <c r="H564" s="292">
        <v>56</v>
      </c>
      <c r="I564" s="242"/>
      <c r="J564" s="302"/>
      <c r="K564" s="303" t="s">
        <v>1483</v>
      </c>
      <c r="L564" s="302"/>
      <c r="M564" s="302"/>
      <c r="N564" s="302"/>
      <c r="O564" s="244"/>
      <c r="P564" s="197"/>
      <c r="Q564" s="212">
        <f t="shared" si="51"/>
        <v>56</v>
      </c>
      <c r="R564" s="202" t="str">
        <f t="shared" si="52"/>
        <v>II-0056</v>
      </c>
      <c r="S564" s="213" t="str">
        <f t="shared" si="53"/>
        <v xml:space="preserve">PASARELA </v>
      </c>
    </row>
    <row r="565" spans="1:19" x14ac:dyDescent="0.2">
      <c r="A565" s="203"/>
      <c r="B565" s="193"/>
      <c r="C565" s="193"/>
      <c r="D565" s="220" t="s">
        <v>997</v>
      </c>
      <c r="G565" s="197"/>
      <c r="H565" s="214"/>
      <c r="I565" s="349" t="s">
        <v>1022</v>
      </c>
      <c r="J565" s="223"/>
      <c r="K565" s="224" t="s">
        <v>1246</v>
      </c>
      <c r="L565" s="223"/>
      <c r="M565" s="223"/>
      <c r="N565" s="223"/>
      <c r="O565" s="256" t="s">
        <v>997</v>
      </c>
      <c r="P565" s="197"/>
      <c r="Q565" s="197"/>
      <c r="R565" s="197"/>
      <c r="S565" s="197"/>
    </row>
    <row r="566" spans="1:19" x14ac:dyDescent="0.2">
      <c r="A566" s="203"/>
      <c r="B566" s="193"/>
      <c r="C566" s="193"/>
      <c r="D566" s="220"/>
      <c r="G566" s="197"/>
      <c r="H566" s="214"/>
      <c r="I566" s="215" t="s">
        <v>1049</v>
      </c>
      <c r="J566" s="218"/>
      <c r="K566" s="232" t="s">
        <v>1247</v>
      </c>
      <c r="L566" s="218"/>
      <c r="M566" s="218"/>
      <c r="N566" s="218"/>
      <c r="O566" s="266"/>
      <c r="P566" s="197"/>
      <c r="Q566" s="197"/>
      <c r="R566" s="197"/>
      <c r="S566" s="197"/>
    </row>
    <row r="567" spans="1:19" x14ac:dyDescent="0.2">
      <c r="A567" s="203"/>
      <c r="B567" s="193"/>
      <c r="C567" s="193"/>
      <c r="D567" s="220" t="s">
        <v>1258</v>
      </c>
      <c r="G567" s="197"/>
      <c r="H567" s="214"/>
      <c r="I567" s="221"/>
      <c r="J567" s="222">
        <v>1</v>
      </c>
      <c r="K567" s="223"/>
      <c r="L567" s="224" t="s">
        <v>1484</v>
      </c>
      <c r="M567" s="223"/>
      <c r="N567" s="223"/>
      <c r="O567" s="256" t="s">
        <v>1258</v>
      </c>
      <c r="P567" s="197"/>
      <c r="Q567" s="197"/>
      <c r="R567" s="197"/>
      <c r="S567" s="197"/>
    </row>
    <row r="568" spans="1:19" x14ac:dyDescent="0.2">
      <c r="A568" s="203"/>
      <c r="B568" s="193"/>
      <c r="C568" s="193"/>
      <c r="D568" s="220" t="s">
        <v>1258</v>
      </c>
      <c r="G568" s="197"/>
      <c r="H568" s="214"/>
      <c r="I568" s="221"/>
      <c r="J568" s="222">
        <v>2</v>
      </c>
      <c r="K568" s="223"/>
      <c r="L568" s="224" t="s">
        <v>1485</v>
      </c>
      <c r="M568" s="223"/>
      <c r="N568" s="223"/>
      <c r="O568" s="256" t="s">
        <v>1258</v>
      </c>
      <c r="P568" s="197"/>
      <c r="Q568" s="197"/>
      <c r="R568" s="197"/>
      <c r="S568" s="197"/>
    </row>
    <row r="569" spans="1:19" x14ac:dyDescent="0.2">
      <c r="A569" s="203"/>
      <c r="B569" s="193"/>
      <c r="C569" s="193"/>
      <c r="D569" s="220" t="s">
        <v>997</v>
      </c>
      <c r="G569" s="197"/>
      <c r="H569" s="214"/>
      <c r="I569" s="233"/>
      <c r="J569" s="228">
        <v>3</v>
      </c>
      <c r="K569" s="229"/>
      <c r="L569" s="230" t="s">
        <v>1486</v>
      </c>
      <c r="M569" s="229"/>
      <c r="N569" s="229"/>
      <c r="O569" s="275" t="s">
        <v>997</v>
      </c>
      <c r="P569" s="197"/>
      <c r="Q569" s="197"/>
      <c r="R569" s="197"/>
      <c r="S569" s="197"/>
    </row>
    <row r="570" spans="1:19" ht="15.75" thickBot="1" x14ac:dyDescent="0.25">
      <c r="A570" s="203"/>
      <c r="B570" s="193"/>
      <c r="C570" s="193"/>
      <c r="D570" s="220" t="s">
        <v>997</v>
      </c>
      <c r="G570" s="197"/>
      <c r="H570" s="214"/>
      <c r="I570" s="236" t="s">
        <v>1059</v>
      </c>
      <c r="J570" s="223"/>
      <c r="K570" s="224" t="s">
        <v>1487</v>
      </c>
      <c r="L570" s="223"/>
      <c r="M570" s="223"/>
      <c r="N570" s="223"/>
      <c r="O570" s="256" t="s">
        <v>997</v>
      </c>
      <c r="P570" s="197"/>
      <c r="Q570" s="197"/>
      <c r="R570" s="197"/>
      <c r="S570" s="197"/>
    </row>
    <row r="571" spans="1:19" ht="15.75" thickTop="1" x14ac:dyDescent="0.2">
      <c r="A571" s="203">
        <v>57</v>
      </c>
      <c r="B571" s="193" t="s">
        <v>1488</v>
      </c>
      <c r="C571" s="193" t="s">
        <v>1489</v>
      </c>
      <c r="D571" s="220"/>
      <c r="G571" s="197"/>
      <c r="H571" s="292">
        <v>57</v>
      </c>
      <c r="I571" s="242"/>
      <c r="J571" s="302"/>
      <c r="K571" s="303" t="s">
        <v>1489</v>
      </c>
      <c r="L571" s="302"/>
      <c r="M571" s="302"/>
      <c r="N571" s="302"/>
      <c r="O571" s="244"/>
      <c r="P571" s="197"/>
      <c r="Q571" s="212">
        <f>H571</f>
        <v>57</v>
      </c>
      <c r="R571" s="202" t="str">
        <f>CONCATENATE("II-",TEXT(Q571,"0000"))</f>
        <v>II-0057</v>
      </c>
      <c r="S571" s="213" t="str">
        <f>K571</f>
        <v>PASO A NIVEL</v>
      </c>
    </row>
    <row r="572" spans="1:19" ht="15.75" thickBot="1" x14ac:dyDescent="0.25">
      <c r="A572" s="203"/>
      <c r="B572" s="193"/>
      <c r="C572" s="193"/>
      <c r="D572" s="220" t="s">
        <v>5</v>
      </c>
      <c r="G572" s="197"/>
      <c r="H572" s="245"/>
      <c r="I572" s="247" t="s">
        <v>1022</v>
      </c>
      <c r="J572" s="249"/>
      <c r="K572" s="285" t="s">
        <v>1490</v>
      </c>
      <c r="L572" s="285"/>
      <c r="M572" s="285"/>
      <c r="N572" s="285"/>
      <c r="O572" s="323" t="s">
        <v>5</v>
      </c>
      <c r="P572" s="197"/>
      <c r="Q572" s="197"/>
      <c r="R572" s="197"/>
      <c r="S572" s="197"/>
    </row>
    <row r="573" spans="1:19" ht="15.75" thickTop="1" x14ac:dyDescent="0.2">
      <c r="A573" s="203">
        <v>58</v>
      </c>
      <c r="B573" s="193" t="s">
        <v>1491</v>
      </c>
      <c r="C573" s="193" t="s">
        <v>1492</v>
      </c>
      <c r="D573" s="220"/>
      <c r="G573" s="197"/>
      <c r="H573" s="292">
        <v>58</v>
      </c>
      <c r="I573" s="242"/>
      <c r="J573" s="302"/>
      <c r="K573" s="303" t="s">
        <v>1492</v>
      </c>
      <c r="L573" s="303"/>
      <c r="M573" s="303"/>
      <c r="N573" s="303"/>
      <c r="O573" s="244"/>
      <c r="P573" s="197"/>
      <c r="Q573" s="212">
        <f>H573</f>
        <v>58</v>
      </c>
      <c r="R573" s="202" t="str">
        <f>CONCATENATE("II-",TEXT(Q573,"0000"))</f>
        <v>II-0058</v>
      </c>
      <c r="S573" s="213" t="str">
        <f>K573</f>
        <v>PAVIMENTO DE HORMIGON</v>
      </c>
    </row>
    <row r="574" spans="1:19" x14ac:dyDescent="0.2">
      <c r="A574" s="203"/>
      <c r="B574" s="193"/>
      <c r="C574" s="193"/>
      <c r="D574" s="220" t="s">
        <v>1216</v>
      </c>
      <c r="G574" s="197"/>
      <c r="H574" s="214"/>
      <c r="I574" s="349" t="s">
        <v>1022</v>
      </c>
      <c r="J574" s="223"/>
      <c r="K574" s="224" t="s">
        <v>1493</v>
      </c>
      <c r="L574" s="224"/>
      <c r="M574" s="224"/>
      <c r="N574" s="224"/>
      <c r="O574" s="256" t="s">
        <v>1216</v>
      </c>
      <c r="P574" s="197"/>
      <c r="Q574" s="197"/>
      <c r="R574" s="197"/>
      <c r="S574" s="197"/>
    </row>
    <row r="575" spans="1:19" x14ac:dyDescent="0.2">
      <c r="A575" s="203"/>
      <c r="B575" s="193"/>
      <c r="C575" s="193"/>
      <c r="D575" s="220" t="s">
        <v>1216</v>
      </c>
      <c r="G575" s="197"/>
      <c r="H575" s="214"/>
      <c r="I575" s="215" t="s">
        <v>1049</v>
      </c>
      <c r="J575" s="262"/>
      <c r="K575" s="283" t="s">
        <v>1492</v>
      </c>
      <c r="L575" s="283"/>
      <c r="M575" s="283"/>
      <c r="N575" s="283"/>
      <c r="O575" s="297" t="s">
        <v>1216</v>
      </c>
      <c r="P575" s="197"/>
      <c r="Q575" s="197"/>
      <c r="R575" s="197"/>
      <c r="S575" s="197"/>
    </row>
    <row r="576" spans="1:19" x14ac:dyDescent="0.2">
      <c r="A576" s="203"/>
      <c r="B576" s="193"/>
      <c r="C576" s="193"/>
      <c r="D576" s="220" t="s">
        <v>1216</v>
      </c>
      <c r="G576" s="197"/>
      <c r="H576" s="214"/>
      <c r="I576" s="228" t="s">
        <v>1059</v>
      </c>
      <c r="J576" s="229"/>
      <c r="K576" s="283" t="s">
        <v>1494</v>
      </c>
      <c r="L576" s="230"/>
      <c r="M576" s="230"/>
      <c r="N576" s="230"/>
      <c r="O576" s="275" t="s">
        <v>1216</v>
      </c>
      <c r="P576" s="197"/>
      <c r="Q576" s="197"/>
      <c r="R576" s="197"/>
      <c r="S576" s="197"/>
    </row>
    <row r="577" spans="1:19" x14ac:dyDescent="0.2">
      <c r="A577" s="203"/>
      <c r="B577" s="193"/>
      <c r="C577" s="193"/>
      <c r="D577" s="220" t="s">
        <v>1216</v>
      </c>
      <c r="G577" s="197"/>
      <c r="H577" s="214"/>
      <c r="I577" s="222" t="s">
        <v>1085</v>
      </c>
      <c r="J577" s="223"/>
      <c r="K577" s="232" t="s">
        <v>1136</v>
      </c>
      <c r="L577" s="224"/>
      <c r="M577" s="224"/>
      <c r="N577" s="224"/>
      <c r="O577" s="256" t="s">
        <v>1216</v>
      </c>
      <c r="P577" s="197"/>
      <c r="Q577" s="197"/>
      <c r="R577" s="197"/>
      <c r="S577" s="197"/>
    </row>
    <row r="578" spans="1:19" ht="15.75" thickBot="1" x14ac:dyDescent="0.25">
      <c r="A578" s="203">
        <v>59</v>
      </c>
      <c r="B578" s="193" t="s">
        <v>1495</v>
      </c>
      <c r="C578" s="193" t="s">
        <v>1496</v>
      </c>
      <c r="D578" s="220" t="s">
        <v>1133</v>
      </c>
      <c r="G578" s="197"/>
      <c r="H578" s="333">
        <v>59</v>
      </c>
      <c r="I578" s="334"/>
      <c r="J578" s="335"/>
      <c r="K578" s="358" t="s">
        <v>1496</v>
      </c>
      <c r="L578" s="335"/>
      <c r="M578" s="335"/>
      <c r="N578" s="335"/>
      <c r="O578" s="337" t="s">
        <v>1133</v>
      </c>
      <c r="P578" s="197"/>
      <c r="Q578" s="212">
        <f t="shared" ref="Q578:Q579" si="54">H578</f>
        <v>59</v>
      </c>
      <c r="R578" s="202" t="str">
        <f t="shared" ref="R578:R579" si="55">CONCATENATE("II-",TEXT(Q578,"0000"))</f>
        <v>II-0059</v>
      </c>
      <c r="S578" s="213" t="str">
        <f t="shared" ref="S578:S579" si="56">K578</f>
        <v>PEDRAPLEN</v>
      </c>
    </row>
    <row r="579" spans="1:19" ht="15.75" thickTop="1" x14ac:dyDescent="0.2">
      <c r="A579" s="203">
        <v>60</v>
      </c>
      <c r="B579" s="193" t="s">
        <v>1497</v>
      </c>
      <c r="C579" s="193" t="s">
        <v>1498</v>
      </c>
      <c r="D579" s="220"/>
      <c r="G579" s="197"/>
      <c r="H579" s="241">
        <v>60</v>
      </c>
      <c r="I579" s="243"/>
      <c r="J579" s="254"/>
      <c r="K579" s="311" t="s">
        <v>1498</v>
      </c>
      <c r="L579" s="254"/>
      <c r="M579" s="254"/>
      <c r="N579" s="254"/>
      <c r="O579" s="265"/>
      <c r="P579" s="197"/>
      <c r="Q579" s="212">
        <f t="shared" si="54"/>
        <v>60</v>
      </c>
      <c r="R579" s="202" t="str">
        <f t="shared" si="55"/>
        <v>II-0060</v>
      </c>
      <c r="S579" s="213" t="str">
        <f t="shared" si="56"/>
        <v>PERFILADO</v>
      </c>
    </row>
    <row r="580" spans="1:19" x14ac:dyDescent="0.2">
      <c r="A580" s="203"/>
      <c r="B580" s="193"/>
      <c r="C580" s="193"/>
      <c r="D580" s="220" t="s">
        <v>1216</v>
      </c>
      <c r="G580" s="197"/>
      <c r="H580" s="214"/>
      <c r="I580" s="349" t="s">
        <v>1022</v>
      </c>
      <c r="J580" s="223"/>
      <c r="K580" s="224" t="s">
        <v>1499</v>
      </c>
      <c r="L580" s="223"/>
      <c r="M580" s="223"/>
      <c r="N580" s="223"/>
      <c r="O580" s="256" t="s">
        <v>1216</v>
      </c>
      <c r="P580" s="197"/>
      <c r="Q580" s="197"/>
      <c r="R580" s="197"/>
      <c r="S580" s="197"/>
    </row>
    <row r="581" spans="1:19" x14ac:dyDescent="0.2">
      <c r="A581" s="203"/>
      <c r="B581" s="193"/>
      <c r="C581" s="193"/>
      <c r="D581" s="220" t="s">
        <v>1216</v>
      </c>
      <c r="G581" s="197"/>
      <c r="H581" s="214"/>
      <c r="I581" s="215" t="s">
        <v>1049</v>
      </c>
      <c r="J581" s="262"/>
      <c r="K581" s="283" t="s">
        <v>1342</v>
      </c>
      <c r="L581" s="262"/>
      <c r="M581" s="262"/>
      <c r="N581" s="262"/>
      <c r="O581" s="297" t="s">
        <v>1216</v>
      </c>
      <c r="P581" s="197"/>
      <c r="Q581" s="197"/>
      <c r="R581" s="197"/>
      <c r="S581" s="197"/>
    </row>
    <row r="582" spans="1:19" ht="15.75" thickBot="1" x14ac:dyDescent="0.25">
      <c r="A582" s="203"/>
      <c r="B582" s="193"/>
      <c r="C582" s="193"/>
      <c r="D582" s="220" t="s">
        <v>1216</v>
      </c>
      <c r="G582" s="197"/>
      <c r="H582" s="214"/>
      <c r="I582" s="236" t="s">
        <v>1059</v>
      </c>
      <c r="J582" s="223"/>
      <c r="K582" s="224" t="s">
        <v>1461</v>
      </c>
      <c r="L582" s="223"/>
      <c r="M582" s="223"/>
      <c r="N582" s="223"/>
      <c r="O582" s="256" t="s">
        <v>1216</v>
      </c>
      <c r="P582" s="197"/>
      <c r="Q582" s="197"/>
      <c r="R582" s="197"/>
      <c r="S582" s="197"/>
    </row>
    <row r="583" spans="1:19" ht="16.5" thickTop="1" thickBot="1" x14ac:dyDescent="0.25">
      <c r="A583" s="203">
        <v>61</v>
      </c>
      <c r="B583" s="193" t="s">
        <v>1500</v>
      </c>
      <c r="C583" s="193" t="s">
        <v>1501</v>
      </c>
      <c r="D583" s="220" t="s">
        <v>1216</v>
      </c>
      <c r="G583" s="197"/>
      <c r="H583" s="338">
        <v>61</v>
      </c>
      <c r="I583" s="339"/>
      <c r="J583" s="340"/>
      <c r="K583" s="341" t="s">
        <v>1501</v>
      </c>
      <c r="L583" s="340"/>
      <c r="M583" s="340"/>
      <c r="N583" s="340"/>
      <c r="O583" s="342" t="s">
        <v>1216</v>
      </c>
      <c r="P583" s="197"/>
      <c r="Q583" s="212">
        <f t="shared" ref="Q583:Q584" si="57">H583</f>
        <v>61</v>
      </c>
      <c r="R583" s="202" t="str">
        <f t="shared" ref="R583:R584" si="58">CONCATENATE("II-",TEXT(Q583,"0000"))</f>
        <v>II-0061</v>
      </c>
      <c r="S583" s="213" t="str">
        <f t="shared" ref="S583:S584" si="59">K583</f>
        <v>PIEDRA COLOCADA</v>
      </c>
    </row>
    <row r="584" spans="1:19" ht="15.75" thickTop="1" x14ac:dyDescent="0.2">
      <c r="A584" s="203">
        <v>62</v>
      </c>
      <c r="B584" s="193" t="s">
        <v>1502</v>
      </c>
      <c r="C584" s="193" t="s">
        <v>1503</v>
      </c>
      <c r="D584" s="220"/>
      <c r="G584" s="197"/>
      <c r="H584" s="241">
        <v>62</v>
      </c>
      <c r="I584" s="243"/>
      <c r="J584" s="254"/>
      <c r="K584" s="311" t="s">
        <v>1503</v>
      </c>
      <c r="L584" s="254"/>
      <c r="M584" s="254"/>
      <c r="N584" s="254"/>
      <c r="O584" s="265"/>
      <c r="P584" s="197"/>
      <c r="Q584" s="212">
        <f t="shared" si="57"/>
        <v>62</v>
      </c>
      <c r="R584" s="202" t="str">
        <f t="shared" si="58"/>
        <v>II-0062</v>
      </c>
      <c r="S584" s="213" t="str">
        <f t="shared" si="59"/>
        <v>PRADERIZACION</v>
      </c>
    </row>
    <row r="585" spans="1:19" x14ac:dyDescent="0.2">
      <c r="A585" s="203"/>
      <c r="B585" s="193"/>
      <c r="C585" s="193"/>
      <c r="D585" s="220" t="s">
        <v>1216</v>
      </c>
      <c r="G585" s="197"/>
      <c r="H585" s="214"/>
      <c r="I585" s="349" t="s">
        <v>1022</v>
      </c>
      <c r="J585" s="223"/>
      <c r="K585" s="224" t="s">
        <v>1504</v>
      </c>
      <c r="L585" s="223"/>
      <c r="M585" s="223"/>
      <c r="N585" s="223"/>
      <c r="O585" s="256" t="s">
        <v>1216</v>
      </c>
      <c r="P585" s="197"/>
      <c r="Q585" s="197"/>
      <c r="R585" s="197"/>
      <c r="S585" s="197"/>
    </row>
    <row r="586" spans="1:19" x14ac:dyDescent="0.2">
      <c r="A586" s="203"/>
      <c r="B586" s="193"/>
      <c r="C586" s="193"/>
      <c r="D586" s="220" t="s">
        <v>1216</v>
      </c>
      <c r="G586" s="197"/>
      <c r="H586" s="214"/>
      <c r="I586" s="215" t="s">
        <v>1049</v>
      </c>
      <c r="J586" s="262"/>
      <c r="K586" s="283" t="s">
        <v>1505</v>
      </c>
      <c r="L586" s="262"/>
      <c r="M586" s="262"/>
      <c r="N586" s="262"/>
      <c r="O586" s="297" t="s">
        <v>1216</v>
      </c>
      <c r="P586" s="197"/>
      <c r="Q586" s="197"/>
      <c r="R586" s="197"/>
      <c r="S586" s="197"/>
    </row>
    <row r="587" spans="1:19" ht="15.75" thickBot="1" x14ac:dyDescent="0.25">
      <c r="A587" s="203"/>
      <c r="B587" s="193"/>
      <c r="C587" s="193"/>
      <c r="D587" s="220" t="s">
        <v>1506</v>
      </c>
      <c r="G587" s="197"/>
      <c r="H587" s="214"/>
      <c r="I587" s="236" t="s">
        <v>1059</v>
      </c>
      <c r="J587" s="223"/>
      <c r="K587" s="224" t="s">
        <v>1507</v>
      </c>
      <c r="L587" s="223"/>
      <c r="M587" s="223"/>
      <c r="N587" s="223"/>
      <c r="O587" s="256" t="s">
        <v>1506</v>
      </c>
      <c r="P587" s="197"/>
      <c r="Q587" s="197"/>
      <c r="R587" s="197"/>
      <c r="S587" s="197"/>
    </row>
    <row r="588" spans="1:19" ht="15.75" thickTop="1" x14ac:dyDescent="0.2">
      <c r="A588" s="203">
        <v>63</v>
      </c>
      <c r="B588" s="193" t="s">
        <v>1508</v>
      </c>
      <c r="C588" s="193" t="s">
        <v>1509</v>
      </c>
      <c r="D588" s="220"/>
      <c r="G588" s="197"/>
      <c r="H588" s="292">
        <v>63</v>
      </c>
      <c r="I588" s="242"/>
      <c r="J588" s="302"/>
      <c r="K588" s="303" t="s">
        <v>1509</v>
      </c>
      <c r="L588" s="302"/>
      <c r="M588" s="302"/>
      <c r="N588" s="302"/>
      <c r="O588" s="244"/>
      <c r="P588" s="197"/>
      <c r="Q588" s="212">
        <f>H588</f>
        <v>63</v>
      </c>
      <c r="R588" s="202" t="str">
        <f>CONCATENATE("II-",TEXT(Q588,"0000"))</f>
        <v>II-0063</v>
      </c>
      <c r="S588" s="213" t="str">
        <f>K588</f>
        <v>PRETILES</v>
      </c>
    </row>
    <row r="589" spans="1:19" x14ac:dyDescent="0.2">
      <c r="A589" s="203"/>
      <c r="B589" s="193"/>
      <c r="C589" s="193"/>
      <c r="D589" s="220" t="s">
        <v>1250</v>
      </c>
      <c r="G589" s="197"/>
      <c r="H589" s="214"/>
      <c r="I589" s="215" t="s">
        <v>1022</v>
      </c>
      <c r="J589" s="262"/>
      <c r="K589" s="359" t="s">
        <v>1510</v>
      </c>
      <c r="L589" s="360"/>
      <c r="M589" s="360"/>
      <c r="N589" s="262"/>
      <c r="O589" s="297" t="s">
        <v>1250</v>
      </c>
      <c r="P589" s="197"/>
      <c r="Q589" s="197"/>
      <c r="R589" s="197"/>
      <c r="S589" s="197"/>
    </row>
    <row r="590" spans="1:19" ht="15.75" thickBot="1" x14ac:dyDescent="0.25">
      <c r="A590" s="203"/>
      <c r="B590" s="193"/>
      <c r="C590" s="193"/>
      <c r="D590" s="220" t="s">
        <v>1250</v>
      </c>
      <c r="G590" s="197"/>
      <c r="H590" s="234"/>
      <c r="I590" s="236" t="s">
        <v>1049</v>
      </c>
      <c r="J590" s="237"/>
      <c r="K590" s="361" t="s">
        <v>1511</v>
      </c>
      <c r="L590" s="362"/>
      <c r="M590" s="362"/>
      <c r="N590" s="237"/>
      <c r="O590" s="322" t="s">
        <v>1250</v>
      </c>
      <c r="P590" s="197"/>
      <c r="Q590" s="197"/>
      <c r="R590" s="197"/>
      <c r="S590" s="197"/>
    </row>
    <row r="591" spans="1:19" ht="15.75" thickTop="1" x14ac:dyDescent="0.2">
      <c r="A591" s="203">
        <v>64</v>
      </c>
      <c r="B591" s="193" t="s">
        <v>1512</v>
      </c>
      <c r="C591" s="193" t="s">
        <v>1513</v>
      </c>
      <c r="D591" s="220"/>
      <c r="G591" s="197"/>
      <c r="H591" s="241">
        <v>64</v>
      </c>
      <c r="I591" s="243"/>
      <c r="J591" s="254"/>
      <c r="K591" s="311" t="s">
        <v>1513</v>
      </c>
      <c r="L591" s="254"/>
      <c r="M591" s="254"/>
      <c r="N591" s="254"/>
      <c r="O591" s="265"/>
      <c r="P591" s="197"/>
      <c r="Q591" s="212">
        <f>H591</f>
        <v>64</v>
      </c>
      <c r="R591" s="202" t="str">
        <f>CONCATENATE("II-",TEXT(Q591,"0000"))</f>
        <v>II-0064</v>
      </c>
      <c r="S591" s="213" t="str">
        <f>K591</f>
        <v>PROTECCION DE DUCTOS</v>
      </c>
    </row>
    <row r="592" spans="1:19" ht="15.75" thickBot="1" x14ac:dyDescent="0.25">
      <c r="A592" s="203"/>
      <c r="B592" s="193"/>
      <c r="C592" s="193"/>
      <c r="D592" s="220" t="s">
        <v>1258</v>
      </c>
      <c r="G592" s="197"/>
      <c r="H592" s="214"/>
      <c r="I592" s="246" t="s">
        <v>1022</v>
      </c>
      <c r="J592" s="223"/>
      <c r="K592" s="224" t="s">
        <v>1514</v>
      </c>
      <c r="L592" s="224"/>
      <c r="M592" s="224"/>
      <c r="N592" s="223"/>
      <c r="O592" s="256" t="s">
        <v>1258</v>
      </c>
      <c r="P592" s="197"/>
      <c r="Q592" s="197"/>
      <c r="R592" s="197"/>
      <c r="S592" s="197"/>
    </row>
    <row r="593" spans="1:19" ht="15.75" thickTop="1" x14ac:dyDescent="0.2">
      <c r="A593" s="203">
        <v>65</v>
      </c>
      <c r="B593" s="193" t="s">
        <v>1515</v>
      </c>
      <c r="C593" s="193" t="s">
        <v>1516</v>
      </c>
      <c r="D593" s="220"/>
      <c r="G593" s="197"/>
      <c r="H593" s="292">
        <v>65</v>
      </c>
      <c r="I593" s="242"/>
      <c r="J593" s="302"/>
      <c r="K593" s="303" t="s">
        <v>1516</v>
      </c>
      <c r="L593" s="302"/>
      <c r="M593" s="302"/>
      <c r="N593" s="302"/>
      <c r="O593" s="244"/>
      <c r="P593" s="197"/>
      <c r="Q593" s="212">
        <f>H593</f>
        <v>65</v>
      </c>
      <c r="R593" s="202" t="str">
        <f>CONCATENATE("II-",TEXT(Q593,"0000"))</f>
        <v>II-0065</v>
      </c>
      <c r="S593" s="213" t="str">
        <f>K593</f>
        <v xml:space="preserve">PUENTE </v>
      </c>
    </row>
    <row r="594" spans="1:19" x14ac:dyDescent="0.2">
      <c r="A594" s="203"/>
      <c r="B594" s="193"/>
      <c r="C594" s="193"/>
      <c r="D594" s="220" t="s">
        <v>1133</v>
      </c>
      <c r="G594" s="197"/>
      <c r="H594" s="363"/>
      <c r="I594" s="349" t="s">
        <v>1022</v>
      </c>
      <c r="J594" s="223"/>
      <c r="K594" s="224" t="s">
        <v>1517</v>
      </c>
      <c r="L594" s="224"/>
      <c r="M594" s="224"/>
      <c r="N594" s="223"/>
      <c r="O594" s="256" t="s">
        <v>1133</v>
      </c>
      <c r="P594" s="197"/>
      <c r="Q594" s="197"/>
      <c r="R594" s="197"/>
      <c r="S594" s="197"/>
    </row>
    <row r="595" spans="1:19" x14ac:dyDescent="0.2">
      <c r="A595" s="203"/>
      <c r="B595" s="193"/>
      <c r="C595" s="193"/>
      <c r="D595" s="220" t="s">
        <v>1133</v>
      </c>
      <c r="G595" s="197"/>
      <c r="H595" s="363"/>
      <c r="I595" s="215" t="s">
        <v>1049</v>
      </c>
      <c r="J595" s="262"/>
      <c r="K595" s="283" t="s">
        <v>1132</v>
      </c>
      <c r="L595" s="283"/>
      <c r="M595" s="283"/>
      <c r="N595" s="262"/>
      <c r="O595" s="297" t="s">
        <v>1133</v>
      </c>
      <c r="P595" s="197"/>
      <c r="Q595" s="197"/>
      <c r="R595" s="197"/>
      <c r="S595" s="197"/>
    </row>
    <row r="596" spans="1:19" x14ac:dyDescent="0.2">
      <c r="A596" s="203"/>
      <c r="B596" s="193"/>
      <c r="C596" s="193"/>
      <c r="D596" s="220" t="s">
        <v>1026</v>
      </c>
      <c r="G596" s="197"/>
      <c r="H596" s="363"/>
      <c r="I596" s="215" t="s">
        <v>1059</v>
      </c>
      <c r="J596" s="262"/>
      <c r="K596" s="283" t="s">
        <v>1136</v>
      </c>
      <c r="L596" s="283"/>
      <c r="M596" s="283"/>
      <c r="N596" s="262"/>
      <c r="O596" s="297" t="s">
        <v>1026</v>
      </c>
      <c r="P596" s="197"/>
      <c r="Q596" s="197"/>
      <c r="R596" s="197"/>
      <c r="S596" s="197"/>
    </row>
    <row r="597" spans="1:19" x14ac:dyDescent="0.2">
      <c r="A597" s="203"/>
      <c r="B597" s="193"/>
      <c r="C597" s="193"/>
      <c r="D597" s="220"/>
      <c r="G597" s="197"/>
      <c r="H597" s="363"/>
      <c r="I597" s="215" t="s">
        <v>1085</v>
      </c>
      <c r="J597" s="218"/>
      <c r="K597" s="224" t="s">
        <v>1518</v>
      </c>
      <c r="L597" s="224"/>
      <c r="M597" s="224"/>
      <c r="N597" s="223"/>
      <c r="O597" s="256"/>
      <c r="P597" s="197"/>
      <c r="Q597" s="197"/>
      <c r="R597" s="197"/>
      <c r="S597" s="197"/>
    </row>
    <row r="598" spans="1:19" x14ac:dyDescent="0.2">
      <c r="A598" s="203"/>
      <c r="B598" s="193"/>
      <c r="C598" s="193"/>
      <c r="D598" s="220" t="s">
        <v>1216</v>
      </c>
      <c r="G598" s="197"/>
      <c r="H598" s="363"/>
      <c r="I598" s="221"/>
      <c r="J598" s="364">
        <v>1</v>
      </c>
      <c r="K598" s="224"/>
      <c r="L598" s="224" t="s">
        <v>1126</v>
      </c>
      <c r="M598" s="224"/>
      <c r="N598" s="223"/>
      <c r="O598" s="256" t="s">
        <v>1216</v>
      </c>
      <c r="P598" s="197"/>
      <c r="Q598" s="197"/>
      <c r="R598" s="197"/>
      <c r="S598" s="197"/>
    </row>
    <row r="599" spans="1:19" ht="15.75" thickBot="1" x14ac:dyDescent="0.25">
      <c r="A599" s="203"/>
      <c r="B599" s="193"/>
      <c r="C599" s="193"/>
      <c r="D599" s="220" t="s">
        <v>1519</v>
      </c>
      <c r="G599" s="197"/>
      <c r="H599" s="365"/>
      <c r="I599" s="235"/>
      <c r="J599" s="366">
        <v>2</v>
      </c>
      <c r="K599" s="238"/>
      <c r="L599" s="238" t="s">
        <v>1520</v>
      </c>
      <c r="M599" s="238"/>
      <c r="N599" s="237"/>
      <c r="O599" s="322" t="s">
        <v>1519</v>
      </c>
      <c r="P599" s="197"/>
      <c r="Q599" s="197"/>
      <c r="R599" s="197"/>
      <c r="S599" s="197"/>
    </row>
    <row r="600" spans="1:19" ht="15.75" thickTop="1" x14ac:dyDescent="0.2">
      <c r="A600" s="203">
        <v>66</v>
      </c>
      <c r="B600" s="193" t="s">
        <v>1521</v>
      </c>
      <c r="C600" s="193" t="s">
        <v>1522</v>
      </c>
      <c r="D600" s="220"/>
      <c r="G600" s="197"/>
      <c r="H600" s="241">
        <v>66</v>
      </c>
      <c r="I600" s="243"/>
      <c r="J600" s="254"/>
      <c r="K600" s="311" t="s">
        <v>1522</v>
      </c>
      <c r="L600" s="254"/>
      <c r="M600" s="254"/>
      <c r="N600" s="254"/>
      <c r="O600" s="265"/>
      <c r="P600" s="197"/>
      <c r="Q600" s="212">
        <f>H600</f>
        <v>66</v>
      </c>
      <c r="R600" s="202" t="str">
        <f>CONCATENATE("II-",TEXT(Q600,"0000"))</f>
        <v>II-0066</v>
      </c>
      <c r="S600" s="213" t="str">
        <f>K600</f>
        <v>PUENTE BAYLEY / FM</v>
      </c>
    </row>
    <row r="601" spans="1:19" x14ac:dyDescent="0.2">
      <c r="A601" s="203"/>
      <c r="B601" s="193"/>
      <c r="C601" s="193"/>
      <c r="D601" s="220" t="s">
        <v>1258</v>
      </c>
      <c r="G601" s="197"/>
      <c r="H601" s="214"/>
      <c r="I601" s="349" t="s">
        <v>1022</v>
      </c>
      <c r="J601" s="223"/>
      <c r="K601" s="224" t="s">
        <v>1523</v>
      </c>
      <c r="L601" s="223"/>
      <c r="M601" s="223"/>
      <c r="N601" s="223"/>
      <c r="O601" s="256" t="s">
        <v>1258</v>
      </c>
      <c r="P601" s="197"/>
      <c r="Q601" s="197"/>
      <c r="R601" s="197"/>
      <c r="S601" s="197"/>
    </row>
    <row r="602" spans="1:19" x14ac:dyDescent="0.2">
      <c r="A602" s="203"/>
      <c r="B602" s="193"/>
      <c r="C602" s="193"/>
      <c r="D602" s="220" t="s">
        <v>1258</v>
      </c>
      <c r="G602" s="197"/>
      <c r="H602" s="214"/>
      <c r="I602" s="215" t="s">
        <v>1049</v>
      </c>
      <c r="J602" s="262"/>
      <c r="K602" s="283" t="s">
        <v>1524</v>
      </c>
      <c r="L602" s="262"/>
      <c r="M602" s="262"/>
      <c r="N602" s="262"/>
      <c r="O602" s="297" t="s">
        <v>1258</v>
      </c>
      <c r="P602" s="197"/>
      <c r="Q602" s="197"/>
      <c r="R602" s="197"/>
      <c r="S602" s="197"/>
    </row>
    <row r="603" spans="1:19" x14ac:dyDescent="0.2">
      <c r="A603" s="203"/>
      <c r="B603" s="193"/>
      <c r="C603" s="193"/>
      <c r="D603" s="220" t="s">
        <v>1258</v>
      </c>
      <c r="G603" s="197"/>
      <c r="H603" s="214"/>
      <c r="I603" s="215" t="s">
        <v>1059</v>
      </c>
      <c r="J603" s="223"/>
      <c r="K603" s="283" t="s">
        <v>1136</v>
      </c>
      <c r="L603" s="262"/>
      <c r="M603" s="262"/>
      <c r="N603" s="262"/>
      <c r="O603" s="297" t="s">
        <v>1258</v>
      </c>
      <c r="P603" s="197"/>
      <c r="Q603" s="197"/>
      <c r="R603" s="197"/>
      <c r="S603" s="197"/>
    </row>
    <row r="604" spans="1:19" x14ac:dyDescent="0.2">
      <c r="A604" s="203"/>
      <c r="B604" s="193"/>
      <c r="C604" s="193"/>
      <c r="D604" s="220"/>
      <c r="G604" s="197"/>
      <c r="H604" s="214"/>
      <c r="I604" s="228" t="s">
        <v>1085</v>
      </c>
      <c r="J604" s="218"/>
      <c r="K604" s="224" t="s">
        <v>1518</v>
      </c>
      <c r="L604" s="224"/>
      <c r="M604" s="224"/>
      <c r="N604" s="223"/>
      <c r="O604" s="256"/>
      <c r="P604" s="197"/>
      <c r="Q604" s="197"/>
      <c r="R604" s="197"/>
      <c r="S604" s="197"/>
    </row>
    <row r="605" spans="1:19" ht="15.75" thickBot="1" x14ac:dyDescent="0.25">
      <c r="A605" s="203"/>
      <c r="B605" s="193"/>
      <c r="C605" s="193"/>
      <c r="D605" s="220" t="s">
        <v>997</v>
      </c>
      <c r="G605" s="197"/>
      <c r="H605" s="214"/>
      <c r="I605" s="221"/>
      <c r="J605" s="364">
        <v>1</v>
      </c>
      <c r="K605" s="224"/>
      <c r="L605" s="224" t="s">
        <v>1126</v>
      </c>
      <c r="M605" s="224"/>
      <c r="N605" s="223"/>
      <c r="O605" s="256" t="s">
        <v>997</v>
      </c>
      <c r="P605" s="197"/>
      <c r="Q605" s="197"/>
      <c r="R605" s="197"/>
      <c r="S605" s="197"/>
    </row>
    <row r="606" spans="1:19" ht="15.75" thickTop="1" x14ac:dyDescent="0.2">
      <c r="A606" s="203">
        <v>67</v>
      </c>
      <c r="B606" s="193" t="s">
        <v>1525</v>
      </c>
      <c r="C606" s="193" t="s">
        <v>1526</v>
      </c>
      <c r="D606" s="220"/>
      <c r="G606" s="197"/>
      <c r="H606" s="292">
        <v>67</v>
      </c>
      <c r="I606" s="242"/>
      <c r="J606" s="302"/>
      <c r="K606" s="303" t="s">
        <v>1526</v>
      </c>
      <c r="L606" s="302"/>
      <c r="M606" s="302"/>
      <c r="N606" s="302"/>
      <c r="O606" s="244"/>
      <c r="P606" s="197"/>
      <c r="Q606" s="212">
        <f>H606</f>
        <v>67</v>
      </c>
      <c r="R606" s="202" t="str">
        <f>CONCATENATE("II-",TEXT(Q606,"0000"))</f>
        <v>II-0067</v>
      </c>
      <c r="S606" s="213" t="str">
        <f>K606</f>
        <v>PUENTE CANAL</v>
      </c>
    </row>
    <row r="607" spans="1:19" ht="15.75" thickBot="1" x14ac:dyDescent="0.25">
      <c r="A607" s="203"/>
      <c r="B607" s="193"/>
      <c r="C607" s="193"/>
      <c r="D607" s="220" t="s">
        <v>1258</v>
      </c>
      <c r="G607" s="197"/>
      <c r="H607" s="245"/>
      <c r="I607" s="246" t="s">
        <v>1022</v>
      </c>
      <c r="J607" s="249"/>
      <c r="K607" s="285" t="s">
        <v>1527</v>
      </c>
      <c r="L607" s="249"/>
      <c r="M607" s="249"/>
      <c r="N607" s="249"/>
      <c r="O607" s="323" t="s">
        <v>1258</v>
      </c>
      <c r="P607" s="197"/>
      <c r="Q607" s="197"/>
      <c r="R607" s="197"/>
      <c r="S607" s="197"/>
    </row>
    <row r="608" spans="1:19" ht="15.75" thickTop="1" x14ac:dyDescent="0.2">
      <c r="A608" s="203">
        <v>68</v>
      </c>
      <c r="B608" s="193" t="s">
        <v>1528</v>
      </c>
      <c r="C608" s="193" t="s">
        <v>1529</v>
      </c>
      <c r="D608" s="220"/>
      <c r="G608" s="197"/>
      <c r="H608" s="241">
        <v>68</v>
      </c>
      <c r="I608" s="243"/>
      <c r="J608" s="254"/>
      <c r="K608" s="311" t="s">
        <v>1529</v>
      </c>
      <c r="L608" s="254"/>
      <c r="M608" s="254"/>
      <c r="N608" s="254"/>
      <c r="O608" s="265"/>
      <c r="P608" s="197"/>
      <c r="Q608" s="212">
        <f>H608</f>
        <v>68</v>
      </c>
      <c r="R608" s="202" t="str">
        <f>CONCATENATE("II-",TEXT(Q608,"0000"))</f>
        <v>II-0068</v>
      </c>
      <c r="S608" s="213" t="str">
        <f>K608</f>
        <v>REACONDICIONAMIENTO</v>
      </c>
    </row>
    <row r="609" spans="1:19" x14ac:dyDescent="0.2">
      <c r="A609" s="203"/>
      <c r="B609" s="193"/>
      <c r="C609" s="193"/>
      <c r="D609" s="220" t="s">
        <v>1258</v>
      </c>
      <c r="G609" s="197"/>
      <c r="H609" s="214"/>
      <c r="I609" s="349" t="s">
        <v>1022</v>
      </c>
      <c r="J609" s="223"/>
      <c r="K609" s="224" t="s">
        <v>1075</v>
      </c>
      <c r="L609" s="223"/>
      <c r="M609" s="223"/>
      <c r="N609" s="223"/>
      <c r="O609" s="256" t="s">
        <v>1258</v>
      </c>
      <c r="P609" s="197"/>
      <c r="Q609" s="197"/>
      <c r="R609" s="197"/>
      <c r="S609" s="197"/>
    </row>
    <row r="610" spans="1:19" x14ac:dyDescent="0.2">
      <c r="A610" s="203"/>
      <c r="B610" s="193"/>
      <c r="C610" s="193"/>
      <c r="D610" s="220" t="s">
        <v>1133</v>
      </c>
      <c r="G610" s="197"/>
      <c r="H610" s="214"/>
      <c r="I610" s="215" t="s">
        <v>1049</v>
      </c>
      <c r="J610" s="262"/>
      <c r="K610" s="283" t="s">
        <v>1530</v>
      </c>
      <c r="L610" s="262"/>
      <c r="M610" s="262"/>
      <c r="N610" s="262"/>
      <c r="O610" s="297" t="s">
        <v>1133</v>
      </c>
      <c r="P610" s="197"/>
      <c r="Q610" s="197"/>
      <c r="R610" s="197"/>
      <c r="S610" s="197"/>
    </row>
    <row r="611" spans="1:19" ht="15.75" thickBot="1" x14ac:dyDescent="0.25">
      <c r="A611" s="203"/>
      <c r="B611" s="193"/>
      <c r="C611" s="193"/>
      <c r="D611" s="220" t="s">
        <v>1258</v>
      </c>
      <c r="G611" s="197"/>
      <c r="H611" s="214"/>
      <c r="I611" s="236" t="s">
        <v>1059</v>
      </c>
      <c r="J611" s="223"/>
      <c r="K611" s="301" t="s">
        <v>1531</v>
      </c>
      <c r="L611" s="223"/>
      <c r="M611" s="223"/>
      <c r="N611" s="223"/>
      <c r="O611" s="256" t="s">
        <v>1258</v>
      </c>
      <c r="P611" s="197"/>
      <c r="Q611" s="197"/>
      <c r="R611" s="197"/>
      <c r="S611" s="197"/>
    </row>
    <row r="612" spans="1:19" ht="15.75" thickTop="1" x14ac:dyDescent="0.2">
      <c r="A612" s="203">
        <v>69</v>
      </c>
      <c r="B612" s="193" t="s">
        <v>1532</v>
      </c>
      <c r="C612" s="193" t="s">
        <v>1533</v>
      </c>
      <c r="D612" s="220"/>
      <c r="G612" s="197"/>
      <c r="H612" s="292">
        <v>69</v>
      </c>
      <c r="I612" s="242"/>
      <c r="J612" s="302"/>
      <c r="K612" s="303" t="s">
        <v>1533</v>
      </c>
      <c r="L612" s="302"/>
      <c r="M612" s="302"/>
      <c r="N612" s="302"/>
      <c r="O612" s="244"/>
      <c r="P612" s="197"/>
      <c r="Q612" s="212">
        <f>H612</f>
        <v>69</v>
      </c>
      <c r="R612" s="202" t="str">
        <f>CONCATENATE("II-",TEXT(Q612,"0000"))</f>
        <v>II-0069</v>
      </c>
      <c r="S612" s="213" t="str">
        <f>K612</f>
        <v>RECICLADO DE PAVIMENTO</v>
      </c>
    </row>
    <row r="613" spans="1:19" x14ac:dyDescent="0.2">
      <c r="A613" s="203"/>
      <c r="B613" s="193"/>
      <c r="C613" s="193"/>
      <c r="D613" s="220" t="s">
        <v>1133</v>
      </c>
      <c r="G613" s="300"/>
      <c r="H613" s="367"/>
      <c r="I613" s="228" t="s">
        <v>1022</v>
      </c>
      <c r="J613" s="262"/>
      <c r="K613" s="283" t="s">
        <v>1534</v>
      </c>
      <c r="L613" s="283"/>
      <c r="M613" s="283"/>
      <c r="N613" s="262"/>
      <c r="O613" s="297" t="s">
        <v>1133</v>
      </c>
      <c r="P613" s="300"/>
      <c r="Q613" s="300"/>
      <c r="R613" s="300"/>
      <c r="S613" s="300"/>
    </row>
    <row r="614" spans="1:19" x14ac:dyDescent="0.2">
      <c r="A614" s="203"/>
      <c r="B614" s="193"/>
      <c r="C614" s="193"/>
      <c r="D614" s="220"/>
      <c r="G614" s="300"/>
      <c r="H614" s="367"/>
      <c r="I614" s="215" t="s">
        <v>1049</v>
      </c>
      <c r="J614" s="221"/>
      <c r="K614" s="224" t="s">
        <v>1535</v>
      </c>
      <c r="L614" s="224"/>
      <c r="M614" s="224"/>
      <c r="N614" s="223"/>
      <c r="O614" s="256"/>
      <c r="P614" s="300"/>
      <c r="Q614" s="300"/>
      <c r="R614" s="300"/>
      <c r="S614" s="300"/>
    </row>
    <row r="615" spans="1:19" x14ac:dyDescent="0.2">
      <c r="A615" s="203"/>
      <c r="B615" s="193"/>
      <c r="C615" s="193"/>
      <c r="D615" s="220" t="s">
        <v>1133</v>
      </c>
      <c r="G615" s="300"/>
      <c r="H615" s="367"/>
      <c r="I615" s="220"/>
      <c r="J615" s="222">
        <v>1</v>
      </c>
      <c r="K615" s="224"/>
      <c r="L615" s="224" t="s">
        <v>1536</v>
      </c>
      <c r="M615" s="223"/>
      <c r="N615" s="223"/>
      <c r="O615" s="256" t="s">
        <v>1133</v>
      </c>
      <c r="P615" s="300"/>
      <c r="Q615" s="300"/>
      <c r="R615" s="300"/>
      <c r="S615" s="300"/>
    </row>
    <row r="616" spans="1:19" ht="15.75" thickBot="1" x14ac:dyDescent="0.25">
      <c r="A616" s="203"/>
      <c r="B616" s="193"/>
      <c r="C616" s="193"/>
      <c r="D616" s="220" t="s">
        <v>1133</v>
      </c>
      <c r="G616" s="300"/>
      <c r="H616" s="368"/>
      <c r="I616" s="318"/>
      <c r="J616" s="236">
        <v>2</v>
      </c>
      <c r="K616" s="238"/>
      <c r="L616" s="238" t="s">
        <v>1537</v>
      </c>
      <c r="M616" s="237"/>
      <c r="N616" s="237"/>
      <c r="O616" s="322" t="s">
        <v>1133</v>
      </c>
      <c r="P616" s="300"/>
      <c r="Q616" s="300"/>
      <c r="R616" s="300"/>
      <c r="S616" s="300"/>
    </row>
    <row r="617" spans="1:19" ht="16.5" thickTop="1" thickBot="1" x14ac:dyDescent="0.25">
      <c r="A617" s="203">
        <v>70</v>
      </c>
      <c r="B617" s="193" t="s">
        <v>1538</v>
      </c>
      <c r="C617" s="193" t="s">
        <v>1539</v>
      </c>
      <c r="D617" s="220" t="s">
        <v>1216</v>
      </c>
      <c r="G617" s="197"/>
      <c r="H617" s="241">
        <v>70</v>
      </c>
      <c r="I617" s="243"/>
      <c r="J617" s="254"/>
      <c r="K617" s="311" t="s">
        <v>1539</v>
      </c>
      <c r="L617" s="254"/>
      <c r="M617" s="254"/>
      <c r="N617" s="254"/>
      <c r="O617" s="265" t="s">
        <v>1216</v>
      </c>
      <c r="P617" s="197"/>
      <c r="Q617" s="212">
        <f t="shared" ref="Q617:Q618" si="60">H617</f>
        <v>70</v>
      </c>
      <c r="R617" s="202" t="str">
        <f t="shared" ref="R617:R618" si="61">CONCATENATE("II-",TEXT(Q617,"0000"))</f>
        <v>II-0070</v>
      </c>
      <c r="S617" s="213" t="str">
        <f t="shared" ref="S617:S618" si="62">K617</f>
        <v>RECLAMADO</v>
      </c>
    </row>
    <row r="618" spans="1:19" ht="15.75" thickTop="1" x14ac:dyDescent="0.2">
      <c r="A618" s="203">
        <v>71</v>
      </c>
      <c r="B618" s="193" t="s">
        <v>1540</v>
      </c>
      <c r="C618" s="193" t="s">
        <v>1541</v>
      </c>
      <c r="D618" s="220"/>
      <c r="G618" s="197"/>
      <c r="H618" s="292">
        <v>71</v>
      </c>
      <c r="I618" s="242"/>
      <c r="J618" s="302"/>
      <c r="K618" s="357" t="s">
        <v>1541</v>
      </c>
      <c r="L618" s="302"/>
      <c r="M618" s="302"/>
      <c r="N618" s="302"/>
      <c r="O618" s="244"/>
      <c r="P618" s="197"/>
      <c r="Q618" s="212">
        <f t="shared" si="60"/>
        <v>71</v>
      </c>
      <c r="R618" s="202" t="str">
        <f t="shared" si="61"/>
        <v>II-0071</v>
      </c>
      <c r="S618" s="213" t="str">
        <f t="shared" si="62"/>
        <v>RECUBRIMIENTO VEGETAL</v>
      </c>
    </row>
    <row r="619" spans="1:19" x14ac:dyDescent="0.2">
      <c r="A619" s="203"/>
      <c r="B619" s="193"/>
      <c r="C619" s="193"/>
      <c r="D619" s="220" t="s">
        <v>1216</v>
      </c>
      <c r="G619" s="197"/>
      <c r="H619" s="214"/>
      <c r="I619" s="215" t="s">
        <v>1022</v>
      </c>
      <c r="J619" s="262"/>
      <c r="K619" s="283" t="s">
        <v>1322</v>
      </c>
      <c r="L619" s="283"/>
      <c r="M619" s="283"/>
      <c r="N619" s="262"/>
      <c r="O619" s="297" t="s">
        <v>1216</v>
      </c>
      <c r="P619" s="197"/>
      <c r="Q619" s="197"/>
      <c r="R619" s="197"/>
      <c r="S619" s="197"/>
    </row>
    <row r="620" spans="1:19" ht="15.75" thickBot="1" x14ac:dyDescent="0.25">
      <c r="A620" s="203"/>
      <c r="B620" s="193"/>
      <c r="C620" s="193"/>
      <c r="D620" s="220" t="s">
        <v>998</v>
      </c>
      <c r="G620" s="197"/>
      <c r="H620" s="214"/>
      <c r="I620" s="236" t="s">
        <v>1049</v>
      </c>
      <c r="J620" s="223"/>
      <c r="K620" s="238" t="s">
        <v>1324</v>
      </c>
      <c r="L620" s="224"/>
      <c r="M620" s="224"/>
      <c r="N620" s="223"/>
      <c r="O620" s="256" t="s">
        <v>998</v>
      </c>
      <c r="P620" s="197"/>
      <c r="Q620" s="197"/>
      <c r="R620" s="197"/>
      <c r="S620" s="197"/>
    </row>
    <row r="621" spans="1:19" ht="16.5" thickTop="1" thickBot="1" x14ac:dyDescent="0.25">
      <c r="A621" s="203">
        <v>72</v>
      </c>
      <c r="B621" s="193" t="s">
        <v>1542</v>
      </c>
      <c r="C621" s="193" t="s">
        <v>1543</v>
      </c>
      <c r="D621" s="220" t="s">
        <v>5</v>
      </c>
      <c r="G621" s="197"/>
      <c r="H621" s="304">
        <v>72</v>
      </c>
      <c r="I621" s="305"/>
      <c r="J621" s="306"/>
      <c r="K621" s="307" t="s">
        <v>1543</v>
      </c>
      <c r="L621" s="306"/>
      <c r="M621" s="306"/>
      <c r="N621" s="306"/>
      <c r="O621" s="308" t="s">
        <v>5</v>
      </c>
      <c r="P621" s="197"/>
      <c r="Q621" s="212">
        <f>H621</f>
        <v>72</v>
      </c>
      <c r="R621" s="202" t="str">
        <f>CONCATENATE("II-",TEXT(Q621,"0000"))</f>
        <v>II-0072</v>
      </c>
      <c r="S621" s="213" t="str">
        <f>K621</f>
        <v>RESTITUCION DE GALIVO</v>
      </c>
    </row>
    <row r="622" spans="1:19" x14ac:dyDescent="0.2">
      <c r="A622" s="203"/>
      <c r="B622" s="193"/>
      <c r="C622" s="193"/>
      <c r="D622" s="220"/>
      <c r="G622" s="300"/>
      <c r="H622" s="309"/>
      <c r="I622" s="220"/>
      <c r="J622" s="300"/>
      <c r="K622" s="301"/>
      <c r="L622" s="300"/>
      <c r="M622" s="300"/>
      <c r="N622" s="300"/>
      <c r="O622" s="310"/>
      <c r="P622" s="300"/>
      <c r="Q622" s="300"/>
      <c r="R622" s="300"/>
      <c r="S622" s="300"/>
    </row>
    <row r="623" spans="1:19" x14ac:dyDescent="0.2">
      <c r="A623" s="203"/>
      <c r="B623" s="193"/>
      <c r="C623" s="193"/>
      <c r="D623" s="220"/>
      <c r="G623" s="300"/>
      <c r="H623" s="309"/>
      <c r="I623" s="220"/>
      <c r="J623" s="300"/>
      <c r="K623" s="301"/>
      <c r="L623" s="300"/>
      <c r="M623" s="300"/>
      <c r="N623" s="300"/>
      <c r="O623" s="310"/>
      <c r="P623" s="300"/>
      <c r="Q623" s="300"/>
      <c r="R623" s="300"/>
      <c r="S623" s="300"/>
    </row>
    <row r="624" spans="1:19" x14ac:dyDescent="0.2">
      <c r="A624" s="203"/>
      <c r="B624" s="193"/>
      <c r="C624" s="193"/>
      <c r="D624" s="220"/>
      <c r="G624" s="197"/>
      <c r="H624" s="241">
        <v>73</v>
      </c>
      <c r="I624" s="243"/>
      <c r="J624" s="254"/>
      <c r="K624" s="311" t="s">
        <v>1544</v>
      </c>
      <c r="L624" s="254"/>
      <c r="M624" s="254"/>
      <c r="N624" s="254"/>
      <c r="O624" s="265"/>
      <c r="P624" s="197"/>
      <c r="Q624" s="197"/>
      <c r="R624" s="197"/>
      <c r="S624" s="197"/>
    </row>
    <row r="625" spans="1:19" x14ac:dyDescent="0.2">
      <c r="A625" s="203"/>
      <c r="B625" s="193"/>
      <c r="C625" s="193"/>
      <c r="D625" s="220"/>
      <c r="G625" s="276"/>
      <c r="H625" s="367"/>
      <c r="I625" s="215" t="s">
        <v>1022</v>
      </c>
      <c r="J625" s="218"/>
      <c r="K625" s="224" t="s">
        <v>1499</v>
      </c>
      <c r="L625" s="224"/>
      <c r="M625" s="224"/>
      <c r="N625" s="223"/>
      <c r="O625" s="256"/>
      <c r="P625" s="276"/>
      <c r="Q625" s="276"/>
      <c r="R625" s="276"/>
      <c r="S625" s="276"/>
    </row>
    <row r="626" spans="1:19" x14ac:dyDescent="0.2">
      <c r="A626" s="203"/>
      <c r="B626" s="193"/>
      <c r="C626" s="193"/>
      <c r="D626" s="220" t="s">
        <v>1216</v>
      </c>
      <c r="G626" s="276"/>
      <c r="H626" s="367"/>
      <c r="I626" s="221"/>
      <c r="J626" s="222">
        <v>1</v>
      </c>
      <c r="K626" s="224"/>
      <c r="L626" s="224" t="s">
        <v>1327</v>
      </c>
      <c r="M626" s="224"/>
      <c r="N626" s="223"/>
      <c r="O626" s="256" t="s">
        <v>1216</v>
      </c>
      <c r="P626" s="276"/>
      <c r="Q626" s="276"/>
      <c r="R626" s="276"/>
      <c r="S626" s="276"/>
    </row>
    <row r="627" spans="1:19" x14ac:dyDescent="0.2">
      <c r="A627" s="203"/>
      <c r="B627" s="193"/>
      <c r="C627" s="193"/>
      <c r="D627" s="220" t="s">
        <v>1216</v>
      </c>
      <c r="G627" s="276"/>
      <c r="H627" s="367"/>
      <c r="I627" s="220"/>
      <c r="J627" s="222">
        <v>2</v>
      </c>
      <c r="K627" s="224"/>
      <c r="L627" s="224" t="s">
        <v>1545</v>
      </c>
      <c r="M627" s="223"/>
      <c r="N627" s="223"/>
      <c r="O627" s="256" t="s">
        <v>1216</v>
      </c>
      <c r="P627" s="276"/>
      <c r="Q627" s="276"/>
      <c r="R627" s="276"/>
      <c r="S627" s="276"/>
    </row>
    <row r="628" spans="1:19" x14ac:dyDescent="0.2">
      <c r="A628" s="203"/>
      <c r="B628" s="193"/>
      <c r="C628" s="193"/>
      <c r="D628" s="220" t="s">
        <v>1216</v>
      </c>
      <c r="G628" s="276"/>
      <c r="H628" s="367"/>
      <c r="I628" s="220"/>
      <c r="J628" s="222">
        <v>3</v>
      </c>
      <c r="K628" s="224"/>
      <c r="L628" s="224" t="s">
        <v>1546</v>
      </c>
      <c r="M628" s="223"/>
      <c r="N628" s="223"/>
      <c r="O628" s="256" t="s">
        <v>1216</v>
      </c>
      <c r="P628" s="276"/>
      <c r="Q628" s="276"/>
      <c r="R628" s="276"/>
      <c r="S628" s="276"/>
    </row>
    <row r="629" spans="1:19" x14ac:dyDescent="0.2">
      <c r="A629" s="203"/>
      <c r="B629" s="193"/>
      <c r="C629" s="193"/>
      <c r="D629" s="220" t="s">
        <v>1216</v>
      </c>
      <c r="G629" s="276"/>
      <c r="H629" s="367"/>
      <c r="I629" s="220"/>
      <c r="J629" s="312">
        <v>4</v>
      </c>
      <c r="K629" s="224"/>
      <c r="L629" s="224" t="s">
        <v>1547</v>
      </c>
      <c r="M629" s="223"/>
      <c r="N629" s="223"/>
      <c r="O629" s="256" t="s">
        <v>1216</v>
      </c>
      <c r="P629" s="276"/>
      <c r="Q629" s="276"/>
      <c r="R629" s="276"/>
      <c r="S629" s="276"/>
    </row>
    <row r="630" spans="1:19" x14ac:dyDescent="0.2">
      <c r="A630" s="203"/>
      <c r="B630" s="193"/>
      <c r="C630" s="193"/>
      <c r="D630" s="220" t="s">
        <v>1216</v>
      </c>
      <c r="G630" s="276"/>
      <c r="H630" s="367"/>
      <c r="I630" s="220"/>
      <c r="J630" s="312">
        <v>5</v>
      </c>
      <c r="K630" s="224"/>
      <c r="L630" s="224" t="s">
        <v>1548</v>
      </c>
      <c r="M630" s="223"/>
      <c r="N630" s="223"/>
      <c r="O630" s="256" t="s">
        <v>1216</v>
      </c>
      <c r="P630" s="276"/>
      <c r="Q630" s="276"/>
      <c r="R630" s="276"/>
      <c r="S630" s="276"/>
    </row>
    <row r="631" spans="1:19" x14ac:dyDescent="0.2">
      <c r="A631" s="203"/>
      <c r="B631" s="193"/>
      <c r="C631" s="193"/>
      <c r="D631" s="220" t="s">
        <v>1216</v>
      </c>
      <c r="G631" s="197"/>
      <c r="H631" s="363"/>
      <c r="I631" s="215" t="s">
        <v>1049</v>
      </c>
      <c r="J631" s="262"/>
      <c r="K631" s="283" t="s">
        <v>1321</v>
      </c>
      <c r="L631" s="262"/>
      <c r="M631" s="262"/>
      <c r="N631" s="262"/>
      <c r="O631" s="297" t="s">
        <v>1216</v>
      </c>
      <c r="P631" s="197"/>
      <c r="Q631" s="224"/>
      <c r="R631" s="197"/>
      <c r="S631" s="197"/>
    </row>
    <row r="632" spans="1:19" x14ac:dyDescent="0.2">
      <c r="A632" s="203"/>
      <c r="B632" s="193"/>
      <c r="C632" s="193"/>
      <c r="D632" s="220"/>
      <c r="G632" s="197"/>
      <c r="H632" s="363"/>
      <c r="I632" s="215" t="s">
        <v>1059</v>
      </c>
      <c r="J632" s="221"/>
      <c r="K632" s="224" t="s">
        <v>1342</v>
      </c>
      <c r="L632" s="224"/>
      <c r="M632" s="223"/>
      <c r="N632" s="223"/>
      <c r="O632" s="256"/>
      <c r="P632" s="197"/>
      <c r="Q632" s="197"/>
      <c r="R632" s="197"/>
      <c r="S632" s="197"/>
    </row>
    <row r="633" spans="1:19" x14ac:dyDescent="0.2">
      <c r="A633" s="203"/>
      <c r="B633" s="193"/>
      <c r="C633" s="193"/>
      <c r="D633" s="220" t="s">
        <v>1216</v>
      </c>
      <c r="G633" s="197"/>
      <c r="H633" s="363"/>
      <c r="I633" s="221"/>
      <c r="J633" s="222">
        <v>1</v>
      </c>
      <c r="K633" s="224"/>
      <c r="L633" s="224" t="s">
        <v>1327</v>
      </c>
      <c r="M633" s="223"/>
      <c r="N633" s="223"/>
      <c r="O633" s="256" t="s">
        <v>1216</v>
      </c>
      <c r="P633" s="197"/>
      <c r="Q633" s="197"/>
      <c r="R633" s="197"/>
      <c r="S633" s="197"/>
    </row>
    <row r="634" spans="1:19" x14ac:dyDescent="0.2">
      <c r="A634" s="203"/>
      <c r="B634" s="193"/>
      <c r="C634" s="193"/>
      <c r="D634" s="220" t="s">
        <v>1216</v>
      </c>
      <c r="G634" s="197"/>
      <c r="H634" s="363"/>
      <c r="I634" s="221"/>
      <c r="J634" s="222">
        <v>2</v>
      </c>
      <c r="K634" s="224"/>
      <c r="L634" s="224" t="s">
        <v>1545</v>
      </c>
      <c r="M634" s="223"/>
      <c r="N634" s="223"/>
      <c r="O634" s="256" t="s">
        <v>1216</v>
      </c>
      <c r="P634" s="197"/>
      <c r="Q634" s="197"/>
      <c r="R634" s="197"/>
      <c r="S634" s="197"/>
    </row>
    <row r="635" spans="1:19" x14ac:dyDescent="0.2">
      <c r="A635" s="203"/>
      <c r="B635" s="193"/>
      <c r="C635" s="193"/>
      <c r="D635" s="220" t="s">
        <v>1216</v>
      </c>
      <c r="G635" s="197"/>
      <c r="H635" s="363"/>
      <c r="I635" s="221"/>
      <c r="J635" s="222">
        <v>3</v>
      </c>
      <c r="K635" s="224"/>
      <c r="L635" s="224" t="s">
        <v>1546</v>
      </c>
      <c r="M635" s="223"/>
      <c r="N635" s="223"/>
      <c r="O635" s="256" t="s">
        <v>1216</v>
      </c>
      <c r="P635" s="197"/>
      <c r="Q635" s="197"/>
      <c r="R635" s="197"/>
      <c r="S635" s="197"/>
    </row>
    <row r="636" spans="1:19" x14ac:dyDescent="0.2">
      <c r="A636" s="203"/>
      <c r="B636" s="193"/>
      <c r="C636" s="193"/>
      <c r="D636" s="220" t="s">
        <v>1216</v>
      </c>
      <c r="G636" s="197"/>
      <c r="H636" s="363"/>
      <c r="I636" s="221"/>
      <c r="J636" s="312">
        <v>4</v>
      </c>
      <c r="K636" s="224"/>
      <c r="L636" s="224" t="s">
        <v>1547</v>
      </c>
      <c r="M636" s="223"/>
      <c r="N636" s="223"/>
      <c r="O636" s="256" t="s">
        <v>1216</v>
      </c>
      <c r="P636" s="197"/>
      <c r="Q636" s="197"/>
      <c r="R636" s="197"/>
      <c r="S636" s="197"/>
    </row>
    <row r="637" spans="1:19" x14ac:dyDescent="0.2">
      <c r="A637" s="203"/>
      <c r="B637" s="193"/>
      <c r="C637" s="193"/>
      <c r="D637" s="220" t="s">
        <v>1216</v>
      </c>
      <c r="G637" s="197"/>
      <c r="H637" s="363"/>
      <c r="I637" s="274"/>
      <c r="J637" s="313">
        <v>5</v>
      </c>
      <c r="K637" s="230"/>
      <c r="L637" s="230" t="s">
        <v>1548</v>
      </c>
      <c r="M637" s="229"/>
      <c r="N637" s="229"/>
      <c r="O637" s="275" t="s">
        <v>1216</v>
      </c>
      <c r="P637" s="197"/>
      <c r="Q637" s="197"/>
      <c r="R637" s="197"/>
      <c r="S637" s="197"/>
    </row>
    <row r="638" spans="1:19" ht="15.75" thickBot="1" x14ac:dyDescent="0.25">
      <c r="A638" s="203"/>
      <c r="B638" s="193"/>
      <c r="C638" s="193"/>
      <c r="D638" s="220" t="s">
        <v>1216</v>
      </c>
      <c r="G638" s="197"/>
      <c r="H638" s="363"/>
      <c r="I638" s="236" t="s">
        <v>1085</v>
      </c>
      <c r="J638" s="220"/>
      <c r="K638" s="224" t="s">
        <v>1324</v>
      </c>
      <c r="L638" s="224"/>
      <c r="M638" s="223"/>
      <c r="N638" s="223"/>
      <c r="O638" s="256" t="s">
        <v>1216</v>
      </c>
      <c r="P638" s="197"/>
      <c r="Q638" s="197"/>
      <c r="R638" s="197"/>
      <c r="S638" s="197"/>
    </row>
    <row r="639" spans="1:19" ht="15.75" thickTop="1" x14ac:dyDescent="0.2">
      <c r="A639" s="203">
        <v>74</v>
      </c>
      <c r="B639" s="193" t="s">
        <v>1549</v>
      </c>
      <c r="C639" s="193" t="s">
        <v>1550</v>
      </c>
      <c r="D639" s="220"/>
      <c r="G639" s="197"/>
      <c r="H639" s="292">
        <v>74</v>
      </c>
      <c r="I639" s="242"/>
      <c r="J639" s="302"/>
      <c r="K639" s="303" t="s">
        <v>1550</v>
      </c>
      <c r="L639" s="302"/>
      <c r="M639" s="302"/>
      <c r="N639" s="302"/>
      <c r="O639" s="244"/>
      <c r="P639" s="197"/>
      <c r="Q639" s="212">
        <f>H639</f>
        <v>74</v>
      </c>
      <c r="R639" s="202" t="str">
        <f>CONCATENATE("II-",TEXT(Q639,"0000"))</f>
        <v>II-0074</v>
      </c>
      <c r="S639" s="213" t="str">
        <f>K639</f>
        <v>RIEGO</v>
      </c>
    </row>
    <row r="640" spans="1:19" x14ac:dyDescent="0.2">
      <c r="A640" s="203"/>
      <c r="B640" s="193"/>
      <c r="C640" s="193"/>
      <c r="D640" s="220" t="s">
        <v>1216</v>
      </c>
      <c r="G640" s="197"/>
      <c r="H640" s="214"/>
      <c r="I640" s="215" t="s">
        <v>1022</v>
      </c>
      <c r="J640" s="262"/>
      <c r="K640" s="283" t="s">
        <v>1551</v>
      </c>
      <c r="L640" s="262"/>
      <c r="M640" s="262"/>
      <c r="N640" s="262"/>
      <c r="O640" s="297" t="s">
        <v>1216</v>
      </c>
      <c r="P640" s="197"/>
      <c r="Q640" s="197"/>
      <c r="R640" s="197"/>
      <c r="S640" s="197"/>
    </row>
    <row r="641" spans="1:19" ht="15.75" thickBot="1" x14ac:dyDescent="0.25">
      <c r="A641" s="203"/>
      <c r="B641" s="193"/>
      <c r="C641" s="193"/>
      <c r="D641" s="220" t="s">
        <v>1216</v>
      </c>
      <c r="G641" s="197"/>
      <c r="H641" s="234"/>
      <c r="I641" s="236" t="s">
        <v>1049</v>
      </c>
      <c r="J641" s="237"/>
      <c r="K641" s="238" t="s">
        <v>1552</v>
      </c>
      <c r="L641" s="237"/>
      <c r="M641" s="237"/>
      <c r="N641" s="237"/>
      <c r="O641" s="322" t="s">
        <v>1216</v>
      </c>
      <c r="P641" s="197"/>
      <c r="Q641" s="197"/>
      <c r="R641" s="197"/>
      <c r="S641" s="197"/>
    </row>
    <row r="642" spans="1:19" ht="15.75" thickTop="1" x14ac:dyDescent="0.2">
      <c r="A642" s="203">
        <v>75</v>
      </c>
      <c r="B642" s="193" t="s">
        <v>1553</v>
      </c>
      <c r="C642" s="193" t="s">
        <v>1554</v>
      </c>
      <c r="D642" s="220"/>
      <c r="G642" s="276"/>
      <c r="H642" s="241">
        <v>75</v>
      </c>
      <c r="I642" s="243"/>
      <c r="J642" s="254"/>
      <c r="K642" s="311" t="s">
        <v>1554</v>
      </c>
      <c r="L642" s="254"/>
      <c r="M642" s="254"/>
      <c r="N642" s="254"/>
      <c r="O642" s="265"/>
      <c r="P642" s="197"/>
      <c r="Q642" s="212">
        <f>H642</f>
        <v>75</v>
      </c>
      <c r="R642" s="202" t="str">
        <f>CONCATENATE("II-",TEXT(Q642,"0000"))</f>
        <v>II-0075</v>
      </c>
      <c r="S642" s="213" t="str">
        <f>K642</f>
        <v>SALTO</v>
      </c>
    </row>
    <row r="643" spans="1:19" x14ac:dyDescent="0.2">
      <c r="A643" s="203"/>
      <c r="B643" s="193"/>
      <c r="C643" s="193"/>
      <c r="D643" s="220" t="s">
        <v>1258</v>
      </c>
      <c r="G643" s="197"/>
      <c r="H643" s="214"/>
      <c r="I643" s="215" t="s">
        <v>1022</v>
      </c>
      <c r="J643" s="262"/>
      <c r="K643" s="283" t="s">
        <v>1555</v>
      </c>
      <c r="L643" s="262"/>
      <c r="M643" s="262"/>
      <c r="N643" s="262"/>
      <c r="O643" s="297" t="s">
        <v>1258</v>
      </c>
      <c r="P643" s="197"/>
      <c r="Q643" s="197"/>
      <c r="R643" s="197"/>
      <c r="S643" s="197"/>
    </row>
    <row r="644" spans="1:19" ht="15.75" thickBot="1" x14ac:dyDescent="0.25">
      <c r="A644" s="203"/>
      <c r="B644" s="193"/>
      <c r="C644" s="193"/>
      <c r="D644" s="220" t="s">
        <v>1258</v>
      </c>
      <c r="G644" s="197"/>
      <c r="H644" s="214"/>
      <c r="I644" s="236" t="s">
        <v>1049</v>
      </c>
      <c r="J644" s="223"/>
      <c r="K644" s="224" t="s">
        <v>1254</v>
      </c>
      <c r="L644" s="223"/>
      <c r="M644" s="223"/>
      <c r="N644" s="223"/>
      <c r="O644" s="256" t="s">
        <v>1258</v>
      </c>
      <c r="P644" s="197"/>
      <c r="Q644" s="197"/>
      <c r="R644" s="197"/>
      <c r="S644" s="197"/>
    </row>
    <row r="645" spans="1:19" ht="16.5" thickTop="1" thickBot="1" x14ac:dyDescent="0.25">
      <c r="A645" s="203">
        <v>76</v>
      </c>
      <c r="B645" s="193" t="s">
        <v>1556</v>
      </c>
      <c r="C645" s="193" t="s">
        <v>1557</v>
      </c>
      <c r="D645" s="220" t="s">
        <v>714</v>
      </c>
      <c r="G645" s="197"/>
      <c r="H645" s="292">
        <v>76</v>
      </c>
      <c r="I645" s="242"/>
      <c r="J645" s="302"/>
      <c r="K645" s="303" t="s">
        <v>1557</v>
      </c>
      <c r="L645" s="302"/>
      <c r="M645" s="302"/>
      <c r="N645" s="302"/>
      <c r="O645" s="244" t="s">
        <v>714</v>
      </c>
      <c r="P645" s="197"/>
      <c r="Q645" s="212">
        <f t="shared" ref="Q645:Q646" si="63">H645</f>
        <v>76</v>
      </c>
      <c r="R645" s="202" t="str">
        <f t="shared" ref="R645:R646" si="64">CONCATENATE("II-",TEXT(Q645,"0000"))</f>
        <v>II-0076</v>
      </c>
      <c r="S645" s="213" t="str">
        <f t="shared" ref="S645:S646" si="65">K645</f>
        <v>SELLADO DE FISURA</v>
      </c>
    </row>
    <row r="646" spans="1:19" ht="15.75" thickTop="1" x14ac:dyDescent="0.2">
      <c r="A646" s="203">
        <v>77</v>
      </c>
      <c r="B646" s="193" t="s">
        <v>1558</v>
      </c>
      <c r="C646" s="193" t="s">
        <v>1559</v>
      </c>
      <c r="D646" s="220"/>
      <c r="G646" s="197"/>
      <c r="H646" s="292">
        <v>77</v>
      </c>
      <c r="I646" s="242"/>
      <c r="J646" s="302"/>
      <c r="K646" s="303" t="s">
        <v>1559</v>
      </c>
      <c r="L646" s="302"/>
      <c r="M646" s="302"/>
      <c r="N646" s="302"/>
      <c r="O646" s="244"/>
      <c r="P646" s="197"/>
      <c r="Q646" s="212">
        <f t="shared" si="63"/>
        <v>77</v>
      </c>
      <c r="R646" s="202" t="str">
        <f t="shared" si="64"/>
        <v>II-0077</v>
      </c>
      <c r="S646" s="213" t="str">
        <f t="shared" si="65"/>
        <v>SIFON</v>
      </c>
    </row>
    <row r="647" spans="1:19" ht="15.75" thickBot="1" x14ac:dyDescent="0.25">
      <c r="A647" s="203"/>
      <c r="B647" s="193"/>
      <c r="C647" s="193"/>
      <c r="D647" s="220" t="s">
        <v>5</v>
      </c>
      <c r="G647" s="197"/>
      <c r="H647" s="214"/>
      <c r="I647" s="246" t="s">
        <v>1022</v>
      </c>
      <c r="J647" s="223"/>
      <c r="K647" s="224" t="s">
        <v>1560</v>
      </c>
      <c r="L647" s="223"/>
      <c r="M647" s="223"/>
      <c r="N647" s="223"/>
      <c r="O647" s="256" t="s">
        <v>5</v>
      </c>
      <c r="P647" s="197"/>
      <c r="Q647" s="197"/>
      <c r="R647" s="197"/>
      <c r="S647" s="197"/>
    </row>
    <row r="648" spans="1:19" ht="15.75" thickTop="1" x14ac:dyDescent="0.2">
      <c r="A648" s="203">
        <v>78</v>
      </c>
      <c r="B648" s="193" t="s">
        <v>1561</v>
      </c>
      <c r="C648" s="193" t="s">
        <v>1562</v>
      </c>
      <c r="D648" s="220"/>
      <c r="G648" s="276"/>
      <c r="H648" s="292">
        <v>78</v>
      </c>
      <c r="I648" s="242"/>
      <c r="J648" s="302"/>
      <c r="K648" s="303" t="s">
        <v>1562</v>
      </c>
      <c r="L648" s="302"/>
      <c r="M648" s="302"/>
      <c r="N648" s="302"/>
      <c r="O648" s="244"/>
      <c r="P648" s="197"/>
      <c r="Q648" s="212">
        <f>H648</f>
        <v>78</v>
      </c>
      <c r="R648" s="202" t="str">
        <f>CONCATENATE("II-",TEXT(Q648,"0000"))</f>
        <v>II-0078</v>
      </c>
      <c r="S648" s="213" t="str">
        <f>K648</f>
        <v>SUB BASE</v>
      </c>
    </row>
    <row r="649" spans="1:19" x14ac:dyDescent="0.2">
      <c r="A649" s="203"/>
      <c r="B649" s="193"/>
      <c r="C649" s="193"/>
      <c r="D649" s="220" t="s">
        <v>1133</v>
      </c>
      <c r="G649" s="276"/>
      <c r="H649" s="298"/>
      <c r="I649" s="369" t="s">
        <v>1022</v>
      </c>
      <c r="J649" s="300"/>
      <c r="K649" s="301" t="s">
        <v>1281</v>
      </c>
      <c r="L649" s="300"/>
      <c r="M649" s="300"/>
      <c r="N649" s="300"/>
      <c r="O649" s="287" t="s">
        <v>1133</v>
      </c>
      <c r="P649" s="276"/>
      <c r="Q649" s="276"/>
      <c r="R649" s="276"/>
      <c r="S649" s="276"/>
    </row>
    <row r="650" spans="1:19" x14ac:dyDescent="0.2">
      <c r="A650" s="203"/>
      <c r="B650" s="193"/>
      <c r="C650" s="193"/>
      <c r="D650" s="220" t="s">
        <v>1133</v>
      </c>
      <c r="G650" s="197"/>
      <c r="H650" s="214"/>
      <c r="I650" s="215" t="s">
        <v>1049</v>
      </c>
      <c r="J650" s="350"/>
      <c r="K650" s="283" t="s">
        <v>1391</v>
      </c>
      <c r="L650" s="283"/>
      <c r="M650" s="262"/>
      <c r="N650" s="262"/>
      <c r="O650" s="297" t="s">
        <v>1133</v>
      </c>
      <c r="P650" s="197"/>
      <c r="Q650" s="197"/>
      <c r="R650" s="197"/>
      <c r="S650" s="197"/>
    </row>
    <row r="651" spans="1:19" x14ac:dyDescent="0.2">
      <c r="A651" s="203"/>
      <c r="B651" s="193"/>
      <c r="C651" s="193"/>
      <c r="D651" s="220"/>
      <c r="G651" s="197"/>
      <c r="H651" s="214"/>
      <c r="I651" s="228" t="s">
        <v>1059</v>
      </c>
      <c r="J651" s="221"/>
      <c r="K651" s="224" t="s">
        <v>1278</v>
      </c>
      <c r="L651" s="224"/>
      <c r="M651" s="223"/>
      <c r="N651" s="223"/>
      <c r="O651" s="256"/>
      <c r="P651" s="197"/>
      <c r="Q651" s="197"/>
      <c r="R651" s="197"/>
      <c r="S651" s="197"/>
    </row>
    <row r="652" spans="1:19" x14ac:dyDescent="0.2">
      <c r="A652" s="203"/>
      <c r="B652" s="193"/>
      <c r="C652" s="193"/>
      <c r="D652" s="220" t="s">
        <v>1133</v>
      </c>
      <c r="G652" s="197"/>
      <c r="H652" s="214"/>
      <c r="I652" s="221"/>
      <c r="J652" s="222">
        <v>1</v>
      </c>
      <c r="K652" s="224"/>
      <c r="L652" s="224" t="s">
        <v>1563</v>
      </c>
      <c r="M652" s="223"/>
      <c r="N652" s="223"/>
      <c r="O652" s="256" t="s">
        <v>1133</v>
      </c>
      <c r="P652" s="197"/>
      <c r="Q652" s="197"/>
      <c r="R652" s="197"/>
      <c r="S652" s="197"/>
    </row>
    <row r="653" spans="1:19" x14ac:dyDescent="0.2">
      <c r="A653" s="203"/>
      <c r="B653" s="193"/>
      <c r="C653" s="193"/>
      <c r="D653" s="220" t="s">
        <v>1133</v>
      </c>
      <c r="G653" s="197"/>
      <c r="H653" s="214"/>
      <c r="I653" s="221"/>
      <c r="J653" s="222">
        <v>2</v>
      </c>
      <c r="K653" s="224"/>
      <c r="L653" s="224" t="s">
        <v>1564</v>
      </c>
      <c r="M653" s="223"/>
      <c r="N653" s="223"/>
      <c r="O653" s="256" t="s">
        <v>1133</v>
      </c>
      <c r="P653" s="197"/>
      <c r="Q653" s="197"/>
      <c r="R653" s="197"/>
      <c r="S653" s="197"/>
    </row>
    <row r="654" spans="1:19" x14ac:dyDescent="0.2">
      <c r="A654" s="203"/>
      <c r="B654" s="193"/>
      <c r="C654" s="193"/>
      <c r="D654" s="220" t="s">
        <v>1133</v>
      </c>
      <c r="G654" s="197"/>
      <c r="H654" s="214"/>
      <c r="I654" s="221"/>
      <c r="J654" s="228">
        <v>3</v>
      </c>
      <c r="K654" s="223"/>
      <c r="L654" s="224" t="s">
        <v>1278</v>
      </c>
      <c r="M654" s="223"/>
      <c r="N654" s="223"/>
      <c r="O654" s="256" t="s">
        <v>1133</v>
      </c>
      <c r="P654" s="197"/>
      <c r="Q654" s="197"/>
      <c r="R654" s="197"/>
      <c r="S654" s="197"/>
    </row>
    <row r="655" spans="1:19" x14ac:dyDescent="0.2">
      <c r="A655" s="203"/>
      <c r="B655" s="193"/>
      <c r="C655" s="193"/>
      <c r="D655" s="220" t="s">
        <v>1133</v>
      </c>
      <c r="G655" s="197"/>
      <c r="H655" s="214"/>
      <c r="I655" s="215" t="s">
        <v>1085</v>
      </c>
      <c r="J655" s="350"/>
      <c r="K655" s="283" t="s">
        <v>1217</v>
      </c>
      <c r="L655" s="283"/>
      <c r="M655" s="262"/>
      <c r="N655" s="262"/>
      <c r="O655" s="297" t="s">
        <v>1133</v>
      </c>
      <c r="P655" s="197"/>
      <c r="Q655" s="197"/>
      <c r="R655" s="197"/>
      <c r="S655" s="197"/>
    </row>
    <row r="656" spans="1:19" x14ac:dyDescent="0.2">
      <c r="A656" s="203"/>
      <c r="B656" s="193"/>
      <c r="C656" s="193"/>
      <c r="D656" s="220" t="s">
        <v>1133</v>
      </c>
      <c r="G656" s="197"/>
      <c r="H656" s="214"/>
      <c r="I656" s="222" t="s">
        <v>1127</v>
      </c>
      <c r="J656" s="221"/>
      <c r="K656" s="224" t="s">
        <v>1220</v>
      </c>
      <c r="L656" s="224"/>
      <c r="M656" s="223"/>
      <c r="N656" s="223"/>
      <c r="O656" s="256" t="s">
        <v>1133</v>
      </c>
      <c r="P656" s="197"/>
      <c r="Q656" s="197"/>
      <c r="R656" s="197"/>
      <c r="S656" s="197"/>
    </row>
    <row r="657" spans="1:19" x14ac:dyDescent="0.2">
      <c r="A657" s="203"/>
      <c r="B657" s="193"/>
      <c r="C657" s="193"/>
      <c r="D657" s="220" t="s">
        <v>1133</v>
      </c>
      <c r="G657" s="197"/>
      <c r="H657" s="214"/>
      <c r="I657" s="215" t="s">
        <v>1130</v>
      </c>
      <c r="J657" s="350"/>
      <c r="K657" s="329" t="s">
        <v>1282</v>
      </c>
      <c r="L657" s="283"/>
      <c r="M657" s="262"/>
      <c r="N657" s="262"/>
      <c r="O657" s="297" t="s">
        <v>1133</v>
      </c>
      <c r="P657" s="197"/>
      <c r="Q657" s="197"/>
      <c r="R657" s="197"/>
      <c r="S657" s="197"/>
    </row>
    <row r="658" spans="1:19" ht="15.75" thickBot="1" x14ac:dyDescent="0.25">
      <c r="A658" s="203"/>
      <c r="B658" s="193"/>
      <c r="C658" s="193"/>
      <c r="D658" s="220" t="s">
        <v>1133</v>
      </c>
      <c r="G658" s="197"/>
      <c r="H658" s="234"/>
      <c r="I658" s="236" t="s">
        <v>1134</v>
      </c>
      <c r="J658" s="235"/>
      <c r="K658" s="238" t="s">
        <v>1223</v>
      </c>
      <c r="L658" s="238"/>
      <c r="M658" s="237"/>
      <c r="N658" s="237"/>
      <c r="O658" s="322" t="s">
        <v>1133</v>
      </c>
      <c r="P658" s="197"/>
      <c r="Q658" s="197"/>
      <c r="R658" s="197"/>
      <c r="S658" s="197"/>
    </row>
    <row r="659" spans="1:19" ht="15.75" thickTop="1" x14ac:dyDescent="0.2">
      <c r="A659" s="203">
        <v>79</v>
      </c>
      <c r="B659" s="193" t="s">
        <v>1565</v>
      </c>
      <c r="C659" s="193" t="s">
        <v>1388</v>
      </c>
      <c r="D659" s="220"/>
      <c r="G659" s="197"/>
      <c r="H659" s="241">
        <v>79</v>
      </c>
      <c r="I659" s="243"/>
      <c r="J659" s="254"/>
      <c r="K659" s="295" t="s">
        <v>1388</v>
      </c>
      <c r="L659" s="254"/>
      <c r="M659" s="254"/>
      <c r="N659" s="254"/>
      <c r="O659" s="265"/>
      <c r="P659" s="197"/>
      <c r="Q659" s="212">
        <f>H659</f>
        <v>79</v>
      </c>
      <c r="R659" s="202" t="str">
        <f>CONCATENATE("II-",TEXT(Q659,"0000"))</f>
        <v>II-0079</v>
      </c>
      <c r="S659" s="213" t="str">
        <f>K659</f>
        <v>SUELO</v>
      </c>
    </row>
    <row r="660" spans="1:19" x14ac:dyDescent="0.2">
      <c r="A660" s="203"/>
      <c r="B660" s="193"/>
      <c r="C660" s="193"/>
      <c r="D660" s="220" t="s">
        <v>1133</v>
      </c>
      <c r="G660" s="197"/>
      <c r="H660" s="214"/>
      <c r="I660" s="349" t="s">
        <v>1022</v>
      </c>
      <c r="J660" s="223"/>
      <c r="K660" s="283" t="s">
        <v>1566</v>
      </c>
      <c r="L660" s="224"/>
      <c r="M660" s="224"/>
      <c r="N660" s="223"/>
      <c r="O660" s="256" t="s">
        <v>1133</v>
      </c>
      <c r="P660" s="197"/>
      <c r="Q660" s="197"/>
      <c r="R660" s="197"/>
      <c r="S660" s="197"/>
    </row>
    <row r="661" spans="1:19" x14ac:dyDescent="0.2">
      <c r="A661" s="203"/>
      <c r="B661" s="193"/>
      <c r="C661" s="193"/>
      <c r="D661" s="220" t="s">
        <v>1133</v>
      </c>
      <c r="G661" s="197"/>
      <c r="H661" s="214"/>
      <c r="I661" s="215" t="s">
        <v>1049</v>
      </c>
      <c r="J661" s="262"/>
      <c r="K661" s="224" t="s">
        <v>1567</v>
      </c>
      <c r="L661" s="283"/>
      <c r="M661" s="283"/>
      <c r="N661" s="262"/>
      <c r="O661" s="297" t="s">
        <v>1133</v>
      </c>
      <c r="P661" s="197"/>
      <c r="Q661" s="197"/>
      <c r="R661" s="197"/>
      <c r="S661" s="197"/>
    </row>
    <row r="662" spans="1:19" ht="15.75" thickBot="1" x14ac:dyDescent="0.25">
      <c r="A662" s="203"/>
      <c r="B662" s="193"/>
      <c r="C662" s="193"/>
      <c r="D662" s="220" t="s">
        <v>1133</v>
      </c>
      <c r="G662" s="197"/>
      <c r="H662" s="214"/>
      <c r="I662" s="236" t="s">
        <v>1059</v>
      </c>
      <c r="J662" s="223"/>
      <c r="K662" s="285" t="s">
        <v>1568</v>
      </c>
      <c r="L662" s="224"/>
      <c r="M662" s="224"/>
      <c r="N662" s="223"/>
      <c r="O662" s="256" t="s">
        <v>1133</v>
      </c>
      <c r="P662" s="197"/>
      <c r="Q662" s="197"/>
      <c r="R662" s="197"/>
      <c r="S662" s="197"/>
    </row>
    <row r="663" spans="1:19" ht="15.75" thickTop="1" x14ac:dyDescent="0.2">
      <c r="A663" s="203">
        <v>80</v>
      </c>
      <c r="B663" s="193" t="s">
        <v>1569</v>
      </c>
      <c r="C663" s="193" t="s">
        <v>1570</v>
      </c>
      <c r="D663" s="220"/>
      <c r="G663" s="197"/>
      <c r="H663" s="292">
        <v>80</v>
      </c>
      <c r="I663" s="242"/>
      <c r="J663" s="302"/>
      <c r="K663" s="311" t="s">
        <v>1570</v>
      </c>
      <c r="L663" s="302"/>
      <c r="M663" s="302"/>
      <c r="N663" s="302"/>
      <c r="O663" s="244"/>
      <c r="P663" s="197"/>
      <c r="Q663" s="212">
        <f>H663</f>
        <v>80</v>
      </c>
      <c r="R663" s="202" t="str">
        <f>CONCATENATE("II-",TEXT(Q663,"0000"))</f>
        <v>II-0080</v>
      </c>
      <c r="S663" s="213" t="str">
        <f>K663</f>
        <v>SUMIDEROS</v>
      </c>
    </row>
    <row r="664" spans="1:19" x14ac:dyDescent="0.2">
      <c r="A664" s="203"/>
      <c r="B664" s="193"/>
      <c r="C664" s="193"/>
      <c r="D664" s="220" t="s">
        <v>5</v>
      </c>
      <c r="G664" s="197"/>
      <c r="H664" s="214"/>
      <c r="I664" s="222" t="s">
        <v>1022</v>
      </c>
      <c r="J664" s="223"/>
      <c r="K664" s="224" t="s">
        <v>1571</v>
      </c>
      <c r="L664" s="224"/>
      <c r="M664" s="224"/>
      <c r="N664" s="223"/>
      <c r="O664" s="256" t="s">
        <v>5</v>
      </c>
      <c r="P664" s="197"/>
      <c r="Q664" s="197"/>
      <c r="R664" s="197"/>
      <c r="S664" s="197"/>
    </row>
    <row r="665" spans="1:19" x14ac:dyDescent="0.2">
      <c r="A665" s="203"/>
      <c r="B665" s="193"/>
      <c r="C665" s="193"/>
      <c r="D665" s="220" t="s">
        <v>5</v>
      </c>
      <c r="G665" s="197"/>
      <c r="H665" s="214"/>
      <c r="I665" s="215" t="s">
        <v>1049</v>
      </c>
      <c r="J665" s="262"/>
      <c r="K665" s="283" t="s">
        <v>1572</v>
      </c>
      <c r="L665" s="283"/>
      <c r="M665" s="283"/>
      <c r="N665" s="262"/>
      <c r="O665" s="297" t="s">
        <v>5</v>
      </c>
      <c r="P665" s="197"/>
      <c r="Q665" s="197"/>
      <c r="R665" s="197"/>
      <c r="S665" s="197"/>
    </row>
    <row r="666" spans="1:19" x14ac:dyDescent="0.2">
      <c r="A666" s="203"/>
      <c r="B666" s="193"/>
      <c r="C666" s="193"/>
      <c r="D666" s="220" t="s">
        <v>5</v>
      </c>
      <c r="G666" s="197"/>
      <c r="H666" s="214"/>
      <c r="I666" s="215" t="s">
        <v>1059</v>
      </c>
      <c r="J666" s="262"/>
      <c r="K666" s="283" t="s">
        <v>1573</v>
      </c>
      <c r="L666" s="283"/>
      <c r="M666" s="283"/>
      <c r="N666" s="262"/>
      <c r="O666" s="297" t="s">
        <v>5</v>
      </c>
      <c r="P666" s="197"/>
      <c r="Q666" s="197"/>
      <c r="R666" s="197"/>
      <c r="S666" s="197"/>
    </row>
    <row r="667" spans="1:19" ht="15.75" thickBot="1" x14ac:dyDescent="0.25">
      <c r="A667" s="203"/>
      <c r="B667" s="193"/>
      <c r="C667" s="193"/>
      <c r="D667" s="220" t="s">
        <v>5</v>
      </c>
      <c r="G667" s="197"/>
      <c r="H667" s="267"/>
      <c r="I667" s="269" t="s">
        <v>1085</v>
      </c>
      <c r="J667" s="270"/>
      <c r="K667" s="271" t="s">
        <v>1574</v>
      </c>
      <c r="L667" s="271"/>
      <c r="M667" s="271"/>
      <c r="N667" s="270"/>
      <c r="O667" s="325" t="s">
        <v>5</v>
      </c>
      <c r="P667" s="197"/>
      <c r="Q667" s="197"/>
      <c r="R667" s="197"/>
      <c r="S667" s="197"/>
    </row>
    <row r="668" spans="1:19" x14ac:dyDescent="0.2">
      <c r="A668" s="203"/>
      <c r="B668" s="193"/>
      <c r="C668" s="193"/>
      <c r="D668" s="220"/>
      <c r="G668" s="223"/>
      <c r="H668" s="273"/>
      <c r="I668" s="221"/>
      <c r="J668" s="223"/>
      <c r="K668" s="224"/>
      <c r="L668" s="224"/>
      <c r="M668" s="224"/>
      <c r="N668" s="223"/>
      <c r="O668" s="331"/>
      <c r="P668" s="223"/>
      <c r="Q668" s="223"/>
      <c r="R668" s="223"/>
      <c r="S668" s="223"/>
    </row>
    <row r="669" spans="1:19" x14ac:dyDescent="0.2">
      <c r="A669" s="203"/>
      <c r="B669" s="193"/>
      <c r="C669" s="193"/>
      <c r="D669" s="220"/>
      <c r="G669" s="223"/>
      <c r="H669" s="273"/>
      <c r="I669" s="221"/>
      <c r="J669" s="223"/>
      <c r="K669" s="224"/>
      <c r="L669" s="224"/>
      <c r="M669" s="224"/>
      <c r="N669" s="223"/>
      <c r="O669" s="331"/>
      <c r="P669" s="223"/>
      <c r="Q669" s="223"/>
      <c r="R669" s="223"/>
      <c r="S669" s="223"/>
    </row>
    <row r="670" spans="1:19" x14ac:dyDescent="0.2">
      <c r="A670" s="203"/>
      <c r="B670" s="193"/>
      <c r="C670" s="193"/>
      <c r="D670" s="220"/>
      <c r="G670" s="223"/>
      <c r="H670" s="273"/>
      <c r="I670" s="221"/>
      <c r="J670" s="223"/>
      <c r="K670" s="224"/>
      <c r="L670" s="224"/>
      <c r="M670" s="224"/>
      <c r="N670" s="223"/>
      <c r="O670" s="331"/>
      <c r="P670" s="223"/>
      <c r="Q670" s="223"/>
      <c r="R670" s="223"/>
      <c r="S670" s="223"/>
    </row>
    <row r="671" spans="1:19" x14ac:dyDescent="0.2">
      <c r="A671" s="203">
        <v>81</v>
      </c>
      <c r="B671" s="193" t="s">
        <v>1575</v>
      </c>
      <c r="C671" s="193" t="s">
        <v>1576</v>
      </c>
      <c r="D671" s="220"/>
      <c r="G671" s="370"/>
      <c r="H671" s="241">
        <v>81</v>
      </c>
      <c r="I671" s="243"/>
      <c r="J671" s="254"/>
      <c r="K671" s="311" t="s">
        <v>1576</v>
      </c>
      <c r="L671" s="254"/>
      <c r="M671" s="254"/>
      <c r="N671" s="254"/>
      <c r="O671" s="265"/>
      <c r="P671" s="197"/>
      <c r="Q671" s="212">
        <f>H671</f>
        <v>81</v>
      </c>
      <c r="R671" s="202" t="str">
        <f>CONCATENATE("II-",TEXT(Q671,"0000"))</f>
        <v>II-0081</v>
      </c>
      <c r="S671" s="213" t="str">
        <f>K671</f>
        <v>TERRAPLEN</v>
      </c>
    </row>
    <row r="672" spans="1:19" x14ac:dyDescent="0.2">
      <c r="A672" s="203"/>
      <c r="B672" s="193"/>
      <c r="C672" s="193"/>
      <c r="D672" s="220"/>
      <c r="G672" s="197"/>
      <c r="H672" s="214"/>
      <c r="I672" s="215" t="s">
        <v>1022</v>
      </c>
      <c r="J672" s="223"/>
      <c r="K672" s="224" t="s">
        <v>1577</v>
      </c>
      <c r="L672" s="223"/>
      <c r="M672" s="223"/>
      <c r="N672" s="223"/>
      <c r="O672" s="256"/>
      <c r="P672" s="197"/>
      <c r="Q672" s="197"/>
      <c r="R672" s="197"/>
      <c r="S672" s="197"/>
    </row>
    <row r="673" spans="1:19" x14ac:dyDescent="0.2">
      <c r="A673" s="203"/>
      <c r="B673" s="193"/>
      <c r="C673" s="193"/>
      <c r="D673" s="220" t="s">
        <v>1133</v>
      </c>
      <c r="G673" s="197"/>
      <c r="H673" s="214"/>
      <c r="I673" s="221"/>
      <c r="J673" s="222">
        <v>1</v>
      </c>
      <c r="K673" s="223"/>
      <c r="L673" s="224" t="s">
        <v>1578</v>
      </c>
      <c r="M673" s="223"/>
      <c r="N673" s="223"/>
      <c r="O673" s="256" t="s">
        <v>1133</v>
      </c>
      <c r="P673" s="197"/>
      <c r="Q673" s="197"/>
      <c r="R673" s="197"/>
      <c r="S673" s="197"/>
    </row>
    <row r="674" spans="1:19" x14ac:dyDescent="0.2">
      <c r="A674" s="203"/>
      <c r="B674" s="193"/>
      <c r="C674" s="193"/>
      <c r="D674" s="220" t="s">
        <v>1133</v>
      </c>
      <c r="G674" s="197"/>
      <c r="H674" s="214"/>
      <c r="I674" s="233"/>
      <c r="J674" s="228">
        <v>2</v>
      </c>
      <c r="K674" s="229"/>
      <c r="L674" s="230" t="s">
        <v>1579</v>
      </c>
      <c r="M674" s="229"/>
      <c r="N674" s="229"/>
      <c r="O674" s="275" t="s">
        <v>1133</v>
      </c>
      <c r="P674" s="197"/>
      <c r="Q674" s="197"/>
      <c r="R674" s="197"/>
      <c r="S674" s="197"/>
    </row>
    <row r="675" spans="1:19" x14ac:dyDescent="0.2">
      <c r="A675" s="203"/>
      <c r="B675" s="193"/>
      <c r="C675" s="193"/>
      <c r="D675" s="220"/>
      <c r="G675" s="197"/>
      <c r="H675" s="214"/>
      <c r="I675" s="215" t="s">
        <v>1049</v>
      </c>
      <c r="J675" s="223"/>
      <c r="K675" s="224" t="s">
        <v>1580</v>
      </c>
      <c r="L675" s="223"/>
      <c r="M675" s="223"/>
      <c r="N675" s="223"/>
      <c r="O675" s="256"/>
      <c r="P675" s="197"/>
      <c r="Q675" s="197"/>
      <c r="R675" s="197"/>
      <c r="S675" s="197"/>
    </row>
    <row r="676" spans="1:19" x14ac:dyDescent="0.2">
      <c r="A676" s="203"/>
      <c r="B676" s="193"/>
      <c r="C676" s="193"/>
      <c r="D676" s="220" t="s">
        <v>1133</v>
      </c>
      <c r="G676" s="197"/>
      <c r="H676" s="214"/>
      <c r="I676" s="221"/>
      <c r="J676" s="222">
        <v>1</v>
      </c>
      <c r="K676" s="223"/>
      <c r="L676" s="224" t="s">
        <v>1581</v>
      </c>
      <c r="M676" s="223"/>
      <c r="N676" s="223"/>
      <c r="O676" s="256" t="s">
        <v>1133</v>
      </c>
      <c r="P676" s="197"/>
      <c r="Q676" s="197"/>
      <c r="R676" s="197"/>
      <c r="S676" s="197"/>
    </row>
    <row r="677" spans="1:19" ht="15.75" thickBot="1" x14ac:dyDescent="0.25">
      <c r="A677" s="203"/>
      <c r="B677" s="193"/>
      <c r="C677" s="193"/>
      <c r="D677" s="220" t="s">
        <v>1133</v>
      </c>
      <c r="G677" s="197"/>
      <c r="H677" s="214"/>
      <c r="I677" s="221"/>
      <c r="J677" s="236">
        <v>2</v>
      </c>
      <c r="K677" s="223"/>
      <c r="L677" s="224" t="s">
        <v>1579</v>
      </c>
      <c r="M677" s="223"/>
      <c r="N677" s="223"/>
      <c r="O677" s="256" t="s">
        <v>1133</v>
      </c>
      <c r="P677" s="197"/>
      <c r="Q677" s="197"/>
      <c r="R677" s="197"/>
      <c r="S677" s="197"/>
    </row>
    <row r="678" spans="1:19" ht="16.5" thickTop="1" thickBot="1" x14ac:dyDescent="0.25">
      <c r="A678" s="203">
        <v>82</v>
      </c>
      <c r="B678" s="193" t="s">
        <v>1582</v>
      </c>
      <c r="C678" s="193" t="s">
        <v>1583</v>
      </c>
      <c r="D678" s="220" t="s">
        <v>1216</v>
      </c>
      <c r="G678" s="197"/>
      <c r="H678" s="338">
        <v>82</v>
      </c>
      <c r="I678" s="339"/>
      <c r="J678" s="340"/>
      <c r="K678" s="341" t="s">
        <v>1583</v>
      </c>
      <c r="L678" s="340"/>
      <c r="M678" s="340"/>
      <c r="N678" s="340"/>
      <c r="O678" s="342" t="s">
        <v>1216</v>
      </c>
      <c r="P678" s="197"/>
      <c r="Q678" s="212">
        <f t="shared" ref="Q678:Q679" si="66">H678</f>
        <v>82</v>
      </c>
      <c r="R678" s="202" t="str">
        <f t="shared" ref="R678:R679" si="67">CONCATENATE("II-",TEXT(Q678,"0000"))</f>
        <v>II-0082</v>
      </c>
      <c r="S678" s="213" t="str">
        <f t="shared" ref="S678:S679" si="68">K678</f>
        <v>TEXTURIZADO (SUPERFICIE DE RODAMIENTO)</v>
      </c>
    </row>
    <row r="679" spans="1:19" ht="15.75" thickTop="1" x14ac:dyDescent="0.2">
      <c r="A679" s="203">
        <v>83</v>
      </c>
      <c r="B679" s="193" t="s">
        <v>1584</v>
      </c>
      <c r="C679" s="193" t="s">
        <v>1585</v>
      </c>
      <c r="D679" s="220"/>
      <c r="G679" s="197"/>
      <c r="H679" s="241">
        <v>83</v>
      </c>
      <c r="I679" s="243"/>
      <c r="J679" s="243"/>
      <c r="K679" s="253" t="s">
        <v>1585</v>
      </c>
      <c r="L679" s="254"/>
      <c r="M679" s="254"/>
      <c r="N679" s="254"/>
      <c r="O679" s="265"/>
      <c r="P679" s="197"/>
      <c r="Q679" s="212">
        <f t="shared" si="66"/>
        <v>83</v>
      </c>
      <c r="R679" s="202" t="str">
        <f t="shared" si="67"/>
        <v>II-0083</v>
      </c>
      <c r="S679" s="213" t="str">
        <f t="shared" si="68"/>
        <v>TRABAJOS NO ESPECIFICADOS O DE EMERGENCIA</v>
      </c>
    </row>
    <row r="680" spans="1:19" x14ac:dyDescent="0.2">
      <c r="A680" s="203"/>
      <c r="B680" s="193"/>
      <c r="C680" s="193"/>
      <c r="D680" s="220" t="s">
        <v>908</v>
      </c>
      <c r="G680" s="197"/>
      <c r="H680" s="214"/>
      <c r="I680" s="349" t="s">
        <v>1022</v>
      </c>
      <c r="J680" s="221"/>
      <c r="K680" s="371" t="s">
        <v>1586</v>
      </c>
      <c r="L680" s="223"/>
      <c r="M680" s="223"/>
      <c r="N680" s="223"/>
      <c r="O680" s="256" t="s">
        <v>908</v>
      </c>
      <c r="P680" s="197"/>
      <c r="Q680" s="197"/>
      <c r="R680" s="197"/>
      <c r="S680" s="197"/>
    </row>
    <row r="681" spans="1:19" x14ac:dyDescent="0.2">
      <c r="A681" s="203"/>
      <c r="B681" s="193"/>
      <c r="C681" s="193"/>
      <c r="D681" s="220" t="s">
        <v>908</v>
      </c>
      <c r="G681" s="197"/>
      <c r="H681" s="214"/>
      <c r="I681" s="215" t="s">
        <v>1049</v>
      </c>
      <c r="J681" s="350"/>
      <c r="K681" s="283" t="s">
        <v>1587</v>
      </c>
      <c r="L681" s="283"/>
      <c r="M681" s="262"/>
      <c r="N681" s="262"/>
      <c r="O681" s="297" t="s">
        <v>908</v>
      </c>
      <c r="P681" s="197"/>
      <c r="Q681" s="197"/>
      <c r="R681" s="197"/>
      <c r="S681" s="197"/>
    </row>
    <row r="682" spans="1:19" x14ac:dyDescent="0.2">
      <c r="A682" s="203"/>
      <c r="B682" s="193"/>
      <c r="C682" s="193"/>
      <c r="D682" s="220" t="s">
        <v>908</v>
      </c>
      <c r="G682" s="197"/>
      <c r="H682" s="214"/>
      <c r="I682" s="222" t="s">
        <v>1059</v>
      </c>
      <c r="J682" s="221"/>
      <c r="K682" s="371" t="s">
        <v>1588</v>
      </c>
      <c r="L682" s="224"/>
      <c r="M682" s="223"/>
      <c r="N682" s="223"/>
      <c r="O682" s="256" t="s">
        <v>908</v>
      </c>
      <c r="P682" s="197"/>
      <c r="Q682" s="197"/>
      <c r="R682" s="197"/>
      <c r="S682" s="197"/>
    </row>
    <row r="683" spans="1:19" x14ac:dyDescent="0.2">
      <c r="A683" s="203"/>
      <c r="B683" s="193"/>
      <c r="C683" s="193"/>
      <c r="D683" s="220" t="s">
        <v>908</v>
      </c>
      <c r="G683" s="197"/>
      <c r="H683" s="214"/>
      <c r="I683" s="215" t="s">
        <v>1085</v>
      </c>
      <c r="J683" s="350"/>
      <c r="K683" s="372" t="s">
        <v>1589</v>
      </c>
      <c r="L683" s="283"/>
      <c r="M683" s="262"/>
      <c r="N683" s="262"/>
      <c r="O683" s="297" t="s">
        <v>908</v>
      </c>
      <c r="P683" s="197"/>
      <c r="Q683" s="197"/>
      <c r="R683" s="197"/>
      <c r="S683" s="197"/>
    </row>
    <row r="684" spans="1:19" x14ac:dyDescent="0.2">
      <c r="A684" s="203"/>
      <c r="B684" s="193"/>
      <c r="C684" s="193"/>
      <c r="D684" s="220" t="s">
        <v>908</v>
      </c>
      <c r="G684" s="197"/>
      <c r="H684" s="214"/>
      <c r="I684" s="222" t="s">
        <v>1127</v>
      </c>
      <c r="J684" s="221"/>
      <c r="K684" s="371" t="s">
        <v>1590</v>
      </c>
      <c r="L684" s="301"/>
      <c r="M684" s="223"/>
      <c r="N684" s="223"/>
      <c r="O684" s="256" t="s">
        <v>908</v>
      </c>
      <c r="P684" s="197"/>
      <c r="Q684" s="197"/>
      <c r="R684" s="197"/>
      <c r="S684" s="197"/>
    </row>
    <row r="685" spans="1:19" ht="15.75" thickBot="1" x14ac:dyDescent="0.25">
      <c r="A685" s="203"/>
      <c r="B685" s="193"/>
      <c r="C685" s="193"/>
      <c r="D685" s="220" t="s">
        <v>908</v>
      </c>
      <c r="G685" s="197"/>
      <c r="H685" s="234"/>
      <c r="I685" s="246" t="s">
        <v>1130</v>
      </c>
      <c r="J685" s="247"/>
      <c r="K685" s="373" t="s">
        <v>1591</v>
      </c>
      <c r="L685" s="374"/>
      <c r="M685" s="249"/>
      <c r="N685" s="249"/>
      <c r="O685" s="323" t="s">
        <v>908</v>
      </c>
      <c r="P685" s="197"/>
      <c r="Q685" s="197"/>
      <c r="R685" s="197"/>
      <c r="S685" s="197"/>
    </row>
    <row r="686" spans="1:19" ht="15.75" thickTop="1" x14ac:dyDescent="0.2">
      <c r="A686" s="203">
        <v>84</v>
      </c>
      <c r="B686" s="193" t="s">
        <v>1592</v>
      </c>
      <c r="C686" s="193" t="s">
        <v>1593</v>
      </c>
      <c r="D686" s="220"/>
      <c r="G686" s="197"/>
      <c r="H686" s="241">
        <v>84</v>
      </c>
      <c r="I686" s="243"/>
      <c r="J686" s="254"/>
      <c r="K686" s="311" t="s">
        <v>1593</v>
      </c>
      <c r="L686" s="254"/>
      <c r="M686" s="254"/>
      <c r="N686" s="254"/>
      <c r="O686" s="265"/>
      <c r="P686" s="197"/>
      <c r="Q686" s="212">
        <f>H686</f>
        <v>84</v>
      </c>
      <c r="R686" s="202" t="str">
        <f>CONCATENATE("II-",TEXT(Q686,"0000"))</f>
        <v>II-0084</v>
      </c>
      <c r="S686" s="213" t="str">
        <f>K686</f>
        <v xml:space="preserve">TRANSPORTE </v>
      </c>
    </row>
    <row r="687" spans="1:19" x14ac:dyDescent="0.2">
      <c r="A687" s="203"/>
      <c r="B687" s="193"/>
      <c r="C687" s="193"/>
      <c r="D687" s="220" t="s">
        <v>1594</v>
      </c>
      <c r="G687" s="197"/>
      <c r="H687" s="214"/>
      <c r="I687" s="215" t="s">
        <v>1022</v>
      </c>
      <c r="J687" s="350"/>
      <c r="K687" s="283" t="s">
        <v>1387</v>
      </c>
      <c r="L687" s="262"/>
      <c r="M687" s="262"/>
      <c r="N687" s="262"/>
      <c r="O687" s="297" t="s">
        <v>1594</v>
      </c>
      <c r="P687" s="197"/>
      <c r="Q687" s="197"/>
      <c r="R687" s="197"/>
      <c r="S687" s="197"/>
    </row>
    <row r="688" spans="1:19" ht="15.75" thickBot="1" x14ac:dyDescent="0.25">
      <c r="A688" s="203"/>
      <c r="B688" s="193"/>
      <c r="C688" s="193"/>
      <c r="D688" s="220" t="s">
        <v>1595</v>
      </c>
      <c r="G688" s="197"/>
      <c r="H688" s="214"/>
      <c r="I688" s="236" t="s">
        <v>1049</v>
      </c>
      <c r="J688" s="221"/>
      <c r="K688" s="224" t="s">
        <v>1388</v>
      </c>
      <c r="L688" s="223"/>
      <c r="M688" s="223"/>
      <c r="N688" s="223"/>
      <c r="O688" s="256" t="s">
        <v>1595</v>
      </c>
      <c r="P688" s="197"/>
      <c r="Q688" s="197"/>
      <c r="R688" s="197"/>
      <c r="S688" s="197"/>
    </row>
    <row r="689" spans="1:19" ht="15.75" thickTop="1" x14ac:dyDescent="0.2">
      <c r="A689" s="203">
        <v>85</v>
      </c>
      <c r="B689" s="193" t="s">
        <v>1596</v>
      </c>
      <c r="C689" s="193" t="s">
        <v>1597</v>
      </c>
      <c r="D689" s="220"/>
      <c r="G689" s="197"/>
      <c r="H689" s="292">
        <v>85</v>
      </c>
      <c r="I689" s="242"/>
      <c r="J689" s="302"/>
      <c r="K689" s="303" t="s">
        <v>1597</v>
      </c>
      <c r="L689" s="302"/>
      <c r="M689" s="302"/>
      <c r="N689" s="302"/>
      <c r="O689" s="244"/>
      <c r="P689" s="197"/>
      <c r="Q689" s="212">
        <f>H689</f>
        <v>85</v>
      </c>
      <c r="R689" s="202" t="str">
        <f>CONCATENATE("II-",TEXT(Q689,"0000"))</f>
        <v>II-0085</v>
      </c>
      <c r="S689" s="213" t="str">
        <f>K689</f>
        <v>TRANQUERA</v>
      </c>
    </row>
    <row r="690" spans="1:19" x14ac:dyDescent="0.2">
      <c r="A690" s="203">
        <v>1</v>
      </c>
      <c r="B690" s="204" t="str">
        <f>CONCATENATE($B$689,".",TEXT(A690,"0000"))</f>
        <v>II-0085.0001</v>
      </c>
      <c r="C690" s="193" t="s">
        <v>1598</v>
      </c>
      <c r="D690" s="220" t="s">
        <v>1250</v>
      </c>
      <c r="G690" s="197"/>
      <c r="H690" s="214"/>
      <c r="I690" s="215" t="s">
        <v>1022</v>
      </c>
      <c r="J690" s="262"/>
      <c r="K690" s="283" t="s">
        <v>1599</v>
      </c>
      <c r="L690" s="283"/>
      <c r="M690" s="283"/>
      <c r="N690" s="283"/>
      <c r="O690" s="297" t="s">
        <v>1250</v>
      </c>
      <c r="P690" s="197"/>
      <c r="Q690" s="197"/>
      <c r="R690" s="197"/>
      <c r="S690" s="197"/>
    </row>
    <row r="691" spans="1:19" ht="15.75" thickBot="1" x14ac:dyDescent="0.25">
      <c r="A691" s="203">
        <v>2</v>
      </c>
      <c r="B691" s="204" t="str">
        <f>CONCATENATE($B$689,".",TEXT(A691,"0000"))</f>
        <v>II-0085.0002</v>
      </c>
      <c r="C691" s="193" t="s">
        <v>1600</v>
      </c>
      <c r="D691" s="220" t="s">
        <v>1250</v>
      </c>
      <c r="G691" s="197"/>
      <c r="H691" s="234"/>
      <c r="I691" s="236" t="s">
        <v>1049</v>
      </c>
      <c r="J691" s="237"/>
      <c r="K691" s="238" t="s">
        <v>1601</v>
      </c>
      <c r="L691" s="238"/>
      <c r="M691" s="238"/>
      <c r="N691" s="238"/>
      <c r="O691" s="322" t="s">
        <v>1250</v>
      </c>
      <c r="P691" s="197"/>
      <c r="Q691" s="197"/>
      <c r="R691" s="197"/>
      <c r="S691" s="197"/>
    </row>
    <row r="692" spans="1:19" ht="15.75" thickTop="1" x14ac:dyDescent="0.2">
      <c r="A692" s="203">
        <v>86</v>
      </c>
      <c r="B692" s="193" t="s">
        <v>1602</v>
      </c>
      <c r="C692" s="193" t="s">
        <v>1603</v>
      </c>
      <c r="D692" s="220"/>
      <c r="G692" s="197"/>
      <c r="H692" s="292">
        <v>86</v>
      </c>
      <c r="I692" s="242"/>
      <c r="J692" s="302"/>
      <c r="K692" s="303" t="s">
        <v>1603</v>
      </c>
      <c r="L692" s="302"/>
      <c r="M692" s="302"/>
      <c r="N692" s="302"/>
      <c r="O692" s="244"/>
      <c r="P692" s="197"/>
      <c r="Q692" s="212">
        <f>H692</f>
        <v>86</v>
      </c>
      <c r="R692" s="202" t="str">
        <f>CONCATENATE("II-",TEXT(Q692,"0000"))</f>
        <v>II-0086</v>
      </c>
      <c r="S692" s="213" t="str">
        <f>K692</f>
        <v>TRATAMIENTO BITUMINOSO</v>
      </c>
    </row>
    <row r="693" spans="1:19" x14ac:dyDescent="0.2">
      <c r="A693" s="203"/>
      <c r="B693" s="193"/>
      <c r="C693" s="193"/>
      <c r="D693" s="220" t="s">
        <v>1216</v>
      </c>
      <c r="G693" s="197"/>
      <c r="H693" s="214"/>
      <c r="I693" s="215" t="s">
        <v>1022</v>
      </c>
      <c r="J693" s="262"/>
      <c r="K693" s="283" t="s">
        <v>1604</v>
      </c>
      <c r="L693" s="262"/>
      <c r="M693" s="262"/>
      <c r="N693" s="262"/>
      <c r="O693" s="297" t="s">
        <v>1216</v>
      </c>
      <c r="P693" s="197"/>
      <c r="Q693" s="197"/>
      <c r="R693" s="197"/>
      <c r="S693" s="197"/>
    </row>
    <row r="694" spans="1:19" x14ac:dyDescent="0.2">
      <c r="A694" s="203"/>
      <c r="B694" s="193"/>
      <c r="C694" s="193"/>
      <c r="D694" s="220" t="s">
        <v>1216</v>
      </c>
      <c r="G694" s="197"/>
      <c r="H694" s="214"/>
      <c r="I694" s="222" t="s">
        <v>1049</v>
      </c>
      <c r="J694" s="223"/>
      <c r="K694" s="224" t="s">
        <v>1605</v>
      </c>
      <c r="L694" s="223"/>
      <c r="M694" s="223"/>
      <c r="N694" s="223"/>
      <c r="O694" s="256" t="s">
        <v>1216</v>
      </c>
      <c r="P694" s="197"/>
      <c r="Q694" s="197"/>
      <c r="R694" s="197"/>
      <c r="S694" s="197"/>
    </row>
    <row r="695" spans="1:19" x14ac:dyDescent="0.2">
      <c r="A695" s="203"/>
      <c r="B695" s="193"/>
      <c r="C695" s="193"/>
      <c r="D695" s="220" t="s">
        <v>1216</v>
      </c>
      <c r="G695" s="197"/>
      <c r="H695" s="214"/>
      <c r="I695" s="215" t="s">
        <v>1059</v>
      </c>
      <c r="J695" s="262"/>
      <c r="K695" s="283" t="s">
        <v>1606</v>
      </c>
      <c r="L695" s="262"/>
      <c r="M695" s="262"/>
      <c r="N695" s="262"/>
      <c r="O695" s="297" t="s">
        <v>1216</v>
      </c>
      <c r="P695" s="197"/>
      <c r="Q695" s="197"/>
      <c r="R695" s="197"/>
      <c r="S695" s="197"/>
    </row>
    <row r="696" spans="1:19" x14ac:dyDescent="0.2">
      <c r="A696" s="203"/>
      <c r="B696" s="193"/>
      <c r="C696" s="193"/>
      <c r="D696" s="220" t="s">
        <v>1216</v>
      </c>
      <c r="G696" s="197"/>
      <c r="H696" s="214"/>
      <c r="I696" s="222" t="s">
        <v>1085</v>
      </c>
      <c r="J696" s="223"/>
      <c r="K696" s="224" t="s">
        <v>1315</v>
      </c>
      <c r="L696" s="223"/>
      <c r="M696" s="223"/>
      <c r="N696" s="223"/>
      <c r="O696" s="256" t="s">
        <v>1216</v>
      </c>
      <c r="P696" s="197"/>
      <c r="Q696" s="197"/>
      <c r="R696" s="197"/>
      <c r="S696" s="197"/>
    </row>
    <row r="697" spans="1:19" x14ac:dyDescent="0.2">
      <c r="A697" s="203"/>
      <c r="B697" s="193"/>
      <c r="C697" s="193"/>
      <c r="D697" s="220" t="s">
        <v>1216</v>
      </c>
      <c r="G697" s="197"/>
      <c r="H697" s="214"/>
      <c r="I697" s="215" t="s">
        <v>1127</v>
      </c>
      <c r="J697" s="262"/>
      <c r="K697" s="283" t="s">
        <v>1607</v>
      </c>
      <c r="L697" s="262"/>
      <c r="M697" s="262"/>
      <c r="N697" s="262"/>
      <c r="O697" s="297" t="s">
        <v>1216</v>
      </c>
      <c r="P697" s="197"/>
      <c r="Q697" s="197"/>
      <c r="R697" s="197"/>
      <c r="S697" s="197"/>
    </row>
    <row r="698" spans="1:19" x14ac:dyDescent="0.2">
      <c r="A698" s="203"/>
      <c r="B698" s="193"/>
      <c r="C698" s="193"/>
      <c r="D698" s="220" t="s">
        <v>1216</v>
      </c>
      <c r="G698" s="197"/>
      <c r="H698" s="214"/>
      <c r="I698" s="215" t="s">
        <v>1130</v>
      </c>
      <c r="J698" s="262"/>
      <c r="K698" s="283" t="s">
        <v>1608</v>
      </c>
      <c r="L698" s="262"/>
      <c r="M698" s="262"/>
      <c r="N698" s="262"/>
      <c r="O698" s="297" t="s">
        <v>1216</v>
      </c>
      <c r="P698" s="197"/>
      <c r="Q698" s="197"/>
      <c r="R698" s="197"/>
      <c r="S698" s="197"/>
    </row>
    <row r="699" spans="1:19" ht="15.75" thickBot="1" x14ac:dyDescent="0.25">
      <c r="A699" s="203"/>
      <c r="B699" s="193"/>
      <c r="C699" s="193"/>
      <c r="D699" s="220" t="s">
        <v>1216</v>
      </c>
      <c r="G699" s="197"/>
      <c r="H699" s="214"/>
      <c r="I699" s="236" t="s">
        <v>1134</v>
      </c>
      <c r="J699" s="223"/>
      <c r="K699" s="224" t="s">
        <v>1609</v>
      </c>
      <c r="L699" s="223"/>
      <c r="M699" s="223"/>
      <c r="N699" s="223"/>
      <c r="O699" s="256" t="s">
        <v>1216</v>
      </c>
      <c r="P699" s="197"/>
      <c r="Q699" s="197"/>
      <c r="R699" s="197"/>
      <c r="S699" s="197"/>
    </row>
    <row r="700" spans="1:19" ht="15.75" thickTop="1" x14ac:dyDescent="0.2">
      <c r="A700" s="203">
        <v>87</v>
      </c>
      <c r="B700" s="193" t="s">
        <v>1610</v>
      </c>
      <c r="C700" s="193" t="s">
        <v>1611</v>
      </c>
      <c r="D700" s="220"/>
      <c r="G700" s="197"/>
      <c r="H700" s="292">
        <v>87</v>
      </c>
      <c r="I700" s="293"/>
      <c r="J700" s="294"/>
      <c r="K700" s="357" t="s">
        <v>1611</v>
      </c>
      <c r="L700" s="294"/>
      <c r="M700" s="294"/>
      <c r="N700" s="294"/>
      <c r="O700" s="296"/>
      <c r="P700" s="197"/>
      <c r="Q700" s="212">
        <f>H700</f>
        <v>87</v>
      </c>
      <c r="R700" s="202" t="str">
        <f>CONCATENATE("II-",TEXT(Q700,"0000"))</f>
        <v>II-0087</v>
      </c>
      <c r="S700" s="213" t="str">
        <f>K700</f>
        <v>TOMA DE JUNTA</v>
      </c>
    </row>
    <row r="701" spans="1:19" x14ac:dyDescent="0.2">
      <c r="A701" s="203"/>
      <c r="B701" s="193"/>
      <c r="C701" s="193"/>
      <c r="D701" s="220" t="s">
        <v>1258</v>
      </c>
      <c r="G701" s="276"/>
      <c r="H701" s="214"/>
      <c r="I701" s="215" t="s">
        <v>1022</v>
      </c>
      <c r="J701" s="262"/>
      <c r="K701" s="283" t="s">
        <v>1612</v>
      </c>
      <c r="L701" s="283"/>
      <c r="M701" s="283"/>
      <c r="N701" s="283"/>
      <c r="O701" s="297" t="s">
        <v>1258</v>
      </c>
      <c r="P701" s="276"/>
      <c r="Q701" s="276"/>
      <c r="R701" s="276"/>
      <c r="S701" s="276"/>
    </row>
    <row r="702" spans="1:19" ht="15.75" thickBot="1" x14ac:dyDescent="0.25">
      <c r="A702" s="203"/>
      <c r="B702" s="193"/>
      <c r="C702" s="193"/>
      <c r="D702" s="220" t="s">
        <v>1258</v>
      </c>
      <c r="G702" s="276"/>
      <c r="H702" s="284"/>
      <c r="I702" s="236" t="s">
        <v>1049</v>
      </c>
      <c r="J702" s="237"/>
      <c r="K702" s="238" t="s">
        <v>1438</v>
      </c>
      <c r="L702" s="238"/>
      <c r="M702" s="238"/>
      <c r="N702" s="238"/>
      <c r="O702" s="322" t="s">
        <v>1258</v>
      </c>
      <c r="P702" s="276"/>
      <c r="Q702" s="276"/>
      <c r="R702" s="276"/>
      <c r="S702" s="276"/>
    </row>
    <row r="703" spans="1:19" ht="16.5" thickTop="1" thickBot="1" x14ac:dyDescent="0.25">
      <c r="A703" s="203">
        <v>88</v>
      </c>
      <c r="B703" s="193" t="s">
        <v>1613</v>
      </c>
      <c r="C703" s="193" t="s">
        <v>1614</v>
      </c>
      <c r="D703" s="220" t="s">
        <v>1133</v>
      </c>
      <c r="G703" s="197"/>
      <c r="H703" s="241">
        <v>88</v>
      </c>
      <c r="I703" s="243"/>
      <c r="J703" s="254"/>
      <c r="K703" s="311" t="s">
        <v>1614</v>
      </c>
      <c r="L703" s="254"/>
      <c r="M703" s="254"/>
      <c r="N703" s="254"/>
      <c r="O703" s="265" t="s">
        <v>1133</v>
      </c>
      <c r="P703" s="197"/>
      <c r="Q703" s="212">
        <f t="shared" ref="Q703:Q704" si="69">H703</f>
        <v>88</v>
      </c>
      <c r="R703" s="202" t="str">
        <f t="shared" ref="R703:R704" si="70">CONCATENATE("II-",TEXT(Q703,"0000"))</f>
        <v>II-0088</v>
      </c>
      <c r="S703" s="213" t="str">
        <f t="shared" ref="S703:S704" si="71">K703</f>
        <v>TOSCAPLEN</v>
      </c>
    </row>
    <row r="704" spans="1:19" ht="16.5" thickTop="1" thickBot="1" x14ac:dyDescent="0.25">
      <c r="A704" s="203">
        <v>89</v>
      </c>
      <c r="B704" s="193" t="s">
        <v>1615</v>
      </c>
      <c r="C704" s="193" t="s">
        <v>1616</v>
      </c>
      <c r="D704" s="220" t="s">
        <v>1476</v>
      </c>
      <c r="G704" s="197"/>
      <c r="H704" s="304">
        <v>89</v>
      </c>
      <c r="I704" s="305"/>
      <c r="J704" s="306"/>
      <c r="K704" s="307" t="s">
        <v>1616</v>
      </c>
      <c r="L704" s="306"/>
      <c r="M704" s="306"/>
      <c r="N704" s="306"/>
      <c r="O704" s="308" t="s">
        <v>1476</v>
      </c>
      <c r="P704" s="197"/>
      <c r="Q704" s="212">
        <f t="shared" si="69"/>
        <v>89</v>
      </c>
      <c r="R704" s="202" t="str">
        <f t="shared" si="70"/>
        <v>II-0089</v>
      </c>
      <c r="S704" s="213" t="str">
        <f t="shared" si="71"/>
        <v>VIVENDA PERSONAL DE SUPERVICION</v>
      </c>
    </row>
    <row r="705" spans="1:19" x14ac:dyDescent="0.2">
      <c r="A705" s="203"/>
      <c r="B705" s="193"/>
      <c r="C705" s="193"/>
      <c r="D705" s="220"/>
      <c r="G705" s="197"/>
      <c r="H705" s="375"/>
      <c r="I705" s="202"/>
      <c r="J705" s="197"/>
      <c r="K705" s="197"/>
      <c r="L705" s="197"/>
      <c r="M705" s="197"/>
      <c r="N705" s="197"/>
      <c r="O705" s="200"/>
      <c r="P705" s="197"/>
      <c r="Q705" s="197"/>
      <c r="R705" s="197"/>
      <c r="S705" s="197"/>
    </row>
    <row r="706" spans="1:19" x14ac:dyDescent="0.2">
      <c r="A706" s="203"/>
      <c r="B706" s="193"/>
      <c r="C706" s="193"/>
      <c r="D706" s="220"/>
      <c r="G706" s="197"/>
      <c r="H706" s="375"/>
      <c r="I706" s="202"/>
      <c r="J706" s="197"/>
      <c r="K706" s="197"/>
      <c r="L706" s="197"/>
      <c r="M706" s="197"/>
      <c r="N706" s="197"/>
      <c r="O706" s="200"/>
      <c r="P706" s="197"/>
      <c r="Q706" s="197"/>
      <c r="R706" s="197"/>
      <c r="S706" s="197"/>
    </row>
    <row r="707" spans="1:19" x14ac:dyDescent="0.2">
      <c r="A707" s="203"/>
      <c r="B707" s="193"/>
      <c r="C707" s="193"/>
      <c r="D707" s="220"/>
      <c r="G707" s="197"/>
      <c r="H707" s="375"/>
      <c r="I707" s="202"/>
      <c r="J707" s="197"/>
      <c r="K707" s="197"/>
      <c r="L707" s="197"/>
      <c r="M707" s="197"/>
      <c r="N707" s="197"/>
      <c r="O707" s="200"/>
      <c r="P707" s="197"/>
      <c r="Q707" s="197"/>
      <c r="R707" s="197"/>
      <c r="S707" s="197"/>
    </row>
    <row r="708" spans="1:19" x14ac:dyDescent="0.2">
      <c r="A708" s="203"/>
      <c r="B708" s="193"/>
      <c r="C708" s="193"/>
      <c r="D708" s="220"/>
      <c r="G708" s="197"/>
      <c r="H708" s="375"/>
      <c r="I708" s="202"/>
      <c r="J708" s="197"/>
      <c r="K708" s="197"/>
      <c r="L708" s="197"/>
      <c r="M708" s="197"/>
      <c r="N708" s="197"/>
      <c r="O708" s="200"/>
      <c r="P708" s="197"/>
      <c r="Q708" s="197"/>
      <c r="R708" s="197"/>
      <c r="S708" s="197"/>
    </row>
    <row r="709" spans="1:19" x14ac:dyDescent="0.2">
      <c r="A709" s="203"/>
      <c r="B709" s="193"/>
      <c r="C709" s="193"/>
      <c r="D709" s="220"/>
      <c r="G709" s="197"/>
      <c r="H709" s="375"/>
      <c r="I709" s="202"/>
      <c r="J709" s="197"/>
      <c r="K709" s="197"/>
      <c r="L709" s="197"/>
      <c r="M709" s="197"/>
      <c r="N709" s="197"/>
      <c r="O709" s="200"/>
      <c r="P709" s="197"/>
      <c r="Q709" s="197"/>
      <c r="R709" s="197"/>
      <c r="S709" s="197"/>
    </row>
    <row r="710" spans="1:19" x14ac:dyDescent="0.2">
      <c r="A710" s="203"/>
      <c r="B710" s="193"/>
      <c r="C710" s="193"/>
      <c r="D710" s="220"/>
      <c r="G710" s="197"/>
      <c r="H710" s="375"/>
      <c r="I710" s="202"/>
      <c r="J710" s="197"/>
      <c r="K710" s="197"/>
      <c r="L710" s="197"/>
      <c r="M710" s="197"/>
      <c r="N710" s="197"/>
      <c r="O710" s="200"/>
      <c r="P710" s="197"/>
      <c r="Q710" s="197"/>
      <c r="R710" s="197"/>
      <c r="S710" s="197"/>
    </row>
    <row r="711" spans="1:19" x14ac:dyDescent="0.2">
      <c r="A711" s="203"/>
      <c r="B711" s="193"/>
      <c r="C711" s="193"/>
      <c r="D711" s="220"/>
      <c r="G711" s="197"/>
      <c r="H711" s="375"/>
      <c r="I711" s="202"/>
      <c r="J711" s="197"/>
      <c r="K711" s="197"/>
      <c r="L711" s="197"/>
      <c r="M711" s="197"/>
      <c r="N711" s="197"/>
      <c r="O711" s="200"/>
      <c r="P711" s="197"/>
      <c r="Q711" s="197"/>
      <c r="R711" s="197"/>
      <c r="S711" s="197"/>
    </row>
    <row r="712" spans="1:19" x14ac:dyDescent="0.2">
      <c r="A712" s="203"/>
      <c r="B712" s="193"/>
      <c r="C712" s="193"/>
      <c r="D712" s="220"/>
      <c r="G712" s="197"/>
      <c r="H712" s="375"/>
      <c r="I712" s="202"/>
      <c r="J712" s="197"/>
      <c r="K712" s="197"/>
      <c r="L712" s="197"/>
      <c r="M712" s="197"/>
      <c r="N712" s="197"/>
      <c r="O712" s="200"/>
      <c r="P712" s="197"/>
      <c r="Q712" s="197"/>
      <c r="R712" s="197"/>
      <c r="S712" s="197"/>
    </row>
    <row r="713" spans="1:19" x14ac:dyDescent="0.2">
      <c r="A713" s="203"/>
      <c r="B713" s="193"/>
      <c r="C713" s="193"/>
      <c r="D713" s="220"/>
      <c r="G713" s="197"/>
      <c r="H713" s="375"/>
      <c r="I713" s="202"/>
      <c r="J713" s="197"/>
      <c r="K713" s="197"/>
      <c r="L713" s="197"/>
      <c r="M713" s="197"/>
      <c r="N713" s="197"/>
      <c r="O713" s="200"/>
      <c r="P713" s="197"/>
      <c r="Q713" s="197"/>
      <c r="R713" s="197"/>
      <c r="S713" s="197"/>
    </row>
    <row r="714" spans="1:19" x14ac:dyDescent="0.2">
      <c r="A714" s="203"/>
      <c r="B714" s="193"/>
      <c r="C714" s="193"/>
      <c r="D714" s="220"/>
      <c r="G714" s="197"/>
      <c r="H714" s="375"/>
      <c r="I714" s="202"/>
      <c r="J714" s="197"/>
      <c r="K714" s="197"/>
      <c r="L714" s="197"/>
      <c r="M714" s="197"/>
      <c r="N714" s="197"/>
      <c r="O714" s="200"/>
      <c r="P714" s="197"/>
      <c r="Q714" s="197"/>
      <c r="R714" s="197"/>
      <c r="S714" s="197"/>
    </row>
    <row r="715" spans="1:19" x14ac:dyDescent="0.2">
      <c r="A715" s="203"/>
      <c r="B715" s="193"/>
      <c r="C715" s="193"/>
      <c r="D715" s="220"/>
      <c r="G715" s="197"/>
      <c r="H715" s="375"/>
      <c r="I715" s="202"/>
      <c r="J715" s="197"/>
      <c r="K715" s="197"/>
      <c r="L715" s="197"/>
      <c r="M715" s="197"/>
      <c r="N715" s="197"/>
      <c r="O715" s="200"/>
      <c r="P715" s="197"/>
      <c r="Q715" s="197"/>
      <c r="R715" s="197"/>
      <c r="S715" s="197"/>
    </row>
    <row r="716" spans="1:19" x14ac:dyDescent="0.2">
      <c r="A716" s="203"/>
      <c r="B716" s="193"/>
      <c r="C716" s="193"/>
      <c r="D716" s="220"/>
      <c r="G716" s="197"/>
      <c r="H716" s="375"/>
      <c r="I716" s="202"/>
      <c r="J716" s="197"/>
      <c r="K716" s="197"/>
      <c r="L716" s="197"/>
      <c r="M716" s="197"/>
      <c r="N716" s="197"/>
      <c r="O716" s="200"/>
      <c r="P716" s="197"/>
      <c r="Q716" s="197"/>
      <c r="R716" s="197"/>
      <c r="S716" s="197"/>
    </row>
    <row r="717" spans="1:19" x14ac:dyDescent="0.2">
      <c r="A717" s="203"/>
      <c r="B717" s="193"/>
      <c r="C717" s="193"/>
      <c r="D717" s="220"/>
      <c r="G717" s="197"/>
      <c r="H717" s="375"/>
      <c r="I717" s="202"/>
      <c r="J717" s="197"/>
      <c r="K717" s="197"/>
      <c r="L717" s="197"/>
      <c r="M717" s="197"/>
      <c r="N717" s="197"/>
      <c r="O717" s="200"/>
      <c r="P717" s="197"/>
      <c r="Q717" s="197"/>
      <c r="R717" s="197"/>
      <c r="S717" s="197"/>
    </row>
    <row r="718" spans="1:19" x14ac:dyDescent="0.2">
      <c r="A718" s="203"/>
      <c r="B718" s="193"/>
      <c r="C718" s="193"/>
      <c r="D718" s="220"/>
      <c r="G718" s="197"/>
      <c r="H718" s="375"/>
      <c r="I718" s="202"/>
      <c r="J718" s="197"/>
      <c r="K718" s="197"/>
      <c r="L718" s="197"/>
      <c r="M718" s="197"/>
      <c r="N718" s="197"/>
      <c r="O718" s="200"/>
      <c r="P718" s="197"/>
      <c r="Q718" s="197"/>
      <c r="R718" s="197"/>
      <c r="S718" s="197"/>
    </row>
    <row r="719" spans="1:19" x14ac:dyDescent="0.2">
      <c r="A719" s="203"/>
      <c r="B719" s="193"/>
      <c r="C719" s="193"/>
      <c r="D719" s="220"/>
      <c r="G719" s="197"/>
      <c r="H719" s="375"/>
      <c r="I719" s="202"/>
      <c r="J719" s="197"/>
      <c r="K719" s="197"/>
      <c r="L719" s="197"/>
      <c r="M719" s="197"/>
      <c r="N719" s="197"/>
      <c r="O719" s="200"/>
      <c r="P719" s="197"/>
      <c r="Q719" s="197"/>
      <c r="R719" s="197"/>
      <c r="S719" s="197"/>
    </row>
    <row r="720" spans="1:19" x14ac:dyDescent="0.2">
      <c r="A720" s="203"/>
      <c r="B720" s="193"/>
      <c r="C720" s="193"/>
      <c r="D720" s="220"/>
      <c r="G720" s="197"/>
      <c r="H720" s="375"/>
      <c r="I720" s="202"/>
      <c r="J720" s="197"/>
      <c r="K720" s="197"/>
      <c r="L720" s="197"/>
      <c r="M720" s="197"/>
      <c r="N720" s="197"/>
      <c r="O720" s="200"/>
      <c r="P720" s="197"/>
      <c r="Q720" s="197"/>
      <c r="R720" s="197"/>
      <c r="S720" s="197"/>
    </row>
    <row r="721" spans="1:19" x14ac:dyDescent="0.2">
      <c r="A721" s="203"/>
      <c r="B721" s="193"/>
      <c r="C721" s="193"/>
      <c r="D721" s="220"/>
      <c r="G721" s="197"/>
      <c r="H721" s="375"/>
      <c r="I721" s="202"/>
      <c r="J721" s="197"/>
      <c r="K721" s="197"/>
      <c r="L721" s="197"/>
      <c r="M721" s="197"/>
      <c r="N721" s="197"/>
      <c r="O721" s="200"/>
      <c r="P721" s="197"/>
      <c r="Q721" s="197"/>
      <c r="R721" s="197"/>
      <c r="S721" s="197"/>
    </row>
    <row r="722" spans="1:19" x14ac:dyDescent="0.2">
      <c r="A722" s="203"/>
      <c r="B722" s="193"/>
      <c r="C722" s="193"/>
      <c r="D722" s="220"/>
      <c r="G722" s="197"/>
      <c r="H722" s="375"/>
      <c r="I722" s="202"/>
      <c r="J722" s="197"/>
      <c r="K722" s="197"/>
      <c r="L722" s="197"/>
      <c r="M722" s="197"/>
      <c r="N722" s="197"/>
      <c r="O722" s="200"/>
      <c r="P722" s="197"/>
      <c r="Q722" s="197"/>
      <c r="R722" s="197"/>
      <c r="S722" s="197"/>
    </row>
    <row r="723" spans="1:19" x14ac:dyDescent="0.2">
      <c r="A723" s="203"/>
      <c r="B723" s="193"/>
      <c r="C723" s="193"/>
      <c r="D723" s="220"/>
      <c r="G723" s="197"/>
      <c r="H723" s="375"/>
      <c r="I723" s="202"/>
      <c r="J723" s="197"/>
      <c r="K723" s="197"/>
      <c r="L723" s="197"/>
      <c r="M723" s="197"/>
      <c r="N723" s="197"/>
      <c r="O723" s="200"/>
      <c r="P723" s="197"/>
      <c r="Q723" s="197"/>
      <c r="R723" s="197"/>
      <c r="S723" s="197"/>
    </row>
    <row r="724" spans="1:19" x14ac:dyDescent="0.2">
      <c r="A724" s="203"/>
      <c r="B724" s="193"/>
      <c r="C724" s="193"/>
      <c r="D724" s="220"/>
      <c r="G724" s="197"/>
      <c r="H724" s="375"/>
      <c r="I724" s="202"/>
      <c r="J724" s="197"/>
      <c r="K724" s="197"/>
      <c r="L724" s="197"/>
      <c r="M724" s="197"/>
      <c r="N724" s="197"/>
      <c r="O724" s="200"/>
      <c r="P724" s="197"/>
      <c r="Q724" s="197"/>
      <c r="R724" s="197"/>
      <c r="S724" s="197"/>
    </row>
    <row r="725" spans="1:19" x14ac:dyDescent="0.2">
      <c r="A725" s="203"/>
      <c r="B725" s="193"/>
      <c r="C725" s="193"/>
      <c r="D725" s="220"/>
      <c r="G725" s="197"/>
      <c r="H725" s="375"/>
      <c r="I725" s="202"/>
      <c r="J725" s="197"/>
      <c r="K725" s="197"/>
      <c r="L725" s="197"/>
      <c r="M725" s="197"/>
      <c r="N725" s="197"/>
      <c r="O725" s="200"/>
      <c r="P725" s="197"/>
      <c r="Q725" s="197"/>
      <c r="R725" s="197"/>
      <c r="S725" s="197"/>
    </row>
    <row r="726" spans="1:19" x14ac:dyDescent="0.2">
      <c r="A726" s="203"/>
      <c r="B726" s="193"/>
      <c r="C726" s="193"/>
      <c r="D726" s="220"/>
      <c r="G726" s="197"/>
      <c r="H726" s="375"/>
      <c r="I726" s="202"/>
      <c r="J726" s="197"/>
      <c r="K726" s="197"/>
      <c r="L726" s="197"/>
      <c r="M726" s="197"/>
      <c r="N726" s="197"/>
      <c r="O726" s="200"/>
      <c r="P726" s="197"/>
      <c r="Q726" s="197"/>
      <c r="R726" s="197"/>
      <c r="S726" s="197"/>
    </row>
    <row r="727" spans="1:19" x14ac:dyDescent="0.2">
      <c r="A727" s="203"/>
      <c r="B727" s="193"/>
      <c r="C727" s="193"/>
      <c r="D727" s="220"/>
      <c r="G727" s="197"/>
      <c r="H727" s="375"/>
      <c r="I727" s="202"/>
      <c r="J727" s="197"/>
      <c r="K727" s="197"/>
      <c r="L727" s="197"/>
      <c r="M727" s="197"/>
      <c r="N727" s="197"/>
      <c r="O727" s="200"/>
      <c r="P727" s="197"/>
      <c r="Q727" s="197"/>
      <c r="R727" s="197"/>
      <c r="S727" s="197"/>
    </row>
    <row r="728" spans="1:19" x14ac:dyDescent="0.2">
      <c r="A728" s="203"/>
      <c r="B728" s="193"/>
      <c r="C728" s="193"/>
      <c r="D728" s="220"/>
      <c r="G728" s="197"/>
      <c r="H728" s="375"/>
      <c r="I728" s="202"/>
      <c r="J728" s="197"/>
      <c r="K728" s="197"/>
      <c r="L728" s="197"/>
      <c r="M728" s="197"/>
      <c r="N728" s="197"/>
      <c r="O728" s="200"/>
      <c r="P728" s="197"/>
      <c r="Q728" s="197"/>
      <c r="R728" s="197"/>
      <c r="S728" s="197"/>
    </row>
    <row r="729" spans="1:19" x14ac:dyDescent="0.2">
      <c r="A729" s="203"/>
      <c r="B729" s="193"/>
      <c r="C729" s="193"/>
      <c r="D729" s="220"/>
      <c r="G729" s="197"/>
      <c r="H729" s="375"/>
      <c r="I729" s="202"/>
      <c r="J729" s="197"/>
      <c r="K729" s="197"/>
      <c r="L729" s="197"/>
      <c r="M729" s="197"/>
      <c r="N729" s="197"/>
      <c r="O729" s="200"/>
      <c r="P729" s="197"/>
      <c r="Q729" s="197"/>
      <c r="R729" s="197"/>
      <c r="S729" s="197"/>
    </row>
    <row r="730" spans="1:19" x14ac:dyDescent="0.2">
      <c r="A730" s="203"/>
      <c r="B730" s="193"/>
      <c r="C730" s="193"/>
      <c r="D730" s="220"/>
      <c r="G730" s="197"/>
      <c r="H730" s="375"/>
      <c r="I730" s="202"/>
      <c r="J730" s="197"/>
      <c r="K730" s="197"/>
      <c r="L730" s="197"/>
      <c r="M730" s="197"/>
      <c r="N730" s="197"/>
      <c r="O730" s="200"/>
      <c r="P730" s="197"/>
      <c r="Q730" s="197"/>
      <c r="R730" s="197"/>
      <c r="S730" s="197"/>
    </row>
    <row r="731" spans="1:19" x14ac:dyDescent="0.2">
      <c r="A731" s="203"/>
      <c r="B731" s="193"/>
      <c r="C731" s="193"/>
      <c r="D731" s="220"/>
      <c r="G731" s="197"/>
      <c r="H731" s="375"/>
      <c r="I731" s="202"/>
      <c r="J731" s="197"/>
      <c r="K731" s="197"/>
      <c r="L731" s="197"/>
      <c r="M731" s="197"/>
      <c r="N731" s="197"/>
      <c r="O731" s="200"/>
      <c r="P731" s="197"/>
      <c r="Q731" s="197"/>
      <c r="R731" s="197"/>
      <c r="S731" s="197"/>
    </row>
    <row r="732" spans="1:19" x14ac:dyDescent="0.2">
      <c r="A732" s="203"/>
      <c r="B732" s="193"/>
      <c r="C732" s="193"/>
      <c r="D732" s="220"/>
      <c r="G732" s="197"/>
      <c r="H732" s="375"/>
      <c r="I732" s="202"/>
      <c r="J732" s="197"/>
      <c r="K732" s="197"/>
      <c r="L732" s="197"/>
      <c r="M732" s="197"/>
      <c r="N732" s="197"/>
      <c r="O732" s="200"/>
      <c r="P732" s="197"/>
      <c r="Q732" s="197"/>
      <c r="R732" s="197"/>
      <c r="S732" s="197"/>
    </row>
    <row r="733" spans="1:19" x14ac:dyDescent="0.2">
      <c r="A733" s="203"/>
      <c r="B733" s="193"/>
      <c r="C733" s="193"/>
      <c r="D733" s="220"/>
      <c r="G733" s="197"/>
      <c r="H733" s="375"/>
      <c r="I733" s="202"/>
      <c r="J733" s="197"/>
      <c r="K733" s="197"/>
      <c r="L733" s="197"/>
      <c r="M733" s="197"/>
      <c r="N733" s="197"/>
      <c r="O733" s="200"/>
      <c r="P733" s="197"/>
      <c r="Q733" s="197"/>
      <c r="R733" s="197"/>
      <c r="S733" s="197"/>
    </row>
    <row r="734" spans="1:19" x14ac:dyDescent="0.2">
      <c r="A734" s="203"/>
      <c r="B734" s="193"/>
      <c r="C734" s="193"/>
      <c r="D734" s="220"/>
      <c r="G734" s="197"/>
      <c r="H734" s="375"/>
      <c r="I734" s="202"/>
      <c r="J734" s="197"/>
      <c r="K734" s="197"/>
      <c r="L734" s="197"/>
      <c r="M734" s="197"/>
      <c r="N734" s="197"/>
      <c r="O734" s="200"/>
      <c r="P734" s="197"/>
      <c r="Q734" s="197"/>
      <c r="R734" s="197"/>
      <c r="S734" s="197"/>
    </row>
    <row r="735" spans="1:19" x14ac:dyDescent="0.2">
      <c r="A735" s="203"/>
      <c r="B735" s="193"/>
      <c r="C735" s="193"/>
      <c r="D735" s="220"/>
      <c r="G735" s="197"/>
      <c r="H735" s="375"/>
      <c r="I735" s="202"/>
      <c r="J735" s="197"/>
      <c r="K735" s="197"/>
      <c r="L735" s="197"/>
      <c r="M735" s="197"/>
      <c r="N735" s="197"/>
      <c r="O735" s="200"/>
      <c r="P735" s="197"/>
      <c r="Q735" s="197"/>
      <c r="R735" s="197"/>
      <c r="S735" s="197"/>
    </row>
    <row r="736" spans="1:19" x14ac:dyDescent="0.2">
      <c r="A736" s="203"/>
      <c r="B736" s="193"/>
      <c r="C736" s="193"/>
      <c r="D736" s="220"/>
      <c r="G736" s="197"/>
      <c r="H736" s="375"/>
      <c r="I736" s="202"/>
      <c r="J736" s="197"/>
      <c r="K736" s="197"/>
      <c r="L736" s="197"/>
      <c r="M736" s="197"/>
      <c r="N736" s="197"/>
      <c r="O736" s="200"/>
      <c r="P736" s="197"/>
      <c r="Q736" s="197"/>
      <c r="R736" s="197"/>
      <c r="S736" s="197"/>
    </row>
    <row r="737" spans="1:19" x14ac:dyDescent="0.2">
      <c r="A737" s="203"/>
      <c r="B737" s="193"/>
      <c r="C737" s="193"/>
      <c r="D737" s="220"/>
      <c r="G737" s="197"/>
      <c r="H737" s="375"/>
      <c r="I737" s="202"/>
      <c r="J737" s="197"/>
      <c r="K737" s="197"/>
      <c r="L737" s="197"/>
      <c r="M737" s="197"/>
      <c r="N737" s="197"/>
      <c r="O737" s="200"/>
      <c r="P737" s="197"/>
      <c r="Q737" s="197"/>
      <c r="R737" s="197"/>
      <c r="S737" s="197"/>
    </row>
    <row r="738" spans="1:19" x14ac:dyDescent="0.2">
      <c r="A738" s="203"/>
      <c r="B738" s="193"/>
      <c r="C738" s="193"/>
      <c r="D738" s="220"/>
      <c r="G738" s="197"/>
      <c r="H738" s="375"/>
      <c r="I738" s="202"/>
      <c r="J738" s="197"/>
      <c r="K738" s="197"/>
      <c r="L738" s="197"/>
      <c r="M738" s="197"/>
      <c r="N738" s="197"/>
      <c r="O738" s="200"/>
      <c r="P738" s="197"/>
      <c r="Q738" s="197"/>
      <c r="R738" s="197"/>
      <c r="S738" s="197"/>
    </row>
    <row r="739" spans="1:19" x14ac:dyDescent="0.2">
      <c r="A739" s="203"/>
      <c r="B739" s="193"/>
      <c r="C739" s="193"/>
      <c r="D739" s="220"/>
      <c r="G739" s="197"/>
      <c r="H739" s="375"/>
      <c r="I739" s="202"/>
      <c r="J739" s="197"/>
      <c r="K739" s="197"/>
      <c r="L739" s="197"/>
      <c r="M739" s="197"/>
      <c r="N739" s="197"/>
      <c r="O739" s="200"/>
      <c r="P739" s="197"/>
      <c r="Q739" s="197"/>
      <c r="R739" s="197"/>
      <c r="S739" s="197"/>
    </row>
    <row r="740" spans="1:19" x14ac:dyDescent="0.2">
      <c r="A740" s="203"/>
      <c r="B740" s="193"/>
      <c r="C740" s="193"/>
      <c r="D740" s="220"/>
      <c r="G740" s="197"/>
      <c r="H740" s="375"/>
      <c r="I740" s="202"/>
      <c r="J740" s="197"/>
      <c r="K740" s="197"/>
      <c r="L740" s="197"/>
      <c r="M740" s="197"/>
      <c r="N740" s="197"/>
      <c r="O740" s="200"/>
      <c r="P740" s="197"/>
      <c r="Q740" s="197"/>
      <c r="R740" s="197"/>
      <c r="S740" s="197"/>
    </row>
    <row r="741" spans="1:19" x14ac:dyDescent="0.2">
      <c r="A741" s="203"/>
      <c r="B741" s="193"/>
      <c r="C741" s="193"/>
      <c r="D741" s="220"/>
      <c r="G741" s="197"/>
      <c r="H741" s="375"/>
      <c r="I741" s="202"/>
      <c r="J741" s="197"/>
      <c r="K741" s="197"/>
      <c r="L741" s="197"/>
      <c r="M741" s="197"/>
      <c r="N741" s="197"/>
      <c r="O741" s="200"/>
      <c r="P741" s="197"/>
      <c r="Q741" s="197"/>
      <c r="R741" s="197"/>
      <c r="S741" s="197"/>
    </row>
    <row r="742" spans="1:19" x14ac:dyDescent="0.2">
      <c r="A742" s="203"/>
      <c r="B742" s="193"/>
      <c r="C742" s="193"/>
      <c r="D742" s="220"/>
      <c r="G742" s="197"/>
      <c r="H742" s="375"/>
      <c r="I742" s="202"/>
      <c r="J742" s="197"/>
      <c r="K742" s="197"/>
      <c r="L742" s="197"/>
      <c r="M742" s="197"/>
      <c r="N742" s="197"/>
      <c r="O742" s="200"/>
      <c r="P742" s="197"/>
      <c r="Q742" s="197"/>
      <c r="R742" s="197"/>
      <c r="S742" s="197"/>
    </row>
    <row r="743" spans="1:19" x14ac:dyDescent="0.2">
      <c r="A743" s="203"/>
      <c r="B743" s="193"/>
      <c r="C743" s="193"/>
      <c r="D743" s="220"/>
      <c r="G743" s="197"/>
      <c r="H743" s="375"/>
      <c r="I743" s="202"/>
      <c r="J743" s="197"/>
      <c r="K743" s="197"/>
      <c r="L743" s="197"/>
      <c r="M743" s="197"/>
      <c r="N743" s="197"/>
      <c r="O743" s="200"/>
      <c r="P743" s="197"/>
      <c r="Q743" s="197"/>
      <c r="R743" s="197"/>
      <c r="S743" s="197"/>
    </row>
    <row r="744" spans="1:19" x14ac:dyDescent="0.2">
      <c r="A744" s="203"/>
      <c r="B744" s="193"/>
      <c r="C744" s="193"/>
      <c r="D744" s="220"/>
      <c r="G744" s="197"/>
      <c r="H744" s="375"/>
      <c r="I744" s="202"/>
      <c r="J744" s="197"/>
      <c r="K744" s="197"/>
      <c r="L744" s="197"/>
      <c r="M744" s="197"/>
      <c r="N744" s="197"/>
      <c r="O744" s="200"/>
      <c r="P744" s="197"/>
      <c r="Q744" s="197"/>
      <c r="R744" s="197"/>
      <c r="S744" s="197"/>
    </row>
    <row r="745" spans="1:19" x14ac:dyDescent="0.2">
      <c r="A745" s="203"/>
      <c r="B745" s="193"/>
      <c r="C745" s="193"/>
      <c r="D745" s="220"/>
      <c r="G745" s="197"/>
      <c r="H745" s="375"/>
      <c r="I745" s="202"/>
      <c r="J745" s="197"/>
      <c r="K745" s="197"/>
      <c r="L745" s="197"/>
      <c r="M745" s="197"/>
      <c r="N745" s="197"/>
      <c r="O745" s="200"/>
      <c r="P745" s="197"/>
      <c r="Q745" s="197"/>
      <c r="R745" s="197"/>
      <c r="S745" s="197"/>
    </row>
    <row r="746" spans="1:19" x14ac:dyDescent="0.2">
      <c r="A746" s="203"/>
      <c r="B746" s="193"/>
      <c r="C746" s="193"/>
      <c r="D746" s="220"/>
      <c r="G746" s="197"/>
      <c r="H746" s="375"/>
      <c r="I746" s="202"/>
      <c r="J746" s="197"/>
      <c r="K746" s="197"/>
      <c r="L746" s="197"/>
      <c r="M746" s="197"/>
      <c r="N746" s="197"/>
      <c r="O746" s="200"/>
      <c r="P746" s="197"/>
      <c r="Q746" s="197"/>
      <c r="R746" s="197"/>
      <c r="S746" s="197"/>
    </row>
    <row r="747" spans="1:19" x14ac:dyDescent="0.2">
      <c r="A747" s="203"/>
      <c r="B747" s="193"/>
      <c r="C747" s="193"/>
      <c r="D747" s="220"/>
      <c r="G747" s="197"/>
      <c r="H747" s="375"/>
      <c r="I747" s="202"/>
      <c r="J747" s="197"/>
      <c r="K747" s="197"/>
      <c r="L747" s="197"/>
      <c r="M747" s="197"/>
      <c r="N747" s="197"/>
      <c r="O747" s="200"/>
      <c r="P747" s="197"/>
      <c r="Q747" s="197"/>
      <c r="R747" s="197"/>
      <c r="S747" s="197"/>
    </row>
    <row r="748" spans="1:19" x14ac:dyDescent="0.2">
      <c r="A748" s="203"/>
      <c r="B748" s="193"/>
      <c r="C748" s="193"/>
      <c r="D748" s="220"/>
      <c r="G748" s="197"/>
      <c r="H748" s="375"/>
      <c r="I748" s="202"/>
      <c r="J748" s="197"/>
      <c r="K748" s="197"/>
      <c r="L748" s="197"/>
      <c r="M748" s="197"/>
      <c r="N748" s="197"/>
      <c r="O748" s="200"/>
      <c r="P748" s="197"/>
      <c r="Q748" s="197"/>
      <c r="R748" s="197"/>
      <c r="S748" s="197"/>
    </row>
    <row r="749" spans="1:19" x14ac:dyDescent="0.2">
      <c r="A749" s="203"/>
      <c r="B749" s="193"/>
      <c r="C749" s="193"/>
      <c r="D749" s="220"/>
      <c r="G749" s="197"/>
      <c r="H749" s="375"/>
      <c r="I749" s="202"/>
      <c r="J749" s="197"/>
      <c r="K749" s="197"/>
      <c r="L749" s="197"/>
      <c r="M749" s="197"/>
      <c r="N749" s="197"/>
      <c r="O749" s="200"/>
      <c r="P749" s="197"/>
      <c r="Q749" s="197"/>
      <c r="R749" s="197"/>
      <c r="S749" s="197"/>
    </row>
    <row r="750" spans="1:19" x14ac:dyDescent="0.2">
      <c r="A750" s="203"/>
      <c r="B750" s="193"/>
      <c r="C750" s="193"/>
      <c r="D750" s="220"/>
      <c r="G750" s="197"/>
      <c r="H750" s="375"/>
      <c r="I750" s="202"/>
      <c r="J750" s="197"/>
      <c r="K750" s="197"/>
      <c r="L750" s="197"/>
      <c r="M750" s="197"/>
      <c r="N750" s="197"/>
      <c r="O750" s="200"/>
      <c r="P750" s="197"/>
      <c r="Q750" s="197"/>
      <c r="R750" s="197"/>
      <c r="S750" s="197"/>
    </row>
    <row r="751" spans="1:19" x14ac:dyDescent="0.2">
      <c r="A751" s="203"/>
      <c r="B751" s="193"/>
      <c r="C751" s="193"/>
      <c r="D751" s="220"/>
      <c r="G751" s="197"/>
      <c r="H751" s="375"/>
      <c r="I751" s="202"/>
      <c r="J751" s="197"/>
      <c r="K751" s="197"/>
      <c r="L751" s="197"/>
      <c r="M751" s="197"/>
      <c r="N751" s="197"/>
      <c r="O751" s="200"/>
      <c r="P751" s="197"/>
      <c r="Q751" s="197"/>
      <c r="R751" s="197"/>
      <c r="S751" s="197"/>
    </row>
    <row r="752" spans="1:19" x14ac:dyDescent="0.2">
      <c r="A752" s="203"/>
      <c r="B752" s="193"/>
      <c r="C752" s="193"/>
      <c r="D752" s="220"/>
      <c r="G752" s="197"/>
      <c r="H752" s="375"/>
      <c r="I752" s="202"/>
      <c r="J752" s="197"/>
      <c r="K752" s="197"/>
      <c r="L752" s="197"/>
      <c r="M752" s="197"/>
      <c r="N752" s="197"/>
      <c r="O752" s="200"/>
      <c r="P752" s="197"/>
      <c r="Q752" s="197"/>
      <c r="R752" s="197"/>
      <c r="S752" s="197"/>
    </row>
    <row r="753" spans="1:19" x14ac:dyDescent="0.2">
      <c r="A753" s="203"/>
      <c r="B753" s="193"/>
      <c r="C753" s="193"/>
      <c r="D753" s="220"/>
      <c r="G753" s="197"/>
      <c r="H753" s="375"/>
      <c r="I753" s="202"/>
      <c r="J753" s="197"/>
      <c r="K753" s="197"/>
      <c r="L753" s="197"/>
      <c r="M753" s="197"/>
      <c r="N753" s="197"/>
      <c r="O753" s="200"/>
      <c r="P753" s="197"/>
      <c r="Q753" s="197"/>
      <c r="R753" s="197"/>
      <c r="S753" s="197"/>
    </row>
    <row r="754" spans="1:19" x14ac:dyDescent="0.2">
      <c r="A754" s="203"/>
      <c r="B754" s="193"/>
      <c r="C754" s="193"/>
      <c r="D754" s="220"/>
      <c r="G754" s="197"/>
      <c r="H754" s="375"/>
      <c r="I754" s="202"/>
      <c r="J754" s="197"/>
      <c r="K754" s="197"/>
      <c r="L754" s="197"/>
      <c r="M754" s="197"/>
      <c r="N754" s="197"/>
      <c r="O754" s="200"/>
      <c r="P754" s="197"/>
      <c r="Q754" s="197"/>
      <c r="R754" s="197"/>
      <c r="S754" s="197"/>
    </row>
    <row r="755" spans="1:19" x14ac:dyDescent="0.2">
      <c r="A755" s="203"/>
      <c r="B755" s="193"/>
      <c r="C755" s="193"/>
      <c r="D755" s="220"/>
      <c r="G755" s="197"/>
      <c r="H755" s="375"/>
      <c r="I755" s="202"/>
      <c r="J755" s="197"/>
      <c r="K755" s="197"/>
      <c r="L755" s="197"/>
      <c r="M755" s="197"/>
      <c r="N755" s="197"/>
      <c r="O755" s="200"/>
      <c r="P755" s="197"/>
      <c r="Q755" s="197"/>
      <c r="R755" s="197"/>
      <c r="S755" s="197"/>
    </row>
    <row r="756" spans="1:19" x14ac:dyDescent="0.2">
      <c r="A756" s="203"/>
      <c r="B756" s="193"/>
      <c r="C756" s="193"/>
      <c r="D756" s="220"/>
      <c r="G756" s="197"/>
      <c r="H756" s="375"/>
      <c r="I756" s="202"/>
      <c r="J756" s="197"/>
      <c r="K756" s="197"/>
      <c r="L756" s="197"/>
      <c r="M756" s="197"/>
      <c r="N756" s="197"/>
      <c r="O756" s="200"/>
      <c r="P756" s="197"/>
      <c r="Q756" s="197"/>
      <c r="R756" s="197"/>
      <c r="S756" s="197"/>
    </row>
    <row r="757" spans="1:19" x14ac:dyDescent="0.2">
      <c r="A757" s="203"/>
      <c r="B757" s="193"/>
      <c r="C757" s="193"/>
      <c r="D757" s="220"/>
      <c r="G757" s="197"/>
      <c r="H757" s="375"/>
      <c r="I757" s="202"/>
      <c r="J757" s="197"/>
      <c r="K757" s="197"/>
      <c r="L757" s="197"/>
      <c r="M757" s="197"/>
      <c r="N757" s="197"/>
      <c r="O757" s="200"/>
      <c r="P757" s="197"/>
      <c r="Q757" s="197"/>
      <c r="R757" s="197"/>
      <c r="S757" s="197"/>
    </row>
    <row r="758" spans="1:19" x14ac:dyDescent="0.2">
      <c r="A758" s="203"/>
      <c r="B758" s="193"/>
      <c r="C758" s="193"/>
      <c r="D758" s="220"/>
      <c r="G758" s="197"/>
      <c r="H758" s="375"/>
      <c r="I758" s="202"/>
      <c r="J758" s="197"/>
      <c r="K758" s="197"/>
      <c r="L758" s="197"/>
      <c r="M758" s="197"/>
      <c r="N758" s="197"/>
      <c r="O758" s="200"/>
      <c r="P758" s="197"/>
      <c r="Q758" s="197"/>
      <c r="R758" s="197"/>
      <c r="S758" s="197"/>
    </row>
    <row r="759" spans="1:19" x14ac:dyDescent="0.2">
      <c r="A759" s="203"/>
      <c r="B759" s="193"/>
      <c r="C759" s="193"/>
      <c r="D759" s="220"/>
      <c r="G759" s="197"/>
      <c r="H759" s="375"/>
      <c r="I759" s="202"/>
      <c r="J759" s="197"/>
      <c r="K759" s="197"/>
      <c r="L759" s="197"/>
      <c r="M759" s="197"/>
      <c r="N759" s="197"/>
      <c r="O759" s="200"/>
      <c r="P759" s="197"/>
      <c r="Q759" s="197"/>
      <c r="R759" s="197"/>
      <c r="S759" s="197"/>
    </row>
    <row r="760" spans="1:19" x14ac:dyDescent="0.2">
      <c r="A760" s="203"/>
      <c r="B760" s="193"/>
      <c r="C760" s="193"/>
      <c r="D760" s="220"/>
      <c r="G760" s="197"/>
      <c r="H760" s="375"/>
      <c r="I760" s="202"/>
      <c r="J760" s="197"/>
      <c r="K760" s="197"/>
      <c r="L760" s="197"/>
      <c r="M760" s="197"/>
      <c r="N760" s="197"/>
      <c r="O760" s="200"/>
      <c r="P760" s="197"/>
      <c r="Q760" s="197"/>
      <c r="R760" s="197"/>
      <c r="S760" s="197"/>
    </row>
    <row r="761" spans="1:19" x14ac:dyDescent="0.2">
      <c r="A761" s="203"/>
      <c r="B761" s="193"/>
      <c r="C761" s="193"/>
      <c r="D761" s="220"/>
      <c r="G761" s="197"/>
      <c r="H761" s="375"/>
      <c r="I761" s="202"/>
      <c r="J761" s="197"/>
      <c r="K761" s="197"/>
      <c r="L761" s="197"/>
      <c r="M761" s="197"/>
      <c r="N761" s="197"/>
      <c r="O761" s="200"/>
      <c r="P761" s="197"/>
      <c r="Q761" s="197"/>
      <c r="R761" s="197"/>
      <c r="S761" s="197"/>
    </row>
    <row r="762" spans="1:19" x14ac:dyDescent="0.2">
      <c r="A762" s="203"/>
      <c r="B762" s="193"/>
      <c r="C762" s="193"/>
      <c r="D762" s="220"/>
      <c r="G762" s="197"/>
      <c r="H762" s="375"/>
      <c r="I762" s="202"/>
      <c r="J762" s="197"/>
      <c r="K762" s="197"/>
      <c r="L762" s="197"/>
      <c r="M762" s="197"/>
      <c r="N762" s="197"/>
      <c r="O762" s="200"/>
      <c r="P762" s="197"/>
      <c r="Q762" s="197"/>
      <c r="R762" s="197"/>
      <c r="S762" s="197"/>
    </row>
    <row r="763" spans="1:19" x14ac:dyDescent="0.2">
      <c r="A763" s="203"/>
      <c r="B763" s="193"/>
      <c r="C763" s="193"/>
      <c r="D763" s="220"/>
      <c r="G763" s="197"/>
      <c r="H763" s="375"/>
      <c r="I763" s="202"/>
      <c r="J763" s="197"/>
      <c r="K763" s="197"/>
      <c r="L763" s="197"/>
      <c r="M763" s="197"/>
      <c r="N763" s="197"/>
      <c r="O763" s="200"/>
      <c r="P763" s="197"/>
      <c r="Q763" s="197"/>
      <c r="R763" s="197"/>
      <c r="S763" s="197"/>
    </row>
    <row r="764" spans="1:19" x14ac:dyDescent="0.2">
      <c r="A764" s="203"/>
      <c r="B764" s="193"/>
      <c r="C764" s="193"/>
      <c r="D764" s="220"/>
      <c r="G764" s="197"/>
      <c r="H764" s="375"/>
      <c r="I764" s="202"/>
      <c r="J764" s="197"/>
      <c r="K764" s="197"/>
      <c r="L764" s="197"/>
      <c r="M764" s="197"/>
      <c r="N764" s="197"/>
      <c r="O764" s="200"/>
      <c r="P764" s="197"/>
      <c r="Q764" s="197"/>
      <c r="R764" s="197"/>
      <c r="S764" s="197"/>
    </row>
    <row r="765" spans="1:19" x14ac:dyDescent="0.2">
      <c r="A765" s="203"/>
      <c r="B765" s="193"/>
      <c r="C765" s="193"/>
      <c r="D765" s="220"/>
      <c r="G765" s="197"/>
      <c r="H765" s="375"/>
      <c r="I765" s="202"/>
      <c r="J765" s="197"/>
      <c r="K765" s="197"/>
      <c r="L765" s="197"/>
      <c r="M765" s="197"/>
      <c r="N765" s="197"/>
      <c r="O765" s="200"/>
      <c r="P765" s="197"/>
      <c r="Q765" s="197"/>
      <c r="R765" s="197"/>
      <c r="S765" s="197"/>
    </row>
    <row r="766" spans="1:19" x14ac:dyDescent="0.2">
      <c r="A766" s="203"/>
      <c r="B766" s="193"/>
      <c r="C766" s="193"/>
      <c r="D766" s="220"/>
      <c r="G766" s="197"/>
      <c r="H766" s="201"/>
      <c r="I766" s="202"/>
      <c r="J766" s="197"/>
      <c r="K766" s="197"/>
      <c r="L766" s="197"/>
      <c r="M766" s="197"/>
      <c r="N766" s="197"/>
      <c r="O766" s="200"/>
      <c r="P766" s="197"/>
      <c r="Q766" s="197"/>
      <c r="R766" s="197"/>
      <c r="S766" s="197"/>
    </row>
    <row r="767" spans="1:19" x14ac:dyDescent="0.2">
      <c r="A767" s="203"/>
      <c r="B767" s="193"/>
      <c r="C767" s="193"/>
      <c r="D767" s="220"/>
      <c r="G767" s="197"/>
      <c r="H767" s="201"/>
      <c r="I767" s="202"/>
      <c r="J767" s="197"/>
      <c r="K767" s="197"/>
      <c r="L767" s="197"/>
      <c r="M767" s="197"/>
      <c r="N767" s="197"/>
      <c r="O767" s="200"/>
      <c r="P767" s="197"/>
      <c r="Q767" s="197"/>
      <c r="R767" s="197"/>
      <c r="S767" s="197"/>
    </row>
    <row r="768" spans="1:19" x14ac:dyDescent="0.2">
      <c r="A768" s="203"/>
      <c r="B768" s="193"/>
      <c r="C768" s="193"/>
      <c r="D768" s="220"/>
      <c r="G768" s="197"/>
      <c r="H768" s="201"/>
      <c r="I768" s="202"/>
      <c r="J768" s="197"/>
      <c r="K768" s="197"/>
      <c r="L768" s="197"/>
      <c r="M768" s="197"/>
      <c r="N768" s="197"/>
      <c r="O768" s="200"/>
      <c r="P768" s="197"/>
      <c r="Q768" s="197"/>
      <c r="R768" s="197"/>
      <c r="S768" s="197"/>
    </row>
    <row r="769" spans="1:19" x14ac:dyDescent="0.2">
      <c r="A769" s="203"/>
      <c r="B769" s="193"/>
      <c r="C769" s="193"/>
      <c r="D769" s="220"/>
      <c r="G769" s="197"/>
      <c r="H769" s="201"/>
      <c r="I769" s="202"/>
      <c r="J769" s="197"/>
      <c r="K769" s="197"/>
      <c r="L769" s="197"/>
      <c r="M769" s="197"/>
      <c r="N769" s="197"/>
      <c r="O769" s="200"/>
      <c r="P769" s="197"/>
      <c r="Q769" s="197"/>
      <c r="R769" s="197"/>
      <c r="S769" s="197"/>
    </row>
    <row r="770" spans="1:19" x14ac:dyDescent="0.2">
      <c r="A770" s="203"/>
      <c r="B770" s="193"/>
      <c r="C770" s="193"/>
      <c r="D770" s="220"/>
      <c r="G770" s="197"/>
      <c r="H770" s="201"/>
      <c r="I770" s="202"/>
      <c r="J770" s="197"/>
      <c r="K770" s="197"/>
      <c r="L770" s="197"/>
      <c r="M770" s="197"/>
      <c r="N770" s="197"/>
      <c r="O770" s="200"/>
      <c r="P770" s="197"/>
      <c r="Q770" s="197"/>
      <c r="R770" s="197"/>
      <c r="S770" s="197"/>
    </row>
    <row r="771" spans="1:19" x14ac:dyDescent="0.2">
      <c r="A771" s="203"/>
      <c r="B771" s="193"/>
      <c r="C771" s="193"/>
      <c r="D771" s="220"/>
      <c r="G771" s="197"/>
      <c r="H771" s="201"/>
      <c r="I771" s="202"/>
      <c r="J771" s="197"/>
      <c r="K771" s="197"/>
      <c r="L771" s="197"/>
      <c r="M771" s="197"/>
      <c r="N771" s="197"/>
      <c r="O771" s="200"/>
      <c r="P771" s="197"/>
      <c r="Q771" s="197"/>
      <c r="R771" s="197"/>
      <c r="S771" s="197"/>
    </row>
    <row r="772" spans="1:19" x14ac:dyDescent="0.2">
      <c r="A772" s="203"/>
      <c r="B772" s="193"/>
      <c r="C772" s="193"/>
      <c r="D772" s="220"/>
      <c r="G772" s="197"/>
      <c r="H772" s="201"/>
      <c r="I772" s="202"/>
      <c r="J772" s="197"/>
      <c r="K772" s="197"/>
      <c r="L772" s="197"/>
      <c r="M772" s="197"/>
      <c r="N772" s="197"/>
      <c r="O772" s="200"/>
      <c r="P772" s="197"/>
      <c r="Q772" s="197"/>
      <c r="R772" s="197"/>
      <c r="S772" s="197"/>
    </row>
    <row r="773" spans="1:19" x14ac:dyDescent="0.2">
      <c r="A773" s="203"/>
      <c r="B773" s="193"/>
      <c r="C773" s="193"/>
      <c r="D773" s="220"/>
      <c r="G773" s="197"/>
      <c r="H773" s="201"/>
      <c r="I773" s="202"/>
      <c r="J773" s="197"/>
      <c r="K773" s="197"/>
      <c r="L773" s="197"/>
      <c r="M773" s="197"/>
      <c r="N773" s="197"/>
      <c r="O773" s="200"/>
      <c r="P773" s="197"/>
      <c r="Q773" s="197"/>
      <c r="R773" s="197"/>
      <c r="S773" s="197"/>
    </row>
    <row r="774" spans="1:19" x14ac:dyDescent="0.2">
      <c r="A774" s="203"/>
      <c r="B774" s="193"/>
      <c r="C774" s="193"/>
      <c r="D774" s="220"/>
      <c r="G774" s="197"/>
      <c r="H774" s="201"/>
      <c r="I774" s="202"/>
      <c r="J774" s="197"/>
      <c r="K774" s="197"/>
      <c r="L774" s="197"/>
      <c r="M774" s="197"/>
      <c r="N774" s="197"/>
      <c r="O774" s="200"/>
      <c r="P774" s="197"/>
      <c r="Q774" s="197"/>
      <c r="R774" s="197"/>
      <c r="S774" s="197"/>
    </row>
    <row r="775" spans="1:19" x14ac:dyDescent="0.2">
      <c r="A775" s="203"/>
      <c r="B775" s="193"/>
      <c r="C775" s="193"/>
      <c r="D775" s="220"/>
      <c r="G775" s="197"/>
      <c r="H775" s="201"/>
      <c r="I775" s="202"/>
      <c r="J775" s="197"/>
      <c r="K775" s="197"/>
      <c r="L775" s="197"/>
      <c r="M775" s="197"/>
      <c r="N775" s="197"/>
      <c r="O775" s="200"/>
      <c r="P775" s="197"/>
      <c r="Q775" s="197"/>
      <c r="R775" s="197"/>
      <c r="S775" s="197"/>
    </row>
    <row r="776" spans="1:19" x14ac:dyDescent="0.2">
      <c r="A776" s="203"/>
      <c r="B776" s="193"/>
      <c r="C776" s="193"/>
      <c r="D776" s="220"/>
      <c r="G776" s="197"/>
      <c r="H776" s="201"/>
      <c r="I776" s="202"/>
      <c r="J776" s="197"/>
      <c r="K776" s="197"/>
      <c r="L776" s="197"/>
      <c r="M776" s="197"/>
      <c r="N776" s="197"/>
      <c r="O776" s="200"/>
      <c r="P776" s="197"/>
      <c r="Q776" s="197"/>
      <c r="R776" s="197"/>
      <c r="S776" s="197"/>
    </row>
    <row r="777" spans="1:19" x14ac:dyDescent="0.2">
      <c r="A777" s="203"/>
      <c r="B777" s="193"/>
      <c r="C777" s="193"/>
      <c r="D777" s="220"/>
      <c r="G777" s="197"/>
      <c r="H777" s="201"/>
      <c r="I777" s="202"/>
      <c r="J777" s="197"/>
      <c r="K777" s="197"/>
      <c r="L777" s="197"/>
      <c r="M777" s="197"/>
      <c r="N777" s="197"/>
      <c r="O777" s="200"/>
      <c r="P777" s="197"/>
      <c r="Q777" s="197"/>
      <c r="R777" s="197"/>
      <c r="S777" s="197"/>
    </row>
    <row r="778" spans="1:19" x14ac:dyDescent="0.2">
      <c r="A778" s="203"/>
      <c r="B778" s="193"/>
      <c r="C778" s="193"/>
      <c r="D778" s="220"/>
      <c r="G778" s="197"/>
      <c r="H778" s="201"/>
      <c r="I778" s="202"/>
      <c r="J778" s="197"/>
      <c r="K778" s="197"/>
      <c r="L778" s="197"/>
      <c r="M778" s="197"/>
      <c r="N778" s="197"/>
      <c r="O778" s="200"/>
      <c r="P778" s="197"/>
      <c r="Q778" s="197"/>
      <c r="R778" s="197"/>
      <c r="S778" s="197"/>
    </row>
    <row r="779" spans="1:19" x14ac:dyDescent="0.2">
      <c r="A779" s="203"/>
      <c r="B779" s="193"/>
      <c r="C779" s="193"/>
      <c r="D779" s="220"/>
      <c r="G779" s="197"/>
      <c r="H779" s="201"/>
      <c r="I779" s="202"/>
      <c r="J779" s="197"/>
      <c r="K779" s="197"/>
      <c r="L779" s="197"/>
      <c r="M779" s="197"/>
      <c r="N779" s="197"/>
      <c r="O779" s="200"/>
      <c r="P779" s="197"/>
      <c r="Q779" s="197"/>
      <c r="R779" s="197"/>
      <c r="S779" s="197"/>
    </row>
    <row r="780" spans="1:19" x14ac:dyDescent="0.2">
      <c r="A780" s="203"/>
      <c r="B780" s="193"/>
      <c r="C780" s="193"/>
      <c r="D780" s="220"/>
      <c r="G780" s="197"/>
      <c r="H780" s="201"/>
      <c r="I780" s="202"/>
      <c r="J780" s="197"/>
      <c r="K780" s="197"/>
      <c r="L780" s="197"/>
      <c r="M780" s="197"/>
      <c r="N780" s="197"/>
      <c r="O780" s="200"/>
      <c r="P780" s="197"/>
      <c r="Q780" s="197"/>
      <c r="R780" s="197"/>
      <c r="S780" s="197"/>
    </row>
    <row r="781" spans="1:19" x14ac:dyDescent="0.2">
      <c r="A781" s="203"/>
      <c r="B781" s="193"/>
      <c r="C781" s="193"/>
      <c r="D781" s="220"/>
      <c r="G781" s="197"/>
      <c r="H781" s="201"/>
      <c r="I781" s="202"/>
      <c r="J781" s="197"/>
      <c r="K781" s="197"/>
      <c r="L781" s="197"/>
      <c r="M781" s="197"/>
      <c r="N781" s="197"/>
      <c r="O781" s="200"/>
      <c r="P781" s="197"/>
      <c r="Q781" s="197"/>
      <c r="R781" s="197"/>
      <c r="S781" s="197"/>
    </row>
    <row r="782" spans="1:19" x14ac:dyDescent="0.2">
      <c r="A782" s="203"/>
      <c r="B782" s="193"/>
      <c r="C782" s="193"/>
      <c r="D782" s="220"/>
      <c r="G782" s="197"/>
      <c r="H782" s="201"/>
      <c r="I782" s="202"/>
      <c r="J782" s="197"/>
      <c r="K782" s="197"/>
      <c r="L782" s="197"/>
      <c r="M782" s="197"/>
      <c r="N782" s="197"/>
      <c r="O782" s="200"/>
      <c r="P782" s="197"/>
      <c r="Q782" s="197"/>
      <c r="R782" s="197"/>
      <c r="S782" s="197"/>
    </row>
    <row r="783" spans="1:19" x14ac:dyDescent="0.2">
      <c r="A783" s="203"/>
      <c r="B783" s="193"/>
      <c r="C783" s="193"/>
      <c r="D783" s="220"/>
      <c r="G783" s="197"/>
      <c r="H783" s="201"/>
      <c r="I783" s="202"/>
      <c r="J783" s="197"/>
      <c r="K783" s="197"/>
      <c r="L783" s="197"/>
      <c r="M783" s="197"/>
      <c r="N783" s="197"/>
      <c r="O783" s="200"/>
      <c r="P783" s="197"/>
      <c r="Q783" s="197"/>
      <c r="R783" s="197"/>
      <c r="S783" s="197"/>
    </row>
    <row r="784" spans="1:19" x14ac:dyDescent="0.2">
      <c r="A784" s="203"/>
      <c r="B784" s="193"/>
      <c r="C784" s="193"/>
      <c r="D784" s="220"/>
      <c r="G784" s="197"/>
      <c r="H784" s="201"/>
      <c r="I784" s="202"/>
      <c r="J784" s="197"/>
      <c r="K784" s="197"/>
      <c r="L784" s="197"/>
      <c r="M784" s="197"/>
      <c r="N784" s="197"/>
      <c r="O784" s="200"/>
      <c r="P784" s="197"/>
      <c r="Q784" s="197"/>
      <c r="R784" s="197"/>
      <c r="S784" s="197"/>
    </row>
    <row r="785" spans="1:19" x14ac:dyDescent="0.2">
      <c r="A785" s="203"/>
      <c r="B785" s="193"/>
      <c r="C785" s="193"/>
      <c r="D785" s="220"/>
      <c r="G785" s="197"/>
      <c r="H785" s="201"/>
      <c r="I785" s="202"/>
      <c r="J785" s="197"/>
      <c r="K785" s="197"/>
      <c r="L785" s="197"/>
      <c r="M785" s="197"/>
      <c r="N785" s="197"/>
      <c r="O785" s="200"/>
      <c r="P785" s="197"/>
      <c r="Q785" s="197"/>
      <c r="R785" s="197"/>
      <c r="S785" s="197"/>
    </row>
    <row r="786" spans="1:19" x14ac:dyDescent="0.2">
      <c r="A786" s="203"/>
      <c r="B786" s="193"/>
      <c r="C786" s="193"/>
      <c r="D786" s="220"/>
      <c r="G786" s="197"/>
      <c r="H786" s="201"/>
      <c r="I786" s="202"/>
      <c r="J786" s="197"/>
      <c r="K786" s="197"/>
      <c r="L786" s="197"/>
      <c r="M786" s="197"/>
      <c r="N786" s="197"/>
      <c r="O786" s="200"/>
      <c r="P786" s="197"/>
      <c r="Q786" s="197"/>
      <c r="R786" s="197"/>
      <c r="S786" s="197"/>
    </row>
    <row r="787" spans="1:19" x14ac:dyDescent="0.2">
      <c r="A787" s="203"/>
      <c r="B787" s="193"/>
      <c r="C787" s="193"/>
      <c r="D787" s="220"/>
      <c r="G787" s="197"/>
      <c r="H787" s="201"/>
      <c r="I787" s="202"/>
      <c r="J787" s="197"/>
      <c r="K787" s="197"/>
      <c r="L787" s="197"/>
      <c r="M787" s="197"/>
      <c r="N787" s="197"/>
      <c r="O787" s="200"/>
      <c r="P787" s="197"/>
      <c r="Q787" s="197"/>
      <c r="R787" s="197"/>
      <c r="S787" s="197"/>
    </row>
    <row r="788" spans="1:19" x14ac:dyDescent="0.2">
      <c r="A788" s="203"/>
      <c r="B788" s="193"/>
      <c r="C788" s="193"/>
      <c r="D788" s="220"/>
      <c r="G788" s="197"/>
      <c r="H788" s="201"/>
      <c r="I788" s="202"/>
      <c r="J788" s="197"/>
      <c r="K788" s="197"/>
      <c r="L788" s="197"/>
      <c r="M788" s="197"/>
      <c r="N788" s="197"/>
      <c r="O788" s="200"/>
      <c r="P788" s="197"/>
      <c r="Q788" s="197"/>
      <c r="R788" s="197"/>
      <c r="S788" s="197"/>
    </row>
    <row r="789" spans="1:19" x14ac:dyDescent="0.2">
      <c r="A789" s="203"/>
      <c r="B789" s="193"/>
      <c r="C789" s="193"/>
      <c r="D789" s="220"/>
      <c r="G789" s="197"/>
      <c r="H789" s="201"/>
      <c r="I789" s="202"/>
      <c r="J789" s="197"/>
      <c r="K789" s="197"/>
      <c r="L789" s="197"/>
      <c r="M789" s="197"/>
      <c r="N789" s="197"/>
      <c r="O789" s="200"/>
      <c r="P789" s="197"/>
      <c r="Q789" s="197"/>
      <c r="R789" s="197"/>
      <c r="S789" s="197"/>
    </row>
    <row r="790" spans="1:19" x14ac:dyDescent="0.2">
      <c r="A790" s="203"/>
      <c r="B790" s="193"/>
      <c r="C790" s="193"/>
      <c r="D790" s="220"/>
      <c r="G790" s="197"/>
      <c r="H790" s="201"/>
      <c r="I790" s="202"/>
      <c r="J790" s="197"/>
      <c r="K790" s="197"/>
      <c r="L790" s="197"/>
      <c r="M790" s="197"/>
      <c r="N790" s="197"/>
      <c r="O790" s="200"/>
      <c r="P790" s="197"/>
      <c r="Q790" s="197"/>
      <c r="R790" s="197"/>
      <c r="S790" s="197"/>
    </row>
    <row r="791" spans="1:19" x14ac:dyDescent="0.2">
      <c r="A791" s="203"/>
      <c r="B791" s="193"/>
      <c r="C791" s="193"/>
      <c r="D791" s="220"/>
      <c r="G791" s="197"/>
      <c r="H791" s="201"/>
      <c r="I791" s="202"/>
      <c r="J791" s="197"/>
      <c r="K791" s="197"/>
      <c r="L791" s="197"/>
      <c r="M791" s="197"/>
      <c r="N791" s="197"/>
      <c r="O791" s="200"/>
      <c r="P791" s="197"/>
      <c r="Q791" s="197"/>
      <c r="R791" s="197"/>
      <c r="S791" s="197"/>
    </row>
    <row r="792" spans="1:19" x14ac:dyDescent="0.2">
      <c r="A792" s="203"/>
      <c r="B792" s="193"/>
      <c r="C792" s="193"/>
      <c r="D792" s="220"/>
      <c r="G792" s="197"/>
      <c r="H792" s="201"/>
      <c r="I792" s="202"/>
      <c r="J792" s="197"/>
      <c r="K792" s="197"/>
      <c r="L792" s="197"/>
      <c r="M792" s="197"/>
      <c r="N792" s="197"/>
      <c r="O792" s="200"/>
      <c r="P792" s="197"/>
      <c r="Q792" s="197"/>
      <c r="R792" s="197"/>
      <c r="S792" s="197"/>
    </row>
    <row r="793" spans="1:19" x14ac:dyDescent="0.2">
      <c r="A793" s="203"/>
      <c r="B793" s="193"/>
      <c r="C793" s="193"/>
      <c r="D793" s="220"/>
      <c r="G793" s="197"/>
      <c r="H793" s="201"/>
      <c r="I793" s="202"/>
      <c r="J793" s="197"/>
      <c r="K793" s="197"/>
      <c r="L793" s="197"/>
      <c r="M793" s="197"/>
      <c r="N793" s="197"/>
      <c r="O793" s="200"/>
      <c r="P793" s="197"/>
      <c r="Q793" s="197"/>
      <c r="R793" s="197"/>
      <c r="S793" s="197"/>
    </row>
    <row r="794" spans="1:19" x14ac:dyDescent="0.2">
      <c r="A794" s="203"/>
      <c r="B794" s="193"/>
      <c r="C794" s="193"/>
      <c r="D794" s="220"/>
      <c r="G794" s="197"/>
      <c r="H794" s="201"/>
      <c r="I794" s="202"/>
      <c r="J794" s="197"/>
      <c r="K794" s="197"/>
      <c r="L794" s="197"/>
      <c r="M794" s="197"/>
      <c r="N794" s="197"/>
      <c r="O794" s="200"/>
      <c r="P794" s="197"/>
      <c r="Q794" s="197"/>
      <c r="R794" s="197"/>
      <c r="S794" s="197"/>
    </row>
    <row r="795" spans="1:19" x14ac:dyDescent="0.2">
      <c r="A795" s="203"/>
      <c r="B795" s="193"/>
      <c r="C795" s="193"/>
      <c r="D795" s="220"/>
      <c r="G795" s="197"/>
      <c r="H795" s="201"/>
      <c r="I795" s="202"/>
      <c r="J795" s="197"/>
      <c r="K795" s="197"/>
      <c r="L795" s="197"/>
      <c r="M795" s="197"/>
      <c r="N795" s="197"/>
      <c r="O795" s="200"/>
      <c r="P795" s="197"/>
      <c r="Q795" s="197"/>
      <c r="R795" s="197"/>
      <c r="S795" s="197"/>
    </row>
    <row r="796" spans="1:19" x14ac:dyDescent="0.2">
      <c r="A796" s="203"/>
      <c r="B796" s="193"/>
      <c r="C796" s="193"/>
      <c r="D796" s="220"/>
      <c r="G796" s="197"/>
      <c r="H796" s="201"/>
      <c r="I796" s="202"/>
      <c r="J796" s="197"/>
      <c r="K796" s="197"/>
      <c r="L796" s="197"/>
      <c r="M796" s="197"/>
      <c r="N796" s="197"/>
      <c r="O796" s="200"/>
      <c r="P796" s="197"/>
      <c r="Q796" s="197"/>
      <c r="R796" s="197"/>
      <c r="S796" s="197"/>
    </row>
    <row r="797" spans="1:19" x14ac:dyDescent="0.2">
      <c r="A797" s="203"/>
      <c r="B797" s="193"/>
      <c r="C797" s="193"/>
      <c r="D797" s="220"/>
      <c r="G797" s="197"/>
      <c r="H797" s="201"/>
      <c r="I797" s="202"/>
      <c r="J797" s="197"/>
      <c r="K797" s="197"/>
      <c r="L797" s="197"/>
      <c r="M797" s="197"/>
      <c r="N797" s="197"/>
      <c r="O797" s="200"/>
      <c r="P797" s="197"/>
      <c r="Q797" s="197"/>
      <c r="R797" s="197"/>
      <c r="S797" s="197"/>
    </row>
    <row r="798" spans="1:19" x14ac:dyDescent="0.2">
      <c r="A798" s="203"/>
      <c r="B798" s="193"/>
      <c r="C798" s="193"/>
      <c r="D798" s="220"/>
      <c r="G798" s="197"/>
      <c r="H798" s="201"/>
      <c r="I798" s="202"/>
      <c r="J798" s="197"/>
      <c r="K798" s="197"/>
      <c r="L798" s="197"/>
      <c r="M798" s="197"/>
      <c r="N798" s="197"/>
      <c r="O798" s="200"/>
      <c r="P798" s="197"/>
      <c r="Q798" s="197"/>
      <c r="R798" s="197"/>
      <c r="S798" s="197"/>
    </row>
    <row r="799" spans="1:19" x14ac:dyDescent="0.2">
      <c r="A799" s="203"/>
      <c r="B799" s="193"/>
      <c r="C799" s="193"/>
      <c r="D799" s="220"/>
      <c r="G799" s="197"/>
      <c r="H799" s="201"/>
      <c r="I799" s="202"/>
      <c r="J799" s="197"/>
      <c r="K799" s="197"/>
      <c r="L799" s="197"/>
      <c r="M799" s="197"/>
      <c r="N799" s="197"/>
      <c r="O799" s="200"/>
      <c r="P799" s="197"/>
      <c r="Q799" s="197"/>
      <c r="R799" s="197"/>
      <c r="S799" s="197"/>
    </row>
    <row r="800" spans="1:19" x14ac:dyDescent="0.2">
      <c r="A800" s="203"/>
      <c r="B800" s="193"/>
      <c r="C800" s="193"/>
      <c r="D800" s="220"/>
      <c r="G800" s="197"/>
      <c r="H800" s="201"/>
      <c r="I800" s="202"/>
      <c r="J800" s="197"/>
      <c r="K800" s="197"/>
      <c r="L800" s="197"/>
      <c r="M800" s="197"/>
      <c r="N800" s="197"/>
      <c r="O800" s="200"/>
      <c r="P800" s="197"/>
      <c r="Q800" s="197"/>
      <c r="R800" s="197"/>
      <c r="S800" s="197"/>
    </row>
    <row r="801" spans="1:19" x14ac:dyDescent="0.2">
      <c r="A801" s="203"/>
      <c r="B801" s="193"/>
      <c r="C801" s="193"/>
      <c r="D801" s="220"/>
      <c r="G801" s="197"/>
      <c r="H801" s="201"/>
      <c r="I801" s="202"/>
      <c r="J801" s="197"/>
      <c r="K801" s="197"/>
      <c r="L801" s="197"/>
      <c r="M801" s="197"/>
      <c r="N801" s="197"/>
      <c r="O801" s="200"/>
      <c r="P801" s="197"/>
      <c r="Q801" s="197"/>
      <c r="R801" s="197"/>
      <c r="S801" s="197"/>
    </row>
    <row r="802" spans="1:19" x14ac:dyDescent="0.2">
      <c r="A802" s="203"/>
      <c r="B802" s="193"/>
      <c r="C802" s="193"/>
      <c r="D802" s="220"/>
      <c r="G802" s="197"/>
      <c r="H802" s="201"/>
      <c r="I802" s="202"/>
      <c r="J802" s="197"/>
      <c r="K802" s="197"/>
      <c r="L802" s="197"/>
      <c r="M802" s="197"/>
      <c r="N802" s="197"/>
      <c r="O802" s="200"/>
      <c r="P802" s="197"/>
      <c r="Q802" s="197"/>
      <c r="R802" s="197"/>
      <c r="S802" s="197"/>
    </row>
    <row r="803" spans="1:19" x14ac:dyDescent="0.2">
      <c r="A803" s="203"/>
      <c r="B803" s="193"/>
      <c r="C803" s="193"/>
      <c r="D803" s="220"/>
      <c r="G803" s="197"/>
      <c r="H803" s="201"/>
      <c r="I803" s="202"/>
      <c r="J803" s="197"/>
      <c r="K803" s="197"/>
      <c r="L803" s="197"/>
      <c r="M803" s="197"/>
      <c r="N803" s="197"/>
      <c r="O803" s="200"/>
      <c r="P803" s="197"/>
      <c r="Q803" s="197"/>
      <c r="R803" s="197"/>
      <c r="S803" s="197"/>
    </row>
    <row r="804" spans="1:19" x14ac:dyDescent="0.2">
      <c r="A804" s="203"/>
      <c r="B804" s="193"/>
      <c r="C804" s="193"/>
      <c r="D804" s="220"/>
      <c r="G804" s="197"/>
      <c r="H804" s="201"/>
      <c r="I804" s="202"/>
      <c r="J804" s="197"/>
      <c r="K804" s="197"/>
      <c r="L804" s="197"/>
      <c r="M804" s="197"/>
      <c r="N804" s="197"/>
      <c r="O804" s="200"/>
      <c r="P804" s="197"/>
      <c r="Q804" s="197"/>
      <c r="R804" s="197"/>
      <c r="S804" s="197"/>
    </row>
    <row r="805" spans="1:19" x14ac:dyDescent="0.2">
      <c r="A805" s="203"/>
      <c r="B805" s="193"/>
      <c r="C805" s="193"/>
      <c r="D805" s="220"/>
      <c r="G805" s="197"/>
      <c r="H805" s="201"/>
      <c r="I805" s="202"/>
      <c r="J805" s="197"/>
      <c r="K805" s="197"/>
      <c r="L805" s="197"/>
      <c r="M805" s="197"/>
      <c r="N805" s="197"/>
      <c r="O805" s="200"/>
      <c r="P805" s="197"/>
      <c r="Q805" s="197"/>
      <c r="R805" s="197"/>
      <c r="S805" s="197"/>
    </row>
    <row r="806" spans="1:19" x14ac:dyDescent="0.2">
      <c r="A806" s="203"/>
      <c r="B806" s="193"/>
      <c r="C806" s="193"/>
      <c r="D806" s="220"/>
      <c r="G806" s="197"/>
      <c r="H806" s="201"/>
      <c r="I806" s="202"/>
      <c r="J806" s="197"/>
      <c r="K806" s="197"/>
      <c r="L806" s="197"/>
      <c r="M806" s="197"/>
      <c r="N806" s="197"/>
      <c r="O806" s="200"/>
      <c r="P806" s="197"/>
      <c r="Q806" s="197"/>
      <c r="R806" s="197"/>
      <c r="S806" s="197"/>
    </row>
    <row r="807" spans="1:19" x14ac:dyDescent="0.2">
      <c r="A807" s="203"/>
      <c r="B807" s="193"/>
      <c r="C807" s="193"/>
      <c r="D807" s="220"/>
      <c r="G807" s="197"/>
      <c r="H807" s="201"/>
      <c r="I807" s="202"/>
      <c r="J807" s="197"/>
      <c r="K807" s="197"/>
      <c r="L807" s="197"/>
      <c r="M807" s="197"/>
      <c r="N807" s="197"/>
      <c r="O807" s="200"/>
      <c r="P807" s="197"/>
      <c r="Q807" s="197"/>
      <c r="R807" s="197"/>
      <c r="S807" s="197"/>
    </row>
    <row r="808" spans="1:19" x14ac:dyDescent="0.2">
      <c r="A808" s="203"/>
      <c r="B808" s="193"/>
      <c r="C808" s="193"/>
      <c r="D808" s="220"/>
      <c r="G808" s="197"/>
      <c r="H808" s="201"/>
      <c r="I808" s="202"/>
      <c r="J808" s="197"/>
      <c r="K808" s="197"/>
      <c r="L808" s="197"/>
      <c r="M808" s="197"/>
      <c r="N808" s="197"/>
      <c r="O808" s="200"/>
      <c r="P808" s="197"/>
      <c r="Q808" s="197"/>
      <c r="R808" s="197"/>
      <c r="S808" s="197"/>
    </row>
    <row r="809" spans="1:19" x14ac:dyDescent="0.2">
      <c r="A809" s="203"/>
      <c r="B809" s="193"/>
      <c r="C809" s="193"/>
      <c r="D809" s="193"/>
      <c r="G809" s="197"/>
      <c r="H809" s="201"/>
      <c r="I809" s="202"/>
      <c r="J809" s="197"/>
      <c r="K809" s="197"/>
      <c r="L809" s="197"/>
      <c r="M809" s="197"/>
      <c r="N809" s="197"/>
      <c r="O809" s="200"/>
      <c r="P809" s="197"/>
      <c r="Q809" s="197"/>
      <c r="R809" s="197"/>
      <c r="S809" s="197"/>
    </row>
    <row r="810" spans="1:19" x14ac:dyDescent="0.2">
      <c r="A810" s="203"/>
      <c r="B810" s="193"/>
      <c r="C810" s="193"/>
      <c r="D810" s="193"/>
      <c r="G810" s="197"/>
      <c r="H810" s="201"/>
      <c r="I810" s="202"/>
      <c r="J810" s="197"/>
      <c r="K810" s="197"/>
      <c r="L810" s="197"/>
      <c r="M810" s="197"/>
      <c r="N810" s="197"/>
      <c r="O810" s="200"/>
      <c r="P810" s="197"/>
      <c r="Q810" s="197"/>
      <c r="R810" s="197"/>
      <c r="S810" s="197"/>
    </row>
    <row r="811" spans="1:19" x14ac:dyDescent="0.2">
      <c r="A811" s="203"/>
      <c r="B811" s="193"/>
      <c r="C811" s="193"/>
      <c r="D811" s="193"/>
      <c r="G811" s="197"/>
      <c r="H811" s="201"/>
      <c r="I811" s="202"/>
      <c r="J811" s="197"/>
      <c r="K811" s="197"/>
      <c r="L811" s="197"/>
      <c r="M811" s="197"/>
      <c r="N811" s="197"/>
      <c r="O811" s="200"/>
      <c r="P811" s="197"/>
      <c r="Q811" s="197"/>
      <c r="R811" s="197"/>
      <c r="S811" s="197"/>
    </row>
    <row r="812" spans="1:19" x14ac:dyDescent="0.2">
      <c r="A812" s="203"/>
      <c r="B812" s="193"/>
      <c r="C812" s="193"/>
      <c r="D812" s="193"/>
      <c r="G812" s="197"/>
      <c r="H812" s="201"/>
      <c r="I812" s="202"/>
      <c r="J812" s="197"/>
      <c r="K812" s="197"/>
      <c r="L812" s="197"/>
      <c r="M812" s="197"/>
      <c r="N812" s="197"/>
      <c r="O812" s="200"/>
      <c r="P812" s="197"/>
      <c r="Q812" s="197"/>
      <c r="R812" s="197"/>
      <c r="S812" s="197"/>
    </row>
    <row r="813" spans="1:19" x14ac:dyDescent="0.2">
      <c r="A813" s="203"/>
      <c r="B813" s="193"/>
      <c r="C813" s="193"/>
      <c r="D813" s="193"/>
      <c r="G813" s="197"/>
      <c r="H813" s="201"/>
      <c r="I813" s="202"/>
      <c r="J813" s="197"/>
      <c r="K813" s="197"/>
      <c r="L813" s="197"/>
      <c r="M813" s="197"/>
      <c r="N813" s="197"/>
      <c r="O813" s="200"/>
      <c r="P813" s="197"/>
      <c r="Q813" s="197"/>
      <c r="R813" s="197"/>
      <c r="S813" s="197"/>
    </row>
    <row r="814" spans="1:19" x14ac:dyDescent="0.2">
      <c r="A814" s="203"/>
      <c r="B814" s="193"/>
      <c r="C814" s="193"/>
      <c r="D814" s="193"/>
      <c r="G814" s="197"/>
      <c r="H814" s="201"/>
      <c r="I814" s="202"/>
      <c r="J814" s="197"/>
      <c r="K814" s="197"/>
      <c r="L814" s="197"/>
      <c r="M814" s="197"/>
      <c r="N814" s="197"/>
      <c r="O814" s="200"/>
      <c r="P814" s="197"/>
      <c r="Q814" s="197"/>
      <c r="R814" s="197"/>
      <c r="S814" s="197"/>
    </row>
    <row r="815" spans="1:19" x14ac:dyDescent="0.2">
      <c r="A815" s="203"/>
      <c r="B815" s="193"/>
      <c r="C815" s="193"/>
      <c r="D815" s="193"/>
      <c r="G815" s="197"/>
      <c r="H815" s="201"/>
      <c r="I815" s="202"/>
      <c r="J815" s="197"/>
      <c r="K815" s="197"/>
      <c r="L815" s="197"/>
      <c r="M815" s="197"/>
      <c r="N815" s="197"/>
      <c r="O815" s="200"/>
      <c r="P815" s="197"/>
      <c r="Q815" s="197"/>
      <c r="R815" s="197"/>
      <c r="S815" s="197"/>
    </row>
    <row r="816" spans="1:19" x14ac:dyDescent="0.2">
      <c r="A816" s="203"/>
      <c r="B816" s="193"/>
      <c r="C816" s="193"/>
      <c r="D816" s="193"/>
      <c r="G816" s="197"/>
      <c r="H816" s="201"/>
      <c r="I816" s="202"/>
      <c r="J816" s="197"/>
      <c r="K816" s="197"/>
      <c r="L816" s="197"/>
      <c r="M816" s="197"/>
      <c r="N816" s="197"/>
      <c r="O816" s="200"/>
      <c r="P816" s="197"/>
      <c r="Q816" s="197"/>
      <c r="R816" s="197"/>
      <c r="S816" s="197"/>
    </row>
    <row r="817" spans="1:19" x14ac:dyDescent="0.2">
      <c r="A817" s="203"/>
      <c r="B817" s="193"/>
      <c r="C817" s="193"/>
      <c r="D817" s="193"/>
      <c r="G817" s="197"/>
      <c r="H817" s="201"/>
      <c r="I817" s="202"/>
      <c r="J817" s="197"/>
      <c r="K817" s="197"/>
      <c r="L817" s="197"/>
      <c r="M817" s="197"/>
      <c r="N817" s="197"/>
      <c r="O817" s="200"/>
      <c r="P817" s="197"/>
      <c r="Q817" s="197"/>
      <c r="R817" s="197"/>
      <c r="S817" s="197"/>
    </row>
    <row r="818" spans="1:19" x14ac:dyDescent="0.2">
      <c r="A818" s="203"/>
      <c r="B818" s="193"/>
      <c r="C818" s="193"/>
      <c r="D818" s="193"/>
      <c r="G818" s="197"/>
      <c r="H818" s="201"/>
      <c r="I818" s="202"/>
      <c r="J818" s="197"/>
      <c r="K818" s="197"/>
      <c r="L818" s="197"/>
      <c r="M818" s="197"/>
      <c r="N818" s="197"/>
      <c r="O818" s="200"/>
      <c r="P818" s="197"/>
      <c r="Q818" s="197"/>
      <c r="R818" s="197"/>
      <c r="S818" s="197"/>
    </row>
    <row r="819" spans="1:19" x14ac:dyDescent="0.2">
      <c r="A819" s="193"/>
      <c r="B819" s="193"/>
      <c r="C819" s="193"/>
      <c r="D819" s="193"/>
      <c r="G819" s="197"/>
      <c r="H819" s="201"/>
      <c r="I819" s="202"/>
      <c r="J819" s="197"/>
      <c r="K819" s="197"/>
      <c r="L819" s="197"/>
      <c r="M819" s="197"/>
      <c r="N819" s="197"/>
      <c r="O819" s="200"/>
      <c r="P819" s="197"/>
      <c r="Q819" s="197"/>
      <c r="R819" s="197"/>
      <c r="S819" s="197"/>
    </row>
    <row r="820" spans="1:19" x14ac:dyDescent="0.2">
      <c r="A820" s="193"/>
      <c r="B820" s="193"/>
      <c r="C820" s="193"/>
      <c r="D820" s="193"/>
      <c r="G820" s="197"/>
      <c r="H820" s="201"/>
      <c r="I820" s="202"/>
      <c r="J820" s="197"/>
      <c r="K820" s="197"/>
      <c r="L820" s="197"/>
      <c r="M820" s="197"/>
      <c r="N820" s="197"/>
      <c r="O820" s="200"/>
      <c r="P820" s="197"/>
      <c r="Q820" s="197"/>
      <c r="R820" s="197"/>
      <c r="S820" s="197"/>
    </row>
    <row r="821" spans="1:19" x14ac:dyDescent="0.2">
      <c r="A821" s="193"/>
      <c r="B821" s="193"/>
      <c r="C821" s="193"/>
      <c r="D821" s="193"/>
      <c r="G821" s="197"/>
      <c r="H821" s="201"/>
      <c r="I821" s="202"/>
      <c r="J821" s="197"/>
      <c r="K821" s="197"/>
      <c r="L821" s="197"/>
      <c r="M821" s="197"/>
      <c r="N821" s="197"/>
      <c r="O821" s="200"/>
      <c r="P821" s="197"/>
      <c r="Q821" s="197"/>
      <c r="R821" s="197"/>
      <c r="S821" s="197"/>
    </row>
    <row r="822" spans="1:19" x14ac:dyDescent="0.2">
      <c r="A822" s="193"/>
      <c r="B822" s="193"/>
      <c r="C822" s="193"/>
      <c r="D822" s="193"/>
      <c r="G822" s="197"/>
      <c r="H822" s="201"/>
      <c r="I822" s="202"/>
      <c r="J822" s="197"/>
      <c r="K822" s="197"/>
      <c r="L822" s="197"/>
      <c r="M822" s="197"/>
      <c r="N822" s="197"/>
      <c r="O822" s="200"/>
      <c r="P822" s="197"/>
      <c r="Q822" s="197"/>
      <c r="R822" s="197"/>
      <c r="S822" s="197"/>
    </row>
    <row r="823" spans="1:19" x14ac:dyDescent="0.2">
      <c r="A823" s="193"/>
      <c r="B823" s="193"/>
      <c r="C823" s="193"/>
      <c r="D823" s="193"/>
      <c r="G823" s="197"/>
      <c r="H823" s="201"/>
      <c r="I823" s="202"/>
      <c r="J823" s="197"/>
      <c r="K823" s="197"/>
      <c r="L823" s="197"/>
      <c r="M823" s="197"/>
      <c r="N823" s="197"/>
      <c r="O823" s="200"/>
      <c r="P823" s="197"/>
      <c r="Q823" s="197"/>
      <c r="R823" s="197"/>
      <c r="S823" s="197"/>
    </row>
    <row r="824" spans="1:19" x14ac:dyDescent="0.2">
      <c r="A824" s="193"/>
      <c r="B824" s="193"/>
      <c r="C824" s="193"/>
      <c r="D824" s="193"/>
      <c r="G824" s="197"/>
      <c r="H824" s="201"/>
      <c r="I824" s="202"/>
      <c r="J824" s="197"/>
      <c r="K824" s="197"/>
      <c r="L824" s="197"/>
      <c r="M824" s="197"/>
      <c r="N824" s="197"/>
      <c r="O824" s="200"/>
      <c r="P824" s="197"/>
      <c r="Q824" s="197"/>
      <c r="R824" s="197"/>
      <c r="S824" s="197"/>
    </row>
    <row r="825" spans="1:19" x14ac:dyDescent="0.2">
      <c r="A825" s="193"/>
      <c r="B825" s="193"/>
      <c r="C825" s="193"/>
      <c r="D825" s="193"/>
      <c r="G825" s="197"/>
      <c r="H825" s="201"/>
      <c r="I825" s="202"/>
      <c r="J825" s="197"/>
      <c r="K825" s="197"/>
      <c r="L825" s="197"/>
      <c r="M825" s="197"/>
      <c r="N825" s="197"/>
      <c r="O825" s="200"/>
      <c r="P825" s="197"/>
      <c r="Q825" s="197"/>
      <c r="R825" s="197"/>
      <c r="S825" s="197"/>
    </row>
    <row r="826" spans="1:19" x14ac:dyDescent="0.2">
      <c r="A826" s="193"/>
      <c r="B826" s="193"/>
      <c r="C826" s="193"/>
      <c r="D826" s="193"/>
      <c r="G826" s="197"/>
      <c r="H826" s="201"/>
      <c r="I826" s="202"/>
      <c r="J826" s="197"/>
      <c r="K826" s="197"/>
      <c r="L826" s="197"/>
      <c r="M826" s="197"/>
      <c r="N826" s="197"/>
      <c r="O826" s="200"/>
      <c r="P826" s="197"/>
      <c r="Q826" s="197"/>
      <c r="R826" s="197"/>
      <c r="S826" s="197"/>
    </row>
    <row r="827" spans="1:19" x14ac:dyDescent="0.2">
      <c r="A827" s="193"/>
      <c r="B827" s="193"/>
      <c r="C827" s="193"/>
      <c r="D827" s="193"/>
      <c r="G827" s="197"/>
      <c r="H827" s="201"/>
      <c r="I827" s="202"/>
      <c r="J827" s="197"/>
      <c r="K827" s="197"/>
      <c r="L827" s="197"/>
      <c r="M827" s="197"/>
      <c r="N827" s="197"/>
      <c r="O827" s="200"/>
      <c r="P827" s="197"/>
      <c r="Q827" s="197"/>
      <c r="R827" s="197"/>
      <c r="S827" s="197"/>
    </row>
    <row r="828" spans="1:19" x14ac:dyDescent="0.2">
      <c r="A828" s="193"/>
      <c r="B828" s="193"/>
      <c r="C828" s="193"/>
      <c r="D828" s="193"/>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17" zoomScale="90" zoomScaleNormal="90" zoomScaleSheetLayoutView="90" workbookViewId="0">
      <selection activeCell="C43" sqref="C43"/>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6"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09" customWidth="1"/>
    <col min="11" max="11" width="24.85546875" style="82" customWidth="1"/>
    <col min="12" max="16384" width="11.42578125" style="82"/>
  </cols>
  <sheetData>
    <row r="1" spans="1:10" ht="20.100000000000001" customHeight="1" x14ac:dyDescent="0.2">
      <c r="A1" s="699" t="s">
        <v>942</v>
      </c>
      <c r="B1" s="700"/>
      <c r="C1" s="700"/>
      <c r="D1" s="701"/>
      <c r="E1" s="87"/>
      <c r="F1" s="87"/>
      <c r="I1" s="509"/>
      <c r="J1" s="82"/>
    </row>
    <row r="2" spans="1:10" s="93" customFormat="1" ht="20.100000000000001" customHeight="1" x14ac:dyDescent="0.2">
      <c r="A2" s="81" t="s">
        <v>8</v>
      </c>
      <c r="C2" s="81" t="s">
        <v>1017</v>
      </c>
      <c r="D2" s="81"/>
      <c r="E2" s="81"/>
      <c r="F2" s="81"/>
      <c r="I2" s="509"/>
    </row>
    <row r="3" spans="1:10" s="95" customFormat="1" ht="20.100000000000001" customHeight="1" x14ac:dyDescent="0.2">
      <c r="A3" s="94" t="s">
        <v>9</v>
      </c>
      <c r="C3" s="96" t="s">
        <v>2078</v>
      </c>
      <c r="D3" s="97"/>
      <c r="E3" s="94" t="s">
        <v>2063</v>
      </c>
      <c r="F3" s="97"/>
      <c r="I3" s="510"/>
    </row>
    <row r="4" spans="1:10" s="172" customFormat="1" ht="19.5" customHeight="1" x14ac:dyDescent="0.2">
      <c r="A4" s="170" t="s">
        <v>982</v>
      </c>
      <c r="C4" s="171"/>
      <c r="D4" s="39"/>
      <c r="E4" s="96"/>
      <c r="F4" s="172" t="s">
        <v>2064</v>
      </c>
      <c r="I4" s="511"/>
    </row>
    <row r="5" spans="1:10" s="172" customFormat="1" ht="19.5" customHeight="1" x14ac:dyDescent="0.2">
      <c r="A5" s="170" t="s">
        <v>983</v>
      </c>
      <c r="C5" s="171"/>
      <c r="D5" s="39"/>
      <c r="E5" s="39"/>
      <c r="I5" s="511"/>
    </row>
    <row r="6" spans="1:10" s="172" customFormat="1" ht="19.5" customHeight="1" x14ac:dyDescent="0.2">
      <c r="A6" s="170" t="s">
        <v>984</v>
      </c>
      <c r="C6" s="171"/>
      <c r="D6" s="39"/>
      <c r="E6" s="525"/>
      <c r="F6" s="172" t="s">
        <v>2065</v>
      </c>
      <c r="I6" s="511"/>
    </row>
    <row r="7" spans="1:10" s="172" customFormat="1" ht="19.5" customHeight="1" x14ac:dyDescent="0.2">
      <c r="A7" s="170" t="s">
        <v>985</v>
      </c>
      <c r="C7" s="171"/>
      <c r="D7" s="39"/>
      <c r="E7" s="39"/>
      <c r="I7" s="511"/>
    </row>
    <row r="8" spans="1:10" s="95" customFormat="1" ht="20.100000000000001" customHeight="1" x14ac:dyDescent="0.2">
      <c r="A8" s="94" t="s">
        <v>13</v>
      </c>
      <c r="C8" s="98" t="s">
        <v>2079</v>
      </c>
      <c r="D8" s="97"/>
      <c r="E8" s="678"/>
      <c r="F8" s="172" t="s">
        <v>2066</v>
      </c>
      <c r="I8" s="510"/>
    </row>
    <row r="9" spans="1:10" s="95" customFormat="1" ht="20.100000000000001" customHeight="1" x14ac:dyDescent="0.2">
      <c r="A9" s="94" t="s">
        <v>12</v>
      </c>
      <c r="C9" s="99" t="s">
        <v>2100</v>
      </c>
      <c r="I9" s="510"/>
    </row>
    <row r="10" spans="1:10" s="95" customFormat="1" ht="20.100000000000001" customHeight="1" x14ac:dyDescent="0.2">
      <c r="A10" s="94" t="s">
        <v>30</v>
      </c>
      <c r="C10" s="100" t="s">
        <v>2099</v>
      </c>
      <c r="I10" s="510"/>
    </row>
    <row r="11" spans="1:10" s="95" customFormat="1" ht="20.100000000000001" customHeight="1" x14ac:dyDescent="0.2">
      <c r="A11" s="94" t="s">
        <v>15</v>
      </c>
      <c r="C11" s="101">
        <v>62500000</v>
      </c>
      <c r="I11" s="510"/>
    </row>
    <row r="12" spans="1:10" s="95" customFormat="1" ht="20.100000000000001" customHeight="1" x14ac:dyDescent="0.2">
      <c r="A12" s="94" t="s">
        <v>893</v>
      </c>
      <c r="C12" s="102">
        <v>0.1</v>
      </c>
      <c r="I12" s="510"/>
    </row>
    <row r="13" spans="1:10" s="95" customFormat="1" ht="20.100000000000001" customHeight="1" x14ac:dyDescent="0.2">
      <c r="A13" s="94" t="s">
        <v>892</v>
      </c>
      <c r="C13" s="103">
        <v>43579</v>
      </c>
      <c r="I13" s="510"/>
    </row>
    <row r="14" spans="1:10" s="95" customFormat="1" ht="20.100000000000001" customHeight="1" x14ac:dyDescent="0.2">
      <c r="A14" s="94" t="s">
        <v>14</v>
      </c>
      <c r="C14" s="104" t="s">
        <v>2080</v>
      </c>
      <c r="I14" s="510"/>
    </row>
    <row r="15" spans="1:10" s="95" customFormat="1" ht="20.100000000000001" customHeight="1" x14ac:dyDescent="0.2">
      <c r="A15" s="94"/>
      <c r="B15" s="105"/>
      <c r="I15" s="510"/>
    </row>
    <row r="16" spans="1:10" ht="20.100000000000001" customHeight="1" x14ac:dyDescent="0.2">
      <c r="A16" s="702" t="s">
        <v>943</v>
      </c>
      <c r="B16" s="702"/>
      <c r="C16" s="702"/>
      <c r="D16" s="702"/>
      <c r="E16" s="702"/>
      <c r="F16" s="87"/>
      <c r="I16" s="509"/>
      <c r="J16" s="82"/>
    </row>
    <row r="17" spans="1:11" s="95" customFormat="1" ht="20.100000000000001" customHeight="1" x14ac:dyDescent="0.2">
      <c r="A17" s="94" t="s">
        <v>10</v>
      </c>
      <c r="C17" s="525"/>
      <c r="D17" s="117"/>
      <c r="I17" s="510"/>
    </row>
    <row r="18" spans="1:11" s="172" customFormat="1" ht="20.100000000000001" customHeight="1" x14ac:dyDescent="0.2">
      <c r="A18" s="170" t="s">
        <v>1846</v>
      </c>
      <c r="B18" s="521"/>
      <c r="C18" s="525"/>
      <c r="D18" s="39"/>
      <c r="E18" s="39"/>
      <c r="I18" s="511"/>
    </row>
    <row r="19" spans="1:11" s="172" customFormat="1" ht="20.100000000000001" customHeight="1" x14ac:dyDescent="0.2">
      <c r="A19" s="170" t="s">
        <v>1847</v>
      </c>
      <c r="B19" s="521"/>
      <c r="C19" s="525"/>
      <c r="D19" s="39"/>
      <c r="E19" s="39"/>
      <c r="I19" s="511"/>
    </row>
    <row r="20" spans="1:11" s="172" customFormat="1" ht="20.100000000000001" customHeight="1" x14ac:dyDescent="0.2">
      <c r="A20" s="170" t="s">
        <v>1848</v>
      </c>
      <c r="B20" s="521"/>
      <c r="C20" s="525"/>
      <c r="D20" s="39"/>
      <c r="E20" s="39"/>
      <c r="I20" s="511"/>
      <c r="K20" s="172" t="e">
        <f>MATCH(Datos!B32,T_Datos)</f>
        <v>#N/A</v>
      </c>
    </row>
    <row r="21" spans="1:11" s="172" customFormat="1" ht="20.100000000000001" customHeight="1" x14ac:dyDescent="0.2">
      <c r="A21" s="170" t="s">
        <v>1847</v>
      </c>
      <c r="B21" s="521"/>
      <c r="C21" s="525"/>
      <c r="D21" s="39"/>
      <c r="E21" s="39"/>
      <c r="I21" s="511"/>
    </row>
    <row r="22" spans="1:11" s="172" customFormat="1" ht="20.100000000000001" customHeight="1" x14ac:dyDescent="0.2">
      <c r="A22" s="170" t="s">
        <v>1848</v>
      </c>
      <c r="B22" s="521"/>
      <c r="C22" s="525"/>
      <c r="D22" s="39"/>
      <c r="E22" s="39"/>
      <c r="I22" s="511"/>
    </row>
    <row r="23" spans="1:11" s="172" customFormat="1" ht="20.100000000000001" customHeight="1" x14ac:dyDescent="0.2">
      <c r="A23" s="94" t="s">
        <v>1845</v>
      </c>
      <c r="C23" s="525"/>
      <c r="D23" s="117"/>
      <c r="E23" s="95"/>
      <c r="F23" s="95"/>
      <c r="G23" s="95"/>
      <c r="H23" s="95"/>
      <c r="I23" s="511"/>
    </row>
    <row r="24" spans="1:11" s="172" customFormat="1" ht="20.100000000000001" customHeight="1" x14ac:dyDescent="0.2">
      <c r="A24" s="94" t="s">
        <v>937</v>
      </c>
      <c r="C24" s="525"/>
      <c r="D24" s="118"/>
      <c r="E24" s="115"/>
      <c r="F24" s="115"/>
      <c r="G24" s="82"/>
      <c r="H24" s="82"/>
      <c r="I24" s="511"/>
    </row>
    <row r="25" spans="1:11" s="172" customFormat="1" ht="20.100000000000001" customHeight="1" x14ac:dyDescent="0.2">
      <c r="A25" s="94" t="s">
        <v>936</v>
      </c>
      <c r="B25" s="82"/>
      <c r="C25" s="525"/>
      <c r="D25" s="118"/>
      <c r="E25" s="82"/>
      <c r="F25" s="82"/>
      <c r="G25" s="82"/>
      <c r="H25" s="82"/>
      <c r="I25" s="511"/>
    </row>
    <row r="26" spans="1:11" s="172" customFormat="1" ht="20.100000000000001" customHeight="1" x14ac:dyDescent="0.2">
      <c r="A26" s="94" t="s">
        <v>962</v>
      </c>
      <c r="C26" s="525"/>
      <c r="D26" s="118"/>
      <c r="E26" s="82"/>
      <c r="F26" s="82"/>
      <c r="G26" s="82"/>
      <c r="H26" s="82"/>
      <c r="I26" s="511"/>
    </row>
    <row r="27" spans="1:11" s="172" customFormat="1" ht="20.100000000000001" customHeight="1" x14ac:dyDescent="0.2">
      <c r="A27" s="94" t="s">
        <v>935</v>
      </c>
      <c r="B27" s="82"/>
      <c r="C27" s="525"/>
      <c r="D27" s="118"/>
      <c r="E27" s="82"/>
      <c r="F27" s="82"/>
      <c r="G27" s="82"/>
      <c r="H27" s="82"/>
      <c r="I27" s="511"/>
    </row>
    <row r="28" spans="1:11" ht="20.100000000000001" customHeight="1" x14ac:dyDescent="0.2">
      <c r="A28" s="94" t="s">
        <v>939</v>
      </c>
      <c r="C28" s="677">
        <f>PrecioUnitario(1,Costo_Financiero,Gasto_Generales_Porcentaje,Beneficio,Ingresos_Brutos,IVA)</f>
        <v>1</v>
      </c>
      <c r="I28" s="509"/>
      <c r="J28" s="106"/>
    </row>
    <row r="29" spans="1:11" ht="20.100000000000001" customHeight="1" x14ac:dyDescent="0.2">
      <c r="D29" s="84"/>
      <c r="E29" s="116"/>
      <c r="K29" s="106"/>
    </row>
    <row r="30" spans="1:11" ht="20.100000000000001" customHeight="1" x14ac:dyDescent="0.2">
      <c r="B30" s="699" t="s">
        <v>961</v>
      </c>
      <c r="C30" s="700"/>
      <c r="D30" s="700"/>
      <c r="E30" s="701"/>
      <c r="F30" s="87"/>
      <c r="I30" s="509"/>
      <c r="J30" s="106"/>
    </row>
    <row r="31" spans="1:11" ht="20.100000000000001" customHeight="1" x14ac:dyDescent="0.2">
      <c r="G31" s="698" t="s">
        <v>963</v>
      </c>
      <c r="H31" s="698"/>
      <c r="I31" s="509"/>
      <c r="J31" s="106"/>
    </row>
    <row r="32" spans="1:11" ht="27.75" customHeight="1" x14ac:dyDescent="0.2">
      <c r="B32" s="530" t="s">
        <v>894</v>
      </c>
      <c r="C32" s="526" t="s">
        <v>0</v>
      </c>
      <c r="D32" s="531" t="s">
        <v>1</v>
      </c>
      <c r="E32" s="530" t="s">
        <v>2</v>
      </c>
      <c r="F32" s="121"/>
      <c r="G32" s="530" t="s">
        <v>964</v>
      </c>
      <c r="H32" s="530" t="s">
        <v>1</v>
      </c>
      <c r="I32" s="509"/>
      <c r="J32" s="530" t="s">
        <v>1849</v>
      </c>
    </row>
    <row r="33" spans="1:11" ht="20.100000000000001" customHeight="1" x14ac:dyDescent="0.2">
      <c r="B33" s="79"/>
      <c r="C33" s="519"/>
      <c r="D33" s="119"/>
      <c r="E33" s="79"/>
      <c r="F33" s="121"/>
      <c r="G33" s="690"/>
      <c r="H33" s="690"/>
      <c r="I33" s="509"/>
      <c r="J33" s="82"/>
    </row>
    <row r="34" spans="1:11" ht="20.100000000000001" customHeight="1" x14ac:dyDescent="0.2">
      <c r="A34" s="673">
        <f>IF(D34=0,A33,A33+1)</f>
        <v>0</v>
      </c>
      <c r="B34" s="122">
        <v>1</v>
      </c>
      <c r="C34" s="80" t="str">
        <f>IFERROR(VLOOKUP(J34,T_Código_Items,2,FALSE),G34)</f>
        <v>SEÑALIZACION HORIZONTAL</v>
      </c>
      <c r="D34" s="120">
        <f t="shared" ref="D34:D64" si="0">IFERROR(VLOOKUP(J34,T_Código_Items,3,FALSE),H34)</f>
        <v>0</v>
      </c>
      <c r="E34" s="675"/>
      <c r="F34" s="166"/>
      <c r="G34" s="167" t="s">
        <v>2081</v>
      </c>
      <c r="H34" s="674"/>
      <c r="I34" s="509"/>
      <c r="J34" s="82"/>
    </row>
    <row r="35" spans="1:11" ht="20.100000000000001" customHeight="1" x14ac:dyDescent="0.2">
      <c r="A35" s="673">
        <f t="shared" ref="A35:A98" si="1">IF(D35=0,A34,A34+1)</f>
        <v>0</v>
      </c>
      <c r="B35" s="520" t="s">
        <v>2096</v>
      </c>
      <c r="C35" s="80" t="str">
        <f>IFERROR(VLOOKUP(J35,T_Código_Items,2,FALSE),G35)</f>
        <v>CON MATERIAL TERMOPLASTICO REFLECTANTE</v>
      </c>
      <c r="D35" s="120">
        <f t="shared" si="0"/>
        <v>0</v>
      </c>
      <c r="E35" s="676"/>
      <c r="F35" s="168"/>
      <c r="G35" s="167" t="s">
        <v>2082</v>
      </c>
      <c r="H35" s="674"/>
      <c r="I35" s="522"/>
      <c r="J35" s="82"/>
    </row>
    <row r="36" spans="1:11" ht="20.100000000000001" customHeight="1" x14ac:dyDescent="0.2">
      <c r="A36" s="673">
        <f t="shared" si="1"/>
        <v>1</v>
      </c>
      <c r="B36" s="520" t="s">
        <v>2093</v>
      </c>
      <c r="C36" s="80" t="str">
        <f>IFERROR(VLOOKUP(J36,T_Código_Items,2,FALSE),G36)</f>
        <v>Por Pulverización</v>
      </c>
      <c r="D36" s="120" t="str">
        <f t="shared" si="0"/>
        <v>m2</v>
      </c>
      <c r="E36" s="676">
        <v>30000</v>
      </c>
      <c r="F36" s="168"/>
      <c r="G36" s="167" t="s">
        <v>2083</v>
      </c>
      <c r="H36" s="674" t="s">
        <v>6</v>
      </c>
      <c r="I36" s="523"/>
      <c r="J36" s="82"/>
    </row>
    <row r="37" spans="1:11" ht="20.100000000000001" customHeight="1" x14ac:dyDescent="0.2">
      <c r="A37" s="673">
        <f t="shared" si="1"/>
        <v>2</v>
      </c>
      <c r="B37" s="122" t="s">
        <v>2094</v>
      </c>
      <c r="C37" s="80" t="str">
        <f>IFERROR(VLOOKUP(J37,T_Código_Items,2,FALSE),G37)</f>
        <v>Por Extrusión</v>
      </c>
      <c r="D37" s="120" t="str">
        <f t="shared" si="0"/>
        <v>m2</v>
      </c>
      <c r="E37" s="676">
        <v>25000</v>
      </c>
      <c r="F37" s="168"/>
      <c r="G37" s="167" t="s">
        <v>2084</v>
      </c>
      <c r="H37" s="674" t="s">
        <v>6</v>
      </c>
      <c r="I37" s="509"/>
      <c r="J37" s="82"/>
    </row>
    <row r="38" spans="1:11" ht="20.100000000000001" customHeight="1" x14ac:dyDescent="0.2">
      <c r="A38" s="673">
        <f t="shared" si="1"/>
        <v>3</v>
      </c>
      <c r="B38" s="122" t="s">
        <v>2095</v>
      </c>
      <c r="C38" s="80" t="str">
        <f t="shared" ref="C38:C64" si="2">IFERROR(VLOOKUP(J38,T_Código_Items,2,FALSE),G38)</f>
        <v>CON PINTURA ACRILICA PARA PARA PAVIMENTOS APLICADA A TEMPERATURA AMBIENTE CON EQUIPO MECÁNICO</v>
      </c>
      <c r="D38" s="120" t="str">
        <f t="shared" si="0"/>
        <v>m2</v>
      </c>
      <c r="E38" s="676">
        <v>15000</v>
      </c>
      <c r="F38" s="168"/>
      <c r="G38" s="167" t="s">
        <v>2085</v>
      </c>
      <c r="H38" s="674" t="s">
        <v>6</v>
      </c>
      <c r="I38" s="524"/>
      <c r="J38" s="193"/>
    </row>
    <row r="39" spans="1:11" ht="20.100000000000001" customHeight="1" x14ac:dyDescent="0.2">
      <c r="A39" s="673">
        <f t="shared" si="1"/>
        <v>4</v>
      </c>
      <c r="B39" s="122">
        <v>2</v>
      </c>
      <c r="C39" s="80" t="str">
        <f t="shared" si="2"/>
        <v>PROVISION Y COLOCACION DE TACHAS REFLECTIVAS</v>
      </c>
      <c r="D39" s="120" t="str">
        <f t="shared" si="0"/>
        <v>n°</v>
      </c>
      <c r="E39" s="676">
        <v>1000</v>
      </c>
      <c r="F39" s="168"/>
      <c r="G39" s="167" t="s">
        <v>2086</v>
      </c>
      <c r="H39" s="674" t="s">
        <v>2090</v>
      </c>
      <c r="I39" s="524"/>
      <c r="J39" s="82"/>
    </row>
    <row r="40" spans="1:11" ht="20.100000000000001" customHeight="1" x14ac:dyDescent="0.2">
      <c r="A40" s="673">
        <f t="shared" si="1"/>
        <v>5</v>
      </c>
      <c r="B40" s="122">
        <v>3</v>
      </c>
      <c r="C40" s="80" t="str">
        <f t="shared" si="2"/>
        <v>SEÑALAMIENTO VERTICAL</v>
      </c>
      <c r="D40" s="120" t="str">
        <f t="shared" si="0"/>
        <v>m2</v>
      </c>
      <c r="E40" s="676">
        <v>500</v>
      </c>
      <c r="F40" s="168"/>
      <c r="G40" s="167" t="s">
        <v>1452</v>
      </c>
      <c r="H40" s="674" t="s">
        <v>6</v>
      </c>
      <c r="I40" s="524"/>
      <c r="J40" s="82"/>
      <c r="K40" s="107"/>
    </row>
    <row r="41" spans="1:11" ht="20.100000000000001" customHeight="1" x14ac:dyDescent="0.2">
      <c r="A41" s="673">
        <f t="shared" si="1"/>
        <v>5</v>
      </c>
      <c r="B41" s="122">
        <v>4</v>
      </c>
      <c r="C41" s="80" t="str">
        <f t="shared" si="2"/>
        <v>MOVILIDAD PARA EL PERSONAL AUXILIAR DE SUPERVISIÓN</v>
      </c>
      <c r="D41" s="120">
        <f t="shared" si="0"/>
        <v>0</v>
      </c>
      <c r="E41" s="676"/>
      <c r="F41" s="168"/>
      <c r="G41" s="167" t="s">
        <v>2087</v>
      </c>
      <c r="H41" s="674"/>
      <c r="I41" s="524"/>
      <c r="J41" s="82"/>
      <c r="K41" s="107"/>
    </row>
    <row r="42" spans="1:11" ht="20.100000000000001" customHeight="1" x14ac:dyDescent="0.2">
      <c r="A42" s="673">
        <f t="shared" si="1"/>
        <v>6</v>
      </c>
      <c r="B42" s="122" t="s">
        <v>2097</v>
      </c>
      <c r="C42" s="80" t="str">
        <f t="shared" si="2"/>
        <v>Cuota Fija</v>
      </c>
      <c r="D42" s="120" t="str">
        <f t="shared" si="0"/>
        <v>Mes</v>
      </c>
      <c r="E42" s="676">
        <v>6</v>
      </c>
      <c r="F42" s="168"/>
      <c r="G42" s="167" t="s">
        <v>2088</v>
      </c>
      <c r="H42" s="674" t="s">
        <v>2091</v>
      </c>
      <c r="I42" s="524"/>
      <c r="J42" s="82"/>
      <c r="K42" s="107"/>
    </row>
    <row r="43" spans="1:11" ht="20.100000000000001" customHeight="1" x14ac:dyDescent="0.2">
      <c r="A43" s="673">
        <f t="shared" si="1"/>
        <v>7</v>
      </c>
      <c r="B43" s="122" t="s">
        <v>2098</v>
      </c>
      <c r="C43" s="80" t="str">
        <f t="shared" si="2"/>
        <v>Cuota Adicional</v>
      </c>
      <c r="D43" s="120" t="str">
        <f t="shared" si="0"/>
        <v>Km</v>
      </c>
      <c r="E43" s="676">
        <v>9000</v>
      </c>
      <c r="F43" s="168"/>
      <c r="G43" s="167" t="s">
        <v>2089</v>
      </c>
      <c r="H43" s="674" t="s">
        <v>2092</v>
      </c>
      <c r="I43" s="524"/>
      <c r="J43" s="82"/>
      <c r="K43" s="107"/>
    </row>
    <row r="44" spans="1:11" ht="20.100000000000001" customHeight="1" x14ac:dyDescent="0.2">
      <c r="A44" s="673">
        <f t="shared" si="1"/>
        <v>7</v>
      </c>
      <c r="B44" s="122"/>
      <c r="C44" s="80">
        <f t="shared" si="2"/>
        <v>0</v>
      </c>
      <c r="D44" s="120">
        <f t="shared" si="0"/>
        <v>0</v>
      </c>
      <c r="E44" s="676"/>
      <c r="F44" s="168"/>
      <c r="G44" s="167"/>
      <c r="H44" s="674"/>
      <c r="I44" s="524"/>
      <c r="J44" s="82"/>
      <c r="K44" s="107"/>
    </row>
    <row r="45" spans="1:11" ht="20.100000000000001" customHeight="1" x14ac:dyDescent="0.2">
      <c r="A45" s="673">
        <f t="shared" si="1"/>
        <v>7</v>
      </c>
      <c r="B45" s="122"/>
      <c r="C45" s="80">
        <f t="shared" si="2"/>
        <v>0</v>
      </c>
      <c r="D45" s="120">
        <f t="shared" si="0"/>
        <v>0</v>
      </c>
      <c r="E45" s="676"/>
      <c r="F45" s="168"/>
      <c r="G45" s="167"/>
      <c r="H45" s="674"/>
      <c r="I45" s="524"/>
      <c r="J45" s="82"/>
      <c r="K45" s="107"/>
    </row>
    <row r="46" spans="1:11" ht="20.100000000000001" customHeight="1" x14ac:dyDescent="0.2">
      <c r="A46" s="673">
        <f t="shared" si="1"/>
        <v>7</v>
      </c>
      <c r="B46" s="122"/>
      <c r="C46" s="80">
        <f t="shared" si="2"/>
        <v>0</v>
      </c>
      <c r="D46" s="120">
        <f t="shared" si="0"/>
        <v>0</v>
      </c>
      <c r="E46" s="676"/>
      <c r="F46" s="168"/>
      <c r="G46" s="167"/>
      <c r="H46" s="674"/>
      <c r="I46" s="524"/>
      <c r="J46" s="82"/>
      <c r="K46" s="107"/>
    </row>
    <row r="47" spans="1:11" ht="20.100000000000001" customHeight="1" x14ac:dyDescent="0.2">
      <c r="A47" s="673">
        <f t="shared" si="1"/>
        <v>7</v>
      </c>
      <c r="B47" s="122"/>
      <c r="C47" s="80">
        <f t="shared" si="2"/>
        <v>0</v>
      </c>
      <c r="D47" s="120">
        <f t="shared" si="0"/>
        <v>0</v>
      </c>
      <c r="E47" s="676"/>
      <c r="F47" s="168"/>
      <c r="G47" s="167"/>
      <c r="H47" s="674"/>
      <c r="I47" s="524"/>
      <c r="J47" s="82"/>
      <c r="K47" s="107"/>
    </row>
    <row r="48" spans="1:11" ht="20.100000000000001" customHeight="1" x14ac:dyDescent="0.2">
      <c r="A48" s="673">
        <f t="shared" si="1"/>
        <v>7</v>
      </c>
      <c r="B48" s="122"/>
      <c r="C48" s="80">
        <f t="shared" si="2"/>
        <v>0</v>
      </c>
      <c r="D48" s="120">
        <f t="shared" si="0"/>
        <v>0</v>
      </c>
      <c r="E48" s="676"/>
      <c r="F48" s="168"/>
      <c r="G48" s="167"/>
      <c r="H48" s="674"/>
      <c r="I48" s="524"/>
      <c r="J48" s="82"/>
      <c r="K48" s="107"/>
    </row>
    <row r="49" spans="1:11" ht="20.100000000000001" customHeight="1" x14ac:dyDescent="0.2">
      <c r="A49" s="673">
        <f t="shared" si="1"/>
        <v>7</v>
      </c>
      <c r="B49" s="122"/>
      <c r="C49" s="80">
        <f t="shared" si="2"/>
        <v>0</v>
      </c>
      <c r="D49" s="120">
        <f t="shared" si="0"/>
        <v>0</v>
      </c>
      <c r="E49" s="676"/>
      <c r="F49" s="168"/>
      <c r="G49" s="167"/>
      <c r="H49" s="674"/>
      <c r="I49" s="524"/>
      <c r="J49" s="82"/>
      <c r="K49" s="107"/>
    </row>
    <row r="50" spans="1:11" ht="20.100000000000001" customHeight="1" x14ac:dyDescent="0.2">
      <c r="A50" s="673">
        <f t="shared" si="1"/>
        <v>7</v>
      </c>
      <c r="B50" s="122"/>
      <c r="C50" s="80">
        <f t="shared" si="2"/>
        <v>0</v>
      </c>
      <c r="D50" s="120">
        <f t="shared" si="0"/>
        <v>0</v>
      </c>
      <c r="E50" s="676"/>
      <c r="F50" s="168"/>
      <c r="G50" s="167"/>
      <c r="H50" s="674"/>
      <c r="I50" s="524"/>
      <c r="J50" s="82"/>
      <c r="K50" s="107"/>
    </row>
    <row r="51" spans="1:11" ht="20.100000000000001" customHeight="1" x14ac:dyDescent="0.2">
      <c r="A51" s="673">
        <f t="shared" si="1"/>
        <v>7</v>
      </c>
      <c r="B51" s="122"/>
      <c r="C51" s="80">
        <f t="shared" si="2"/>
        <v>0</v>
      </c>
      <c r="D51" s="120">
        <f t="shared" si="0"/>
        <v>0</v>
      </c>
      <c r="E51" s="676"/>
      <c r="F51" s="168"/>
      <c r="G51" s="167"/>
      <c r="H51" s="674"/>
      <c r="I51" s="524"/>
      <c r="J51" s="82"/>
      <c r="K51" s="107"/>
    </row>
    <row r="52" spans="1:11" ht="20.100000000000001" customHeight="1" x14ac:dyDescent="0.2">
      <c r="A52" s="673">
        <f t="shared" si="1"/>
        <v>7</v>
      </c>
      <c r="B52" s="122"/>
      <c r="C52" s="80">
        <f t="shared" si="2"/>
        <v>0</v>
      </c>
      <c r="D52" s="120">
        <f t="shared" si="0"/>
        <v>0</v>
      </c>
      <c r="E52" s="676"/>
      <c r="F52" s="168"/>
      <c r="G52" s="167"/>
      <c r="H52" s="674"/>
      <c r="I52" s="524"/>
      <c r="J52" s="82"/>
      <c r="K52" s="107"/>
    </row>
    <row r="53" spans="1:11" ht="20.100000000000001" customHeight="1" x14ac:dyDescent="0.2">
      <c r="A53" s="673">
        <f t="shared" si="1"/>
        <v>7</v>
      </c>
      <c r="B53" s="122"/>
      <c r="C53" s="80">
        <f t="shared" si="2"/>
        <v>0</v>
      </c>
      <c r="D53" s="120">
        <f t="shared" si="0"/>
        <v>0</v>
      </c>
      <c r="E53" s="676"/>
      <c r="F53" s="168"/>
      <c r="G53" s="167"/>
      <c r="H53" s="674"/>
      <c r="I53" s="524"/>
      <c r="J53" s="82"/>
      <c r="K53" s="107"/>
    </row>
    <row r="54" spans="1:11" ht="20.100000000000001" customHeight="1" x14ac:dyDescent="0.2">
      <c r="A54" s="673">
        <f t="shared" si="1"/>
        <v>7</v>
      </c>
      <c r="B54" s="122"/>
      <c r="C54" s="80">
        <f t="shared" si="2"/>
        <v>0</v>
      </c>
      <c r="D54" s="120">
        <f t="shared" si="0"/>
        <v>0</v>
      </c>
      <c r="E54" s="676"/>
      <c r="F54" s="168"/>
      <c r="G54" s="167"/>
      <c r="H54" s="674"/>
      <c r="I54" s="524"/>
      <c r="J54" s="82"/>
      <c r="K54" s="107"/>
    </row>
    <row r="55" spans="1:11" ht="20.100000000000001" customHeight="1" x14ac:dyDescent="0.2">
      <c r="A55" s="673">
        <f t="shared" si="1"/>
        <v>7</v>
      </c>
      <c r="B55" s="122"/>
      <c r="C55" s="80">
        <f t="shared" si="2"/>
        <v>0</v>
      </c>
      <c r="D55" s="120">
        <f t="shared" si="0"/>
        <v>0</v>
      </c>
      <c r="E55" s="676"/>
      <c r="F55" s="168"/>
      <c r="G55" s="167"/>
      <c r="H55" s="674"/>
      <c r="I55" s="524"/>
      <c r="J55" s="82"/>
      <c r="K55" s="107"/>
    </row>
    <row r="56" spans="1:11" ht="20.100000000000001" customHeight="1" x14ac:dyDescent="0.2">
      <c r="A56" s="673">
        <f t="shared" si="1"/>
        <v>7</v>
      </c>
      <c r="B56" s="122"/>
      <c r="C56" s="80">
        <f t="shared" si="2"/>
        <v>0</v>
      </c>
      <c r="D56" s="120">
        <f t="shared" si="0"/>
        <v>0</v>
      </c>
      <c r="E56" s="676"/>
      <c r="F56" s="168"/>
      <c r="G56" s="167"/>
      <c r="H56" s="674"/>
      <c r="I56" s="524"/>
      <c r="J56" s="82"/>
      <c r="K56" s="107"/>
    </row>
    <row r="57" spans="1:11" ht="20.100000000000001" customHeight="1" x14ac:dyDescent="0.2">
      <c r="A57" s="673">
        <f t="shared" si="1"/>
        <v>7</v>
      </c>
      <c r="B57" s="122"/>
      <c r="C57" s="80">
        <f t="shared" si="2"/>
        <v>0</v>
      </c>
      <c r="D57" s="120">
        <f t="shared" si="0"/>
        <v>0</v>
      </c>
      <c r="E57" s="676"/>
      <c r="F57" s="168"/>
      <c r="G57" s="167"/>
      <c r="H57" s="674"/>
      <c r="I57" s="524"/>
      <c r="J57" s="82"/>
    </row>
    <row r="58" spans="1:11" ht="20.100000000000001" customHeight="1" x14ac:dyDescent="0.2">
      <c r="A58" s="673">
        <f t="shared" si="1"/>
        <v>7</v>
      </c>
      <c r="B58" s="122"/>
      <c r="C58" s="80">
        <f t="shared" si="2"/>
        <v>0</v>
      </c>
      <c r="D58" s="120">
        <f t="shared" si="0"/>
        <v>0</v>
      </c>
      <c r="E58" s="676"/>
      <c r="F58" s="168"/>
      <c r="G58" s="167"/>
      <c r="H58" s="674"/>
      <c r="I58" s="524"/>
      <c r="J58" s="82"/>
    </row>
    <row r="59" spans="1:11" ht="20.100000000000001" customHeight="1" x14ac:dyDescent="0.2">
      <c r="A59" s="673">
        <f t="shared" si="1"/>
        <v>7</v>
      </c>
      <c r="B59" s="122"/>
      <c r="C59" s="80">
        <f t="shared" si="2"/>
        <v>0</v>
      </c>
      <c r="D59" s="120">
        <f t="shared" si="0"/>
        <v>0</v>
      </c>
      <c r="E59" s="676"/>
      <c r="F59" s="168"/>
      <c r="G59" s="167"/>
      <c r="H59" s="674"/>
      <c r="I59" s="524"/>
      <c r="J59" s="82"/>
    </row>
    <row r="60" spans="1:11" ht="20.100000000000001" customHeight="1" x14ac:dyDescent="0.2">
      <c r="A60" s="673">
        <f t="shared" si="1"/>
        <v>7</v>
      </c>
      <c r="B60" s="122"/>
      <c r="C60" s="80">
        <f t="shared" si="2"/>
        <v>0</v>
      </c>
      <c r="D60" s="120">
        <f t="shared" si="0"/>
        <v>0</v>
      </c>
      <c r="E60" s="676"/>
      <c r="F60" s="168"/>
      <c r="G60" s="167"/>
      <c r="H60" s="674"/>
      <c r="I60" s="524"/>
      <c r="J60" s="82"/>
    </row>
    <row r="61" spans="1:11" ht="20.100000000000001" customHeight="1" x14ac:dyDescent="0.2">
      <c r="A61" s="673">
        <f t="shared" si="1"/>
        <v>7</v>
      </c>
      <c r="B61" s="122"/>
      <c r="C61" s="80">
        <f t="shared" si="2"/>
        <v>0</v>
      </c>
      <c r="D61" s="120">
        <f t="shared" si="0"/>
        <v>0</v>
      </c>
      <c r="E61" s="676"/>
      <c r="F61" s="168"/>
      <c r="G61" s="167"/>
      <c r="H61" s="674"/>
      <c r="I61" s="524"/>
      <c r="J61" s="82"/>
    </row>
    <row r="62" spans="1:11" ht="20.100000000000001" customHeight="1" x14ac:dyDescent="0.2">
      <c r="A62" s="673">
        <f t="shared" si="1"/>
        <v>7</v>
      </c>
      <c r="B62" s="122"/>
      <c r="C62" s="80">
        <f t="shared" si="2"/>
        <v>0</v>
      </c>
      <c r="D62" s="120">
        <f t="shared" si="0"/>
        <v>0</v>
      </c>
      <c r="E62" s="676"/>
      <c r="F62" s="168"/>
      <c r="G62" s="167"/>
      <c r="H62" s="674"/>
      <c r="I62" s="524"/>
      <c r="J62" s="82"/>
    </row>
    <row r="63" spans="1:11" ht="20.100000000000001" customHeight="1" x14ac:dyDescent="0.2">
      <c r="A63" s="673">
        <f t="shared" si="1"/>
        <v>7</v>
      </c>
      <c r="B63" s="122"/>
      <c r="C63" s="80">
        <f t="shared" si="2"/>
        <v>0</v>
      </c>
      <c r="D63" s="120">
        <f t="shared" si="0"/>
        <v>0</v>
      </c>
      <c r="E63" s="676"/>
      <c r="F63" s="168"/>
      <c r="G63" s="167"/>
      <c r="H63" s="674"/>
      <c r="I63" s="524"/>
      <c r="J63" s="82"/>
    </row>
    <row r="64" spans="1:11" ht="20.100000000000001" customHeight="1" x14ac:dyDescent="0.2">
      <c r="A64" s="673">
        <f t="shared" si="1"/>
        <v>7</v>
      </c>
      <c r="B64" s="122"/>
      <c r="C64" s="80">
        <f t="shared" si="2"/>
        <v>0</v>
      </c>
      <c r="D64" s="120">
        <f t="shared" si="0"/>
        <v>0</v>
      </c>
      <c r="E64" s="676"/>
      <c r="F64" s="168"/>
      <c r="G64" s="167"/>
      <c r="H64" s="674"/>
      <c r="I64" s="524"/>
      <c r="J64" s="82"/>
    </row>
    <row r="65" spans="1:10" ht="20.100000000000001" customHeight="1" x14ac:dyDescent="0.2">
      <c r="A65" s="673">
        <f t="shared" si="1"/>
        <v>7</v>
      </c>
      <c r="B65" s="122"/>
      <c r="C65" s="80">
        <f t="shared" ref="C65:C96" si="3">IFERROR(VLOOKUP(J65,T_Código_Items,2,FALSE),G65)</f>
        <v>0</v>
      </c>
      <c r="D65" s="120">
        <f t="shared" ref="D65:D96" si="4">IFERROR(VLOOKUP(J65,T_Código_Items,3,FALSE),H65)</f>
        <v>0</v>
      </c>
      <c r="E65" s="676"/>
      <c r="F65" s="168"/>
      <c r="G65" s="167"/>
      <c r="H65" s="674"/>
      <c r="I65" s="524"/>
      <c r="J65" s="82"/>
    </row>
    <row r="66" spans="1:10" ht="20.100000000000001" customHeight="1" x14ac:dyDescent="0.2">
      <c r="A66" s="673">
        <f t="shared" si="1"/>
        <v>7</v>
      </c>
      <c r="B66" s="122"/>
      <c r="C66" s="80">
        <f t="shared" si="3"/>
        <v>0</v>
      </c>
      <c r="D66" s="120">
        <f t="shared" si="4"/>
        <v>0</v>
      </c>
      <c r="E66" s="676"/>
      <c r="F66" s="168"/>
      <c r="G66" s="167"/>
      <c r="H66" s="674"/>
      <c r="I66" s="524"/>
      <c r="J66" s="82"/>
    </row>
    <row r="67" spans="1:10" ht="20.100000000000001" customHeight="1" x14ac:dyDescent="0.2">
      <c r="A67" s="673">
        <f t="shared" si="1"/>
        <v>7</v>
      </c>
      <c r="B67" s="122"/>
      <c r="C67" s="80">
        <f t="shared" si="3"/>
        <v>0</v>
      </c>
      <c r="D67" s="120">
        <f t="shared" si="4"/>
        <v>0</v>
      </c>
      <c r="E67" s="676"/>
      <c r="F67" s="168"/>
      <c r="G67" s="167"/>
      <c r="H67" s="674"/>
      <c r="I67" s="524"/>
      <c r="J67" s="82"/>
    </row>
    <row r="68" spans="1:10" ht="20.100000000000001" customHeight="1" x14ac:dyDescent="0.2">
      <c r="A68" s="673">
        <f t="shared" si="1"/>
        <v>7</v>
      </c>
      <c r="B68" s="122"/>
      <c r="C68" s="80">
        <f t="shared" si="3"/>
        <v>0</v>
      </c>
      <c r="D68" s="120">
        <f t="shared" si="4"/>
        <v>0</v>
      </c>
      <c r="E68" s="676"/>
      <c r="F68" s="168"/>
      <c r="G68" s="167"/>
      <c r="H68" s="674"/>
      <c r="I68" s="524"/>
      <c r="J68" s="82"/>
    </row>
    <row r="69" spans="1:10" ht="20.100000000000001" customHeight="1" x14ac:dyDescent="0.2">
      <c r="A69" s="673">
        <f t="shared" si="1"/>
        <v>7</v>
      </c>
      <c r="B69" s="122"/>
      <c r="C69" s="80">
        <f t="shared" si="3"/>
        <v>0</v>
      </c>
      <c r="D69" s="120">
        <f t="shared" si="4"/>
        <v>0</v>
      </c>
      <c r="E69" s="676"/>
      <c r="F69" s="168"/>
      <c r="G69" s="167"/>
      <c r="H69" s="674"/>
      <c r="I69" s="524"/>
      <c r="J69" s="82"/>
    </row>
    <row r="70" spans="1:10" ht="20.100000000000001" customHeight="1" x14ac:dyDescent="0.2">
      <c r="A70" s="673">
        <f t="shared" si="1"/>
        <v>7</v>
      </c>
      <c r="B70" s="122"/>
      <c r="C70" s="80">
        <f t="shared" si="3"/>
        <v>0</v>
      </c>
      <c r="D70" s="120">
        <f t="shared" si="4"/>
        <v>0</v>
      </c>
      <c r="E70" s="676"/>
      <c r="F70" s="168"/>
      <c r="G70" s="167"/>
      <c r="H70" s="674"/>
      <c r="I70" s="524"/>
      <c r="J70" s="82"/>
    </row>
    <row r="71" spans="1:10" ht="20.100000000000001" customHeight="1" x14ac:dyDescent="0.2">
      <c r="A71" s="673">
        <f t="shared" si="1"/>
        <v>7</v>
      </c>
      <c r="B71" s="122"/>
      <c r="C71" s="80">
        <f t="shared" si="3"/>
        <v>0</v>
      </c>
      <c r="D71" s="120">
        <f t="shared" si="4"/>
        <v>0</v>
      </c>
      <c r="E71" s="676"/>
      <c r="F71" s="168"/>
      <c r="G71" s="167"/>
      <c r="H71" s="674"/>
      <c r="I71" s="524"/>
      <c r="J71" s="82"/>
    </row>
    <row r="72" spans="1:10" ht="20.100000000000001" customHeight="1" x14ac:dyDescent="0.2">
      <c r="A72" s="673">
        <f t="shared" si="1"/>
        <v>7</v>
      </c>
      <c r="B72" s="122"/>
      <c r="C72" s="80">
        <f t="shared" si="3"/>
        <v>0</v>
      </c>
      <c r="D72" s="120">
        <f t="shared" si="4"/>
        <v>0</v>
      </c>
      <c r="E72" s="676"/>
      <c r="F72" s="168"/>
      <c r="G72" s="167"/>
      <c r="H72" s="674"/>
      <c r="I72" s="524"/>
      <c r="J72" s="82"/>
    </row>
    <row r="73" spans="1:10" ht="20.100000000000001" customHeight="1" x14ac:dyDescent="0.2">
      <c r="A73" s="673">
        <f t="shared" si="1"/>
        <v>7</v>
      </c>
      <c r="B73" s="122"/>
      <c r="C73" s="80">
        <f t="shared" si="3"/>
        <v>0</v>
      </c>
      <c r="D73" s="120">
        <f t="shared" si="4"/>
        <v>0</v>
      </c>
      <c r="E73" s="676"/>
      <c r="F73" s="168"/>
      <c r="G73" s="167"/>
      <c r="H73" s="674"/>
      <c r="I73" s="524"/>
      <c r="J73" s="82"/>
    </row>
    <row r="74" spans="1:10" ht="20.100000000000001" customHeight="1" x14ac:dyDescent="0.2">
      <c r="A74" s="673">
        <f t="shared" si="1"/>
        <v>7</v>
      </c>
      <c r="B74" s="122"/>
      <c r="C74" s="80">
        <f t="shared" si="3"/>
        <v>0</v>
      </c>
      <c r="D74" s="120">
        <f t="shared" si="4"/>
        <v>0</v>
      </c>
      <c r="E74" s="676"/>
      <c r="F74" s="168"/>
      <c r="G74" s="167"/>
      <c r="H74" s="674"/>
      <c r="I74" s="524"/>
      <c r="J74" s="82"/>
    </row>
    <row r="75" spans="1:10" ht="20.100000000000001" customHeight="1" x14ac:dyDescent="0.2">
      <c r="A75" s="673">
        <f t="shared" si="1"/>
        <v>7</v>
      </c>
      <c r="B75" s="122"/>
      <c r="C75" s="80">
        <f t="shared" si="3"/>
        <v>0</v>
      </c>
      <c r="D75" s="120">
        <f t="shared" si="4"/>
        <v>0</v>
      </c>
      <c r="E75" s="676"/>
      <c r="F75" s="168"/>
      <c r="G75" s="167"/>
      <c r="H75" s="674"/>
      <c r="I75" s="524"/>
      <c r="J75" s="82"/>
    </row>
    <row r="76" spans="1:10" ht="20.100000000000001" customHeight="1" x14ac:dyDescent="0.2">
      <c r="A76" s="673">
        <f t="shared" si="1"/>
        <v>7</v>
      </c>
      <c r="B76" s="122"/>
      <c r="C76" s="80">
        <f t="shared" si="3"/>
        <v>0</v>
      </c>
      <c r="D76" s="120">
        <f t="shared" si="4"/>
        <v>0</v>
      </c>
      <c r="E76" s="676"/>
      <c r="F76" s="168"/>
      <c r="G76" s="167"/>
      <c r="H76" s="674"/>
      <c r="I76" s="524"/>
      <c r="J76" s="82"/>
    </row>
    <row r="77" spans="1:10" ht="20.100000000000001" customHeight="1" x14ac:dyDescent="0.2">
      <c r="A77" s="673">
        <f t="shared" si="1"/>
        <v>7</v>
      </c>
      <c r="B77" s="122"/>
      <c r="C77" s="80">
        <f t="shared" si="3"/>
        <v>0</v>
      </c>
      <c r="D77" s="120">
        <f t="shared" si="4"/>
        <v>0</v>
      </c>
      <c r="E77" s="676"/>
      <c r="F77" s="168"/>
      <c r="G77" s="167"/>
      <c r="H77" s="674"/>
      <c r="I77" s="524"/>
      <c r="J77" s="82"/>
    </row>
    <row r="78" spans="1:10" ht="20.100000000000001" customHeight="1" x14ac:dyDescent="0.2">
      <c r="A78" s="673">
        <f t="shared" si="1"/>
        <v>7</v>
      </c>
      <c r="B78" s="122"/>
      <c r="C78" s="80">
        <f t="shared" si="3"/>
        <v>0</v>
      </c>
      <c r="D78" s="120">
        <f t="shared" si="4"/>
        <v>0</v>
      </c>
      <c r="E78" s="676"/>
      <c r="F78" s="168"/>
      <c r="G78" s="167"/>
      <c r="H78" s="674"/>
      <c r="I78" s="524"/>
      <c r="J78" s="82"/>
    </row>
    <row r="79" spans="1:10" ht="20.100000000000001" customHeight="1" x14ac:dyDescent="0.2">
      <c r="A79" s="673">
        <f t="shared" si="1"/>
        <v>7</v>
      </c>
      <c r="B79" s="122"/>
      <c r="C79" s="80">
        <f t="shared" si="3"/>
        <v>0</v>
      </c>
      <c r="D79" s="120">
        <f t="shared" si="4"/>
        <v>0</v>
      </c>
      <c r="E79" s="676"/>
      <c r="F79" s="168"/>
      <c r="G79" s="167"/>
      <c r="H79" s="674"/>
      <c r="I79" s="524"/>
      <c r="J79" s="82"/>
    </row>
    <row r="80" spans="1:10" ht="20.100000000000001" customHeight="1" x14ac:dyDescent="0.2">
      <c r="A80" s="673">
        <f t="shared" si="1"/>
        <v>7</v>
      </c>
      <c r="B80" s="122"/>
      <c r="C80" s="80">
        <f t="shared" si="3"/>
        <v>0</v>
      </c>
      <c r="D80" s="120">
        <f t="shared" si="4"/>
        <v>0</v>
      </c>
      <c r="E80" s="676"/>
      <c r="F80" s="168"/>
      <c r="G80" s="167"/>
      <c r="H80" s="674"/>
      <c r="I80" s="524"/>
      <c r="J80" s="82"/>
    </row>
    <row r="81" spans="1:10" ht="20.100000000000001" customHeight="1" x14ac:dyDescent="0.2">
      <c r="A81" s="673">
        <f t="shared" si="1"/>
        <v>7</v>
      </c>
      <c r="B81" s="122"/>
      <c r="C81" s="80">
        <f t="shared" si="3"/>
        <v>0</v>
      </c>
      <c r="D81" s="120">
        <f t="shared" si="4"/>
        <v>0</v>
      </c>
      <c r="E81" s="676"/>
      <c r="F81" s="168"/>
      <c r="G81" s="167"/>
      <c r="H81" s="674"/>
      <c r="I81" s="524"/>
      <c r="J81" s="82"/>
    </row>
    <row r="82" spans="1:10" ht="20.100000000000001" customHeight="1" x14ac:dyDescent="0.2">
      <c r="A82" s="673">
        <f t="shared" si="1"/>
        <v>7</v>
      </c>
      <c r="B82" s="122"/>
      <c r="C82" s="80">
        <f t="shared" si="3"/>
        <v>0</v>
      </c>
      <c r="D82" s="120">
        <f t="shared" si="4"/>
        <v>0</v>
      </c>
      <c r="E82" s="676"/>
      <c r="F82" s="168"/>
      <c r="G82" s="167"/>
      <c r="H82" s="674"/>
      <c r="I82" s="524"/>
      <c r="J82" s="82"/>
    </row>
    <row r="83" spans="1:10" ht="20.100000000000001" customHeight="1" x14ac:dyDescent="0.2">
      <c r="A83" s="673">
        <f t="shared" si="1"/>
        <v>7</v>
      </c>
      <c r="B83" s="122"/>
      <c r="C83" s="80">
        <f t="shared" si="3"/>
        <v>0</v>
      </c>
      <c r="D83" s="120">
        <f t="shared" si="4"/>
        <v>0</v>
      </c>
      <c r="E83" s="676"/>
      <c r="F83" s="168"/>
      <c r="G83" s="167"/>
      <c r="H83" s="674"/>
      <c r="I83" s="524"/>
      <c r="J83" s="82"/>
    </row>
    <row r="84" spans="1:10" ht="20.100000000000001" customHeight="1" x14ac:dyDescent="0.2">
      <c r="A84" s="673">
        <f t="shared" si="1"/>
        <v>7</v>
      </c>
      <c r="B84" s="122"/>
      <c r="C84" s="80">
        <f t="shared" si="3"/>
        <v>0</v>
      </c>
      <c r="D84" s="120">
        <f t="shared" si="4"/>
        <v>0</v>
      </c>
      <c r="E84" s="676"/>
      <c r="F84" s="168"/>
      <c r="G84" s="167"/>
      <c r="H84" s="674"/>
      <c r="I84" s="524"/>
      <c r="J84" s="82"/>
    </row>
    <row r="85" spans="1:10" ht="20.100000000000001" customHeight="1" x14ac:dyDescent="0.2">
      <c r="A85" s="673">
        <f t="shared" si="1"/>
        <v>7</v>
      </c>
      <c r="B85" s="122"/>
      <c r="C85" s="80">
        <f t="shared" si="3"/>
        <v>0</v>
      </c>
      <c r="D85" s="120">
        <f t="shared" si="4"/>
        <v>0</v>
      </c>
      <c r="E85" s="676"/>
      <c r="F85" s="168"/>
      <c r="G85" s="167"/>
      <c r="H85" s="674"/>
      <c r="I85" s="524"/>
      <c r="J85" s="82"/>
    </row>
    <row r="86" spans="1:10" ht="20.100000000000001" customHeight="1" x14ac:dyDescent="0.2">
      <c r="A86" s="673">
        <f t="shared" si="1"/>
        <v>7</v>
      </c>
      <c r="B86" s="122"/>
      <c r="C86" s="80">
        <f t="shared" si="3"/>
        <v>0</v>
      </c>
      <c r="D86" s="120">
        <f t="shared" si="4"/>
        <v>0</v>
      </c>
      <c r="E86" s="676"/>
      <c r="F86" s="168"/>
      <c r="G86" s="167"/>
      <c r="H86" s="674"/>
      <c r="I86" s="524"/>
      <c r="J86" s="82"/>
    </row>
    <row r="87" spans="1:10" ht="20.100000000000001" customHeight="1" x14ac:dyDescent="0.2">
      <c r="A87" s="673">
        <f t="shared" si="1"/>
        <v>7</v>
      </c>
      <c r="B87" s="122"/>
      <c r="C87" s="80">
        <f t="shared" si="3"/>
        <v>0</v>
      </c>
      <c r="D87" s="120">
        <f t="shared" si="4"/>
        <v>0</v>
      </c>
      <c r="E87" s="676"/>
      <c r="F87" s="168"/>
      <c r="G87" s="167"/>
      <c r="H87" s="674"/>
      <c r="I87" s="524"/>
      <c r="J87" s="82"/>
    </row>
    <row r="88" spans="1:10" ht="20.100000000000001" customHeight="1" x14ac:dyDescent="0.2">
      <c r="A88" s="673">
        <f t="shared" si="1"/>
        <v>7</v>
      </c>
      <c r="B88" s="122"/>
      <c r="C88" s="80">
        <f t="shared" si="3"/>
        <v>0</v>
      </c>
      <c r="D88" s="120">
        <f t="shared" si="4"/>
        <v>0</v>
      </c>
      <c r="E88" s="676"/>
      <c r="F88" s="168"/>
      <c r="G88" s="167"/>
      <c r="H88" s="674"/>
      <c r="I88" s="524"/>
      <c r="J88" s="82"/>
    </row>
    <row r="89" spans="1:10" ht="20.100000000000001" customHeight="1" x14ac:dyDescent="0.2">
      <c r="A89" s="673">
        <f t="shared" si="1"/>
        <v>7</v>
      </c>
      <c r="B89" s="122"/>
      <c r="C89" s="80">
        <f t="shared" si="3"/>
        <v>0</v>
      </c>
      <c r="D89" s="120">
        <f t="shared" si="4"/>
        <v>0</v>
      </c>
      <c r="E89" s="676"/>
      <c r="F89" s="168"/>
      <c r="G89" s="167"/>
      <c r="H89" s="674"/>
      <c r="I89" s="524"/>
      <c r="J89" s="82"/>
    </row>
    <row r="90" spans="1:10" ht="20.100000000000001" customHeight="1" x14ac:dyDescent="0.2">
      <c r="A90" s="673">
        <f t="shared" si="1"/>
        <v>7</v>
      </c>
      <c r="B90" s="122"/>
      <c r="C90" s="80">
        <f t="shared" si="3"/>
        <v>0</v>
      </c>
      <c r="D90" s="120">
        <f t="shared" si="4"/>
        <v>0</v>
      </c>
      <c r="E90" s="676"/>
      <c r="F90" s="168"/>
      <c r="G90" s="167"/>
      <c r="H90" s="674"/>
      <c r="I90" s="524"/>
      <c r="J90" s="82"/>
    </row>
    <row r="91" spans="1:10" ht="20.100000000000001" customHeight="1" x14ac:dyDescent="0.2">
      <c r="A91" s="673">
        <f t="shared" si="1"/>
        <v>7</v>
      </c>
      <c r="B91" s="122"/>
      <c r="C91" s="80">
        <f t="shared" si="3"/>
        <v>0</v>
      </c>
      <c r="D91" s="120">
        <f t="shared" si="4"/>
        <v>0</v>
      </c>
      <c r="E91" s="676"/>
      <c r="F91" s="168"/>
      <c r="G91" s="167"/>
      <c r="H91" s="674"/>
      <c r="I91" s="524"/>
      <c r="J91" s="82"/>
    </row>
    <row r="92" spans="1:10" ht="20.100000000000001" customHeight="1" x14ac:dyDescent="0.2">
      <c r="A92" s="673">
        <f t="shared" si="1"/>
        <v>7</v>
      </c>
      <c r="B92" s="122"/>
      <c r="C92" s="80">
        <f t="shared" si="3"/>
        <v>0</v>
      </c>
      <c r="D92" s="120">
        <f t="shared" si="4"/>
        <v>0</v>
      </c>
      <c r="E92" s="676"/>
      <c r="F92" s="168"/>
      <c r="G92" s="167"/>
      <c r="H92" s="674"/>
      <c r="I92" s="524"/>
      <c r="J92" s="82"/>
    </row>
    <row r="93" spans="1:10" ht="20.100000000000001" customHeight="1" x14ac:dyDescent="0.2">
      <c r="A93" s="673">
        <f t="shared" si="1"/>
        <v>7</v>
      </c>
      <c r="B93" s="122"/>
      <c r="C93" s="80">
        <f t="shared" si="3"/>
        <v>0</v>
      </c>
      <c r="D93" s="120">
        <f t="shared" si="4"/>
        <v>0</v>
      </c>
      <c r="E93" s="676"/>
      <c r="F93" s="168"/>
      <c r="G93" s="167"/>
      <c r="H93" s="674"/>
      <c r="I93" s="524"/>
      <c r="J93" s="82"/>
    </row>
    <row r="94" spans="1:10" ht="20.100000000000001" customHeight="1" x14ac:dyDescent="0.2">
      <c r="A94" s="673">
        <f t="shared" si="1"/>
        <v>7</v>
      </c>
      <c r="B94" s="122"/>
      <c r="C94" s="80">
        <f t="shared" si="3"/>
        <v>0</v>
      </c>
      <c r="D94" s="120">
        <f t="shared" si="4"/>
        <v>0</v>
      </c>
      <c r="E94" s="676"/>
      <c r="F94" s="168"/>
      <c r="G94" s="167"/>
      <c r="H94" s="674"/>
      <c r="I94" s="524"/>
      <c r="J94" s="82"/>
    </row>
    <row r="95" spans="1:10" ht="20.100000000000001" customHeight="1" x14ac:dyDescent="0.2">
      <c r="A95" s="673">
        <f t="shared" si="1"/>
        <v>7</v>
      </c>
      <c r="B95" s="122"/>
      <c r="C95" s="80">
        <f t="shared" si="3"/>
        <v>0</v>
      </c>
      <c r="D95" s="120">
        <f t="shared" si="4"/>
        <v>0</v>
      </c>
      <c r="E95" s="676"/>
      <c r="F95" s="168"/>
      <c r="G95" s="167"/>
      <c r="H95" s="674"/>
      <c r="I95" s="524"/>
      <c r="J95" s="82"/>
    </row>
    <row r="96" spans="1:10" ht="20.100000000000001" customHeight="1" x14ac:dyDescent="0.2">
      <c r="A96" s="673">
        <f t="shared" si="1"/>
        <v>7</v>
      </c>
      <c r="B96" s="122"/>
      <c r="C96" s="80">
        <f t="shared" si="3"/>
        <v>0</v>
      </c>
      <c r="D96" s="120">
        <f t="shared" si="4"/>
        <v>0</v>
      </c>
      <c r="E96" s="676"/>
      <c r="F96" s="168"/>
      <c r="G96" s="167"/>
      <c r="H96" s="674"/>
      <c r="I96" s="524"/>
      <c r="J96" s="82"/>
    </row>
    <row r="97" spans="1:10" ht="20.100000000000001" customHeight="1" x14ac:dyDescent="0.2">
      <c r="A97" s="673">
        <f t="shared" si="1"/>
        <v>7</v>
      </c>
      <c r="B97" s="122"/>
      <c r="C97" s="80">
        <f t="shared" ref="C97:C128" si="5">IFERROR(VLOOKUP(J97,T_Código_Items,2,FALSE),G97)</f>
        <v>0</v>
      </c>
      <c r="D97" s="120">
        <f t="shared" ref="D97:D128" si="6">IFERROR(VLOOKUP(J97,T_Código_Items,3,FALSE),H97)</f>
        <v>0</v>
      </c>
      <c r="E97" s="676"/>
      <c r="F97" s="168"/>
      <c r="G97" s="167"/>
      <c r="H97" s="674"/>
      <c r="I97" s="524"/>
      <c r="J97" s="82"/>
    </row>
    <row r="98" spans="1:10" ht="20.100000000000001" customHeight="1" x14ac:dyDescent="0.2">
      <c r="A98" s="673">
        <f t="shared" si="1"/>
        <v>7</v>
      </c>
      <c r="B98" s="122"/>
      <c r="C98" s="80">
        <f t="shared" si="5"/>
        <v>0</v>
      </c>
      <c r="D98" s="120">
        <f t="shared" si="6"/>
        <v>0</v>
      </c>
      <c r="E98" s="676"/>
      <c r="F98" s="168"/>
      <c r="G98" s="167"/>
      <c r="H98" s="674"/>
      <c r="I98" s="524"/>
      <c r="J98" s="82"/>
    </row>
    <row r="99" spans="1:10" ht="20.100000000000001" customHeight="1" x14ac:dyDescent="0.2">
      <c r="A99" s="673">
        <f t="shared" ref="A99:A162" si="7">IF(D99=0,A98,A98+1)</f>
        <v>7</v>
      </c>
      <c r="B99" s="122"/>
      <c r="C99" s="80">
        <f t="shared" si="5"/>
        <v>0</v>
      </c>
      <c r="D99" s="120">
        <f t="shared" si="6"/>
        <v>0</v>
      </c>
      <c r="E99" s="676"/>
      <c r="F99" s="168"/>
      <c r="G99" s="167"/>
      <c r="H99" s="674"/>
      <c r="I99" s="524"/>
      <c r="J99" s="82"/>
    </row>
    <row r="100" spans="1:10" ht="20.100000000000001" customHeight="1" x14ac:dyDescent="0.2">
      <c r="A100" s="673">
        <f t="shared" si="7"/>
        <v>7</v>
      </c>
      <c r="B100" s="122"/>
      <c r="C100" s="80">
        <f t="shared" si="5"/>
        <v>0</v>
      </c>
      <c r="D100" s="120">
        <f t="shared" si="6"/>
        <v>0</v>
      </c>
      <c r="E100" s="676"/>
      <c r="F100" s="168"/>
      <c r="G100" s="167"/>
      <c r="H100" s="674"/>
      <c r="I100" s="524"/>
      <c r="J100" s="82"/>
    </row>
    <row r="101" spans="1:10" ht="20.100000000000001" customHeight="1" x14ac:dyDescent="0.2">
      <c r="A101" s="673">
        <f t="shared" si="7"/>
        <v>7</v>
      </c>
      <c r="B101" s="122"/>
      <c r="C101" s="80">
        <f t="shared" si="5"/>
        <v>0</v>
      </c>
      <c r="D101" s="120">
        <f t="shared" si="6"/>
        <v>0</v>
      </c>
      <c r="E101" s="676"/>
      <c r="F101" s="168"/>
      <c r="G101" s="167"/>
      <c r="H101" s="674"/>
      <c r="I101" s="524"/>
      <c r="J101" s="82"/>
    </row>
    <row r="102" spans="1:10" ht="20.100000000000001" customHeight="1" x14ac:dyDescent="0.2">
      <c r="A102" s="673">
        <f t="shared" si="7"/>
        <v>7</v>
      </c>
      <c r="B102" s="122"/>
      <c r="C102" s="80">
        <f t="shared" si="5"/>
        <v>0</v>
      </c>
      <c r="D102" s="120">
        <f t="shared" si="6"/>
        <v>0</v>
      </c>
      <c r="E102" s="676"/>
      <c r="F102" s="168"/>
      <c r="G102" s="167"/>
      <c r="H102" s="674"/>
      <c r="I102" s="524"/>
      <c r="J102" s="82"/>
    </row>
    <row r="103" spans="1:10" ht="20.100000000000001" customHeight="1" x14ac:dyDescent="0.2">
      <c r="A103" s="673">
        <f t="shared" si="7"/>
        <v>7</v>
      </c>
      <c r="B103" s="122"/>
      <c r="C103" s="80">
        <f t="shared" si="5"/>
        <v>0</v>
      </c>
      <c r="D103" s="120">
        <f t="shared" si="6"/>
        <v>0</v>
      </c>
      <c r="E103" s="676"/>
      <c r="F103" s="168"/>
      <c r="G103" s="167"/>
      <c r="H103" s="674"/>
      <c r="I103" s="524"/>
      <c r="J103" s="82"/>
    </row>
    <row r="104" spans="1:10" ht="20.100000000000001" customHeight="1" x14ac:dyDescent="0.2">
      <c r="A104" s="673">
        <f t="shared" si="7"/>
        <v>7</v>
      </c>
      <c r="B104" s="122"/>
      <c r="C104" s="80">
        <f t="shared" si="5"/>
        <v>0</v>
      </c>
      <c r="D104" s="120">
        <f t="shared" si="6"/>
        <v>0</v>
      </c>
      <c r="E104" s="676"/>
      <c r="F104" s="168"/>
      <c r="G104" s="167"/>
      <c r="H104" s="674"/>
      <c r="I104" s="524"/>
      <c r="J104" s="82"/>
    </row>
    <row r="105" spans="1:10" ht="20.100000000000001" customHeight="1" x14ac:dyDescent="0.2">
      <c r="A105" s="673">
        <f t="shared" si="7"/>
        <v>7</v>
      </c>
      <c r="B105" s="122"/>
      <c r="C105" s="80">
        <f t="shared" si="5"/>
        <v>0</v>
      </c>
      <c r="D105" s="120">
        <f t="shared" si="6"/>
        <v>0</v>
      </c>
      <c r="E105" s="676"/>
      <c r="F105" s="168"/>
      <c r="G105" s="167"/>
      <c r="H105" s="674"/>
      <c r="I105" s="524"/>
      <c r="J105" s="82"/>
    </row>
    <row r="106" spans="1:10" ht="20.100000000000001" customHeight="1" x14ac:dyDescent="0.2">
      <c r="A106" s="673">
        <f t="shared" si="7"/>
        <v>7</v>
      </c>
      <c r="B106" s="122"/>
      <c r="C106" s="80">
        <f t="shared" si="5"/>
        <v>0</v>
      </c>
      <c r="D106" s="120">
        <f t="shared" si="6"/>
        <v>0</v>
      </c>
      <c r="E106" s="676"/>
      <c r="F106" s="168"/>
      <c r="G106" s="167"/>
      <c r="H106" s="674"/>
      <c r="I106" s="524"/>
      <c r="J106" s="82"/>
    </row>
    <row r="107" spans="1:10" ht="20.100000000000001" customHeight="1" x14ac:dyDescent="0.2">
      <c r="A107" s="673">
        <f t="shared" si="7"/>
        <v>7</v>
      </c>
      <c r="B107" s="122"/>
      <c r="C107" s="80">
        <f t="shared" si="5"/>
        <v>0</v>
      </c>
      <c r="D107" s="120">
        <f t="shared" si="6"/>
        <v>0</v>
      </c>
      <c r="E107" s="676"/>
      <c r="F107" s="168"/>
      <c r="G107" s="167"/>
      <c r="H107" s="674"/>
      <c r="I107" s="524"/>
      <c r="J107" s="82"/>
    </row>
    <row r="108" spans="1:10" ht="20.100000000000001" customHeight="1" x14ac:dyDescent="0.2">
      <c r="A108" s="673">
        <f t="shared" si="7"/>
        <v>7</v>
      </c>
      <c r="B108" s="122"/>
      <c r="C108" s="80">
        <f t="shared" si="5"/>
        <v>0</v>
      </c>
      <c r="D108" s="120">
        <f t="shared" si="6"/>
        <v>0</v>
      </c>
      <c r="E108" s="676"/>
      <c r="F108" s="168"/>
      <c r="G108" s="167"/>
      <c r="H108" s="674"/>
      <c r="I108" s="524"/>
      <c r="J108" s="82"/>
    </row>
    <row r="109" spans="1:10" ht="20.100000000000001" customHeight="1" x14ac:dyDescent="0.2">
      <c r="A109" s="673">
        <f t="shared" si="7"/>
        <v>7</v>
      </c>
      <c r="B109" s="122"/>
      <c r="C109" s="80">
        <f t="shared" si="5"/>
        <v>0</v>
      </c>
      <c r="D109" s="120">
        <f t="shared" si="6"/>
        <v>0</v>
      </c>
      <c r="E109" s="676"/>
      <c r="F109" s="168"/>
      <c r="G109" s="167"/>
      <c r="H109" s="674"/>
      <c r="I109" s="524"/>
      <c r="J109" s="82"/>
    </row>
    <row r="110" spans="1:10" ht="20.100000000000001" customHeight="1" x14ac:dyDescent="0.2">
      <c r="A110" s="673">
        <f t="shared" si="7"/>
        <v>7</v>
      </c>
      <c r="B110" s="122"/>
      <c r="C110" s="80">
        <f t="shared" si="5"/>
        <v>0</v>
      </c>
      <c r="D110" s="120">
        <f t="shared" si="6"/>
        <v>0</v>
      </c>
      <c r="E110" s="676"/>
      <c r="F110" s="168"/>
      <c r="G110" s="167"/>
      <c r="H110" s="674"/>
      <c r="I110" s="524"/>
      <c r="J110" s="82"/>
    </row>
    <row r="111" spans="1:10" ht="20.100000000000001" customHeight="1" x14ac:dyDescent="0.2">
      <c r="A111" s="673">
        <f t="shared" si="7"/>
        <v>7</v>
      </c>
      <c r="B111" s="122"/>
      <c r="C111" s="80">
        <f t="shared" si="5"/>
        <v>0</v>
      </c>
      <c r="D111" s="120">
        <f t="shared" si="6"/>
        <v>0</v>
      </c>
      <c r="E111" s="676"/>
      <c r="F111" s="168"/>
      <c r="G111" s="167"/>
      <c r="H111" s="674"/>
      <c r="I111" s="524"/>
      <c r="J111" s="82"/>
    </row>
    <row r="112" spans="1:10" ht="20.100000000000001" customHeight="1" x14ac:dyDescent="0.2">
      <c r="A112" s="673">
        <f t="shared" si="7"/>
        <v>7</v>
      </c>
      <c r="B112" s="122"/>
      <c r="C112" s="80">
        <f t="shared" si="5"/>
        <v>0</v>
      </c>
      <c r="D112" s="120">
        <f t="shared" si="6"/>
        <v>0</v>
      </c>
      <c r="E112" s="676"/>
      <c r="F112" s="168"/>
      <c r="G112" s="167"/>
      <c r="H112" s="674"/>
      <c r="I112" s="524"/>
      <c r="J112" s="82"/>
    </row>
    <row r="113" spans="1:10" ht="20.100000000000001" customHeight="1" x14ac:dyDescent="0.2">
      <c r="A113" s="673">
        <f t="shared" si="7"/>
        <v>7</v>
      </c>
      <c r="B113" s="122"/>
      <c r="C113" s="80">
        <f t="shared" si="5"/>
        <v>0</v>
      </c>
      <c r="D113" s="120">
        <f t="shared" si="6"/>
        <v>0</v>
      </c>
      <c r="E113" s="676"/>
      <c r="F113" s="168"/>
      <c r="G113" s="167"/>
      <c r="H113" s="674"/>
      <c r="I113" s="524"/>
      <c r="J113" s="82"/>
    </row>
    <row r="114" spans="1:10" ht="20.100000000000001" customHeight="1" x14ac:dyDescent="0.2">
      <c r="A114" s="673">
        <f t="shared" si="7"/>
        <v>7</v>
      </c>
      <c r="B114" s="122"/>
      <c r="C114" s="80">
        <f t="shared" si="5"/>
        <v>0</v>
      </c>
      <c r="D114" s="120">
        <f t="shared" si="6"/>
        <v>0</v>
      </c>
      <c r="E114" s="676"/>
      <c r="F114" s="168"/>
      <c r="G114" s="167"/>
      <c r="H114" s="674"/>
      <c r="I114" s="524"/>
      <c r="J114" s="82"/>
    </row>
    <row r="115" spans="1:10" ht="20.100000000000001" customHeight="1" x14ac:dyDescent="0.2">
      <c r="A115" s="673">
        <f t="shared" si="7"/>
        <v>7</v>
      </c>
      <c r="B115" s="122"/>
      <c r="C115" s="80">
        <f t="shared" si="5"/>
        <v>0</v>
      </c>
      <c r="D115" s="120">
        <f t="shared" si="6"/>
        <v>0</v>
      </c>
      <c r="E115" s="676"/>
      <c r="F115" s="168"/>
      <c r="G115" s="167"/>
      <c r="H115" s="674"/>
      <c r="I115" s="524"/>
      <c r="J115" s="82"/>
    </row>
    <row r="116" spans="1:10" ht="20.100000000000001" customHeight="1" x14ac:dyDescent="0.2">
      <c r="A116" s="673">
        <f t="shared" si="7"/>
        <v>7</v>
      </c>
      <c r="B116" s="122"/>
      <c r="C116" s="80">
        <f t="shared" si="5"/>
        <v>0</v>
      </c>
      <c r="D116" s="120">
        <f t="shared" si="6"/>
        <v>0</v>
      </c>
      <c r="E116" s="676"/>
      <c r="F116" s="168"/>
      <c r="G116" s="167"/>
      <c r="H116" s="674"/>
      <c r="I116" s="524"/>
      <c r="J116" s="82"/>
    </row>
    <row r="117" spans="1:10" ht="20.100000000000001" customHeight="1" x14ac:dyDescent="0.2">
      <c r="A117" s="673">
        <f t="shared" si="7"/>
        <v>7</v>
      </c>
      <c r="B117" s="122"/>
      <c r="C117" s="80">
        <f t="shared" si="5"/>
        <v>0</v>
      </c>
      <c r="D117" s="120">
        <f t="shared" si="6"/>
        <v>0</v>
      </c>
      <c r="E117" s="676"/>
      <c r="F117" s="168"/>
      <c r="G117" s="167"/>
      <c r="H117" s="674"/>
      <c r="I117" s="524"/>
      <c r="J117" s="82"/>
    </row>
    <row r="118" spans="1:10" ht="20.100000000000001" customHeight="1" x14ac:dyDescent="0.2">
      <c r="A118" s="673">
        <f t="shared" si="7"/>
        <v>7</v>
      </c>
      <c r="B118" s="122"/>
      <c r="C118" s="80">
        <f t="shared" si="5"/>
        <v>0</v>
      </c>
      <c r="D118" s="120">
        <f t="shared" si="6"/>
        <v>0</v>
      </c>
      <c r="E118" s="676"/>
      <c r="F118" s="168"/>
      <c r="G118" s="167"/>
      <c r="H118" s="674"/>
      <c r="I118" s="524"/>
      <c r="J118" s="82"/>
    </row>
    <row r="119" spans="1:10" ht="20.100000000000001" customHeight="1" x14ac:dyDescent="0.2">
      <c r="A119" s="673">
        <f t="shared" si="7"/>
        <v>7</v>
      </c>
      <c r="B119" s="122"/>
      <c r="C119" s="80">
        <f t="shared" si="5"/>
        <v>0</v>
      </c>
      <c r="D119" s="120">
        <f t="shared" si="6"/>
        <v>0</v>
      </c>
      <c r="E119" s="676"/>
      <c r="F119" s="168"/>
      <c r="G119" s="167"/>
      <c r="H119" s="674"/>
      <c r="I119" s="524"/>
      <c r="J119" s="82"/>
    </row>
    <row r="120" spans="1:10" ht="20.100000000000001" customHeight="1" x14ac:dyDescent="0.2">
      <c r="A120" s="673">
        <f t="shared" si="7"/>
        <v>7</v>
      </c>
      <c r="B120" s="122"/>
      <c r="C120" s="80">
        <f t="shared" si="5"/>
        <v>0</v>
      </c>
      <c r="D120" s="120">
        <f t="shared" si="6"/>
        <v>0</v>
      </c>
      <c r="E120" s="676"/>
      <c r="F120" s="168"/>
      <c r="G120" s="167"/>
      <c r="H120" s="674"/>
      <c r="I120" s="524"/>
      <c r="J120" s="82"/>
    </row>
    <row r="121" spans="1:10" ht="20.100000000000001" customHeight="1" x14ac:dyDescent="0.2">
      <c r="A121" s="673">
        <f t="shared" si="7"/>
        <v>7</v>
      </c>
      <c r="B121" s="122"/>
      <c r="C121" s="80">
        <f t="shared" si="5"/>
        <v>0</v>
      </c>
      <c r="D121" s="120">
        <f t="shared" si="6"/>
        <v>0</v>
      </c>
      <c r="E121" s="676"/>
      <c r="F121" s="168"/>
      <c r="G121" s="167"/>
      <c r="H121" s="674"/>
      <c r="I121" s="524"/>
      <c r="J121" s="82"/>
    </row>
    <row r="122" spans="1:10" ht="20.100000000000001" customHeight="1" x14ac:dyDescent="0.2">
      <c r="A122" s="673">
        <f t="shared" si="7"/>
        <v>7</v>
      </c>
      <c r="B122" s="122"/>
      <c r="C122" s="80">
        <f t="shared" si="5"/>
        <v>0</v>
      </c>
      <c r="D122" s="120">
        <f t="shared" si="6"/>
        <v>0</v>
      </c>
      <c r="E122" s="676"/>
      <c r="F122" s="168"/>
      <c r="G122" s="167"/>
      <c r="H122" s="674"/>
      <c r="I122" s="524"/>
      <c r="J122" s="82"/>
    </row>
    <row r="123" spans="1:10" ht="20.100000000000001" customHeight="1" x14ac:dyDescent="0.2">
      <c r="A123" s="673">
        <f t="shared" si="7"/>
        <v>7</v>
      </c>
      <c r="B123" s="122"/>
      <c r="C123" s="80">
        <f t="shared" si="5"/>
        <v>0</v>
      </c>
      <c r="D123" s="120">
        <f t="shared" si="6"/>
        <v>0</v>
      </c>
      <c r="E123" s="676"/>
      <c r="F123" s="168"/>
      <c r="G123" s="167"/>
      <c r="H123" s="674"/>
      <c r="I123" s="524"/>
      <c r="J123" s="82"/>
    </row>
    <row r="124" spans="1:10" ht="20.100000000000001" customHeight="1" x14ac:dyDescent="0.2">
      <c r="A124" s="673">
        <f t="shared" si="7"/>
        <v>7</v>
      </c>
      <c r="B124" s="122"/>
      <c r="C124" s="80">
        <f t="shared" si="5"/>
        <v>0</v>
      </c>
      <c r="D124" s="120">
        <f t="shared" si="6"/>
        <v>0</v>
      </c>
      <c r="E124" s="676"/>
      <c r="F124" s="168"/>
      <c r="G124" s="167"/>
      <c r="H124" s="674"/>
      <c r="I124" s="524"/>
      <c r="J124" s="82"/>
    </row>
    <row r="125" spans="1:10" ht="20.100000000000001" customHeight="1" x14ac:dyDescent="0.2">
      <c r="A125" s="673">
        <f t="shared" si="7"/>
        <v>7</v>
      </c>
      <c r="B125" s="122"/>
      <c r="C125" s="80">
        <f t="shared" si="5"/>
        <v>0</v>
      </c>
      <c r="D125" s="120">
        <f t="shared" si="6"/>
        <v>0</v>
      </c>
      <c r="E125" s="676"/>
      <c r="F125" s="168"/>
      <c r="G125" s="167"/>
      <c r="H125" s="674"/>
      <c r="I125" s="524"/>
      <c r="J125" s="82"/>
    </row>
    <row r="126" spans="1:10" ht="20.100000000000001" customHeight="1" x14ac:dyDescent="0.2">
      <c r="A126" s="673">
        <f t="shared" si="7"/>
        <v>7</v>
      </c>
      <c r="B126" s="122"/>
      <c r="C126" s="80">
        <f t="shared" si="5"/>
        <v>0</v>
      </c>
      <c r="D126" s="120">
        <f t="shared" si="6"/>
        <v>0</v>
      </c>
      <c r="E126" s="676"/>
      <c r="F126" s="168"/>
      <c r="G126" s="167"/>
      <c r="H126" s="674"/>
      <c r="I126" s="524"/>
      <c r="J126" s="82"/>
    </row>
    <row r="127" spans="1:10" ht="20.100000000000001" customHeight="1" x14ac:dyDescent="0.2">
      <c r="A127" s="673">
        <f t="shared" si="7"/>
        <v>7</v>
      </c>
      <c r="B127" s="122"/>
      <c r="C127" s="80">
        <f t="shared" si="5"/>
        <v>0</v>
      </c>
      <c r="D127" s="120">
        <f t="shared" si="6"/>
        <v>0</v>
      </c>
      <c r="E127" s="676"/>
      <c r="F127" s="168"/>
      <c r="G127" s="167"/>
      <c r="H127" s="674"/>
      <c r="I127" s="524"/>
      <c r="J127" s="82"/>
    </row>
    <row r="128" spans="1:10" ht="20.100000000000001" customHeight="1" x14ac:dyDescent="0.2">
      <c r="A128" s="673">
        <f t="shared" si="7"/>
        <v>7</v>
      </c>
      <c r="B128" s="122"/>
      <c r="C128" s="80">
        <f t="shared" si="5"/>
        <v>0</v>
      </c>
      <c r="D128" s="120">
        <f t="shared" si="6"/>
        <v>0</v>
      </c>
      <c r="E128" s="676"/>
      <c r="F128" s="168"/>
      <c r="G128" s="167"/>
      <c r="H128" s="674"/>
      <c r="I128" s="524"/>
      <c r="J128" s="82"/>
    </row>
    <row r="129" spans="1:10" ht="20.100000000000001" customHeight="1" x14ac:dyDescent="0.2">
      <c r="A129" s="673">
        <f t="shared" si="7"/>
        <v>7</v>
      </c>
      <c r="B129" s="122"/>
      <c r="C129" s="80">
        <f t="shared" ref="C129:C160" si="8">IFERROR(VLOOKUP(J129,T_Código_Items,2,FALSE),G129)</f>
        <v>0</v>
      </c>
      <c r="D129" s="120">
        <f t="shared" ref="D129:D160" si="9">IFERROR(VLOOKUP(J129,T_Código_Items,3,FALSE),H129)</f>
        <v>0</v>
      </c>
      <c r="E129" s="676"/>
      <c r="F129" s="168"/>
      <c r="G129" s="167"/>
      <c r="H129" s="674"/>
      <c r="I129" s="524"/>
      <c r="J129" s="82"/>
    </row>
    <row r="130" spans="1:10" ht="20.100000000000001" customHeight="1" x14ac:dyDescent="0.2">
      <c r="A130" s="673">
        <f t="shared" si="7"/>
        <v>7</v>
      </c>
      <c r="B130" s="122"/>
      <c r="C130" s="80">
        <f t="shared" si="8"/>
        <v>0</v>
      </c>
      <c r="D130" s="120">
        <f t="shared" si="9"/>
        <v>0</v>
      </c>
      <c r="E130" s="676"/>
      <c r="F130" s="168"/>
      <c r="G130" s="167"/>
      <c r="H130" s="674"/>
      <c r="I130" s="524"/>
      <c r="J130" s="82"/>
    </row>
    <row r="131" spans="1:10" ht="20.100000000000001" customHeight="1" x14ac:dyDescent="0.2">
      <c r="A131" s="673">
        <f t="shared" si="7"/>
        <v>7</v>
      </c>
      <c r="B131" s="122"/>
      <c r="C131" s="80">
        <f t="shared" si="8"/>
        <v>0</v>
      </c>
      <c r="D131" s="120">
        <f t="shared" si="9"/>
        <v>0</v>
      </c>
      <c r="E131" s="676"/>
      <c r="F131" s="168"/>
      <c r="G131" s="167"/>
      <c r="H131" s="674"/>
      <c r="I131" s="524"/>
      <c r="J131" s="82"/>
    </row>
    <row r="132" spans="1:10" ht="20.100000000000001" customHeight="1" x14ac:dyDescent="0.2">
      <c r="A132" s="673">
        <f t="shared" si="7"/>
        <v>7</v>
      </c>
      <c r="B132" s="122"/>
      <c r="C132" s="80">
        <f t="shared" si="8"/>
        <v>0</v>
      </c>
      <c r="D132" s="120">
        <f t="shared" si="9"/>
        <v>0</v>
      </c>
      <c r="E132" s="676"/>
      <c r="F132" s="168"/>
      <c r="G132" s="167"/>
      <c r="H132" s="674"/>
      <c r="I132" s="524"/>
      <c r="J132" s="82"/>
    </row>
    <row r="133" spans="1:10" ht="20.100000000000001" customHeight="1" x14ac:dyDescent="0.2">
      <c r="A133" s="673">
        <f t="shared" si="7"/>
        <v>7</v>
      </c>
      <c r="B133" s="122"/>
      <c r="C133" s="80">
        <f t="shared" si="8"/>
        <v>0</v>
      </c>
      <c r="D133" s="120">
        <f t="shared" si="9"/>
        <v>0</v>
      </c>
      <c r="E133" s="676"/>
      <c r="F133" s="168"/>
      <c r="G133" s="167"/>
      <c r="H133" s="674"/>
      <c r="I133" s="524"/>
      <c r="J133" s="82"/>
    </row>
    <row r="134" spans="1:10" ht="20.100000000000001" customHeight="1" x14ac:dyDescent="0.2">
      <c r="A134" s="673">
        <f t="shared" si="7"/>
        <v>7</v>
      </c>
      <c r="B134" s="122"/>
      <c r="C134" s="80">
        <f t="shared" si="8"/>
        <v>0</v>
      </c>
      <c r="D134" s="120">
        <f t="shared" si="9"/>
        <v>0</v>
      </c>
      <c r="E134" s="676"/>
      <c r="F134" s="168"/>
      <c r="G134" s="167"/>
      <c r="H134" s="674"/>
      <c r="I134" s="524"/>
      <c r="J134" s="82"/>
    </row>
    <row r="135" spans="1:10" ht="20.100000000000001" customHeight="1" x14ac:dyDescent="0.2">
      <c r="A135" s="673">
        <f t="shared" si="7"/>
        <v>7</v>
      </c>
      <c r="B135" s="122"/>
      <c r="C135" s="80">
        <f t="shared" si="8"/>
        <v>0</v>
      </c>
      <c r="D135" s="120">
        <f t="shared" si="9"/>
        <v>0</v>
      </c>
      <c r="E135" s="676"/>
      <c r="F135" s="168"/>
      <c r="G135" s="167"/>
      <c r="H135" s="674"/>
      <c r="I135" s="524"/>
      <c r="J135" s="82"/>
    </row>
    <row r="136" spans="1:10" ht="20.100000000000001" customHeight="1" x14ac:dyDescent="0.2">
      <c r="A136" s="673">
        <f t="shared" si="7"/>
        <v>7</v>
      </c>
      <c r="B136" s="122"/>
      <c r="C136" s="80">
        <f t="shared" si="8"/>
        <v>0</v>
      </c>
      <c r="D136" s="120">
        <f t="shared" si="9"/>
        <v>0</v>
      </c>
      <c r="E136" s="676"/>
      <c r="F136" s="168"/>
      <c r="G136" s="167"/>
      <c r="H136" s="674"/>
      <c r="I136" s="524"/>
      <c r="J136" s="82"/>
    </row>
    <row r="137" spans="1:10" ht="20.100000000000001" customHeight="1" x14ac:dyDescent="0.2">
      <c r="A137" s="673">
        <f t="shared" si="7"/>
        <v>7</v>
      </c>
      <c r="B137" s="122"/>
      <c r="C137" s="80">
        <f t="shared" si="8"/>
        <v>0</v>
      </c>
      <c r="D137" s="120">
        <f t="shared" si="9"/>
        <v>0</v>
      </c>
      <c r="E137" s="676"/>
      <c r="F137" s="168"/>
      <c r="G137" s="167"/>
      <c r="H137" s="674"/>
      <c r="I137" s="524"/>
      <c r="J137" s="82"/>
    </row>
    <row r="138" spans="1:10" ht="20.100000000000001" customHeight="1" x14ac:dyDescent="0.2">
      <c r="A138" s="673">
        <f t="shared" si="7"/>
        <v>7</v>
      </c>
      <c r="B138" s="122"/>
      <c r="C138" s="80">
        <f t="shared" si="8"/>
        <v>0</v>
      </c>
      <c r="D138" s="120">
        <f t="shared" si="9"/>
        <v>0</v>
      </c>
      <c r="E138" s="676"/>
      <c r="F138" s="168"/>
      <c r="G138" s="167"/>
      <c r="H138" s="674"/>
      <c r="I138" s="524"/>
      <c r="J138" s="82"/>
    </row>
    <row r="139" spans="1:10" ht="20.100000000000001" customHeight="1" x14ac:dyDescent="0.2">
      <c r="A139" s="673">
        <f t="shared" si="7"/>
        <v>7</v>
      </c>
      <c r="B139" s="122"/>
      <c r="C139" s="80">
        <f t="shared" si="8"/>
        <v>0</v>
      </c>
      <c r="D139" s="120">
        <f t="shared" si="9"/>
        <v>0</v>
      </c>
      <c r="E139" s="676"/>
      <c r="F139" s="168"/>
      <c r="G139" s="167"/>
      <c r="H139" s="674"/>
      <c r="I139" s="524"/>
      <c r="J139" s="82"/>
    </row>
    <row r="140" spans="1:10" ht="20.100000000000001" customHeight="1" x14ac:dyDescent="0.2">
      <c r="A140" s="673">
        <f t="shared" si="7"/>
        <v>7</v>
      </c>
      <c r="B140" s="122"/>
      <c r="C140" s="80">
        <f t="shared" si="8"/>
        <v>0</v>
      </c>
      <c r="D140" s="120">
        <f t="shared" si="9"/>
        <v>0</v>
      </c>
      <c r="E140" s="676"/>
      <c r="F140" s="168"/>
      <c r="G140" s="167"/>
      <c r="H140" s="674"/>
      <c r="I140" s="524"/>
      <c r="J140" s="82"/>
    </row>
    <row r="141" spans="1:10" ht="20.100000000000001" customHeight="1" x14ac:dyDescent="0.2">
      <c r="A141" s="673">
        <f t="shared" si="7"/>
        <v>7</v>
      </c>
      <c r="B141" s="122"/>
      <c r="C141" s="80">
        <f t="shared" si="8"/>
        <v>0</v>
      </c>
      <c r="D141" s="120">
        <f t="shared" si="9"/>
        <v>0</v>
      </c>
      <c r="E141" s="676"/>
      <c r="F141" s="168"/>
      <c r="G141" s="167"/>
      <c r="H141" s="674"/>
      <c r="I141" s="524"/>
      <c r="J141" s="82"/>
    </row>
    <row r="142" spans="1:10" ht="20.100000000000001" customHeight="1" x14ac:dyDescent="0.2">
      <c r="A142" s="673">
        <f t="shared" si="7"/>
        <v>7</v>
      </c>
      <c r="B142" s="122"/>
      <c r="C142" s="80">
        <f t="shared" si="8"/>
        <v>0</v>
      </c>
      <c r="D142" s="120">
        <f t="shared" si="9"/>
        <v>0</v>
      </c>
      <c r="E142" s="676"/>
      <c r="F142" s="168"/>
      <c r="G142" s="167"/>
      <c r="H142" s="674"/>
      <c r="I142" s="524"/>
      <c r="J142" s="82"/>
    </row>
    <row r="143" spans="1:10" ht="20.100000000000001" customHeight="1" x14ac:dyDescent="0.2">
      <c r="A143" s="673">
        <f t="shared" si="7"/>
        <v>7</v>
      </c>
      <c r="B143" s="122"/>
      <c r="C143" s="80">
        <f t="shared" si="8"/>
        <v>0</v>
      </c>
      <c r="D143" s="120">
        <f t="shared" si="9"/>
        <v>0</v>
      </c>
      <c r="E143" s="676"/>
      <c r="F143" s="168"/>
      <c r="G143" s="167"/>
      <c r="H143" s="674"/>
      <c r="I143" s="524"/>
      <c r="J143" s="82"/>
    </row>
    <row r="144" spans="1:10" ht="20.100000000000001" customHeight="1" x14ac:dyDescent="0.2">
      <c r="A144" s="673">
        <f t="shared" si="7"/>
        <v>7</v>
      </c>
      <c r="B144" s="122"/>
      <c r="C144" s="80">
        <f t="shared" si="8"/>
        <v>0</v>
      </c>
      <c r="D144" s="120">
        <f t="shared" si="9"/>
        <v>0</v>
      </c>
      <c r="E144" s="676"/>
      <c r="F144" s="168"/>
      <c r="G144" s="167"/>
      <c r="H144" s="674"/>
      <c r="I144" s="524"/>
      <c r="J144" s="82"/>
    </row>
    <row r="145" spans="1:10" ht="20.100000000000001" customHeight="1" x14ac:dyDescent="0.2">
      <c r="A145" s="673">
        <f t="shared" si="7"/>
        <v>7</v>
      </c>
      <c r="B145" s="122"/>
      <c r="C145" s="80">
        <f t="shared" si="8"/>
        <v>0</v>
      </c>
      <c r="D145" s="120">
        <f t="shared" si="9"/>
        <v>0</v>
      </c>
      <c r="E145" s="676"/>
      <c r="F145" s="168"/>
      <c r="G145" s="167"/>
      <c r="H145" s="674"/>
      <c r="I145" s="524"/>
      <c r="J145" s="82"/>
    </row>
    <row r="146" spans="1:10" ht="20.100000000000001" customHeight="1" x14ac:dyDescent="0.2">
      <c r="A146" s="673">
        <f t="shared" si="7"/>
        <v>7</v>
      </c>
      <c r="B146" s="122"/>
      <c r="C146" s="80">
        <f t="shared" si="8"/>
        <v>0</v>
      </c>
      <c r="D146" s="120">
        <f t="shared" si="9"/>
        <v>0</v>
      </c>
      <c r="E146" s="676"/>
      <c r="F146" s="168"/>
      <c r="G146" s="167"/>
      <c r="H146" s="674"/>
      <c r="I146" s="524"/>
      <c r="J146" s="82"/>
    </row>
    <row r="147" spans="1:10" ht="20.100000000000001" customHeight="1" x14ac:dyDescent="0.2">
      <c r="A147" s="673">
        <f t="shared" si="7"/>
        <v>7</v>
      </c>
      <c r="B147" s="122"/>
      <c r="C147" s="80">
        <f t="shared" si="8"/>
        <v>0</v>
      </c>
      <c r="D147" s="120">
        <f t="shared" si="9"/>
        <v>0</v>
      </c>
      <c r="E147" s="676"/>
      <c r="F147" s="168"/>
      <c r="G147" s="167"/>
      <c r="H147" s="674"/>
      <c r="I147" s="524"/>
      <c r="J147" s="82"/>
    </row>
    <row r="148" spans="1:10" ht="20.100000000000001" customHeight="1" x14ac:dyDescent="0.2">
      <c r="A148" s="673">
        <f t="shared" si="7"/>
        <v>7</v>
      </c>
      <c r="B148" s="122"/>
      <c r="C148" s="80">
        <f t="shared" si="8"/>
        <v>0</v>
      </c>
      <c r="D148" s="120">
        <f t="shared" si="9"/>
        <v>0</v>
      </c>
      <c r="E148" s="676"/>
      <c r="F148" s="168"/>
      <c r="G148" s="167"/>
      <c r="H148" s="674"/>
      <c r="I148" s="524"/>
      <c r="J148" s="82"/>
    </row>
    <row r="149" spans="1:10" ht="20.100000000000001" customHeight="1" x14ac:dyDescent="0.2">
      <c r="A149" s="673">
        <f t="shared" si="7"/>
        <v>7</v>
      </c>
      <c r="B149" s="122"/>
      <c r="C149" s="80">
        <f t="shared" si="8"/>
        <v>0</v>
      </c>
      <c r="D149" s="120">
        <f t="shared" si="9"/>
        <v>0</v>
      </c>
      <c r="E149" s="676"/>
      <c r="F149" s="168"/>
      <c r="G149" s="167"/>
      <c r="H149" s="674"/>
      <c r="I149" s="524"/>
      <c r="J149" s="82"/>
    </row>
    <row r="150" spans="1:10" ht="20.100000000000001" customHeight="1" x14ac:dyDescent="0.2">
      <c r="A150" s="673">
        <f t="shared" si="7"/>
        <v>7</v>
      </c>
      <c r="B150" s="122"/>
      <c r="C150" s="80">
        <f t="shared" si="8"/>
        <v>0</v>
      </c>
      <c r="D150" s="120">
        <f t="shared" si="9"/>
        <v>0</v>
      </c>
      <c r="E150" s="676"/>
      <c r="F150" s="168"/>
      <c r="G150" s="167"/>
      <c r="H150" s="674"/>
      <c r="I150" s="524"/>
      <c r="J150" s="82"/>
    </row>
    <row r="151" spans="1:10" ht="20.100000000000001" customHeight="1" x14ac:dyDescent="0.2">
      <c r="A151" s="673">
        <f t="shared" si="7"/>
        <v>7</v>
      </c>
      <c r="B151" s="122"/>
      <c r="C151" s="80">
        <f t="shared" si="8"/>
        <v>0</v>
      </c>
      <c r="D151" s="120">
        <f t="shared" si="9"/>
        <v>0</v>
      </c>
      <c r="E151" s="676"/>
      <c r="F151" s="168"/>
      <c r="G151" s="167"/>
      <c r="H151" s="674"/>
      <c r="I151" s="524"/>
      <c r="J151" s="82"/>
    </row>
    <row r="152" spans="1:10" ht="20.100000000000001" customHeight="1" x14ac:dyDescent="0.2">
      <c r="A152" s="673">
        <f t="shared" si="7"/>
        <v>7</v>
      </c>
      <c r="B152" s="122"/>
      <c r="C152" s="80">
        <f t="shared" si="8"/>
        <v>0</v>
      </c>
      <c r="D152" s="120">
        <f t="shared" si="9"/>
        <v>0</v>
      </c>
      <c r="E152" s="676"/>
      <c r="F152" s="168"/>
      <c r="G152" s="167"/>
      <c r="H152" s="674"/>
      <c r="I152" s="524"/>
      <c r="J152" s="82"/>
    </row>
    <row r="153" spans="1:10" ht="20.100000000000001" customHeight="1" x14ac:dyDescent="0.2">
      <c r="A153" s="673">
        <f t="shared" si="7"/>
        <v>7</v>
      </c>
      <c r="B153" s="122"/>
      <c r="C153" s="80">
        <f t="shared" si="8"/>
        <v>0</v>
      </c>
      <c r="D153" s="120">
        <f t="shared" si="9"/>
        <v>0</v>
      </c>
      <c r="E153" s="676"/>
      <c r="F153" s="168"/>
      <c r="G153" s="167"/>
      <c r="H153" s="674"/>
      <c r="I153" s="524"/>
      <c r="J153" s="82"/>
    </row>
    <row r="154" spans="1:10" ht="20.100000000000001" customHeight="1" x14ac:dyDescent="0.2">
      <c r="A154" s="673">
        <f t="shared" si="7"/>
        <v>7</v>
      </c>
      <c r="B154" s="122"/>
      <c r="C154" s="80">
        <f t="shared" si="8"/>
        <v>0</v>
      </c>
      <c r="D154" s="120">
        <f t="shared" si="9"/>
        <v>0</v>
      </c>
      <c r="E154" s="676"/>
      <c r="F154" s="168"/>
      <c r="G154" s="167"/>
      <c r="H154" s="674"/>
      <c r="I154" s="524"/>
      <c r="J154" s="82"/>
    </row>
    <row r="155" spans="1:10" ht="20.100000000000001" customHeight="1" x14ac:dyDescent="0.2">
      <c r="A155" s="673">
        <f t="shared" si="7"/>
        <v>7</v>
      </c>
      <c r="B155" s="122"/>
      <c r="C155" s="80">
        <f t="shared" si="8"/>
        <v>0</v>
      </c>
      <c r="D155" s="120">
        <f t="shared" si="9"/>
        <v>0</v>
      </c>
      <c r="E155" s="676"/>
      <c r="F155" s="168"/>
      <c r="G155" s="167"/>
      <c r="H155" s="674"/>
      <c r="I155" s="524"/>
      <c r="J155" s="82"/>
    </row>
    <row r="156" spans="1:10" ht="20.100000000000001" customHeight="1" x14ac:dyDescent="0.2">
      <c r="A156" s="673">
        <f t="shared" si="7"/>
        <v>7</v>
      </c>
      <c r="B156" s="122"/>
      <c r="C156" s="80">
        <f t="shared" si="8"/>
        <v>0</v>
      </c>
      <c r="D156" s="120">
        <f t="shared" si="9"/>
        <v>0</v>
      </c>
      <c r="E156" s="676"/>
      <c r="F156" s="168"/>
      <c r="G156" s="167"/>
      <c r="H156" s="674"/>
      <c r="I156" s="524"/>
      <c r="J156" s="82"/>
    </row>
    <row r="157" spans="1:10" ht="20.100000000000001" customHeight="1" x14ac:dyDescent="0.2">
      <c r="A157" s="673">
        <f t="shared" si="7"/>
        <v>7</v>
      </c>
      <c r="B157" s="122"/>
      <c r="C157" s="80">
        <f t="shared" si="8"/>
        <v>0</v>
      </c>
      <c r="D157" s="120">
        <f t="shared" si="9"/>
        <v>0</v>
      </c>
      <c r="E157" s="676"/>
      <c r="F157" s="168"/>
      <c r="G157" s="167"/>
      <c r="H157" s="674"/>
      <c r="I157" s="524"/>
      <c r="J157" s="82"/>
    </row>
    <row r="158" spans="1:10" ht="20.100000000000001" customHeight="1" x14ac:dyDescent="0.2">
      <c r="A158" s="673">
        <f t="shared" si="7"/>
        <v>7</v>
      </c>
      <c r="B158" s="122"/>
      <c r="C158" s="80">
        <f t="shared" si="8"/>
        <v>0</v>
      </c>
      <c r="D158" s="120">
        <f t="shared" si="9"/>
        <v>0</v>
      </c>
      <c r="E158" s="676"/>
      <c r="F158" s="168"/>
      <c r="G158" s="167"/>
      <c r="H158" s="674"/>
      <c r="I158" s="524"/>
      <c r="J158" s="82"/>
    </row>
    <row r="159" spans="1:10" ht="20.100000000000001" customHeight="1" x14ac:dyDescent="0.2">
      <c r="A159" s="673">
        <f t="shared" si="7"/>
        <v>7</v>
      </c>
      <c r="B159" s="122"/>
      <c r="C159" s="80">
        <f t="shared" si="8"/>
        <v>0</v>
      </c>
      <c r="D159" s="120">
        <f t="shared" si="9"/>
        <v>0</v>
      </c>
      <c r="E159" s="676"/>
      <c r="F159" s="168"/>
      <c r="G159" s="167"/>
      <c r="H159" s="674"/>
      <c r="I159" s="524"/>
      <c r="J159" s="82"/>
    </row>
    <row r="160" spans="1:10" ht="20.100000000000001" customHeight="1" x14ac:dyDescent="0.2">
      <c r="A160" s="673">
        <f t="shared" si="7"/>
        <v>7</v>
      </c>
      <c r="B160" s="122"/>
      <c r="C160" s="80">
        <f t="shared" si="8"/>
        <v>0</v>
      </c>
      <c r="D160" s="120">
        <f t="shared" si="9"/>
        <v>0</v>
      </c>
      <c r="E160" s="676"/>
      <c r="F160" s="168"/>
      <c r="G160" s="167"/>
      <c r="H160" s="674"/>
      <c r="I160" s="524"/>
      <c r="J160" s="82"/>
    </row>
    <row r="161" spans="1:10" ht="20.100000000000001" customHeight="1" x14ac:dyDescent="0.2">
      <c r="A161" s="673">
        <f t="shared" si="7"/>
        <v>7</v>
      </c>
      <c r="B161" s="122"/>
      <c r="C161" s="80">
        <f t="shared" ref="C161:C183" si="10">IFERROR(VLOOKUP(J161,T_Código_Items,2,FALSE),G161)</f>
        <v>0</v>
      </c>
      <c r="D161" s="120">
        <f t="shared" ref="D161:D183" si="11">IFERROR(VLOOKUP(J161,T_Código_Items,3,FALSE),H161)</f>
        <v>0</v>
      </c>
      <c r="E161" s="676"/>
      <c r="F161" s="168"/>
      <c r="G161" s="167"/>
      <c r="H161" s="674"/>
      <c r="I161" s="524"/>
      <c r="J161" s="82"/>
    </row>
    <row r="162" spans="1:10" ht="20.100000000000001" customHeight="1" x14ac:dyDescent="0.2">
      <c r="A162" s="673">
        <f t="shared" si="7"/>
        <v>7</v>
      </c>
      <c r="B162" s="122"/>
      <c r="C162" s="80">
        <f t="shared" si="10"/>
        <v>0</v>
      </c>
      <c r="D162" s="120">
        <f t="shared" si="11"/>
        <v>0</v>
      </c>
      <c r="E162" s="676"/>
      <c r="F162" s="168"/>
      <c r="G162" s="167"/>
      <c r="H162" s="674"/>
      <c r="I162" s="524"/>
      <c r="J162" s="82"/>
    </row>
    <row r="163" spans="1:10" ht="20.100000000000001" customHeight="1" x14ac:dyDescent="0.2">
      <c r="A163" s="673">
        <f t="shared" ref="A163:A183" si="12">IF(D163=0,A162,A162+1)</f>
        <v>7</v>
      </c>
      <c r="B163" s="122"/>
      <c r="C163" s="80">
        <f t="shared" si="10"/>
        <v>0</v>
      </c>
      <c r="D163" s="120">
        <f t="shared" si="11"/>
        <v>0</v>
      </c>
      <c r="E163" s="676"/>
      <c r="F163" s="168"/>
      <c r="G163" s="167"/>
      <c r="H163" s="674"/>
      <c r="I163" s="524"/>
      <c r="J163" s="82"/>
    </row>
    <row r="164" spans="1:10" ht="20.100000000000001" customHeight="1" x14ac:dyDescent="0.2">
      <c r="A164" s="673">
        <f t="shared" si="12"/>
        <v>7</v>
      </c>
      <c r="B164" s="122"/>
      <c r="C164" s="80">
        <f t="shared" si="10"/>
        <v>0</v>
      </c>
      <c r="D164" s="120">
        <f t="shared" si="11"/>
        <v>0</v>
      </c>
      <c r="E164" s="676"/>
      <c r="F164" s="168"/>
      <c r="G164" s="167"/>
      <c r="H164" s="674"/>
      <c r="I164" s="524"/>
      <c r="J164" s="82"/>
    </row>
    <row r="165" spans="1:10" ht="20.100000000000001" customHeight="1" x14ac:dyDescent="0.2">
      <c r="A165" s="673">
        <f t="shared" si="12"/>
        <v>7</v>
      </c>
      <c r="B165" s="122"/>
      <c r="C165" s="80">
        <f t="shared" si="10"/>
        <v>0</v>
      </c>
      <c r="D165" s="120">
        <f t="shared" si="11"/>
        <v>0</v>
      </c>
      <c r="E165" s="676"/>
      <c r="F165" s="168"/>
      <c r="G165" s="167"/>
      <c r="H165" s="674"/>
      <c r="I165" s="524"/>
      <c r="J165" s="82"/>
    </row>
    <row r="166" spans="1:10" ht="20.100000000000001" customHeight="1" x14ac:dyDescent="0.2">
      <c r="A166" s="673">
        <f t="shared" si="12"/>
        <v>7</v>
      </c>
      <c r="B166" s="122"/>
      <c r="C166" s="80">
        <f t="shared" si="10"/>
        <v>0</v>
      </c>
      <c r="D166" s="120">
        <f t="shared" si="11"/>
        <v>0</v>
      </c>
      <c r="E166" s="676"/>
      <c r="F166" s="168"/>
      <c r="G166" s="167"/>
      <c r="H166" s="674"/>
      <c r="I166" s="524"/>
      <c r="J166" s="82"/>
    </row>
    <row r="167" spans="1:10" ht="20.100000000000001" customHeight="1" x14ac:dyDescent="0.2">
      <c r="A167" s="673">
        <f t="shared" si="12"/>
        <v>7</v>
      </c>
      <c r="B167" s="122"/>
      <c r="C167" s="80">
        <f t="shared" si="10"/>
        <v>0</v>
      </c>
      <c r="D167" s="120">
        <f t="shared" si="11"/>
        <v>0</v>
      </c>
      <c r="E167" s="676"/>
      <c r="F167" s="168"/>
      <c r="G167" s="167"/>
      <c r="H167" s="674"/>
      <c r="I167" s="524"/>
      <c r="J167" s="82"/>
    </row>
    <row r="168" spans="1:10" ht="20.100000000000001" customHeight="1" x14ac:dyDescent="0.2">
      <c r="A168" s="673">
        <f t="shared" si="12"/>
        <v>7</v>
      </c>
      <c r="B168" s="122"/>
      <c r="C168" s="80">
        <f t="shared" si="10"/>
        <v>0</v>
      </c>
      <c r="D168" s="120">
        <f t="shared" si="11"/>
        <v>0</v>
      </c>
      <c r="E168" s="676"/>
      <c r="F168" s="168"/>
      <c r="G168" s="167"/>
      <c r="H168" s="674"/>
      <c r="I168" s="524"/>
      <c r="J168" s="82"/>
    </row>
    <row r="169" spans="1:10" ht="20.100000000000001" customHeight="1" x14ac:dyDescent="0.2">
      <c r="A169" s="673">
        <f t="shared" si="12"/>
        <v>7</v>
      </c>
      <c r="B169" s="122"/>
      <c r="C169" s="80">
        <f t="shared" si="10"/>
        <v>0</v>
      </c>
      <c r="D169" s="120">
        <f t="shared" si="11"/>
        <v>0</v>
      </c>
      <c r="E169" s="676"/>
      <c r="F169" s="168"/>
      <c r="G169" s="167"/>
      <c r="H169" s="674"/>
      <c r="I169" s="524"/>
      <c r="J169" s="82"/>
    </row>
    <row r="170" spans="1:10" ht="20.100000000000001" customHeight="1" x14ac:dyDescent="0.2">
      <c r="A170" s="673">
        <f t="shared" si="12"/>
        <v>7</v>
      </c>
      <c r="B170" s="122"/>
      <c r="C170" s="80">
        <f t="shared" si="10"/>
        <v>0</v>
      </c>
      <c r="D170" s="120">
        <f t="shared" si="11"/>
        <v>0</v>
      </c>
      <c r="E170" s="676"/>
      <c r="F170" s="168"/>
      <c r="G170" s="167"/>
      <c r="H170" s="674"/>
      <c r="I170" s="524"/>
      <c r="J170" s="82"/>
    </row>
    <row r="171" spans="1:10" ht="20.100000000000001" customHeight="1" x14ac:dyDescent="0.2">
      <c r="A171" s="673">
        <f t="shared" si="12"/>
        <v>7</v>
      </c>
      <c r="B171" s="122"/>
      <c r="C171" s="80">
        <f t="shared" si="10"/>
        <v>0</v>
      </c>
      <c r="D171" s="120">
        <f t="shared" si="11"/>
        <v>0</v>
      </c>
      <c r="E171" s="676"/>
      <c r="F171" s="168"/>
      <c r="G171" s="167"/>
      <c r="H171" s="674"/>
      <c r="I171" s="524"/>
      <c r="J171" s="82"/>
    </row>
    <row r="172" spans="1:10" ht="20.100000000000001" customHeight="1" x14ac:dyDescent="0.2">
      <c r="A172" s="673">
        <f t="shared" si="12"/>
        <v>7</v>
      </c>
      <c r="B172" s="122"/>
      <c r="C172" s="80">
        <f t="shared" si="10"/>
        <v>0</v>
      </c>
      <c r="D172" s="120">
        <f t="shared" si="11"/>
        <v>0</v>
      </c>
      <c r="E172" s="676"/>
      <c r="F172" s="168"/>
      <c r="G172" s="167"/>
      <c r="H172" s="674"/>
      <c r="I172" s="524"/>
      <c r="J172" s="82"/>
    </row>
    <row r="173" spans="1:10" ht="20.100000000000001" customHeight="1" x14ac:dyDescent="0.2">
      <c r="A173" s="673">
        <f t="shared" si="12"/>
        <v>7</v>
      </c>
      <c r="B173" s="122"/>
      <c r="C173" s="80">
        <f t="shared" si="10"/>
        <v>0</v>
      </c>
      <c r="D173" s="120">
        <f t="shared" si="11"/>
        <v>0</v>
      </c>
      <c r="E173" s="676"/>
      <c r="F173" s="168"/>
      <c r="G173" s="167"/>
      <c r="H173" s="674"/>
      <c r="I173" s="524"/>
      <c r="J173" s="82"/>
    </row>
    <row r="174" spans="1:10" ht="20.100000000000001" customHeight="1" x14ac:dyDescent="0.2">
      <c r="A174" s="673">
        <f t="shared" si="12"/>
        <v>7</v>
      </c>
      <c r="B174" s="122"/>
      <c r="C174" s="80">
        <f t="shared" si="10"/>
        <v>0</v>
      </c>
      <c r="D174" s="120">
        <f t="shared" si="11"/>
        <v>0</v>
      </c>
      <c r="E174" s="676"/>
      <c r="F174" s="168"/>
      <c r="G174" s="167"/>
      <c r="H174" s="674"/>
      <c r="I174" s="524"/>
      <c r="J174" s="82"/>
    </row>
    <row r="175" spans="1:10" ht="20.100000000000001" customHeight="1" x14ac:dyDescent="0.2">
      <c r="A175" s="673">
        <f t="shared" si="12"/>
        <v>7</v>
      </c>
      <c r="B175" s="122"/>
      <c r="C175" s="80">
        <f t="shared" si="10"/>
        <v>0</v>
      </c>
      <c r="D175" s="120">
        <f t="shared" si="11"/>
        <v>0</v>
      </c>
      <c r="E175" s="676"/>
      <c r="F175" s="168"/>
      <c r="G175" s="167"/>
      <c r="H175" s="674"/>
      <c r="I175" s="524"/>
      <c r="J175" s="82"/>
    </row>
    <row r="176" spans="1:10" ht="20.100000000000001" customHeight="1" x14ac:dyDescent="0.2">
      <c r="A176" s="673">
        <f t="shared" si="12"/>
        <v>7</v>
      </c>
      <c r="B176" s="122"/>
      <c r="C176" s="80">
        <f t="shared" si="10"/>
        <v>0</v>
      </c>
      <c r="D176" s="120">
        <f t="shared" si="11"/>
        <v>0</v>
      </c>
      <c r="E176" s="676"/>
      <c r="F176" s="168"/>
      <c r="G176" s="167"/>
      <c r="H176" s="674"/>
      <c r="I176" s="524"/>
      <c r="J176" s="82"/>
    </row>
    <row r="177" spans="1:10" ht="20.100000000000001" customHeight="1" x14ac:dyDescent="0.2">
      <c r="A177" s="673">
        <f t="shared" si="12"/>
        <v>7</v>
      </c>
      <c r="B177" s="122"/>
      <c r="C177" s="80">
        <f t="shared" si="10"/>
        <v>0</v>
      </c>
      <c r="D177" s="120">
        <f t="shared" si="11"/>
        <v>0</v>
      </c>
      <c r="E177" s="676"/>
      <c r="F177" s="168"/>
      <c r="G177" s="167"/>
      <c r="H177" s="674"/>
      <c r="I177" s="524"/>
      <c r="J177" s="82"/>
    </row>
    <row r="178" spans="1:10" ht="20.100000000000001" customHeight="1" x14ac:dyDescent="0.2">
      <c r="A178" s="673">
        <f t="shared" si="12"/>
        <v>7</v>
      </c>
      <c r="B178" s="122"/>
      <c r="C178" s="80">
        <f t="shared" si="10"/>
        <v>0</v>
      </c>
      <c r="D178" s="120">
        <f t="shared" si="11"/>
        <v>0</v>
      </c>
      <c r="E178" s="676"/>
      <c r="F178" s="168"/>
      <c r="G178" s="167"/>
      <c r="H178" s="674"/>
      <c r="I178" s="524"/>
      <c r="J178" s="82"/>
    </row>
    <row r="179" spans="1:10" ht="20.100000000000001" customHeight="1" x14ac:dyDescent="0.2">
      <c r="A179" s="673">
        <f t="shared" si="12"/>
        <v>7</v>
      </c>
      <c r="B179" s="122"/>
      <c r="C179" s="80">
        <f t="shared" si="10"/>
        <v>0</v>
      </c>
      <c r="D179" s="120">
        <f t="shared" si="11"/>
        <v>0</v>
      </c>
      <c r="E179" s="676"/>
      <c r="F179" s="168"/>
      <c r="G179" s="167"/>
      <c r="H179" s="674"/>
      <c r="I179" s="524"/>
      <c r="J179" s="82"/>
    </row>
    <row r="180" spans="1:10" ht="20.100000000000001" customHeight="1" x14ac:dyDescent="0.2">
      <c r="A180" s="673">
        <f t="shared" si="12"/>
        <v>7</v>
      </c>
      <c r="B180" s="122"/>
      <c r="C180" s="80">
        <f t="shared" si="10"/>
        <v>0</v>
      </c>
      <c r="D180" s="120">
        <f t="shared" si="11"/>
        <v>0</v>
      </c>
      <c r="E180" s="676"/>
      <c r="F180" s="168"/>
      <c r="G180" s="167"/>
      <c r="H180" s="674"/>
      <c r="I180" s="524"/>
      <c r="J180" s="82"/>
    </row>
    <row r="181" spans="1:10" ht="20.100000000000001" customHeight="1" x14ac:dyDescent="0.2">
      <c r="A181" s="673">
        <f t="shared" si="12"/>
        <v>7</v>
      </c>
      <c r="B181" s="122"/>
      <c r="C181" s="80">
        <f t="shared" si="10"/>
        <v>0</v>
      </c>
      <c r="D181" s="120">
        <f t="shared" si="11"/>
        <v>0</v>
      </c>
      <c r="E181" s="676"/>
      <c r="F181" s="168"/>
      <c r="G181" s="167"/>
      <c r="H181" s="674"/>
      <c r="I181" s="524"/>
      <c r="J181" s="82"/>
    </row>
    <row r="182" spans="1:10" ht="20.100000000000001" customHeight="1" x14ac:dyDescent="0.2">
      <c r="A182" s="673">
        <f t="shared" si="12"/>
        <v>7</v>
      </c>
      <c r="B182" s="122"/>
      <c r="C182" s="80">
        <f t="shared" si="10"/>
        <v>0</v>
      </c>
      <c r="D182" s="120">
        <f t="shared" si="11"/>
        <v>0</v>
      </c>
      <c r="E182" s="676"/>
      <c r="F182" s="168"/>
      <c r="G182" s="167"/>
      <c r="H182" s="674"/>
      <c r="I182" s="524"/>
      <c r="J182" s="82"/>
    </row>
    <row r="183" spans="1:10" ht="20.100000000000001" customHeight="1" x14ac:dyDescent="0.2">
      <c r="A183" s="673">
        <f t="shared" si="12"/>
        <v>7</v>
      </c>
      <c r="B183" s="122"/>
      <c r="C183" s="80">
        <f t="shared" si="10"/>
        <v>0</v>
      </c>
      <c r="D183" s="120">
        <f t="shared" si="11"/>
        <v>0</v>
      </c>
      <c r="E183" s="676"/>
      <c r="F183" s="168"/>
      <c r="G183" s="167"/>
      <c r="H183" s="674"/>
      <c r="I183" s="524"/>
      <c r="J183" s="82"/>
    </row>
    <row r="184" spans="1:10" ht="20.100000000000001" customHeight="1" x14ac:dyDescent="0.2">
      <c r="H184" s="116"/>
      <c r="I184" s="524"/>
      <c r="J184" s="82"/>
    </row>
    <row r="185" spans="1:10" ht="20.100000000000001" customHeight="1" x14ac:dyDescent="0.2">
      <c r="H185" s="116"/>
      <c r="I185" s="524"/>
      <c r="J185" s="82"/>
    </row>
    <row r="186" spans="1:10" ht="20.100000000000001" customHeight="1" x14ac:dyDescent="0.2">
      <c r="H186" s="116"/>
      <c r="I186" s="524"/>
      <c r="J186" s="82"/>
    </row>
    <row r="187" spans="1:10" ht="20.100000000000001" customHeight="1" x14ac:dyDescent="0.2">
      <c r="H187" s="116"/>
      <c r="I187" s="524"/>
      <c r="J187" s="82"/>
    </row>
    <row r="188" spans="1:10" ht="20.100000000000001" customHeight="1" x14ac:dyDescent="0.2">
      <c r="H188" s="116"/>
      <c r="I188" s="524"/>
      <c r="J188" s="82"/>
    </row>
    <row r="189" spans="1:10" ht="20.100000000000001" customHeight="1" x14ac:dyDescent="0.2">
      <c r="H189" s="116"/>
      <c r="I189" s="524"/>
      <c r="J189" s="82"/>
    </row>
    <row r="190" spans="1:10" ht="20.100000000000001" customHeight="1" x14ac:dyDescent="0.2">
      <c r="H190" s="116"/>
      <c r="I190" s="524"/>
      <c r="J190" s="82"/>
    </row>
    <row r="191" spans="1:10" ht="20.100000000000001" customHeight="1" x14ac:dyDescent="0.2">
      <c r="H191" s="116"/>
      <c r="I191" s="524"/>
      <c r="J191" s="82"/>
    </row>
    <row r="192" spans="1:10" ht="20.100000000000001" customHeight="1" x14ac:dyDescent="0.2">
      <c r="H192" s="116"/>
      <c r="I192" s="524"/>
      <c r="J192" s="82"/>
    </row>
    <row r="193" spans="8:10" ht="20.100000000000001" customHeight="1" x14ac:dyDescent="0.2">
      <c r="H193" s="116"/>
      <c r="I193" s="524"/>
      <c r="J193" s="82"/>
    </row>
    <row r="194" spans="8:10" ht="20.100000000000001" customHeight="1" x14ac:dyDescent="0.2">
      <c r="H194" s="116"/>
      <c r="I194" s="524"/>
      <c r="J194" s="82"/>
    </row>
    <row r="195" spans="8:10" ht="20.100000000000001" customHeight="1" x14ac:dyDescent="0.2">
      <c r="H195" s="116"/>
      <c r="I195" s="524"/>
      <c r="J195" s="82"/>
    </row>
    <row r="196" spans="8:10" ht="20.100000000000001" customHeight="1" x14ac:dyDescent="0.2">
      <c r="H196" s="116"/>
      <c r="I196" s="524"/>
      <c r="J196" s="82"/>
    </row>
    <row r="197" spans="8:10" ht="20.100000000000001" customHeight="1" x14ac:dyDescent="0.2">
      <c r="H197" s="116"/>
      <c r="I197" s="524"/>
      <c r="J197" s="82"/>
    </row>
    <row r="198" spans="8:10" ht="20.100000000000001" customHeight="1" x14ac:dyDescent="0.2">
      <c r="H198" s="116"/>
      <c r="I198" s="524"/>
      <c r="J198" s="82"/>
    </row>
    <row r="199" spans="8:10" ht="20.100000000000001" customHeight="1" x14ac:dyDescent="0.2">
      <c r="H199" s="116"/>
      <c r="I199" s="524"/>
      <c r="J199" s="82"/>
    </row>
    <row r="200" spans="8:10" ht="20.100000000000001" customHeight="1" x14ac:dyDescent="0.2">
      <c r="H200" s="116"/>
      <c r="I200" s="524"/>
      <c r="J200" s="82"/>
    </row>
    <row r="201" spans="8:10" ht="20.100000000000001" customHeight="1" x14ac:dyDescent="0.2">
      <c r="H201" s="116"/>
      <c r="I201" s="524"/>
      <c r="J201" s="82"/>
    </row>
    <row r="202" spans="8:10" ht="20.100000000000001" customHeight="1" x14ac:dyDescent="0.2">
      <c r="H202" s="116"/>
      <c r="I202" s="524"/>
      <c r="J202" s="82"/>
    </row>
    <row r="203" spans="8:10" ht="20.100000000000001" customHeight="1" x14ac:dyDescent="0.2">
      <c r="H203" s="116"/>
      <c r="I203" s="524"/>
      <c r="J203" s="82"/>
    </row>
    <row r="204" spans="8:10" ht="20.100000000000001" customHeight="1" x14ac:dyDescent="0.2">
      <c r="H204" s="116"/>
      <c r="I204" s="524"/>
      <c r="J204" s="82"/>
    </row>
    <row r="205" spans="8:10" ht="20.100000000000001" customHeight="1" x14ac:dyDescent="0.2">
      <c r="H205" s="116"/>
      <c r="I205" s="524"/>
      <c r="J205" s="82"/>
    </row>
    <row r="206" spans="8:10" ht="20.100000000000001" customHeight="1" x14ac:dyDescent="0.2">
      <c r="H206" s="116"/>
      <c r="I206" s="524"/>
      <c r="J206" s="82"/>
    </row>
    <row r="207" spans="8:10" ht="20.100000000000001" customHeight="1" x14ac:dyDescent="0.2">
      <c r="H207" s="116"/>
      <c r="I207" s="524"/>
      <c r="J207" s="82"/>
    </row>
    <row r="208" spans="8:10" ht="20.100000000000001" customHeight="1" x14ac:dyDescent="0.2">
      <c r="H208" s="116"/>
      <c r="I208" s="524"/>
      <c r="J208" s="82"/>
    </row>
    <row r="209" spans="4:10" ht="20.100000000000001" customHeight="1" x14ac:dyDescent="0.2">
      <c r="H209" s="116"/>
      <c r="I209" s="524"/>
      <c r="J209" s="82"/>
    </row>
    <row r="210" spans="4:10" ht="20.100000000000001" customHeight="1" x14ac:dyDescent="0.2">
      <c r="H210" s="116"/>
      <c r="I210" s="524"/>
      <c r="J210" s="82"/>
    </row>
    <row r="211" spans="4:10" ht="20.100000000000001" customHeight="1" x14ac:dyDescent="0.2">
      <c r="H211" s="116"/>
      <c r="I211" s="524"/>
      <c r="J211" s="82"/>
    </row>
    <row r="212" spans="4:10" ht="20.100000000000001" customHeight="1" x14ac:dyDescent="0.2">
      <c r="H212" s="116"/>
      <c r="I212" s="524"/>
      <c r="J212" s="82"/>
    </row>
    <row r="213" spans="4:10" ht="20.100000000000001" customHeight="1" x14ac:dyDescent="0.2">
      <c r="H213" s="116"/>
      <c r="I213" s="524"/>
      <c r="J213" s="82"/>
    </row>
    <row r="214" spans="4:10" ht="20.100000000000001" customHeight="1" x14ac:dyDescent="0.2">
      <c r="H214" s="116"/>
      <c r="I214" s="524"/>
      <c r="J214" s="82"/>
    </row>
    <row r="215" spans="4:10" ht="20.100000000000001" customHeight="1" x14ac:dyDescent="0.2">
      <c r="D215" s="82"/>
      <c r="E215" s="116"/>
      <c r="I215" s="116"/>
      <c r="J215" s="524"/>
    </row>
    <row r="216" spans="4:10" ht="20.100000000000001" customHeight="1" x14ac:dyDescent="0.2">
      <c r="D216" s="82"/>
      <c r="E216" s="116"/>
      <c r="I216" s="116"/>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31" priority="4" stopIfTrue="1">
      <formula>#REF!=1</formula>
    </cfRule>
  </conditionalFormatting>
  <conditionalFormatting sqref="B34:B183">
    <cfRule type="expression" dxfId="130" priority="5" stopIfTrue="1">
      <formula>#REF!&gt;0</formula>
    </cfRule>
    <cfRule type="expression" dxfId="129" priority="6" stopIfTrue="1">
      <formula>#REF!&gt;0</formula>
    </cfRule>
    <cfRule type="expression" dxfId="128" priority="7" stopIfTrue="1">
      <formula>#REF!&gt;0</formula>
    </cfRule>
  </conditionalFormatting>
  <conditionalFormatting sqref="D24:D27">
    <cfRule type="expression" dxfId="127" priority="8" stopIfTrue="1">
      <formula>#REF!=1</formula>
    </cfRule>
  </conditionalFormatting>
  <conditionalFormatting sqref="C34:C183">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42"/>
  <sheetViews>
    <sheetView showGridLines="0" showZeros="0" tabSelected="1" view="pageBreakPreview" topLeftCell="A7" zoomScale="90" zoomScaleNormal="100" zoomScaleSheetLayoutView="90" workbookViewId="0">
      <selection activeCell="B24" sqref="B24"/>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03" t="str">
        <f>Obra</f>
        <v>SEÑALIZACION HORIZONTAL - PROVISION Y COLOCACION DE TACHAS REFLECTIVAS Y SEÑALAMIENTO VERTICAL</v>
      </c>
      <c r="B1" s="703"/>
      <c r="C1" s="703"/>
      <c r="D1" s="703"/>
      <c r="E1" s="703"/>
      <c r="F1" s="703"/>
      <c r="G1" s="703"/>
    </row>
    <row r="2" spans="1:9" ht="15" customHeight="1" x14ac:dyDescent="0.2">
      <c r="A2" s="706" t="str">
        <f>IF(Tramo=0,"","TRAMO: "&amp;Tramo)</f>
        <v/>
      </c>
      <c r="B2" s="706"/>
      <c r="C2" s="706"/>
      <c r="D2" s="706"/>
      <c r="E2" s="706"/>
      <c r="F2" s="706"/>
      <c r="G2" s="706"/>
    </row>
    <row r="3" spans="1:9" ht="15" customHeight="1" x14ac:dyDescent="0.2">
      <c r="A3" s="706" t="str">
        <f>IF(Sección_I=0,"","SECCIÓN I: "&amp;Sección_I)</f>
        <v/>
      </c>
      <c r="B3" s="706"/>
      <c r="C3" s="706"/>
      <c r="D3" s="706"/>
      <c r="E3" s="706"/>
      <c r="F3" s="706"/>
      <c r="G3" s="706"/>
    </row>
    <row r="4" spans="1:9" ht="15" customHeight="1" x14ac:dyDescent="0.2">
      <c r="A4" s="706" t="str">
        <f>IF(Sección_II=0,"","SECCIÓN II: "&amp;Sección_II)</f>
        <v/>
      </c>
      <c r="B4" s="706"/>
      <c r="C4" s="706"/>
      <c r="D4" s="706"/>
      <c r="E4" s="706"/>
      <c r="F4" s="706"/>
      <c r="G4" s="706"/>
    </row>
    <row r="5" spans="1:9" ht="15" customHeight="1" x14ac:dyDescent="0.2">
      <c r="A5" s="706" t="str">
        <f>IF(Sección_III=0,"","SECCIÓN III: "&amp;Sección_III)</f>
        <v/>
      </c>
      <c r="B5" s="706"/>
      <c r="C5" s="706"/>
      <c r="D5" s="706"/>
      <c r="E5" s="706"/>
      <c r="F5" s="706"/>
      <c r="G5" s="706"/>
    </row>
    <row r="6" spans="1:9" ht="15" customHeight="1" x14ac:dyDescent="0.2">
      <c r="A6" s="706" t="str">
        <f>IF(Ubicación=0,"","DEPARTAMENTO: "&amp;Ubicación)</f>
        <v>DEPARTAMENTO: DEPARTAMENTOS VARIOS</v>
      </c>
      <c r="B6" s="706"/>
      <c r="C6" s="706"/>
      <c r="D6" s="706"/>
      <c r="E6" s="706"/>
      <c r="F6" s="706"/>
      <c r="G6" s="706"/>
    </row>
    <row r="7" spans="1:9" ht="19.5" customHeight="1" x14ac:dyDescent="0.2">
      <c r="A7" s="173"/>
      <c r="B7" s="173"/>
      <c r="C7" s="173"/>
      <c r="D7" s="173"/>
      <c r="E7" s="173"/>
      <c r="F7" s="173"/>
      <c r="G7" s="173"/>
    </row>
    <row r="8" spans="1:9" s="5" customFormat="1" ht="19.5" customHeight="1" x14ac:dyDescent="0.2">
      <c r="A8" s="174" t="s">
        <v>986</v>
      </c>
      <c r="B8" s="175"/>
      <c r="C8" s="175"/>
      <c r="D8" s="175"/>
      <c r="E8" s="175"/>
      <c r="F8" s="175"/>
      <c r="G8" s="176"/>
    </row>
    <row r="9" spans="1:9" s="178" customFormat="1" ht="30" customHeight="1" x14ac:dyDescent="0.25">
      <c r="A9" s="177"/>
      <c r="C9" s="179"/>
      <c r="D9" s="179"/>
      <c r="E9" s="177" t="str">
        <f>IF(Fecha_Base=0,"San Juan, ______________________"&amp;" de _____","San Juan, "&amp;TEXT(Fecha_Base,"dd")&amp;" de "&amp;TEXT(Fecha_Base,"mmmm")&amp;" de "&amp;TEXT(Fecha_Base,"yyyy"))</f>
        <v>San Juan, 24 de abril de 2019</v>
      </c>
    </row>
    <row r="10" spans="1:9" s="6" customFormat="1" ht="69.75" customHeight="1" x14ac:dyDescent="0.2">
      <c r="B10" s="180" t="s">
        <v>992</v>
      </c>
      <c r="C10" s="180"/>
      <c r="D10" s="180"/>
      <c r="E10" s="180"/>
      <c r="F10" s="180"/>
      <c r="G10" s="180"/>
    </row>
    <row r="11" spans="1:9" s="6" customFormat="1" ht="80.099999999999994" customHeight="1" x14ac:dyDescent="0.2">
      <c r="B11" s="70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9"/>
      <c r="D11" s="709"/>
      <c r="E11" s="709"/>
      <c r="F11" s="709"/>
      <c r="G11" s="709"/>
    </row>
    <row r="12" spans="1:9" s="6" customFormat="1" ht="19.5" customHeight="1" x14ac:dyDescent="0.2">
      <c r="A12" s="13"/>
      <c r="B12" s="14"/>
      <c r="I12" s="512" t="s">
        <v>993</v>
      </c>
    </row>
    <row r="13" spans="1:9" ht="20.100000000000001" customHeight="1" x14ac:dyDescent="0.2">
      <c r="A13" s="704" t="s">
        <v>894</v>
      </c>
      <c r="B13" s="705" t="s">
        <v>0</v>
      </c>
      <c r="C13" s="704" t="s">
        <v>1</v>
      </c>
      <c r="D13" s="704" t="s">
        <v>2</v>
      </c>
      <c r="E13" s="705" t="s">
        <v>987</v>
      </c>
      <c r="F13" s="705"/>
      <c r="G13" s="704" t="s">
        <v>938</v>
      </c>
      <c r="I13" s="5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04"/>
      <c r="B14" s="705"/>
      <c r="C14" s="704"/>
      <c r="D14" s="704"/>
      <c r="E14" s="508" t="s">
        <v>988</v>
      </c>
      <c r="F14" s="508" t="s">
        <v>989</v>
      </c>
      <c r="G14" s="704"/>
      <c r="I14" s="5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1"/>
      <c r="B15" s="506"/>
      <c r="C15" s="181"/>
      <c r="D15" s="181"/>
      <c r="E15" s="506"/>
      <c r="F15" s="506"/>
    </row>
    <row r="16" spans="1:9" ht="30" customHeight="1" x14ac:dyDescent="0.2">
      <c r="A16" s="182">
        <f ca="1">INDIRECT("Datos!B"&amp;MATCH("RUBRO ITEM",Datos!B:B,0)+ROW()-MATCH("RUBRO ITEM",A:A,0)-1)</f>
        <v>1</v>
      </c>
      <c r="B16" s="471" t="str">
        <f t="shared" ref="B16" ca="1" si="0">IFERROR(VLOOKUP(A16,T_Computo_Presupuesto,2,FALSE),"")</f>
        <v>SEÑALIZACION HORIZONTAL</v>
      </c>
      <c r="C16" s="183">
        <f t="shared" ref="C16" ca="1" si="1">IFERROR(VLOOKUP(A16,T_Computo_Presupuesto,4,FALSE),"")</f>
        <v>0</v>
      </c>
      <c r="D16" s="472">
        <f t="shared" ref="D16" ca="1" si="2">IFERROR(VLOOKUP(A16,T_Computo_Presupuesto,5,FALSE),"")</f>
        <v>0</v>
      </c>
      <c r="E16" s="473" t="str">
        <f t="shared" ref="E16" ca="1" si="3">IF(F16=0,"",CONVERTIRNUM(F16))</f>
        <v/>
      </c>
      <c r="F16" s="474">
        <f t="shared" ref="F16:F25" ca="1" si="4">IFERROR(VLOOKUP(A16,T_Computo_Presupuesto,7,FALSE),0)</f>
        <v>0</v>
      </c>
      <c r="G16" s="474">
        <f ca="1">ROUND(D16*F16,2)</f>
        <v>0</v>
      </c>
    </row>
    <row r="17" spans="1:7" ht="30" customHeight="1" x14ac:dyDescent="0.2">
      <c r="A17" s="182" t="str">
        <f ca="1">INDIRECT("Datos!B"&amp;MATCH("RUBRO ITEM",Datos!B:B,0)+ROW()-MATCH("RUBRO ITEM",A:A,0)-1)</f>
        <v>1.a</v>
      </c>
      <c r="B17" s="471" t="str">
        <f t="shared" ref="B17:B25" ca="1" si="5">IFERROR(VLOOKUP(A17,T_Computo_Presupuesto,2,FALSE),"")</f>
        <v>CON MATERIAL TERMOPLASTICO REFLECTANTE</v>
      </c>
      <c r="C17" s="183">
        <f t="shared" ref="C17:C25" ca="1" si="6">IFERROR(VLOOKUP(A17,T_Computo_Presupuesto,4,FALSE),"")</f>
        <v>0</v>
      </c>
      <c r="D17" s="472">
        <f t="shared" ref="D17:D25" ca="1" si="7">IFERROR(VLOOKUP(A17,T_Computo_Presupuesto,5,FALSE),"")</f>
        <v>0</v>
      </c>
      <c r="E17" s="473" t="str">
        <f t="shared" ref="E17:E25" ca="1" si="8">IF(F17=0,"",CONVERTIRNUM(F17))</f>
        <v/>
      </c>
      <c r="F17" s="474">
        <f t="shared" ca="1" si="4"/>
        <v>0</v>
      </c>
      <c r="G17" s="474">
        <f t="shared" ref="G17:G25" ca="1" si="9">ROUND(D17*F17,2)</f>
        <v>0</v>
      </c>
    </row>
    <row r="18" spans="1:7" ht="30" customHeight="1" x14ac:dyDescent="0.2">
      <c r="A18" s="182" t="str">
        <f ca="1">INDIRECT("Datos!B"&amp;MATCH("RUBRO ITEM",Datos!B:B,0)+ROW()-MATCH("RUBRO ITEM",A:A,0)-1)</f>
        <v>1.a.1</v>
      </c>
      <c r="B18" s="471" t="str">
        <f t="shared" ca="1" si="5"/>
        <v>Por Pulverización</v>
      </c>
      <c r="C18" s="183" t="str">
        <f t="shared" ca="1" si="6"/>
        <v>m2</v>
      </c>
      <c r="D18" s="472">
        <f t="shared" ca="1" si="7"/>
        <v>30000</v>
      </c>
      <c r="E18" s="473" t="str">
        <f t="shared" ca="1" si="8"/>
        <v/>
      </c>
      <c r="F18" s="474">
        <f t="shared" ca="1" si="4"/>
        <v>0</v>
      </c>
      <c r="G18" s="474">
        <f t="shared" ca="1" si="9"/>
        <v>0</v>
      </c>
    </row>
    <row r="19" spans="1:7" ht="30" customHeight="1" x14ac:dyDescent="0.2">
      <c r="A19" s="182" t="str">
        <f ca="1">INDIRECT("Datos!B"&amp;MATCH("RUBRO ITEM",Datos!B:B,0)+ROW()-MATCH("RUBRO ITEM",A:A,0)-1)</f>
        <v>1.a.2</v>
      </c>
      <c r="B19" s="471" t="str">
        <f t="shared" ca="1" si="5"/>
        <v>Por Extrusión</v>
      </c>
      <c r="C19" s="183" t="str">
        <f t="shared" ca="1" si="6"/>
        <v>m2</v>
      </c>
      <c r="D19" s="472">
        <f t="shared" ca="1" si="7"/>
        <v>25000</v>
      </c>
      <c r="E19" s="473" t="str">
        <f t="shared" ca="1" si="8"/>
        <v/>
      </c>
      <c r="F19" s="474">
        <f t="shared" ca="1" si="4"/>
        <v>0</v>
      </c>
      <c r="G19" s="474">
        <f t="shared" ca="1" si="9"/>
        <v>0</v>
      </c>
    </row>
    <row r="20" spans="1:7" ht="30" customHeight="1" x14ac:dyDescent="0.2">
      <c r="A20" s="182" t="str">
        <f ca="1">INDIRECT("Datos!B"&amp;MATCH("RUBRO ITEM",Datos!B:B,0)+ROW()-MATCH("RUBRO ITEM",A:A,0)-1)</f>
        <v>1.b</v>
      </c>
      <c r="B20" s="471" t="str">
        <f t="shared" ca="1" si="5"/>
        <v>CON PINTURA ACRILICA PARA PARA PAVIMENTOS APLICADA A TEMPERATURA AMBIENTE CON EQUIPO MECÁNICO</v>
      </c>
      <c r="C20" s="183" t="str">
        <f t="shared" ca="1" si="6"/>
        <v>m2</v>
      </c>
      <c r="D20" s="472">
        <f t="shared" ca="1" si="7"/>
        <v>15000</v>
      </c>
      <c r="E20" s="473" t="str">
        <f t="shared" ca="1" si="8"/>
        <v/>
      </c>
      <c r="F20" s="474">
        <f t="shared" ca="1" si="4"/>
        <v>0</v>
      </c>
      <c r="G20" s="474">
        <f t="shared" ca="1" si="9"/>
        <v>0</v>
      </c>
    </row>
    <row r="21" spans="1:7" ht="30" customHeight="1" x14ac:dyDescent="0.2">
      <c r="A21" s="182">
        <f ca="1">INDIRECT("Datos!B"&amp;MATCH("RUBRO ITEM",Datos!B:B,0)+ROW()-MATCH("RUBRO ITEM",A:A,0)-1)</f>
        <v>2</v>
      </c>
      <c r="B21" s="471" t="str">
        <f t="shared" ca="1" si="5"/>
        <v>PROVISION Y COLOCACION DE TACHAS REFLECTIVAS</v>
      </c>
      <c r="C21" s="183" t="str">
        <f t="shared" ca="1" si="6"/>
        <v>n°</v>
      </c>
      <c r="D21" s="472">
        <f t="shared" ca="1" si="7"/>
        <v>1000</v>
      </c>
      <c r="E21" s="473" t="str">
        <f t="shared" ca="1" si="8"/>
        <v/>
      </c>
      <c r="F21" s="474">
        <f t="shared" ca="1" si="4"/>
        <v>0</v>
      </c>
      <c r="G21" s="474">
        <f t="shared" ca="1" si="9"/>
        <v>0</v>
      </c>
    </row>
    <row r="22" spans="1:7" ht="30" customHeight="1" x14ac:dyDescent="0.2">
      <c r="A22" s="182">
        <f ca="1">INDIRECT("Datos!B"&amp;MATCH("RUBRO ITEM",Datos!B:B,0)+ROW()-MATCH("RUBRO ITEM",A:A,0)-1)</f>
        <v>3</v>
      </c>
      <c r="B22" s="471" t="str">
        <f t="shared" ca="1" si="5"/>
        <v>SEÑALAMIENTO VERTICAL</v>
      </c>
      <c r="C22" s="183" t="str">
        <f t="shared" ca="1" si="6"/>
        <v>m2</v>
      </c>
      <c r="D22" s="472">
        <f t="shared" ca="1" si="7"/>
        <v>500</v>
      </c>
      <c r="E22" s="473" t="str">
        <f t="shared" ca="1" si="8"/>
        <v/>
      </c>
      <c r="F22" s="474">
        <f t="shared" ca="1" si="4"/>
        <v>0</v>
      </c>
      <c r="G22" s="474">
        <f t="shared" ca="1" si="9"/>
        <v>0</v>
      </c>
    </row>
    <row r="23" spans="1:7" ht="30" customHeight="1" x14ac:dyDescent="0.2">
      <c r="A23" s="182">
        <f ca="1">INDIRECT("Datos!B"&amp;MATCH("RUBRO ITEM",Datos!B:B,0)+ROW()-MATCH("RUBRO ITEM",A:A,0)-1)</f>
        <v>4</v>
      </c>
      <c r="B23" s="471" t="str">
        <f t="shared" ca="1" si="5"/>
        <v>MOVILIDAD PARA EL PERSONAL AUXILIAR DE SUPERVISIÓN</v>
      </c>
      <c r="C23" s="183">
        <f t="shared" ca="1" si="6"/>
        <v>0</v>
      </c>
      <c r="D23" s="472">
        <f t="shared" ca="1" si="7"/>
        <v>0</v>
      </c>
      <c r="E23" s="473" t="str">
        <f t="shared" ca="1" si="8"/>
        <v/>
      </c>
      <c r="F23" s="474">
        <f t="shared" ca="1" si="4"/>
        <v>0</v>
      </c>
      <c r="G23" s="474">
        <f t="shared" ca="1" si="9"/>
        <v>0</v>
      </c>
    </row>
    <row r="24" spans="1:7" ht="30" customHeight="1" x14ac:dyDescent="0.2">
      <c r="A24" s="182" t="str">
        <f ca="1">INDIRECT("Datos!B"&amp;MATCH("RUBRO ITEM",Datos!B:B,0)+ROW()-MATCH("RUBRO ITEM",A:A,0)-1)</f>
        <v>4.a</v>
      </c>
      <c r="B24" s="471" t="str">
        <f t="shared" ca="1" si="5"/>
        <v>Cuota Fija</v>
      </c>
      <c r="C24" s="183" t="str">
        <f t="shared" ca="1" si="6"/>
        <v>Mes</v>
      </c>
      <c r="D24" s="472">
        <f t="shared" ca="1" si="7"/>
        <v>6</v>
      </c>
      <c r="E24" s="473" t="str">
        <f t="shared" ca="1" si="8"/>
        <v/>
      </c>
      <c r="F24" s="474">
        <f t="shared" ca="1" si="4"/>
        <v>0</v>
      </c>
      <c r="G24" s="474">
        <f t="shared" ca="1" si="9"/>
        <v>0</v>
      </c>
    </row>
    <row r="25" spans="1:7" ht="30" customHeight="1" x14ac:dyDescent="0.2">
      <c r="A25" s="182" t="str">
        <f ca="1">INDIRECT("Datos!B"&amp;MATCH("RUBRO ITEM",Datos!B:B,0)+ROW()-MATCH("RUBRO ITEM",A:A,0)-1)</f>
        <v>4.b</v>
      </c>
      <c r="B25" s="471" t="str">
        <f t="shared" ca="1" si="5"/>
        <v>Cuota Adicional</v>
      </c>
      <c r="C25" s="183" t="str">
        <f t="shared" ca="1" si="6"/>
        <v>Km</v>
      </c>
      <c r="D25" s="472">
        <f t="shared" ca="1" si="7"/>
        <v>9000</v>
      </c>
      <c r="E25" s="473" t="str">
        <f t="shared" ca="1" si="8"/>
        <v/>
      </c>
      <c r="F25" s="474">
        <f t="shared" ca="1" si="4"/>
        <v>0</v>
      </c>
      <c r="G25" s="474">
        <f t="shared" ca="1" si="9"/>
        <v>0</v>
      </c>
    </row>
    <row r="26" spans="1:7" ht="19.5" customHeight="1" x14ac:dyDescent="0.2">
      <c r="A26" s="479"/>
      <c r="B26" s="184"/>
      <c r="C26" s="185"/>
      <c r="D26" s="475"/>
      <c r="E26" s="476"/>
      <c r="F26" s="186"/>
      <c r="G26" s="480"/>
    </row>
    <row r="27" spans="1:7" ht="19.5" customHeight="1" x14ac:dyDescent="0.2">
      <c r="A27" s="479"/>
      <c r="B27" s="707" t="s">
        <v>990</v>
      </c>
      <c r="C27" s="707"/>
      <c r="D27" s="707"/>
      <c r="E27" s="707"/>
      <c r="F27" s="481"/>
      <c r="G27" s="187">
        <f ca="1">ROUND(SUM(G16:G26),2)</f>
        <v>0</v>
      </c>
    </row>
    <row r="28" spans="1:7" ht="19.5" customHeight="1" x14ac:dyDescent="0.2">
      <c r="A28" s="188" t="s">
        <v>3</v>
      </c>
      <c r="F28" s="189"/>
    </row>
    <row r="29" spans="1:7" ht="37.5" customHeight="1" x14ac:dyDescent="0.2">
      <c r="A29" s="710" t="str">
        <f ca="1">IF(Monto_Oferta=0,"IMPORTA LA PRESENTE PROPUESTA EN LA SUMA DE: _____________________","IMPORTA LA PRESENTE PROPUESTA EN LA SUMA DE: "&amp;CONVERTIRNUM(Monto_Oferta))</f>
        <v>IMPORTA LA PRESENTE PROPUESTA EN LA SUMA DE: _____________________</v>
      </c>
      <c r="B29" s="710"/>
      <c r="C29" s="710"/>
      <c r="D29" s="710"/>
      <c r="E29" s="710"/>
      <c r="F29" s="710"/>
      <c r="G29" s="710"/>
    </row>
    <row r="30" spans="1:7" ht="19.5" customHeight="1" x14ac:dyDescent="0.2">
      <c r="A30" s="190"/>
    </row>
    <row r="31" spans="1:7" ht="19.5" customHeight="1" x14ac:dyDescent="0.2">
      <c r="B31" s="708" t="s">
        <v>996</v>
      </c>
      <c r="C31" s="708"/>
      <c r="D31" s="708"/>
      <c r="E31" s="708"/>
      <c r="F31" s="708"/>
      <c r="G31" s="708"/>
    </row>
    <row r="32" spans="1:7" ht="19.5" customHeight="1" x14ac:dyDescent="0.2">
      <c r="B32" s="708" t="s">
        <v>991</v>
      </c>
      <c r="C32" s="708"/>
      <c r="D32" s="708"/>
      <c r="E32" s="708"/>
      <c r="F32" s="708"/>
      <c r="G32" s="708"/>
    </row>
    <row r="33" spans="1:7" ht="19.5" customHeight="1" x14ac:dyDescent="0.2">
      <c r="B33" s="507"/>
      <c r="C33" s="507"/>
      <c r="D33" s="507"/>
      <c r="E33" s="507"/>
      <c r="F33" s="507"/>
      <c r="G33" s="507"/>
    </row>
    <row r="34" spans="1:7" ht="19.5" customHeight="1" x14ac:dyDescent="0.2">
      <c r="B34" s="507"/>
      <c r="C34" s="507"/>
      <c r="D34" s="507"/>
      <c r="E34" s="507"/>
      <c r="F34" s="507"/>
      <c r="G34" s="507"/>
    </row>
    <row r="35" spans="1:7" ht="19.5" customHeight="1" x14ac:dyDescent="0.2">
      <c r="B35" s="477" t="str">
        <f>"ACLARACIÓN DE LAS FIRMAS SIN ABREVIATURAS:                                               "&amp;Contratista_Firma1&amp;"                                                               "&amp;Contratista_Firma2</f>
        <v xml:space="preserve">ACLARACIÓN DE LAS FIRMAS SIN ABREVIATURAS:                                                                                                              </v>
      </c>
      <c r="C35" s="477"/>
      <c r="D35" s="478"/>
      <c r="E35" s="477"/>
      <c r="F35" s="478"/>
      <c r="G35" s="477"/>
    </row>
    <row r="36" spans="1:7" ht="19.5" customHeight="1" x14ac:dyDescent="0.2">
      <c r="D36" s="191">
        <v>0</v>
      </c>
      <c r="F36" s="191">
        <v>0</v>
      </c>
    </row>
    <row r="40" spans="1:7" ht="19.5" customHeight="1" x14ac:dyDescent="0.2">
      <c r="A40" s="19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41" spans="1:7" ht="19.5" customHeight="1" x14ac:dyDescent="0.2">
      <c r="A41" s="192" t="s">
        <v>995</v>
      </c>
    </row>
    <row r="42" spans="1:7" ht="19.5" customHeight="1" x14ac:dyDescent="0.2">
      <c r="A42" s="192" t="s">
        <v>994</v>
      </c>
    </row>
  </sheetData>
  <sheetProtection formatCells="0" selectLockedCells="1"/>
  <mergeCells count="17">
    <mergeCell ref="B27:E27"/>
    <mergeCell ref="B31:G31"/>
    <mergeCell ref="B32:G32"/>
    <mergeCell ref="B11:G11"/>
    <mergeCell ref="G13:G14"/>
    <mergeCell ref="A29:G29"/>
    <mergeCell ref="A1:G1"/>
    <mergeCell ref="A13:A14"/>
    <mergeCell ref="B13:B14"/>
    <mergeCell ref="C13:C14"/>
    <mergeCell ref="D13:D14"/>
    <mergeCell ref="E13:F13"/>
    <mergeCell ref="A2:G2"/>
    <mergeCell ref="A3:G3"/>
    <mergeCell ref="A4:G4"/>
    <mergeCell ref="A5:G5"/>
    <mergeCell ref="A6:G6"/>
  </mergeCells>
  <conditionalFormatting sqref="A16:A28">
    <cfRule type="expression" dxfId="123" priority="28" stopIfTrue="1">
      <formula>#REF!&gt;0</formula>
    </cfRule>
    <cfRule type="expression" dxfId="122" priority="29" stopIfTrue="1">
      <formula>#REF!&gt;0</formula>
    </cfRule>
    <cfRule type="expression" dxfId="121" priority="30" stopIfTrue="1">
      <formula>#REF!&gt;0</formula>
    </cfRule>
  </conditionalFormatting>
  <conditionalFormatting sqref="B26">
    <cfRule type="expression" dxfId="120" priority="31" stopIfTrue="1">
      <formula>#REF!&gt;0</formula>
    </cfRule>
    <cfRule type="expression" dxfId="119" priority="32" stopIfTrue="1">
      <formula>#REF!&gt;0</formula>
    </cfRule>
    <cfRule type="expression" dxfId="118" priority="33" stopIfTrue="1">
      <formula>#REF!&gt;0</formula>
    </cfRule>
  </conditionalFormatting>
  <conditionalFormatting sqref="B16:B25">
    <cfRule type="expression" dxfId="117" priority="1" stopIfTrue="1">
      <formula>#REF!&gt;0</formula>
    </cfRule>
    <cfRule type="expression" dxfId="116" priority="2" stopIfTrue="1">
      <formula>#REF!&gt;0</formula>
    </cfRule>
    <cfRule type="expression" dxfId="11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42"/>
  <sheetViews>
    <sheetView showGridLines="0" showZeros="0" view="pageBreakPreview" topLeftCell="A15" zoomScale="80" zoomScaleNormal="90" zoomScaleSheetLayoutView="80" workbookViewId="0">
      <selection activeCell="F33" sqref="F33"/>
    </sheetView>
  </sheetViews>
  <sheetFormatPr baseColWidth="10" defaultColWidth="11.42578125" defaultRowHeight="12.75" x14ac:dyDescent="0.2"/>
  <cols>
    <col min="1" max="1" width="8.7109375" style="138" customWidth="1"/>
    <col min="2" max="3" width="30.7109375" style="138" customWidth="1"/>
    <col min="4" max="4" width="6.7109375" style="138" customWidth="1"/>
    <col min="5" max="5" width="15.28515625" style="138" customWidth="1"/>
    <col min="6" max="7" width="17.7109375" style="138" customWidth="1"/>
    <col min="8" max="8" width="22.7109375" style="138" customWidth="1"/>
    <col min="9" max="9" width="14.7109375" style="138" customWidth="1"/>
    <col min="10" max="16384" width="11.42578125" style="138"/>
  </cols>
  <sheetData>
    <row r="1" spans="1:9" s="124" customFormat="1" ht="20.100000000000001" customHeight="1" x14ac:dyDescent="0.2">
      <c r="A1" s="123" t="s">
        <v>8</v>
      </c>
      <c r="B1" s="123"/>
      <c r="C1" s="123" t="str">
        <f>Comitente</f>
        <v>DIRECCIÓN PROVINCIAL DE VIALIDAD</v>
      </c>
      <c r="D1" s="123"/>
      <c r="E1" s="123"/>
      <c r="F1" s="123"/>
      <c r="G1" s="123"/>
      <c r="I1" s="125"/>
    </row>
    <row r="2" spans="1:9" s="128" customFormat="1" ht="20.100000000000001" customHeight="1" x14ac:dyDescent="0.2">
      <c r="A2" s="126" t="s">
        <v>9</v>
      </c>
      <c r="B2" s="126"/>
      <c r="C2" s="123" t="str">
        <f>Obra</f>
        <v>SEÑALIZACION HORIZONTAL - PROVISION Y COLOCACION DE TACHAS REFLECTIVAS Y SEÑALAMIENTO VERTICAL</v>
      </c>
      <c r="D2" s="127"/>
      <c r="E2" s="127"/>
      <c r="F2" s="127"/>
      <c r="G2" s="127"/>
      <c r="I2" s="127"/>
    </row>
    <row r="3" spans="1:9" s="128" customFormat="1" ht="20.100000000000001" customHeight="1" x14ac:dyDescent="0.2">
      <c r="A3" s="126" t="s">
        <v>13</v>
      </c>
      <c r="B3" s="126"/>
      <c r="C3" s="129" t="str">
        <f>Ubicación</f>
        <v>DEPARTAMENTOS VARIOS</v>
      </c>
      <c r="D3" s="129"/>
      <c r="E3" s="129"/>
      <c r="F3" s="129"/>
      <c r="G3" s="129"/>
      <c r="I3" s="129"/>
    </row>
    <row r="4" spans="1:9" s="128" customFormat="1" ht="20.100000000000001" customHeight="1" x14ac:dyDescent="0.2">
      <c r="A4" s="126" t="s">
        <v>12</v>
      </c>
      <c r="B4" s="130"/>
      <c r="C4" s="131" t="str">
        <f>Licitación_N°</f>
        <v>5-2019</v>
      </c>
    </row>
    <row r="5" spans="1:9" s="128" customFormat="1" ht="20.100000000000001" customHeight="1" x14ac:dyDescent="0.2">
      <c r="A5" s="126" t="s">
        <v>30</v>
      </c>
      <c r="B5" s="130"/>
      <c r="C5" s="132" t="str">
        <f>Expediente_N°</f>
        <v>510-003789-2018</v>
      </c>
    </row>
    <row r="6" spans="1:9" s="128" customFormat="1" ht="20.100000000000001" customHeight="1" x14ac:dyDescent="0.2">
      <c r="A6" s="126" t="s">
        <v>15</v>
      </c>
      <c r="B6" s="130"/>
      <c r="C6" s="133">
        <f>P_Oficial</f>
        <v>62500000</v>
      </c>
    </row>
    <row r="7" spans="1:9" s="128" customFormat="1" ht="20.100000000000001" customHeight="1" x14ac:dyDescent="0.2">
      <c r="A7" s="126" t="s">
        <v>893</v>
      </c>
      <c r="B7" s="130"/>
      <c r="C7" s="134">
        <f>Anticipo_Financiero</f>
        <v>0.1</v>
      </c>
      <c r="F7" s="128" t="e">
        <f ca="1">INDIRECT("Datos!"&amp;MATCH("RUBRO ITEM",Datos!C:C,0)+2)</f>
        <v>#N/A</v>
      </c>
    </row>
    <row r="8" spans="1:9" s="128" customFormat="1" ht="20.100000000000001" customHeight="1" x14ac:dyDescent="0.2">
      <c r="A8" s="126" t="s">
        <v>892</v>
      </c>
      <c r="B8" s="130"/>
      <c r="C8" s="135">
        <f>Fecha_Base</f>
        <v>43579</v>
      </c>
    </row>
    <row r="9" spans="1:9" s="128" customFormat="1" ht="20.100000000000001" customHeight="1" x14ac:dyDescent="0.2">
      <c r="A9" s="126" t="s">
        <v>14</v>
      </c>
      <c r="B9" s="130"/>
      <c r="C9" s="136" t="str">
        <f>Plazo_Obra</f>
        <v>180 DIAS</v>
      </c>
    </row>
    <row r="10" spans="1:9" s="128" customFormat="1" ht="20.100000000000001" customHeight="1" x14ac:dyDescent="0.2">
      <c r="A10" s="126" t="s">
        <v>10</v>
      </c>
      <c r="B10" s="130"/>
      <c r="C10" s="126">
        <f>Contratista</f>
        <v>0</v>
      </c>
      <c r="F10" s="128" t="e">
        <f>MATCH("RUBRO ITEM",Datos!C:C,0)</f>
        <v>#N/A</v>
      </c>
    </row>
    <row r="11" spans="1:9" s="128" customFormat="1" ht="20.100000000000001" customHeight="1" x14ac:dyDescent="0.2">
      <c r="A11" s="126" t="s">
        <v>41</v>
      </c>
      <c r="B11" s="130"/>
      <c r="C11" s="137">
        <f ca="1">Monto_Oferta</f>
        <v>0</v>
      </c>
    </row>
    <row r="12" spans="1:9" ht="20.100000000000001" customHeight="1" x14ac:dyDescent="0.2"/>
    <row r="13" spans="1:9" ht="20.100000000000001" customHeight="1" x14ac:dyDescent="0.2">
      <c r="A13" s="139" t="s">
        <v>40</v>
      </c>
      <c r="B13" s="140"/>
      <c r="C13" s="140"/>
      <c r="D13" s="140"/>
      <c r="E13" s="140"/>
      <c r="F13" s="140"/>
      <c r="G13" s="140"/>
      <c r="H13" s="141"/>
      <c r="I13" s="142"/>
    </row>
    <row r="14" spans="1:9" ht="20.100000000000001" customHeight="1" x14ac:dyDescent="0.2"/>
    <row r="15" spans="1:9" ht="42.75" customHeight="1" x14ac:dyDescent="0.2">
      <c r="A15" s="532" t="s">
        <v>894</v>
      </c>
      <c r="B15" s="711" t="s">
        <v>0</v>
      </c>
      <c r="C15" s="712"/>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3"/>
    </row>
    <row r="17" spans="1:9" ht="20.100000000000001" customHeight="1" x14ac:dyDescent="0.2">
      <c r="A17" s="122">
        <f ca="1">INDIRECT("Datos!B"&amp;MATCH("RUBRO ITEM",Datos!B:B,0)+ROW()-MATCH("RUBRO ITEM",A:A,0))</f>
        <v>1</v>
      </c>
      <c r="B17" s="80" t="str">
        <f t="shared" ref="B17:B26" ca="1" si="0">IFERROR(VLOOKUP(A17,T_Datos,2,FALSE),"")</f>
        <v>SEÑALIZACION HORIZONTAL</v>
      </c>
      <c r="C17" s="144"/>
      <c r="D17" s="145">
        <f t="shared" ref="D17:D26" ca="1" si="1">IFERROR(VLOOKUP(A17,T_Datos,3,FALSE),"")</f>
        <v>0</v>
      </c>
      <c r="E17" s="146">
        <f t="shared" ref="E17:E26" ca="1" si="2">IFERROR(VLOOKUP(A17,T_Datos,4,FALSE),0)</f>
        <v>0</v>
      </c>
      <c r="F17" s="147">
        <f t="shared" ref="F17" ca="1" si="3">IFERROR(VLOOKUP(A17,T_Analisis_Precios,7,FALSE),0)</f>
        <v>0</v>
      </c>
      <c r="G17" s="614"/>
      <c r="H17" s="614">
        <f ca="1">ROUND(E17*G17,2)</f>
        <v>0</v>
      </c>
      <c r="I17" s="148">
        <f t="shared" ref="I17" ca="1" si="4">IFERROR(H17/Monto_Oferta,0)</f>
        <v>0</v>
      </c>
    </row>
    <row r="18" spans="1:9" ht="20.100000000000001" customHeight="1" x14ac:dyDescent="0.2">
      <c r="A18" s="122" t="str">
        <f ca="1">INDIRECT("Datos!B"&amp;MATCH("RUBRO ITEM",Datos!B:B,0)+ROW()-MATCH("RUBRO ITEM",A:A,0))</f>
        <v>1.a</v>
      </c>
      <c r="B18" s="80" t="str">
        <f t="shared" ca="1" si="0"/>
        <v>CON MATERIAL TERMOPLASTICO REFLECTANTE</v>
      </c>
      <c r="C18" s="144"/>
      <c r="D18" s="145">
        <f t="shared" ca="1" si="1"/>
        <v>0</v>
      </c>
      <c r="E18" s="146">
        <f t="shared" ca="1" si="2"/>
        <v>0</v>
      </c>
      <c r="F18" s="518">
        <f t="shared" ref="F18:F26" ca="1" si="5">IFERROR(VLOOKUP(A18,T_Analisis_Precios,7,FALSE),0)</f>
        <v>0</v>
      </c>
      <c r="G18" s="614">
        <f t="shared" ref="G18:G26" ca="1" si="6">ROUND(F18*Coeficiente_Paso,2)</f>
        <v>0</v>
      </c>
      <c r="H18" s="614">
        <f t="shared" ref="H18:H26" ca="1" si="7">ROUND(E18*G18,2)</f>
        <v>0</v>
      </c>
      <c r="I18" s="148">
        <f t="shared" ref="I18:I26" ca="1" si="8">IFERROR(H18/Monto_Oferta,0)</f>
        <v>0</v>
      </c>
    </row>
    <row r="19" spans="1:9" ht="20.100000000000001" customHeight="1" x14ac:dyDescent="0.2">
      <c r="A19" s="122" t="str">
        <f ca="1">INDIRECT("Datos!B"&amp;MATCH("RUBRO ITEM",Datos!B:B,0)+ROW()-MATCH("RUBRO ITEM",A:A,0))</f>
        <v>1.a.1</v>
      </c>
      <c r="B19" s="80" t="str">
        <f t="shared" ca="1" si="0"/>
        <v>Por Pulverización</v>
      </c>
      <c r="C19" s="144"/>
      <c r="D19" s="145" t="str">
        <f t="shared" ca="1" si="1"/>
        <v>m2</v>
      </c>
      <c r="E19" s="146">
        <f t="shared" ca="1" si="2"/>
        <v>30000</v>
      </c>
      <c r="F19" s="518">
        <f t="shared" ca="1" si="5"/>
        <v>0</v>
      </c>
      <c r="G19" s="614">
        <f t="shared" ca="1" si="6"/>
        <v>0</v>
      </c>
      <c r="H19" s="614">
        <f t="shared" ca="1" si="7"/>
        <v>0</v>
      </c>
      <c r="I19" s="148">
        <f t="shared" ca="1" si="8"/>
        <v>0</v>
      </c>
    </row>
    <row r="20" spans="1:9" ht="20.100000000000001" customHeight="1" x14ac:dyDescent="0.2">
      <c r="A20" s="122" t="str">
        <f ca="1">INDIRECT("Datos!B"&amp;MATCH("RUBRO ITEM",Datos!B:B,0)+ROW()-MATCH("RUBRO ITEM",A:A,0))</f>
        <v>1.a.2</v>
      </c>
      <c r="B20" s="80" t="str">
        <f t="shared" ca="1" si="0"/>
        <v>Por Extrusión</v>
      </c>
      <c r="C20" s="144"/>
      <c r="D20" s="145" t="str">
        <f t="shared" ca="1" si="1"/>
        <v>m2</v>
      </c>
      <c r="E20" s="146">
        <f t="shared" ca="1" si="2"/>
        <v>25000</v>
      </c>
      <c r="F20" s="518">
        <f t="shared" ca="1" si="5"/>
        <v>0</v>
      </c>
      <c r="G20" s="614">
        <f t="shared" ca="1" si="6"/>
        <v>0</v>
      </c>
      <c r="H20" s="614">
        <f t="shared" ca="1" si="7"/>
        <v>0</v>
      </c>
      <c r="I20" s="148">
        <f t="shared" ca="1" si="8"/>
        <v>0</v>
      </c>
    </row>
    <row r="21" spans="1:9" ht="20.100000000000001" customHeight="1" x14ac:dyDescent="0.2">
      <c r="A21" s="122" t="str">
        <f ca="1">INDIRECT("Datos!B"&amp;MATCH("RUBRO ITEM",Datos!B:B,0)+ROW()-MATCH("RUBRO ITEM",A:A,0))</f>
        <v>1.b</v>
      </c>
      <c r="B21" s="80" t="str">
        <f t="shared" ca="1" si="0"/>
        <v>CON PINTURA ACRILICA PARA PARA PAVIMENTOS APLICADA A TEMPERATURA AMBIENTE CON EQUIPO MECÁNICO</v>
      </c>
      <c r="C21" s="144"/>
      <c r="D21" s="145" t="str">
        <f t="shared" ca="1" si="1"/>
        <v>m2</v>
      </c>
      <c r="E21" s="146">
        <f t="shared" ca="1" si="2"/>
        <v>15000</v>
      </c>
      <c r="F21" s="518">
        <f t="shared" ca="1" si="5"/>
        <v>0</v>
      </c>
      <c r="G21" s="614">
        <f t="shared" ca="1" si="6"/>
        <v>0</v>
      </c>
      <c r="H21" s="614">
        <f t="shared" ca="1" si="7"/>
        <v>0</v>
      </c>
      <c r="I21" s="148">
        <f t="shared" ca="1" si="8"/>
        <v>0</v>
      </c>
    </row>
    <row r="22" spans="1:9" ht="20.100000000000001" customHeight="1" x14ac:dyDescent="0.2">
      <c r="A22" s="122">
        <f ca="1">INDIRECT("Datos!B"&amp;MATCH("RUBRO ITEM",Datos!B:B,0)+ROW()-MATCH("RUBRO ITEM",A:A,0))</f>
        <v>2</v>
      </c>
      <c r="B22" s="80" t="str">
        <f t="shared" ca="1" si="0"/>
        <v>PROVISION Y COLOCACION DE TACHAS REFLECTIVAS</v>
      </c>
      <c r="C22" s="144"/>
      <c r="D22" s="145" t="str">
        <f t="shared" ca="1" si="1"/>
        <v>n°</v>
      </c>
      <c r="E22" s="146">
        <f t="shared" ca="1" si="2"/>
        <v>1000</v>
      </c>
      <c r="F22" s="518">
        <f t="shared" ca="1" si="5"/>
        <v>0</v>
      </c>
      <c r="G22" s="614">
        <f t="shared" ca="1" si="6"/>
        <v>0</v>
      </c>
      <c r="H22" s="614">
        <f t="shared" ca="1" si="7"/>
        <v>0</v>
      </c>
      <c r="I22" s="148">
        <f t="shared" ca="1" si="8"/>
        <v>0</v>
      </c>
    </row>
    <row r="23" spans="1:9" ht="20.100000000000001" customHeight="1" x14ac:dyDescent="0.2">
      <c r="A23" s="122">
        <f ca="1">INDIRECT("Datos!B"&amp;MATCH("RUBRO ITEM",Datos!B:B,0)+ROW()-MATCH("RUBRO ITEM",A:A,0))</f>
        <v>3</v>
      </c>
      <c r="B23" s="80" t="str">
        <f t="shared" ca="1" si="0"/>
        <v>SEÑALAMIENTO VERTICAL</v>
      </c>
      <c r="C23" s="144"/>
      <c r="D23" s="145" t="str">
        <f t="shared" ca="1" si="1"/>
        <v>m2</v>
      </c>
      <c r="E23" s="146">
        <f t="shared" ca="1" si="2"/>
        <v>500</v>
      </c>
      <c r="F23" s="518">
        <f t="shared" ca="1" si="5"/>
        <v>0</v>
      </c>
      <c r="G23" s="614">
        <f t="shared" ca="1" si="6"/>
        <v>0</v>
      </c>
      <c r="H23" s="614">
        <f t="shared" ca="1" si="7"/>
        <v>0</v>
      </c>
      <c r="I23" s="148">
        <f t="shared" ca="1" si="8"/>
        <v>0</v>
      </c>
    </row>
    <row r="24" spans="1:9" ht="20.100000000000001" customHeight="1" x14ac:dyDescent="0.2">
      <c r="A24" s="122">
        <f ca="1">INDIRECT("Datos!B"&amp;MATCH("RUBRO ITEM",Datos!B:B,0)+ROW()-MATCH("RUBRO ITEM",A:A,0))</f>
        <v>4</v>
      </c>
      <c r="B24" s="80" t="str">
        <f t="shared" ca="1" si="0"/>
        <v>MOVILIDAD PARA EL PERSONAL AUXILIAR DE SUPERVISIÓN</v>
      </c>
      <c r="C24" s="144"/>
      <c r="D24" s="145">
        <f t="shared" ca="1" si="1"/>
        <v>0</v>
      </c>
      <c r="E24" s="146">
        <f t="shared" ca="1" si="2"/>
        <v>0</v>
      </c>
      <c r="F24" s="518">
        <f t="shared" ca="1" si="5"/>
        <v>0</v>
      </c>
      <c r="G24" s="614">
        <f t="shared" ca="1" si="6"/>
        <v>0</v>
      </c>
      <c r="H24" s="614">
        <f t="shared" ca="1" si="7"/>
        <v>0</v>
      </c>
      <c r="I24" s="148">
        <f t="shared" ca="1" si="8"/>
        <v>0</v>
      </c>
    </row>
    <row r="25" spans="1:9" ht="20.100000000000001" customHeight="1" x14ac:dyDescent="0.2">
      <c r="A25" s="122" t="str">
        <f ca="1">INDIRECT("Datos!B"&amp;MATCH("RUBRO ITEM",Datos!B:B,0)+ROW()-MATCH("RUBRO ITEM",A:A,0))</f>
        <v>4.a</v>
      </c>
      <c r="B25" s="80" t="str">
        <f t="shared" ca="1" si="0"/>
        <v>Cuota Fija</v>
      </c>
      <c r="C25" s="144"/>
      <c r="D25" s="145" t="str">
        <f t="shared" ca="1" si="1"/>
        <v>Mes</v>
      </c>
      <c r="E25" s="146">
        <f t="shared" ca="1" si="2"/>
        <v>6</v>
      </c>
      <c r="F25" s="518">
        <f t="shared" ca="1" si="5"/>
        <v>0</v>
      </c>
      <c r="G25" s="614">
        <f t="shared" ca="1" si="6"/>
        <v>0</v>
      </c>
      <c r="H25" s="614">
        <f t="shared" ca="1" si="7"/>
        <v>0</v>
      </c>
      <c r="I25" s="148">
        <f t="shared" ca="1" si="8"/>
        <v>0</v>
      </c>
    </row>
    <row r="26" spans="1:9" ht="20.100000000000001" customHeight="1" x14ac:dyDescent="0.2">
      <c r="A26" s="122" t="str">
        <f ca="1">INDIRECT("Datos!B"&amp;MATCH("RUBRO ITEM",Datos!B:B,0)+ROW()-MATCH("RUBRO ITEM",A:A,0))</f>
        <v>4.b</v>
      </c>
      <c r="B26" s="80" t="str">
        <f t="shared" ca="1" si="0"/>
        <v>Cuota Adicional</v>
      </c>
      <c r="C26" s="144"/>
      <c r="D26" s="145" t="str">
        <f t="shared" ca="1" si="1"/>
        <v>Km</v>
      </c>
      <c r="E26" s="146">
        <f t="shared" ca="1" si="2"/>
        <v>9000</v>
      </c>
      <c r="F26" s="518">
        <f t="shared" ca="1" si="5"/>
        <v>0</v>
      </c>
      <c r="G26" s="614">
        <f t="shared" ca="1" si="6"/>
        <v>0</v>
      </c>
      <c r="H26" s="614">
        <f t="shared" ca="1" si="7"/>
        <v>0</v>
      </c>
      <c r="I26" s="148">
        <f t="shared" ca="1" si="8"/>
        <v>0</v>
      </c>
    </row>
    <row r="27" spans="1:9" ht="20.100000000000001" customHeight="1" x14ac:dyDescent="0.2">
      <c r="A27" s="122">
        <f ca="1">INDIRECT("Datos!B"&amp;MATCH("RUBRO ITEM",Datos!B:B,0)+ROW()-MATCH("RUBRO ITEM",A:A,0))</f>
        <v>0</v>
      </c>
      <c r="B27" s="149"/>
      <c r="C27" s="150"/>
      <c r="D27" s="151"/>
      <c r="E27" s="152"/>
      <c r="F27" s="153"/>
      <c r="G27" s="153"/>
      <c r="H27" s="82"/>
      <c r="I27" s="154"/>
    </row>
    <row r="28" spans="1:9" ht="20.100000000000001" customHeight="1" x14ac:dyDescent="0.2">
      <c r="A28" s="615" t="s">
        <v>3</v>
      </c>
      <c r="B28" s="516" t="s">
        <v>1844</v>
      </c>
      <c r="C28" s="155"/>
      <c r="D28" s="155"/>
      <c r="E28" s="527" t="s">
        <v>965</v>
      </c>
      <c r="F28" s="517"/>
      <c r="G28" s="529">
        <v>0</v>
      </c>
      <c r="H28" s="431">
        <f ca="1">SUM(H17:H26)</f>
        <v>0</v>
      </c>
      <c r="I28" s="156">
        <f ca="1">SUM(I17:I27)</f>
        <v>0</v>
      </c>
    </row>
    <row r="29" spans="1:9" ht="20.100000000000001" customHeight="1" x14ac:dyDescent="0.2">
      <c r="A29" s="82"/>
      <c r="B29" s="82"/>
      <c r="C29" s="82"/>
      <c r="D29" s="82"/>
      <c r="E29" s="82"/>
      <c r="F29" s="82"/>
      <c r="G29" s="616"/>
      <c r="H29" s="82"/>
    </row>
    <row r="30" spans="1:9" ht="20.100000000000001" customHeight="1" x14ac:dyDescent="0.2">
      <c r="A30" s="573" t="s">
        <v>895</v>
      </c>
      <c r="B30" s="574" t="s">
        <v>1859</v>
      </c>
      <c r="C30" s="574"/>
      <c r="D30" s="575"/>
      <c r="E30" s="617"/>
      <c r="F30" s="576"/>
      <c r="G30" s="617"/>
      <c r="H30" s="577">
        <f ca="1">ROUND(Monto_Oferta/Coeficiente_Paso,2)</f>
        <v>0</v>
      </c>
      <c r="I30" s="157"/>
    </row>
    <row r="31" spans="1:9" ht="20.100000000000001" customHeight="1" x14ac:dyDescent="0.2">
      <c r="A31" s="578" t="s">
        <v>896</v>
      </c>
      <c r="B31" s="161" t="str">
        <f>"COSTO FINANCIERO  "&amp;ROUND(Costo_Financiero*100,2)&amp;" % de ( 1 )"</f>
        <v>COSTO FINANCIERO  0 % de ( 1 )</v>
      </c>
      <c r="C31" s="161"/>
      <c r="D31" s="579"/>
      <c r="E31" s="618">
        <f>Costo_Financiero</f>
        <v>0</v>
      </c>
      <c r="F31" s="81"/>
      <c r="G31" s="93"/>
      <c r="H31" s="580">
        <f ca="1">ROUND(H30*Costo_Financiero,2)</f>
        <v>0</v>
      </c>
      <c r="I31" s="157"/>
    </row>
    <row r="32" spans="1:9" ht="20.100000000000001" customHeight="1" x14ac:dyDescent="0.2">
      <c r="A32" s="578" t="s">
        <v>897</v>
      </c>
      <c r="B32" s="161" t="s">
        <v>1860</v>
      </c>
      <c r="C32" s="161"/>
      <c r="D32" s="579"/>
      <c r="E32" s="93"/>
      <c r="F32" s="81"/>
      <c r="G32" s="93"/>
      <c r="H32" s="580">
        <f ca="1">H30+H31</f>
        <v>0</v>
      </c>
      <c r="I32" s="157"/>
    </row>
    <row r="33" spans="1:9" ht="20.100000000000001" customHeight="1" x14ac:dyDescent="0.2">
      <c r="A33" s="578" t="s">
        <v>898</v>
      </c>
      <c r="B33" s="158" t="str">
        <f>CONCATENATE("GASTOS GENERALES  ",ROUND(Gasto_Generales_Porcentaje,3)," % de ( 3 )")</f>
        <v>GASTOS GENERALES  0 % de ( 3 )</v>
      </c>
      <c r="C33" s="158"/>
      <c r="D33" s="159"/>
      <c r="E33" s="618">
        <f>Gasto_Generales_Porcentaje</f>
        <v>0</v>
      </c>
      <c r="F33" s="81"/>
      <c r="G33" s="93"/>
      <c r="H33" s="580">
        <f ca="1">ROUND(H32*E33,2)</f>
        <v>0</v>
      </c>
      <c r="I33" s="159"/>
    </row>
    <row r="34" spans="1:9" ht="20.100000000000001" customHeight="1" x14ac:dyDescent="0.2">
      <c r="A34" s="578" t="s">
        <v>899</v>
      </c>
      <c r="B34" s="158" t="str">
        <f>CONCATENATE("BENEFICIOS  ",ROUND(Beneficio*100,2)," % de ( 3 )")</f>
        <v>BENEFICIOS  0 % de ( 3 )</v>
      </c>
      <c r="C34" s="158"/>
      <c r="D34" s="159"/>
      <c r="E34" s="618">
        <f>Beneficio</f>
        <v>0</v>
      </c>
      <c r="F34" s="81"/>
      <c r="G34" s="93"/>
      <c r="H34" s="580">
        <f ca="1">ROUND(H32*Beneficio,2)</f>
        <v>0</v>
      </c>
      <c r="I34" s="159"/>
    </row>
    <row r="35" spans="1:9" ht="20.100000000000001" customHeight="1" x14ac:dyDescent="0.2">
      <c r="A35" s="578">
        <v>6</v>
      </c>
      <c r="B35" s="161" t="s">
        <v>1861</v>
      </c>
      <c r="C35" s="161"/>
      <c r="D35" s="159"/>
      <c r="E35" s="93"/>
      <c r="F35" s="81"/>
      <c r="G35" s="93"/>
      <c r="H35" s="580">
        <f ca="1">H32+H33+H34</f>
        <v>0</v>
      </c>
      <c r="I35" s="159"/>
    </row>
    <row r="36" spans="1:9" ht="20.100000000000001" customHeight="1" x14ac:dyDescent="0.2">
      <c r="A36" s="578" t="s">
        <v>1862</v>
      </c>
      <c r="B36" s="158" t="str">
        <f>CONCATENATE("INGRESOS BRUTOS Y LOTE HOGAR  ",ROUND(Ingresos_Brutos*100,2)," % de ( 6 )")</f>
        <v>INGRESOS BRUTOS Y LOTE HOGAR  0 % de ( 6 )</v>
      </c>
      <c r="C36" s="158"/>
      <c r="D36" s="159"/>
      <c r="E36" s="618">
        <f>Ingresos_Brutos</f>
        <v>0</v>
      </c>
      <c r="F36" s="81"/>
      <c r="G36" s="93"/>
      <c r="H36" s="580">
        <f ca="1">ROUND(Ingresos_Brutos*H35,2)</f>
        <v>0</v>
      </c>
      <c r="I36" s="159"/>
    </row>
    <row r="37" spans="1:9" ht="20.100000000000001" customHeight="1" x14ac:dyDescent="0.2">
      <c r="A37" s="581" t="s">
        <v>1863</v>
      </c>
      <c r="B37" s="582" t="str">
        <f>CONCATENATE("IMPUESTO AL VALOR AGREGADO ",IVA*100," % de ( 6 )")</f>
        <v>IMPUESTO AL VALOR AGREGADO 0 % de ( 6 )</v>
      </c>
      <c r="C37" s="582"/>
      <c r="D37" s="583"/>
      <c r="E37" s="619">
        <f>IVA</f>
        <v>0</v>
      </c>
      <c r="F37" s="584"/>
      <c r="G37" s="620"/>
      <c r="H37" s="585">
        <f ca="1">ROUND(IVA*H35,2)</f>
        <v>0</v>
      </c>
      <c r="I37" s="159"/>
    </row>
    <row r="38" spans="1:9" ht="20.100000000000001" customHeight="1" x14ac:dyDescent="0.2">
      <c r="A38" s="162"/>
      <c r="B38" s="158"/>
      <c r="C38" s="158"/>
      <c r="D38" s="159"/>
      <c r="E38" s="160"/>
      <c r="F38" s="81"/>
      <c r="H38" s="163"/>
      <c r="I38" s="159"/>
    </row>
    <row r="39" spans="1:9" ht="20.100000000000001" customHeight="1" x14ac:dyDescent="0.2">
      <c r="A39" s="164"/>
      <c r="B39" s="164" t="s">
        <v>1864</v>
      </c>
      <c r="C39" s="164"/>
      <c r="D39" s="159"/>
      <c r="E39" s="124"/>
      <c r="F39" s="81"/>
      <c r="H39" s="621">
        <f ca="1">Monto_Oferta</f>
        <v>0</v>
      </c>
      <c r="I39" s="159"/>
    </row>
    <row r="40" spans="1:9" ht="20.100000000000001" customHeight="1" x14ac:dyDescent="0.2">
      <c r="I40" s="165"/>
    </row>
    <row r="41" spans="1:9" ht="60" customHeight="1" x14ac:dyDescent="0.2">
      <c r="A41" s="713" t="e">
        <f ca="1">"El presente presupuesto asciende a la suma de: " &amp; UPPER(CONVERTIRNUM(Monto_Oferta))</f>
        <v>#NAME?</v>
      </c>
      <c r="B41" s="713"/>
      <c r="C41" s="713"/>
      <c r="D41" s="713"/>
      <c r="E41" s="713"/>
      <c r="F41" s="713"/>
      <c r="G41" s="713"/>
      <c r="H41" s="713"/>
      <c r="I41" s="713"/>
    </row>
    <row r="42" spans="1:9" x14ac:dyDescent="0.2">
      <c r="A42" s="82" t="s">
        <v>940</v>
      </c>
    </row>
  </sheetData>
  <mergeCells count="2">
    <mergeCell ref="B15:C15"/>
    <mergeCell ref="A41:I41"/>
  </mergeCells>
  <conditionalFormatting sqref="I40 A38:D39">
    <cfRule type="expression" dxfId="114" priority="316" stopIfTrue="1">
      <formula>#REF!=1</formula>
    </cfRule>
  </conditionalFormatting>
  <conditionalFormatting sqref="B27:C27 C17:C26">
    <cfRule type="expression" dxfId="113" priority="320" stopIfTrue="1">
      <formula>#REF!&gt;0</formula>
    </cfRule>
    <cfRule type="expression" dxfId="112" priority="321" stopIfTrue="1">
      <formula>#REF!&gt;0</formula>
    </cfRule>
    <cfRule type="expression" dxfId="111" priority="322" stopIfTrue="1">
      <formula>#REF!&gt;0</formula>
    </cfRule>
  </conditionalFormatting>
  <conditionalFormatting sqref="B38:C39 A38">
    <cfRule type="expression" dxfId="110" priority="323" stopIfTrue="1">
      <formula>#REF!=1</formula>
    </cfRule>
  </conditionalFormatting>
  <conditionalFormatting sqref="F38:F39 H38:I39 A38:D39">
    <cfRule type="expression" dxfId="109" priority="324" stopIfTrue="1">
      <formula>#REF!=1</formula>
    </cfRule>
  </conditionalFormatting>
  <conditionalFormatting sqref="I38 A38">
    <cfRule type="expression" dxfId="108" priority="314" stopIfTrue="1">
      <formula>#REF!=1</formula>
    </cfRule>
  </conditionalFormatting>
  <conditionalFormatting sqref="I39">
    <cfRule type="expression" dxfId="107" priority="311" stopIfTrue="1">
      <formula>#REF!=1</formula>
    </cfRule>
  </conditionalFormatting>
  <conditionalFormatting sqref="B17:B26 E17:E26">
    <cfRule type="expression" dxfId="106" priority="71" stopIfTrue="1">
      <formula>#REF!&gt;0</formula>
    </cfRule>
    <cfRule type="expression" dxfId="105" priority="72" stopIfTrue="1">
      <formula>#REF!&gt;0</formula>
    </cfRule>
    <cfRule type="expression" dxfId="104" priority="73" stopIfTrue="1">
      <formula>#REF!&gt;0</formula>
    </cfRule>
  </conditionalFormatting>
  <conditionalFormatting sqref="A27:A28">
    <cfRule type="expression" dxfId="103" priority="47" stopIfTrue="1">
      <formula>#REF!&gt;0</formula>
    </cfRule>
    <cfRule type="expression" dxfId="102" priority="48" stopIfTrue="1">
      <formula>#REF!&gt;0</formula>
    </cfRule>
    <cfRule type="expression" dxfId="101" priority="49" stopIfTrue="1">
      <formula>#REF!&gt;0</formula>
    </cfRule>
  </conditionalFormatting>
  <conditionalFormatting sqref="A17:A26">
    <cfRule type="expression" dxfId="100" priority="42" stopIfTrue="1">
      <formula>#REF!&gt;0</formula>
    </cfRule>
    <cfRule type="expression" dxfId="99" priority="43" stopIfTrue="1">
      <formula>#REF!&gt;0</formula>
    </cfRule>
    <cfRule type="expression" dxfId="98" priority="44" stopIfTrue="1">
      <formula>#REF!&gt;0</formula>
    </cfRule>
  </conditionalFormatting>
  <conditionalFormatting sqref="A33:D37">
    <cfRule type="expression" dxfId="97" priority="39" stopIfTrue="1">
      <formula>#REF!=1</formula>
    </cfRule>
  </conditionalFormatting>
  <conditionalFormatting sqref="A32:D32 B33:C34 B36:C37 A34 A36">
    <cfRule type="expression" dxfId="96" priority="40" stopIfTrue="1">
      <formula>#REF!=1</formula>
    </cfRule>
  </conditionalFormatting>
  <conditionalFormatting sqref="D32:D37 B32:C34 B36:C37 A32:A37 F32:F37 H33:I34 H36:I37 I35 I32">
    <cfRule type="expression" dxfId="95" priority="41" stopIfTrue="1">
      <formula>#REF!=1</formula>
    </cfRule>
  </conditionalFormatting>
  <conditionalFormatting sqref="I33">
    <cfRule type="expression" dxfId="94" priority="38" stopIfTrue="1">
      <formula>#REF!=1</formula>
    </cfRule>
  </conditionalFormatting>
  <conditionalFormatting sqref="I35">
    <cfRule type="expression" dxfId="93" priority="37" stopIfTrue="1">
      <formula>#REF!=1</formula>
    </cfRule>
  </conditionalFormatting>
  <conditionalFormatting sqref="I37">
    <cfRule type="expression" dxfId="92" priority="36" stopIfTrue="1">
      <formula>#REF!=1</formula>
    </cfRule>
  </conditionalFormatting>
  <conditionalFormatting sqref="I36">
    <cfRule type="expression" dxfId="91" priority="35" stopIfTrue="1">
      <formula>#REF!=1</formula>
    </cfRule>
  </conditionalFormatting>
  <conditionalFormatting sqref="I34">
    <cfRule type="expression" dxfId="90" priority="34" stopIfTrue="1">
      <formula>#REF!=1</formula>
    </cfRule>
  </conditionalFormatting>
  <conditionalFormatting sqref="A32 A34 A36">
    <cfRule type="expression" dxfId="89" priority="33" stopIfTrue="1">
      <formula>#REF!=1</formula>
    </cfRule>
  </conditionalFormatting>
  <conditionalFormatting sqref="B32:C32">
    <cfRule type="expression" dxfId="88" priority="32" stopIfTrue="1">
      <formula>#REF!=1</formula>
    </cfRule>
  </conditionalFormatting>
  <conditionalFormatting sqref="B35:C35">
    <cfRule type="expression" dxfId="87" priority="31" stopIfTrue="1">
      <formula>#REF!=1</formula>
    </cfRule>
  </conditionalFormatting>
  <conditionalFormatting sqref="B37:C37">
    <cfRule type="expression" dxfId="86" priority="30" stopIfTrue="1">
      <formula>#REF!=1</formula>
    </cfRule>
  </conditionalFormatting>
  <conditionalFormatting sqref="A33 A35 A37">
    <cfRule type="expression" dxfId="85" priority="29" stopIfTrue="1">
      <formula>#REF!=1</formula>
    </cfRule>
  </conditionalFormatting>
  <conditionalFormatting sqref="A33 A35 A37">
    <cfRule type="expression" dxfId="84" priority="28" stopIfTrue="1">
      <formula>#REF!=1</formula>
    </cfRule>
  </conditionalFormatting>
  <conditionalFormatting sqref="B36:C36">
    <cfRule type="expression" dxfId="83" priority="27" stopIfTrue="1">
      <formula>#REF!=1</formula>
    </cfRule>
  </conditionalFormatting>
  <conditionalFormatting sqref="H35">
    <cfRule type="expression" dxfId="82" priority="26" stopIfTrue="1">
      <formula>#REF!=1</formula>
    </cfRule>
  </conditionalFormatting>
  <conditionalFormatting sqref="H32">
    <cfRule type="expression" dxfId="81" priority="25" stopIfTrue="1">
      <formula>#REF!=1</formula>
    </cfRule>
  </conditionalFormatting>
  <conditionalFormatting sqref="A30:D31">
    <cfRule type="expression" dxfId="80" priority="23" stopIfTrue="1">
      <formula>#REF!=1</formula>
    </cfRule>
  </conditionalFormatting>
  <conditionalFormatting sqref="A30:D31 F30:F31 I30:I31 A32">
    <cfRule type="expression" dxfId="79" priority="24" stopIfTrue="1">
      <formula>#REF!=1</formula>
    </cfRule>
  </conditionalFormatting>
  <conditionalFormatting sqref="A30:A32">
    <cfRule type="expression" dxfId="78" priority="22" stopIfTrue="1">
      <formula>#REF!=1</formula>
    </cfRule>
  </conditionalFormatting>
  <conditionalFormatting sqref="B30:C31">
    <cfRule type="expression" dxfId="77" priority="21" stopIfTrue="1">
      <formula>#REF!=1</formula>
    </cfRule>
  </conditionalFormatting>
  <conditionalFormatting sqref="H30">
    <cfRule type="expression" dxfId="76" priority="20" stopIfTrue="1">
      <formula>#REF!=1</formula>
    </cfRule>
  </conditionalFormatting>
  <conditionalFormatting sqref="H31">
    <cfRule type="expression" dxfId="75"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525"/>
  <sheetViews>
    <sheetView showGridLines="0" showZeros="0" view="pageBreakPreview" topLeftCell="A473" zoomScaleNormal="120" zoomScaleSheetLayoutView="100" workbookViewId="0">
      <selection activeCell="C525" sqref="C52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14" t="s">
        <v>31</v>
      </c>
      <c r="B1" s="715"/>
      <c r="C1" s="715"/>
      <c r="D1" s="715"/>
      <c r="E1" s="715"/>
      <c r="F1" s="715"/>
      <c r="G1" s="716"/>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SEÑALIZACION HORIZONTAL - PROVISION Y COLOCACION DE TACHAS REFLECTIVAS Y SEÑALAMIENTO VERTICAL</v>
      </c>
      <c r="C4" s="539"/>
      <c r="D4" s="539"/>
      <c r="E4" s="539"/>
      <c r="F4" s="535" t="s">
        <v>32</v>
      </c>
      <c r="G4" s="589">
        <f>Fecha_Base</f>
        <v>43579</v>
      </c>
      <c r="H4" s="533"/>
    </row>
    <row r="5" spans="1:8" ht="19.899999999999999" customHeight="1" x14ac:dyDescent="0.2">
      <c r="A5" s="590" t="s">
        <v>710</v>
      </c>
      <c r="B5" s="540" t="str">
        <f>Ubicación</f>
        <v>DEPARTAMENTOS VARIOS</v>
      </c>
      <c r="C5" s="540"/>
      <c r="D5" s="541"/>
      <c r="E5" s="542"/>
      <c r="F5" s="543"/>
      <c r="G5" s="591"/>
      <c r="H5" s="533"/>
    </row>
    <row r="6" spans="1:8" ht="19.899999999999999" customHeight="1" x14ac:dyDescent="0.2">
      <c r="A6" s="590" t="s">
        <v>33</v>
      </c>
      <c r="B6" s="544">
        <f>IFERROR(VALUE(LEFT(B7,FIND(".",B7)-1)),"")</f>
        <v>1</v>
      </c>
      <c r="C6" s="545" t="str">
        <f ca="1">IFERROR(VLOOKUP(B6,T_Computo_Presupuesto,2,FALSE),0)</f>
        <v>SEÑALIZACION HORIZONTAL</v>
      </c>
      <c r="D6" s="545"/>
      <c r="E6" s="542"/>
      <c r="F6" s="543"/>
      <c r="G6" s="591"/>
      <c r="H6" s="533"/>
    </row>
    <row r="7" spans="1:8" ht="19.899999999999999" customHeight="1" x14ac:dyDescent="0.2">
      <c r="A7" s="590" t="s">
        <v>22</v>
      </c>
      <c r="B7" s="546" t="str">
        <f>IFERROR(VLOOKUP(COUNTIF($A$1:A7,"ANALISIS DE PRECIOS"),T_NumeroItem,2,FALSE),"")</f>
        <v>1.a.1</v>
      </c>
      <c r="C7" s="717" t="str">
        <f ca="1">IFERROR(VLOOKUP(B7,T_Computo_Presupuesto,2,FALSE),0)</f>
        <v>Por Pulverización</v>
      </c>
      <c r="D7" s="717"/>
      <c r="E7" s="717"/>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18" t="s">
        <v>576</v>
      </c>
      <c r="B27" s="719"/>
      <c r="C27" s="720" t="s">
        <v>0</v>
      </c>
      <c r="D27" s="728" t="s">
        <v>1866</v>
      </c>
      <c r="E27" s="728" t="s">
        <v>1865</v>
      </c>
      <c r="F27" s="724" t="s">
        <v>1007</v>
      </c>
      <c r="G27" s="726" t="s">
        <v>26</v>
      </c>
    </row>
    <row r="28" spans="1:7" ht="19.899999999999999" customHeight="1" x14ac:dyDescent="0.2">
      <c r="A28" s="560" t="s">
        <v>577</v>
      </c>
      <c r="B28" s="560" t="s">
        <v>578</v>
      </c>
      <c r="C28" s="721"/>
      <c r="D28" s="729"/>
      <c r="E28" s="723"/>
      <c r="F28" s="725"/>
      <c r="G28" s="727"/>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18" t="s">
        <v>576</v>
      </c>
      <c r="B41" s="719"/>
      <c r="C41" s="720" t="s">
        <v>0</v>
      </c>
      <c r="D41" s="722" t="s">
        <v>24</v>
      </c>
      <c r="E41" s="722" t="s">
        <v>1832</v>
      </c>
      <c r="F41" s="724" t="s">
        <v>1007</v>
      </c>
      <c r="G41" s="726" t="s">
        <v>26</v>
      </c>
    </row>
    <row r="42" spans="1:7" ht="19.899999999999999" customHeight="1" x14ac:dyDescent="0.2">
      <c r="A42" s="560" t="s">
        <v>577</v>
      </c>
      <c r="B42" s="560" t="s">
        <v>578</v>
      </c>
      <c r="C42" s="721"/>
      <c r="D42" s="723"/>
      <c r="E42" s="723"/>
      <c r="F42" s="725"/>
      <c r="G42" s="727"/>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18" t="s">
        <v>576</v>
      </c>
      <c r="B52" s="719"/>
      <c r="C52" s="720" t="s">
        <v>0</v>
      </c>
      <c r="D52" s="720" t="s">
        <v>1867</v>
      </c>
      <c r="E52" s="722" t="s">
        <v>24</v>
      </c>
      <c r="F52" s="724" t="s">
        <v>25</v>
      </c>
      <c r="G52" s="726" t="s">
        <v>26</v>
      </c>
    </row>
    <row r="53" spans="1:7" ht="19.899999999999999" customHeight="1" x14ac:dyDescent="0.2">
      <c r="A53" s="560" t="s">
        <v>577</v>
      </c>
      <c r="B53" s="560" t="s">
        <v>578</v>
      </c>
      <c r="C53" s="721"/>
      <c r="D53" s="721"/>
      <c r="E53" s="723"/>
      <c r="F53" s="725"/>
      <c r="G53" s="727"/>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18" t="s">
        <v>576</v>
      </c>
      <c r="B67" s="719"/>
      <c r="C67" s="720" t="s">
        <v>0</v>
      </c>
      <c r="D67" s="720" t="s">
        <v>1867</v>
      </c>
      <c r="E67" s="722" t="s">
        <v>24</v>
      </c>
      <c r="F67" s="724" t="s">
        <v>25</v>
      </c>
      <c r="G67" s="726" t="s">
        <v>26</v>
      </c>
    </row>
    <row r="68" spans="1:8" ht="19.899999999999999" customHeight="1" x14ac:dyDescent="0.2">
      <c r="A68" s="560" t="s">
        <v>577</v>
      </c>
      <c r="B68" s="560" t="s">
        <v>578</v>
      </c>
      <c r="C68" s="721"/>
      <c r="D68" s="721"/>
      <c r="E68" s="723"/>
      <c r="F68" s="725"/>
      <c r="G68" s="727"/>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t="str">
        <f>B7</f>
        <v>1.a.1</v>
      </c>
      <c r="B73" s="661" t="str">
        <f ca="1">C7</f>
        <v>Por Pulverización</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0"/>
      <c r="B75" s="190"/>
      <c r="C75" s="190"/>
      <c r="D75" s="190"/>
      <c r="E75" s="190"/>
      <c r="F75" s="190"/>
      <c r="G75" s="190"/>
      <c r="H75" s="533"/>
    </row>
    <row r="76" spans="1:8" ht="19.899999999999999" customHeight="1" x14ac:dyDescent="0.2">
      <c r="A76" s="714" t="s">
        <v>31</v>
      </c>
      <c r="B76" s="715"/>
      <c r="C76" s="715"/>
      <c r="D76" s="715"/>
      <c r="E76" s="715"/>
      <c r="F76" s="715"/>
      <c r="G76" s="716"/>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SEÑALIZACION HORIZONTAL - PROVISION Y COLOCACION DE TACHAS REFLECTIVAS Y SEÑALAMIENTO VERTICAL</v>
      </c>
      <c r="C79" s="539"/>
      <c r="D79" s="539"/>
      <c r="E79" s="539"/>
      <c r="F79" s="535" t="s">
        <v>32</v>
      </c>
      <c r="G79" s="589">
        <f>Fecha_Base</f>
        <v>43579</v>
      </c>
    </row>
    <row r="80" spans="1:8" ht="19.899999999999999" customHeight="1" x14ac:dyDescent="0.2">
      <c r="A80" s="590" t="s">
        <v>710</v>
      </c>
      <c r="B80" s="540" t="str">
        <f>Ubicación</f>
        <v>DEPARTAMENTOS VARIOS</v>
      </c>
      <c r="C80" s="540"/>
      <c r="D80" s="541"/>
      <c r="E80" s="542"/>
      <c r="F80" s="543"/>
      <c r="G80" s="591"/>
    </row>
    <row r="81" spans="1:7" ht="19.899999999999999" customHeight="1" x14ac:dyDescent="0.2">
      <c r="A81" s="590" t="s">
        <v>33</v>
      </c>
      <c r="B81" s="544">
        <f>IFERROR(VALUE(LEFT(B82,FIND(".",B82)-1)),"")</f>
        <v>1</v>
      </c>
      <c r="C81" s="545" t="str">
        <f ca="1">IFERROR(VLOOKUP(B81,T_Computo_Presupuesto,2,FALSE),0)</f>
        <v>SEÑALIZACION HORIZONTAL</v>
      </c>
      <c r="D81" s="545"/>
      <c r="E81" s="542"/>
      <c r="F81" s="543"/>
      <c r="G81" s="591"/>
    </row>
    <row r="82" spans="1:7" ht="19.899999999999999" customHeight="1" x14ac:dyDescent="0.2">
      <c r="A82" s="590" t="s">
        <v>22</v>
      </c>
      <c r="B82" s="546" t="str">
        <f>IFERROR(VLOOKUP(COUNTIF($A$1:A82,"ANALISIS DE PRECIOS"),T_NumeroItem,2,FALSE),"")</f>
        <v>1.a.2</v>
      </c>
      <c r="C82" s="717" t="str">
        <f ca="1">IFERROR(VLOOKUP(B82,T_Computo_Presupuesto,2,FALSE),0)</f>
        <v>Por Extrusión</v>
      </c>
      <c r="D82" s="717"/>
      <c r="E82" s="717"/>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18" t="s">
        <v>576</v>
      </c>
      <c r="B102" s="719"/>
      <c r="C102" s="720" t="s">
        <v>0</v>
      </c>
      <c r="D102" s="728" t="s">
        <v>1866</v>
      </c>
      <c r="E102" s="728" t="s">
        <v>1865</v>
      </c>
      <c r="F102" s="724" t="s">
        <v>1007</v>
      </c>
      <c r="G102" s="726" t="s">
        <v>26</v>
      </c>
    </row>
    <row r="103" spans="1:7" ht="19.899999999999999" customHeight="1" x14ac:dyDescent="0.2">
      <c r="A103" s="560" t="s">
        <v>577</v>
      </c>
      <c r="B103" s="560" t="s">
        <v>578</v>
      </c>
      <c r="C103" s="721"/>
      <c r="D103" s="729"/>
      <c r="E103" s="723"/>
      <c r="F103" s="725"/>
      <c r="G103" s="727"/>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18" t="s">
        <v>576</v>
      </c>
      <c r="B116" s="719"/>
      <c r="C116" s="720" t="s">
        <v>0</v>
      </c>
      <c r="D116" s="722" t="s">
        <v>24</v>
      </c>
      <c r="E116" s="722" t="s">
        <v>1832</v>
      </c>
      <c r="F116" s="724" t="s">
        <v>1007</v>
      </c>
      <c r="G116" s="726" t="s">
        <v>26</v>
      </c>
    </row>
    <row r="117" spans="1:7" ht="19.899999999999999" customHeight="1" x14ac:dyDescent="0.2">
      <c r="A117" s="560" t="s">
        <v>577</v>
      </c>
      <c r="B117" s="560" t="s">
        <v>578</v>
      </c>
      <c r="C117" s="721"/>
      <c r="D117" s="723"/>
      <c r="E117" s="723"/>
      <c r="F117" s="725"/>
      <c r="G117" s="727"/>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18" t="s">
        <v>576</v>
      </c>
      <c r="B127" s="719"/>
      <c r="C127" s="720" t="s">
        <v>0</v>
      </c>
      <c r="D127" s="720" t="s">
        <v>1867</v>
      </c>
      <c r="E127" s="722" t="s">
        <v>24</v>
      </c>
      <c r="F127" s="724" t="s">
        <v>25</v>
      </c>
      <c r="G127" s="726" t="s">
        <v>26</v>
      </c>
    </row>
    <row r="128" spans="1:7" ht="19.899999999999999" customHeight="1" x14ac:dyDescent="0.2">
      <c r="A128" s="560" t="s">
        <v>577</v>
      </c>
      <c r="B128" s="560" t="s">
        <v>578</v>
      </c>
      <c r="C128" s="721"/>
      <c r="D128" s="721"/>
      <c r="E128" s="723"/>
      <c r="F128" s="725"/>
      <c r="G128" s="727"/>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18" t="s">
        <v>576</v>
      </c>
      <c r="B142" s="719"/>
      <c r="C142" s="720" t="s">
        <v>0</v>
      </c>
      <c r="D142" s="720" t="s">
        <v>1867</v>
      </c>
      <c r="E142" s="722" t="s">
        <v>24</v>
      </c>
      <c r="F142" s="724" t="s">
        <v>25</v>
      </c>
      <c r="G142" s="726" t="s">
        <v>26</v>
      </c>
    </row>
    <row r="143" spans="1:7" ht="19.899999999999999" customHeight="1" x14ac:dyDescent="0.2">
      <c r="A143" s="560" t="s">
        <v>577</v>
      </c>
      <c r="B143" s="560" t="s">
        <v>578</v>
      </c>
      <c r="C143" s="721"/>
      <c r="D143" s="721"/>
      <c r="E143" s="723"/>
      <c r="F143" s="725"/>
      <c r="G143" s="727"/>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1.a.2</v>
      </c>
      <c r="B148" s="661" t="str">
        <f ca="1">C82</f>
        <v>Por Extrusión</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0"/>
      <c r="B150" s="190"/>
      <c r="C150" s="190"/>
      <c r="D150" s="190"/>
      <c r="E150" s="190"/>
      <c r="F150" s="190"/>
      <c r="G150" s="190"/>
    </row>
    <row r="151" spans="1:7" ht="19.899999999999999" customHeight="1" x14ac:dyDescent="0.2">
      <c r="A151" s="714" t="s">
        <v>31</v>
      </c>
      <c r="B151" s="715"/>
      <c r="C151" s="715"/>
      <c r="D151" s="715"/>
      <c r="E151" s="715"/>
      <c r="F151" s="715"/>
      <c r="G151" s="716"/>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SEÑALIZACION HORIZONTAL - PROVISION Y COLOCACION DE TACHAS REFLECTIVAS Y SEÑALAMIENTO VERTICAL</v>
      </c>
      <c r="C154" s="539"/>
      <c r="D154" s="539"/>
      <c r="E154" s="539"/>
      <c r="F154" s="535" t="s">
        <v>32</v>
      </c>
      <c r="G154" s="589">
        <f>Fecha_Base</f>
        <v>43579</v>
      </c>
    </row>
    <row r="155" spans="1:7" ht="19.899999999999999" customHeight="1" x14ac:dyDescent="0.2">
      <c r="A155" s="590" t="s">
        <v>710</v>
      </c>
      <c r="B155" s="540" t="str">
        <f>Ubicación</f>
        <v>DEPARTAMENTOS VARIOS</v>
      </c>
      <c r="C155" s="540"/>
      <c r="D155" s="541"/>
      <c r="E155" s="542"/>
      <c r="F155" s="543"/>
      <c r="G155" s="591"/>
    </row>
    <row r="156" spans="1:7" ht="19.899999999999999" customHeight="1" x14ac:dyDescent="0.2">
      <c r="A156" s="590" t="s">
        <v>33</v>
      </c>
      <c r="B156" s="544">
        <f>IFERROR(VALUE(LEFT(B157,FIND(".",B157)-1)),"")</f>
        <v>1</v>
      </c>
      <c r="C156" s="545" t="str">
        <f ca="1">IFERROR(VLOOKUP(B156,T_Computo_Presupuesto,2,FALSE),0)</f>
        <v>SEÑALIZACION HORIZONTAL</v>
      </c>
      <c r="D156" s="545"/>
      <c r="E156" s="542"/>
      <c r="F156" s="543"/>
      <c r="G156" s="591"/>
    </row>
    <row r="157" spans="1:7" ht="19.899999999999999" customHeight="1" x14ac:dyDescent="0.2">
      <c r="A157" s="590" t="s">
        <v>22</v>
      </c>
      <c r="B157" s="546" t="str">
        <f>IFERROR(VLOOKUP(COUNTIF($A$1:A157,"ANALISIS DE PRECIOS"),T_NumeroItem,2,FALSE),"")</f>
        <v>1.b</v>
      </c>
      <c r="C157" s="717" t="str">
        <f ca="1">IFERROR(VLOOKUP(B157,T_Computo_Presupuesto,2,FALSE),0)</f>
        <v>CON PINTURA ACRILICA PARA PARA PAVIMENTOS APLICADA A TEMPERATURA AMBIENTE CON EQUIPO MECÁNICO</v>
      </c>
      <c r="D157" s="717"/>
      <c r="E157" s="717"/>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18" t="s">
        <v>576</v>
      </c>
      <c r="B177" s="719"/>
      <c r="C177" s="720" t="s">
        <v>0</v>
      </c>
      <c r="D177" s="728" t="s">
        <v>1866</v>
      </c>
      <c r="E177" s="728" t="s">
        <v>1865</v>
      </c>
      <c r="F177" s="724" t="s">
        <v>1007</v>
      </c>
      <c r="G177" s="726" t="s">
        <v>26</v>
      </c>
    </row>
    <row r="178" spans="1:7" ht="19.899999999999999" customHeight="1" x14ac:dyDescent="0.2">
      <c r="A178" s="560" t="s">
        <v>577</v>
      </c>
      <c r="B178" s="560" t="s">
        <v>578</v>
      </c>
      <c r="C178" s="721"/>
      <c r="D178" s="729"/>
      <c r="E178" s="723"/>
      <c r="F178" s="725"/>
      <c r="G178" s="727"/>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18" t="s">
        <v>576</v>
      </c>
      <c r="B191" s="719"/>
      <c r="C191" s="720" t="s">
        <v>0</v>
      </c>
      <c r="D191" s="722" t="s">
        <v>24</v>
      </c>
      <c r="E191" s="722" t="s">
        <v>1832</v>
      </c>
      <c r="F191" s="724" t="s">
        <v>1007</v>
      </c>
      <c r="G191" s="726" t="s">
        <v>26</v>
      </c>
    </row>
    <row r="192" spans="1:7" ht="19.899999999999999" customHeight="1" x14ac:dyDescent="0.2">
      <c r="A192" s="560" t="s">
        <v>577</v>
      </c>
      <c r="B192" s="560" t="s">
        <v>578</v>
      </c>
      <c r="C192" s="721"/>
      <c r="D192" s="723"/>
      <c r="E192" s="723"/>
      <c r="F192" s="725"/>
      <c r="G192" s="727"/>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18" t="s">
        <v>576</v>
      </c>
      <c r="B202" s="719"/>
      <c r="C202" s="720" t="s">
        <v>0</v>
      </c>
      <c r="D202" s="720" t="s">
        <v>1867</v>
      </c>
      <c r="E202" s="722" t="s">
        <v>24</v>
      </c>
      <c r="F202" s="724" t="s">
        <v>25</v>
      </c>
      <c r="G202" s="726" t="s">
        <v>26</v>
      </c>
    </row>
    <row r="203" spans="1:7" ht="19.899999999999999" customHeight="1" x14ac:dyDescent="0.2">
      <c r="A203" s="560" t="s">
        <v>577</v>
      </c>
      <c r="B203" s="560" t="s">
        <v>578</v>
      </c>
      <c r="C203" s="721"/>
      <c r="D203" s="721"/>
      <c r="E203" s="723"/>
      <c r="F203" s="725"/>
      <c r="G203" s="727"/>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18" t="s">
        <v>576</v>
      </c>
      <c r="B217" s="719"/>
      <c r="C217" s="720" t="s">
        <v>0</v>
      </c>
      <c r="D217" s="720" t="s">
        <v>1867</v>
      </c>
      <c r="E217" s="722" t="s">
        <v>24</v>
      </c>
      <c r="F217" s="724" t="s">
        <v>25</v>
      </c>
      <c r="G217" s="726" t="s">
        <v>26</v>
      </c>
    </row>
    <row r="218" spans="1:7" ht="19.899999999999999" customHeight="1" x14ac:dyDescent="0.2">
      <c r="A218" s="560" t="s">
        <v>577</v>
      </c>
      <c r="B218" s="560" t="s">
        <v>578</v>
      </c>
      <c r="C218" s="721"/>
      <c r="D218" s="721"/>
      <c r="E218" s="723"/>
      <c r="F218" s="725"/>
      <c r="G218" s="727"/>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t="str">
        <f>B157</f>
        <v>1.b</v>
      </c>
      <c r="B223" s="661" t="str">
        <f ca="1">C157</f>
        <v>CON PINTURA ACRILICA PARA PARA PAVIMENTOS APLICADA A TEMPERATURA AMBIENTE CON EQUIPO MECÁNICO</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0"/>
      <c r="B225" s="190"/>
      <c r="C225" s="190"/>
      <c r="D225" s="190"/>
      <c r="E225" s="190"/>
      <c r="F225" s="190"/>
      <c r="G225" s="190"/>
    </row>
    <row r="226" spans="1:7" ht="19.899999999999999" customHeight="1" x14ac:dyDescent="0.2">
      <c r="A226" s="714" t="s">
        <v>31</v>
      </c>
      <c r="B226" s="715"/>
      <c r="C226" s="715"/>
      <c r="D226" s="715"/>
      <c r="E226" s="715"/>
      <c r="F226" s="715"/>
      <c r="G226" s="716"/>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SEÑALIZACION HORIZONTAL - PROVISION Y COLOCACION DE TACHAS REFLECTIVAS Y SEÑALAMIENTO VERTICAL</v>
      </c>
      <c r="C229" s="539"/>
      <c r="D229" s="539"/>
      <c r="E229" s="539"/>
      <c r="F229" s="535" t="s">
        <v>32</v>
      </c>
      <c r="G229" s="589">
        <f>Fecha_Base</f>
        <v>43579</v>
      </c>
    </row>
    <row r="230" spans="1:7" ht="19.899999999999999" customHeight="1" x14ac:dyDescent="0.2">
      <c r="A230" s="590" t="s">
        <v>710</v>
      </c>
      <c r="B230" s="540" t="str">
        <f>Ubicación</f>
        <v>DEPARTAMENTOS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2</v>
      </c>
      <c r="C232" s="717" t="str">
        <f ca="1">IFERROR(VLOOKUP(B232,T_Computo_Presupuesto,2,FALSE),0)</f>
        <v>PROVISION Y COLOCACION DE TACHAS REFLECTIVAS</v>
      </c>
      <c r="D232" s="717"/>
      <c r="E232" s="717"/>
      <c r="F232" s="540" t="s">
        <v>23</v>
      </c>
      <c r="G232" s="592" t="str">
        <f ca="1">IFERROR(VLOOKUP(B232,T_Computo_Presupuesto,4,FALSE),0)</f>
        <v>n°</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n°/día</v>
      </c>
      <c r="F250" s="598"/>
      <c r="G250" s="592"/>
    </row>
    <row r="251" spans="1:7" ht="19.899999999999999" customHeight="1" x14ac:dyDescent="0.2">
      <c r="A251" s="590"/>
      <c r="B251" s="549"/>
      <c r="C251" s="545"/>
      <c r="D251" s="541"/>
      <c r="E251" s="542"/>
      <c r="F251" s="540"/>
      <c r="G251" s="592"/>
    </row>
    <row r="252" spans="1:7" ht="19.899999999999999" customHeight="1" x14ac:dyDescent="0.2">
      <c r="A252" s="718" t="s">
        <v>576</v>
      </c>
      <c r="B252" s="719"/>
      <c r="C252" s="720" t="s">
        <v>0</v>
      </c>
      <c r="D252" s="728" t="s">
        <v>1866</v>
      </c>
      <c r="E252" s="728" t="s">
        <v>1865</v>
      </c>
      <c r="F252" s="724" t="s">
        <v>1007</v>
      </c>
      <c r="G252" s="726" t="s">
        <v>26</v>
      </c>
    </row>
    <row r="253" spans="1:7" ht="19.899999999999999" customHeight="1" x14ac:dyDescent="0.2">
      <c r="A253" s="560" t="s">
        <v>577</v>
      </c>
      <c r="B253" s="560" t="s">
        <v>578</v>
      </c>
      <c r="C253" s="721"/>
      <c r="D253" s="729"/>
      <c r="E253" s="723"/>
      <c r="F253" s="725"/>
      <c r="G253" s="727"/>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18" t="s">
        <v>576</v>
      </c>
      <c r="B266" s="719"/>
      <c r="C266" s="720" t="s">
        <v>0</v>
      </c>
      <c r="D266" s="722" t="s">
        <v>24</v>
      </c>
      <c r="E266" s="722" t="s">
        <v>1832</v>
      </c>
      <c r="F266" s="724" t="s">
        <v>1007</v>
      </c>
      <c r="G266" s="726" t="s">
        <v>26</v>
      </c>
    </row>
    <row r="267" spans="1:7" ht="19.899999999999999" customHeight="1" x14ac:dyDescent="0.2">
      <c r="A267" s="560" t="s">
        <v>577</v>
      </c>
      <c r="B267" s="560" t="s">
        <v>578</v>
      </c>
      <c r="C267" s="721"/>
      <c r="D267" s="723"/>
      <c r="E267" s="723"/>
      <c r="F267" s="725"/>
      <c r="G267" s="727"/>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18" t="s">
        <v>576</v>
      </c>
      <c r="B277" s="719"/>
      <c r="C277" s="720" t="s">
        <v>0</v>
      </c>
      <c r="D277" s="720" t="s">
        <v>1867</v>
      </c>
      <c r="E277" s="722" t="s">
        <v>24</v>
      </c>
      <c r="F277" s="724" t="s">
        <v>25</v>
      </c>
      <c r="G277" s="726" t="s">
        <v>26</v>
      </c>
    </row>
    <row r="278" spans="1:7" ht="19.899999999999999" customHeight="1" x14ac:dyDescent="0.2">
      <c r="A278" s="560" t="s">
        <v>577</v>
      </c>
      <c r="B278" s="560" t="s">
        <v>578</v>
      </c>
      <c r="C278" s="721"/>
      <c r="D278" s="721"/>
      <c r="E278" s="723"/>
      <c r="F278" s="725"/>
      <c r="G278" s="727"/>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18" t="s">
        <v>576</v>
      </c>
      <c r="B292" s="719"/>
      <c r="C292" s="720" t="s">
        <v>0</v>
      </c>
      <c r="D292" s="720" t="s">
        <v>1867</v>
      </c>
      <c r="E292" s="722" t="s">
        <v>24</v>
      </c>
      <c r="F292" s="724" t="s">
        <v>25</v>
      </c>
      <c r="G292" s="726" t="s">
        <v>26</v>
      </c>
    </row>
    <row r="293" spans="1:8" ht="19.899999999999999" customHeight="1" x14ac:dyDescent="0.2">
      <c r="A293" s="560" t="s">
        <v>577</v>
      </c>
      <c r="B293" s="560" t="s">
        <v>578</v>
      </c>
      <c r="C293" s="721"/>
      <c r="D293" s="721"/>
      <c r="E293" s="723"/>
      <c r="F293" s="725"/>
      <c r="G293" s="727"/>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2</v>
      </c>
      <c r="B298" s="661" t="str">
        <f ca="1">C232</f>
        <v>PROVISION Y COLOCACION DE TACHAS REFLECTIVAS</v>
      </c>
      <c r="C298" s="541"/>
      <c r="D298" s="541" t="s">
        <v>1833</v>
      </c>
      <c r="E298" s="662"/>
      <c r="F298" s="663" t="str">
        <f ca="1">"$/"&amp;G232</f>
        <v>$/n°</v>
      </c>
      <c r="G298" s="610">
        <f>SUBTOTAL(9,G255:G297)</f>
        <v>0</v>
      </c>
    </row>
    <row r="299" spans="1:8" ht="19.899999999999999" customHeight="1" x14ac:dyDescent="0.2">
      <c r="A299" s="606"/>
      <c r="B299" s="607"/>
      <c r="C299" s="608"/>
      <c r="D299" s="608" t="s">
        <v>2043</v>
      </c>
      <c r="E299" s="609"/>
      <c r="F299" s="665" t="str">
        <f ca="1">"$/"&amp;G232</f>
        <v>$/n°</v>
      </c>
      <c r="G299" s="610">
        <f>ROUND(G298/Coeficiente_Paso,2)</f>
        <v>0</v>
      </c>
    </row>
    <row r="300" spans="1:8" ht="19.899999999999999" customHeight="1" x14ac:dyDescent="0.2">
      <c r="A300" s="190"/>
      <c r="B300" s="190"/>
      <c r="C300" s="190"/>
      <c r="D300" s="190"/>
      <c r="E300" s="190"/>
      <c r="F300" s="190"/>
      <c r="G300" s="190"/>
    </row>
    <row r="301" spans="1:8" ht="19.899999999999999" customHeight="1" x14ac:dyDescent="0.2">
      <c r="A301" s="714" t="s">
        <v>31</v>
      </c>
      <c r="B301" s="715"/>
      <c r="C301" s="715"/>
      <c r="D301" s="715"/>
      <c r="E301" s="715"/>
      <c r="F301" s="715"/>
      <c r="G301" s="716"/>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SEÑALIZACION HORIZONTAL - PROVISION Y COLOCACION DE TACHAS REFLECTIVAS Y SEÑALAMIENTO VERTICAL</v>
      </c>
      <c r="C304" s="539"/>
      <c r="D304" s="539"/>
      <c r="E304" s="539"/>
      <c r="F304" s="535" t="s">
        <v>32</v>
      </c>
      <c r="G304" s="589">
        <f>Fecha_Base</f>
        <v>43579</v>
      </c>
      <c r="H304" s="533"/>
    </row>
    <row r="305" spans="1:8" ht="19.899999999999999" customHeight="1" x14ac:dyDescent="0.2">
      <c r="A305" s="590" t="s">
        <v>710</v>
      </c>
      <c r="B305" s="540" t="str">
        <f>Ubicación</f>
        <v>DEPARTAMENTOS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3</v>
      </c>
      <c r="C307" s="717" t="str">
        <f ca="1">IFERROR(VLOOKUP(B307,T_Computo_Presupuesto,2,FALSE),0)</f>
        <v>SEÑALAMIENTO VERTICAL</v>
      </c>
      <c r="D307" s="717"/>
      <c r="E307" s="717"/>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18" t="s">
        <v>576</v>
      </c>
      <c r="B327" s="719"/>
      <c r="C327" s="720" t="s">
        <v>0</v>
      </c>
      <c r="D327" s="728" t="s">
        <v>1866</v>
      </c>
      <c r="E327" s="728" t="s">
        <v>1865</v>
      </c>
      <c r="F327" s="724" t="s">
        <v>1007</v>
      </c>
      <c r="G327" s="726" t="s">
        <v>26</v>
      </c>
    </row>
    <row r="328" spans="1:7" ht="19.899999999999999" customHeight="1" x14ac:dyDescent="0.2">
      <c r="A328" s="560" t="s">
        <v>577</v>
      </c>
      <c r="B328" s="560" t="s">
        <v>578</v>
      </c>
      <c r="C328" s="721"/>
      <c r="D328" s="729"/>
      <c r="E328" s="723"/>
      <c r="F328" s="725"/>
      <c r="G328" s="727"/>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18" t="s">
        <v>576</v>
      </c>
      <c r="B341" s="719"/>
      <c r="C341" s="720" t="s">
        <v>0</v>
      </c>
      <c r="D341" s="722" t="s">
        <v>24</v>
      </c>
      <c r="E341" s="722" t="s">
        <v>1832</v>
      </c>
      <c r="F341" s="724" t="s">
        <v>1007</v>
      </c>
      <c r="G341" s="726" t="s">
        <v>26</v>
      </c>
    </row>
    <row r="342" spans="1:7" ht="19.899999999999999" customHeight="1" x14ac:dyDescent="0.2">
      <c r="A342" s="560" t="s">
        <v>577</v>
      </c>
      <c r="B342" s="560" t="s">
        <v>578</v>
      </c>
      <c r="C342" s="721"/>
      <c r="D342" s="723"/>
      <c r="E342" s="723"/>
      <c r="F342" s="725"/>
      <c r="G342" s="727"/>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18" t="s">
        <v>576</v>
      </c>
      <c r="B352" s="719"/>
      <c r="C352" s="720" t="s">
        <v>0</v>
      </c>
      <c r="D352" s="720" t="s">
        <v>1867</v>
      </c>
      <c r="E352" s="722" t="s">
        <v>24</v>
      </c>
      <c r="F352" s="724" t="s">
        <v>25</v>
      </c>
      <c r="G352" s="726" t="s">
        <v>26</v>
      </c>
    </row>
    <row r="353" spans="1:7" ht="19.899999999999999" customHeight="1" x14ac:dyDescent="0.2">
      <c r="A353" s="560" t="s">
        <v>577</v>
      </c>
      <c r="B353" s="560" t="s">
        <v>578</v>
      </c>
      <c r="C353" s="721"/>
      <c r="D353" s="721"/>
      <c r="E353" s="723"/>
      <c r="F353" s="725"/>
      <c r="G353" s="727"/>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18" t="s">
        <v>576</v>
      </c>
      <c r="B367" s="719"/>
      <c r="C367" s="720" t="s">
        <v>0</v>
      </c>
      <c r="D367" s="720" t="s">
        <v>1867</v>
      </c>
      <c r="E367" s="722" t="s">
        <v>24</v>
      </c>
      <c r="F367" s="724" t="s">
        <v>25</v>
      </c>
      <c r="G367" s="726" t="s">
        <v>26</v>
      </c>
    </row>
    <row r="368" spans="1:7" ht="19.899999999999999" customHeight="1" x14ac:dyDescent="0.2">
      <c r="A368" s="560" t="s">
        <v>577</v>
      </c>
      <c r="B368" s="560" t="s">
        <v>578</v>
      </c>
      <c r="C368" s="721"/>
      <c r="D368" s="721"/>
      <c r="E368" s="723"/>
      <c r="F368" s="725"/>
      <c r="G368" s="727"/>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3</v>
      </c>
      <c r="B373" s="661" t="str">
        <f ca="1">C307</f>
        <v>SEÑALAMIENTO VERTICAL</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0"/>
      <c r="B375" s="190"/>
      <c r="C375" s="190"/>
      <c r="D375" s="190"/>
      <c r="E375" s="190"/>
      <c r="F375" s="190"/>
      <c r="G375" s="190"/>
      <c r="H375" s="533"/>
    </row>
    <row r="376" spans="1:8" ht="19.899999999999999" customHeight="1" x14ac:dyDescent="0.2">
      <c r="A376" s="714" t="s">
        <v>31</v>
      </c>
      <c r="B376" s="715"/>
      <c r="C376" s="715"/>
      <c r="D376" s="715"/>
      <c r="E376" s="715"/>
      <c r="F376" s="715"/>
      <c r="G376" s="716"/>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SEÑALIZACION HORIZONTAL - PROVISION Y COLOCACION DE TACHAS REFLECTIVAS Y SEÑALAMIENTO VERTICAL</v>
      </c>
      <c r="C379" s="539"/>
      <c r="D379" s="539"/>
      <c r="E379" s="539"/>
      <c r="F379" s="535" t="s">
        <v>32</v>
      </c>
      <c r="G379" s="589">
        <f>Fecha_Base</f>
        <v>43579</v>
      </c>
    </row>
    <row r="380" spans="1:8" ht="19.899999999999999" customHeight="1" x14ac:dyDescent="0.2">
      <c r="A380" s="590" t="s">
        <v>710</v>
      </c>
      <c r="B380" s="540" t="str">
        <f>Ubicación</f>
        <v>DEPARTAMENTOS VARIOS</v>
      </c>
      <c r="C380" s="540"/>
      <c r="D380" s="541"/>
      <c r="E380" s="542"/>
      <c r="F380" s="543"/>
      <c r="G380" s="591"/>
    </row>
    <row r="381" spans="1:8" ht="19.899999999999999" customHeight="1" x14ac:dyDescent="0.2">
      <c r="A381" s="590" t="s">
        <v>33</v>
      </c>
      <c r="B381" s="544">
        <f>IFERROR(VALUE(LEFT(B382,FIND(".",B382)-1)),"")</f>
        <v>4</v>
      </c>
      <c r="C381" s="545" t="str">
        <f ca="1">IFERROR(VLOOKUP(B381,T_Computo_Presupuesto,2,FALSE),0)</f>
        <v>MOVILIDAD PARA EL PERSONAL AUXILIAR DE SUPERVISIÓN</v>
      </c>
      <c r="D381" s="545"/>
      <c r="E381" s="542"/>
      <c r="F381" s="543"/>
      <c r="G381" s="591"/>
    </row>
    <row r="382" spans="1:8" ht="19.899999999999999" customHeight="1" x14ac:dyDescent="0.2">
      <c r="A382" s="590" t="s">
        <v>22</v>
      </c>
      <c r="B382" s="546" t="str">
        <f>IFERROR(VLOOKUP(COUNTIF($A$1:A382,"ANALISIS DE PRECIOS"),T_NumeroItem,2,FALSE),"")</f>
        <v>4.a</v>
      </c>
      <c r="C382" s="717" t="str">
        <f ca="1">IFERROR(VLOOKUP(B382,T_Computo_Presupuesto,2,FALSE),0)</f>
        <v>Cuota Fija</v>
      </c>
      <c r="D382" s="717"/>
      <c r="E382" s="717"/>
      <c r="F382" s="540" t="s">
        <v>23</v>
      </c>
      <c r="G382" s="592" t="str">
        <f ca="1">IFERROR(VLOOKUP(B382,T_Computo_Presupuesto,4,FALSE),0)</f>
        <v>Mes</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Mes/día</v>
      </c>
      <c r="F400" s="598"/>
      <c r="G400" s="592"/>
    </row>
    <row r="401" spans="1:7" ht="19.899999999999999" customHeight="1" x14ac:dyDescent="0.2">
      <c r="A401" s="590"/>
      <c r="B401" s="549"/>
      <c r="C401" s="545"/>
      <c r="D401" s="541"/>
      <c r="E401" s="542"/>
      <c r="F401" s="540"/>
      <c r="G401" s="592"/>
    </row>
    <row r="402" spans="1:7" ht="19.899999999999999" customHeight="1" x14ac:dyDescent="0.2">
      <c r="A402" s="718" t="s">
        <v>576</v>
      </c>
      <c r="B402" s="719"/>
      <c r="C402" s="720" t="s">
        <v>0</v>
      </c>
      <c r="D402" s="728" t="s">
        <v>1866</v>
      </c>
      <c r="E402" s="728" t="s">
        <v>1865</v>
      </c>
      <c r="F402" s="724" t="s">
        <v>1007</v>
      </c>
      <c r="G402" s="726" t="s">
        <v>26</v>
      </c>
    </row>
    <row r="403" spans="1:7" ht="19.899999999999999" customHeight="1" x14ac:dyDescent="0.2">
      <c r="A403" s="560" t="s">
        <v>577</v>
      </c>
      <c r="B403" s="560" t="s">
        <v>578</v>
      </c>
      <c r="C403" s="721"/>
      <c r="D403" s="729"/>
      <c r="E403" s="723"/>
      <c r="F403" s="725"/>
      <c r="G403" s="727"/>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18" t="s">
        <v>576</v>
      </c>
      <c r="B416" s="719"/>
      <c r="C416" s="720" t="s">
        <v>0</v>
      </c>
      <c r="D416" s="722" t="s">
        <v>24</v>
      </c>
      <c r="E416" s="722" t="s">
        <v>1832</v>
      </c>
      <c r="F416" s="724" t="s">
        <v>1007</v>
      </c>
      <c r="G416" s="726" t="s">
        <v>26</v>
      </c>
    </row>
    <row r="417" spans="1:7" ht="19.899999999999999" customHeight="1" x14ac:dyDescent="0.2">
      <c r="A417" s="560" t="s">
        <v>577</v>
      </c>
      <c r="B417" s="560" t="s">
        <v>578</v>
      </c>
      <c r="C417" s="721"/>
      <c r="D417" s="723"/>
      <c r="E417" s="723"/>
      <c r="F417" s="725"/>
      <c r="G417" s="727"/>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18" t="s">
        <v>576</v>
      </c>
      <c r="B427" s="719"/>
      <c r="C427" s="720" t="s">
        <v>0</v>
      </c>
      <c r="D427" s="720" t="s">
        <v>1867</v>
      </c>
      <c r="E427" s="722" t="s">
        <v>24</v>
      </c>
      <c r="F427" s="724" t="s">
        <v>25</v>
      </c>
      <c r="G427" s="726" t="s">
        <v>26</v>
      </c>
    </row>
    <row r="428" spans="1:7" ht="19.899999999999999" customHeight="1" x14ac:dyDescent="0.2">
      <c r="A428" s="560" t="s">
        <v>577</v>
      </c>
      <c r="B428" s="560" t="s">
        <v>578</v>
      </c>
      <c r="C428" s="721"/>
      <c r="D428" s="721"/>
      <c r="E428" s="723"/>
      <c r="F428" s="725"/>
      <c r="G428" s="727"/>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18" t="s">
        <v>576</v>
      </c>
      <c r="B442" s="719"/>
      <c r="C442" s="720" t="s">
        <v>0</v>
      </c>
      <c r="D442" s="720" t="s">
        <v>1867</v>
      </c>
      <c r="E442" s="722" t="s">
        <v>24</v>
      </c>
      <c r="F442" s="724" t="s">
        <v>25</v>
      </c>
      <c r="G442" s="726" t="s">
        <v>26</v>
      </c>
    </row>
    <row r="443" spans="1:7" ht="19.899999999999999" customHeight="1" x14ac:dyDescent="0.2">
      <c r="A443" s="560" t="s">
        <v>577</v>
      </c>
      <c r="B443" s="560" t="s">
        <v>578</v>
      </c>
      <c r="C443" s="721"/>
      <c r="D443" s="721"/>
      <c r="E443" s="723"/>
      <c r="F443" s="725"/>
      <c r="G443" s="727"/>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4.a</v>
      </c>
      <c r="B448" s="661" t="str">
        <f ca="1">C382</f>
        <v>Cuota Fija</v>
      </c>
      <c r="C448" s="541"/>
      <c r="D448" s="541" t="s">
        <v>1833</v>
      </c>
      <c r="E448" s="662"/>
      <c r="F448" s="663" t="str">
        <f ca="1">"$/"&amp;G382</f>
        <v>$/Mes</v>
      </c>
      <c r="G448" s="610">
        <f>SUBTOTAL(9,G405:G447)</f>
        <v>0</v>
      </c>
    </row>
    <row r="449" spans="1:7" ht="19.899999999999999" customHeight="1" x14ac:dyDescent="0.2">
      <c r="A449" s="606"/>
      <c r="B449" s="607"/>
      <c r="C449" s="608"/>
      <c r="D449" s="608" t="s">
        <v>2043</v>
      </c>
      <c r="E449" s="609"/>
      <c r="F449" s="665" t="str">
        <f ca="1">"$/"&amp;G382</f>
        <v>$/Mes</v>
      </c>
      <c r="G449" s="610">
        <f>ROUND(G448/Coeficiente_Paso,2)</f>
        <v>0</v>
      </c>
    </row>
    <row r="450" spans="1:7" ht="19.899999999999999" customHeight="1" x14ac:dyDescent="0.2">
      <c r="A450" s="190"/>
      <c r="B450" s="190"/>
      <c r="C450" s="190"/>
      <c r="D450" s="190"/>
      <c r="E450" s="190"/>
      <c r="F450" s="190"/>
      <c r="G450" s="190"/>
    </row>
    <row r="451" spans="1:7" ht="19.899999999999999" customHeight="1" x14ac:dyDescent="0.2">
      <c r="A451" s="714" t="s">
        <v>31</v>
      </c>
      <c r="B451" s="715"/>
      <c r="C451" s="715"/>
      <c r="D451" s="715"/>
      <c r="E451" s="715"/>
      <c r="F451" s="715"/>
      <c r="G451" s="716"/>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SEÑALIZACION HORIZONTAL - PROVISION Y COLOCACION DE TACHAS REFLECTIVAS Y SEÑALAMIENTO VERTICAL</v>
      </c>
      <c r="C454" s="539"/>
      <c r="D454" s="539"/>
      <c r="E454" s="539"/>
      <c r="F454" s="535" t="s">
        <v>32</v>
      </c>
      <c r="G454" s="589">
        <f>Fecha_Base</f>
        <v>43579</v>
      </c>
    </row>
    <row r="455" spans="1:7" ht="19.899999999999999" customHeight="1" x14ac:dyDescent="0.2">
      <c r="A455" s="590" t="s">
        <v>710</v>
      </c>
      <c r="B455" s="540" t="str">
        <f>Ubicación</f>
        <v>DEPARTAMENTOS VARIOS</v>
      </c>
      <c r="C455" s="540"/>
      <c r="D455" s="541"/>
      <c r="E455" s="542"/>
      <c r="F455" s="543"/>
      <c r="G455" s="591"/>
    </row>
    <row r="456" spans="1:7" ht="19.899999999999999" customHeight="1" x14ac:dyDescent="0.2">
      <c r="A456" s="590" t="s">
        <v>33</v>
      </c>
      <c r="B456" s="544">
        <f>IFERROR(VALUE(LEFT(B457,FIND(".",B457)-1)),"")</f>
        <v>4</v>
      </c>
      <c r="C456" s="545" t="str">
        <f ca="1">IFERROR(VLOOKUP(B456,T_Computo_Presupuesto,2,FALSE),0)</f>
        <v>MOVILIDAD PARA EL PERSONAL AUXILIAR DE SUPERVISIÓN</v>
      </c>
      <c r="D456" s="545"/>
      <c r="E456" s="542"/>
      <c r="F456" s="543"/>
      <c r="G456" s="591"/>
    </row>
    <row r="457" spans="1:7" ht="19.899999999999999" customHeight="1" x14ac:dyDescent="0.2">
      <c r="A457" s="590" t="s">
        <v>22</v>
      </c>
      <c r="B457" s="546" t="str">
        <f>IFERROR(VLOOKUP(COUNTIF($A$1:A457,"ANALISIS DE PRECIOS"),T_NumeroItem,2,FALSE),"")</f>
        <v>4.b</v>
      </c>
      <c r="C457" s="717" t="str">
        <f ca="1">IFERROR(VLOOKUP(B457,T_Computo_Presupuesto,2,FALSE),0)</f>
        <v>Cuota Adicional</v>
      </c>
      <c r="D457" s="717"/>
      <c r="E457" s="717"/>
      <c r="F457" s="540" t="s">
        <v>23</v>
      </c>
      <c r="G457" s="592" t="str">
        <f ca="1">IFERROR(VLOOKUP(B457,T_Computo_Presupuesto,4,FALSE),0)</f>
        <v>Km</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Km/día</v>
      </c>
      <c r="F475" s="598"/>
      <c r="G475" s="592"/>
    </row>
    <row r="476" spans="1:7" ht="19.899999999999999" customHeight="1" x14ac:dyDescent="0.2">
      <c r="A476" s="590"/>
      <c r="B476" s="549"/>
      <c r="C476" s="545"/>
      <c r="D476" s="541"/>
      <c r="E476" s="542"/>
      <c r="F476" s="540"/>
      <c r="G476" s="592"/>
    </row>
    <row r="477" spans="1:7" ht="19.899999999999999" customHeight="1" x14ac:dyDescent="0.2">
      <c r="A477" s="718" t="s">
        <v>576</v>
      </c>
      <c r="B477" s="719"/>
      <c r="C477" s="720" t="s">
        <v>0</v>
      </c>
      <c r="D477" s="728" t="s">
        <v>1866</v>
      </c>
      <c r="E477" s="728" t="s">
        <v>1865</v>
      </c>
      <c r="F477" s="724" t="s">
        <v>1007</v>
      </c>
      <c r="G477" s="726" t="s">
        <v>26</v>
      </c>
    </row>
    <row r="478" spans="1:7" ht="19.899999999999999" customHeight="1" x14ac:dyDescent="0.2">
      <c r="A478" s="560" t="s">
        <v>577</v>
      </c>
      <c r="B478" s="560" t="s">
        <v>578</v>
      </c>
      <c r="C478" s="721"/>
      <c r="D478" s="729"/>
      <c r="E478" s="723"/>
      <c r="F478" s="725"/>
      <c r="G478" s="727"/>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18" t="s">
        <v>576</v>
      </c>
      <c r="B491" s="719"/>
      <c r="C491" s="720" t="s">
        <v>0</v>
      </c>
      <c r="D491" s="722" t="s">
        <v>24</v>
      </c>
      <c r="E491" s="722" t="s">
        <v>1832</v>
      </c>
      <c r="F491" s="724" t="s">
        <v>1007</v>
      </c>
      <c r="G491" s="726" t="s">
        <v>26</v>
      </c>
    </row>
    <row r="492" spans="1:7" ht="19.899999999999999" customHeight="1" x14ac:dyDescent="0.2">
      <c r="A492" s="560" t="s">
        <v>577</v>
      </c>
      <c r="B492" s="560" t="s">
        <v>578</v>
      </c>
      <c r="C492" s="721"/>
      <c r="D492" s="723"/>
      <c r="E492" s="723"/>
      <c r="F492" s="725"/>
      <c r="G492" s="727"/>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18" t="s">
        <v>576</v>
      </c>
      <c r="B502" s="719"/>
      <c r="C502" s="720" t="s">
        <v>0</v>
      </c>
      <c r="D502" s="720" t="s">
        <v>1867</v>
      </c>
      <c r="E502" s="722" t="s">
        <v>24</v>
      </c>
      <c r="F502" s="724" t="s">
        <v>25</v>
      </c>
      <c r="G502" s="726" t="s">
        <v>26</v>
      </c>
    </row>
    <row r="503" spans="1:7" ht="19.899999999999999" customHeight="1" x14ac:dyDescent="0.2">
      <c r="A503" s="560" t="s">
        <v>577</v>
      </c>
      <c r="B503" s="560" t="s">
        <v>578</v>
      </c>
      <c r="C503" s="721"/>
      <c r="D503" s="721"/>
      <c r="E503" s="723"/>
      <c r="F503" s="725"/>
      <c r="G503" s="727"/>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18" t="s">
        <v>576</v>
      </c>
      <c r="B517" s="719"/>
      <c r="C517" s="720" t="s">
        <v>0</v>
      </c>
      <c r="D517" s="720" t="s">
        <v>1867</v>
      </c>
      <c r="E517" s="722" t="s">
        <v>24</v>
      </c>
      <c r="F517" s="724" t="s">
        <v>25</v>
      </c>
      <c r="G517" s="726" t="s">
        <v>26</v>
      </c>
    </row>
    <row r="518" spans="1:7" ht="19.899999999999999" customHeight="1" x14ac:dyDescent="0.2">
      <c r="A518" s="560" t="s">
        <v>577</v>
      </c>
      <c r="B518" s="560" t="s">
        <v>578</v>
      </c>
      <c r="C518" s="721"/>
      <c r="D518" s="721"/>
      <c r="E518" s="723"/>
      <c r="F518" s="725"/>
      <c r="G518" s="727"/>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4.b</v>
      </c>
      <c r="B523" s="661" t="str">
        <f ca="1">C457</f>
        <v>Cuota Adicional</v>
      </c>
      <c r="C523" s="541"/>
      <c r="D523" s="541" t="s">
        <v>1833</v>
      </c>
      <c r="E523" s="662"/>
      <c r="F523" s="663" t="str">
        <f ca="1">"$/"&amp;G457</f>
        <v>$/Km</v>
      </c>
      <c r="G523" s="610">
        <f>SUBTOTAL(9,G480:G522)</f>
        <v>0</v>
      </c>
    </row>
    <row r="524" spans="1:7" ht="19.899999999999999" customHeight="1" x14ac:dyDescent="0.2">
      <c r="A524" s="606"/>
      <c r="B524" s="607"/>
      <c r="C524" s="608"/>
      <c r="D524" s="608" t="s">
        <v>2043</v>
      </c>
      <c r="E524" s="609"/>
      <c r="F524" s="665" t="str">
        <f ca="1">"$/"&amp;G457</f>
        <v>$/Km</v>
      </c>
      <c r="G524" s="610">
        <f>ROUND(G523/Coeficiente_Paso,2)</f>
        <v>0</v>
      </c>
    </row>
    <row r="525" spans="1:7" ht="19.899999999999999" customHeight="1" x14ac:dyDescent="0.2">
      <c r="A525" s="190"/>
      <c r="B525" s="190"/>
      <c r="C525" s="190"/>
      <c r="D525" s="190"/>
      <c r="E525" s="190"/>
      <c r="F525" s="190"/>
      <c r="G525" s="190"/>
    </row>
  </sheetData>
  <sheetProtection insertRows="0" deleteRows="0"/>
  <mergeCells count="182">
    <mergeCell ref="F477:F478"/>
    <mergeCell ref="G477:G478"/>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C266:C267"/>
    <mergeCell ref="D266:D267"/>
    <mergeCell ref="E266:E267"/>
    <mergeCell ref="F266:F267"/>
    <mergeCell ref="G266:G267"/>
    <mergeCell ref="A277:B277"/>
    <mergeCell ref="C277:C278"/>
    <mergeCell ref="D277:D278"/>
    <mergeCell ref="E277:E278"/>
    <mergeCell ref="F277:F278"/>
    <mergeCell ref="G277:G278"/>
    <mergeCell ref="A376:G376"/>
    <mergeCell ref="C382:E382"/>
    <mergeCell ref="A327:B327"/>
    <mergeCell ref="C327:C328"/>
    <mergeCell ref="D327:D328"/>
    <mergeCell ref="E327:E328"/>
    <mergeCell ref="C142:C143"/>
    <mergeCell ref="D142:D143"/>
    <mergeCell ref="E142:E143"/>
    <mergeCell ref="F142:F143"/>
    <mergeCell ref="G142:G143"/>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127:B127"/>
    <mergeCell ref="D177:D178"/>
    <mergeCell ref="E177:E178"/>
    <mergeCell ref="F177:F178"/>
    <mergeCell ref="G177:G178"/>
    <mergeCell ref="C127:C128"/>
    <mergeCell ref="D127:D128"/>
    <mergeCell ref="E127:E128"/>
    <mergeCell ref="F127:F128"/>
    <mergeCell ref="G127:G128"/>
    <mergeCell ref="A142:B142"/>
    <mergeCell ref="D102:D103"/>
    <mergeCell ref="E102:E103"/>
    <mergeCell ref="F102:F103"/>
    <mergeCell ref="G102:G103"/>
    <mergeCell ref="A116:B116"/>
    <mergeCell ref="C116:C117"/>
    <mergeCell ref="D116:D117"/>
    <mergeCell ref="E116:E117"/>
    <mergeCell ref="F116:F117"/>
    <mergeCell ref="G116:G117"/>
    <mergeCell ref="F327:F328"/>
    <mergeCell ref="G327:G32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51:G151"/>
    <mergeCell ref="A76:G76"/>
    <mergeCell ref="C82:E82"/>
    <mergeCell ref="A52:B52"/>
    <mergeCell ref="C52:C53"/>
    <mergeCell ref="D52:D53"/>
    <mergeCell ref="E52:E53"/>
    <mergeCell ref="F52:F53"/>
    <mergeCell ref="A102:B102"/>
    <mergeCell ref="A202:B202"/>
    <mergeCell ref="C202:C203"/>
    <mergeCell ref="D202:D203"/>
    <mergeCell ref="E202:E203"/>
    <mergeCell ref="F202:F203"/>
    <mergeCell ref="G202:G203"/>
    <mergeCell ref="C157:E157"/>
    <mergeCell ref="A177:B177"/>
    <mergeCell ref="C177:C178"/>
    <mergeCell ref="A191:B191"/>
    <mergeCell ref="C191:C192"/>
    <mergeCell ref="D191:D192"/>
    <mergeCell ref="E191:E192"/>
    <mergeCell ref="F191:F192"/>
    <mergeCell ref="G191:G192"/>
    <mergeCell ref="C102:C10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2"/>
  <sheetViews>
    <sheetView showZeros="0" view="pageBreakPreview" zoomScaleNormal="100" zoomScaleSheetLayoutView="100" workbookViewId="0">
      <selection activeCell="C21" sqref="C2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1" customWidth="1"/>
    <col min="40" max="88" width="11.42578125" style="91"/>
    <col min="89" max="16384" width="11.42578125" style="9"/>
  </cols>
  <sheetData>
    <row r="1" spans="1:88" s="5" customFormat="1" ht="20.100000000000001" customHeight="1" x14ac:dyDescent="0.2">
      <c r="A1" s="3" t="s">
        <v>8</v>
      </c>
      <c r="B1" s="3"/>
      <c r="C1" s="3" t="str">
        <f>Comitente</f>
        <v>DIRECCIÓN PROVINCIAL DE VIALIDAD</v>
      </c>
      <c r="D1" s="4"/>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row>
    <row r="2" spans="1:88" s="6" customFormat="1" ht="20.100000000000001" customHeight="1" x14ac:dyDescent="0.2">
      <c r="A2" s="13" t="s">
        <v>9</v>
      </c>
      <c r="B2" s="13"/>
      <c r="C2" s="13" t="str">
        <f>Obra</f>
        <v>SEÑALIZACION HORIZONTAL - PROVISION Y COLOCACION DE TACHAS REFLECTIVAS Y SEÑALAMIENTO VERTICAL</v>
      </c>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row>
    <row r="3" spans="1:88" s="6" customFormat="1" ht="20.100000000000001" customHeight="1" x14ac:dyDescent="0.2">
      <c r="A3" s="13" t="s">
        <v>13</v>
      </c>
      <c r="B3" s="13"/>
      <c r="C3" s="13" t="str">
        <f>Ubicación</f>
        <v>DEPARTAMENTOS VARIOS</v>
      </c>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row>
    <row r="4" spans="1:88" s="6" customFormat="1" ht="20.100000000000001" customHeight="1" x14ac:dyDescent="0.2">
      <c r="A4" s="13" t="s">
        <v>12</v>
      </c>
      <c r="B4" s="14"/>
      <c r="C4" s="68" t="str">
        <f>Licitación_N°</f>
        <v>5-2019</v>
      </c>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88" s="6" customFormat="1" ht="20.100000000000001" customHeight="1" x14ac:dyDescent="0.2">
      <c r="A5" s="13" t="s">
        <v>14</v>
      </c>
      <c r="B5" s="14"/>
      <c r="C5" s="69" t="str">
        <f>Plazo_Obra</f>
        <v>180 DIAS</v>
      </c>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row>
    <row r="6" spans="1:88" s="6" customFormat="1" ht="20.100000000000001" customHeight="1" x14ac:dyDescent="0.2">
      <c r="A6" s="13" t="s">
        <v>10</v>
      </c>
      <c r="B6" s="13"/>
      <c r="C6" s="13">
        <f>Contratista</f>
        <v>0</v>
      </c>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row>
    <row r="7" spans="1:88" s="2" customFormat="1" ht="20.100000000000001" customHeight="1" x14ac:dyDescent="0.2">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row>
    <row r="8" spans="1:88" s="2" customFormat="1" ht="20.100000000000001" customHeight="1" x14ac:dyDescent="0.2">
      <c r="A8" s="730" t="s">
        <v>39</v>
      </c>
      <c r="B8" s="731"/>
      <c r="C8" s="731"/>
      <c r="D8" s="732"/>
      <c r="E8" s="8"/>
      <c r="F8" s="8"/>
      <c r="G8" s="8"/>
      <c r="H8" s="8"/>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row>
    <row r="10" spans="1:88" ht="20.100000000000001" customHeight="1" x14ac:dyDescent="0.2">
      <c r="A10" s="704" t="s">
        <v>894</v>
      </c>
      <c r="B10" s="733" t="s">
        <v>0</v>
      </c>
      <c r="C10" s="733"/>
      <c r="D10" s="735" t="s">
        <v>11</v>
      </c>
      <c r="E10" s="47"/>
      <c r="F10" s="733" t="s">
        <v>17</v>
      </c>
      <c r="G10" s="733"/>
      <c r="H10" s="733"/>
      <c r="I10" s="733"/>
      <c r="J10" s="733"/>
      <c r="K10" s="733"/>
      <c r="L10" s="733"/>
      <c r="M10" s="733"/>
      <c r="N10" s="733"/>
      <c r="O10" s="733"/>
      <c r="P10" s="733"/>
      <c r="Q10" s="733"/>
      <c r="R10" s="21"/>
      <c r="S10" s="734" t="s">
        <v>16</v>
      </c>
    </row>
    <row r="11" spans="1:88" ht="20.100000000000001" customHeight="1" x14ac:dyDescent="0.2">
      <c r="A11" s="704"/>
      <c r="B11" s="733"/>
      <c r="C11" s="733"/>
      <c r="D11" s="735"/>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734"/>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2">
        <f ca="1">INDIRECT("Datos!B"&amp;MATCH("RUBRO ITEM",Datos!B:B,0)+ROW()-MATCH("RUBRO ITEM",A:A,0)-1)</f>
        <v>1</v>
      </c>
      <c r="B13" s="33" t="str">
        <f t="shared" ref="B13:B22" ca="1" si="1">IFERROR(VLOOKUP(A13,T_Computo_Presupuesto,2,FALSE),"")</f>
        <v>SEÑALIZACION HORIZONTAL</v>
      </c>
      <c r="C13" s="34"/>
      <c r="D13" s="15">
        <f t="shared" ref="D13:D22" ca="1" si="2">IFERROR(VLOOKUP(A13,T_Computo_Presupuesto,9,FALSE),0)</f>
        <v>0</v>
      </c>
      <c r="E13" s="36"/>
      <c r="F13" s="514">
        <v>0.1</v>
      </c>
      <c r="G13" s="514">
        <v>0.1</v>
      </c>
      <c r="H13" s="514">
        <v>0.2</v>
      </c>
      <c r="I13" s="514">
        <v>0.2</v>
      </c>
      <c r="J13" s="514">
        <v>0.2</v>
      </c>
      <c r="K13" s="514">
        <v>0.2</v>
      </c>
      <c r="L13" s="514"/>
      <c r="M13" s="514"/>
      <c r="N13" s="514"/>
      <c r="O13" s="514"/>
      <c r="P13" s="514"/>
      <c r="Q13" s="514"/>
      <c r="R13" s="23"/>
      <c r="S13" s="24">
        <f t="shared" ref="S13:S22" si="3">SUM(F13:Q13)</f>
        <v>1</v>
      </c>
    </row>
    <row r="14" spans="1:88" ht="20.100000000000001" customHeight="1" x14ac:dyDescent="0.2">
      <c r="A14" s="182" t="str">
        <f ca="1">INDIRECT("Datos!B"&amp;MATCH("RUBRO ITEM",Datos!B:B,0)+ROW()-MATCH("RUBRO ITEM",A:A,0)-1)</f>
        <v>1.a</v>
      </c>
      <c r="B14" s="33" t="str">
        <f t="shared" ca="1" si="1"/>
        <v>CON MATERIAL TERMOPLASTICO REFLECTANTE</v>
      </c>
      <c r="C14" s="34"/>
      <c r="D14" s="15">
        <f t="shared" ca="1" si="2"/>
        <v>0</v>
      </c>
      <c r="E14" s="48"/>
      <c r="F14" s="514"/>
      <c r="G14" s="514">
        <v>0.15</v>
      </c>
      <c r="H14" s="514">
        <v>0.15</v>
      </c>
      <c r="I14" s="514">
        <v>0.15</v>
      </c>
      <c r="J14" s="514">
        <v>0.15</v>
      </c>
      <c r="K14" s="514">
        <v>0.15</v>
      </c>
      <c r="L14" s="514">
        <v>0.15</v>
      </c>
      <c r="M14" s="514">
        <v>0.1</v>
      </c>
      <c r="N14" s="515"/>
      <c r="O14" s="515"/>
      <c r="P14" s="515"/>
      <c r="Q14" s="515"/>
      <c r="R14" s="25"/>
      <c r="S14" s="24">
        <f t="shared" si="3"/>
        <v>1</v>
      </c>
    </row>
    <row r="15" spans="1:88" ht="20.100000000000001" customHeight="1" x14ac:dyDescent="0.2">
      <c r="A15" s="182" t="str">
        <f ca="1">INDIRECT("Datos!B"&amp;MATCH("RUBRO ITEM",Datos!B:B,0)+ROW()-MATCH("RUBRO ITEM",A:A,0)-1)</f>
        <v>1.a.1</v>
      </c>
      <c r="B15" s="33" t="str">
        <f t="shared" ca="1" si="1"/>
        <v>Por Pulverización</v>
      </c>
      <c r="C15" s="34"/>
      <c r="D15" s="15">
        <f t="shared" ca="1" si="2"/>
        <v>0</v>
      </c>
      <c r="E15" s="48"/>
      <c r="F15" s="514"/>
      <c r="G15" s="514"/>
      <c r="H15" s="514">
        <v>0.15</v>
      </c>
      <c r="I15" s="514">
        <v>0.15</v>
      </c>
      <c r="J15" s="514">
        <v>0.15</v>
      </c>
      <c r="K15" s="514">
        <v>0.15</v>
      </c>
      <c r="L15" s="514">
        <v>0.15</v>
      </c>
      <c r="M15" s="514">
        <v>0.15</v>
      </c>
      <c r="N15" s="514">
        <v>0.1</v>
      </c>
      <c r="O15" s="515"/>
      <c r="P15" s="515"/>
      <c r="Q15" s="515"/>
      <c r="R15" s="25"/>
      <c r="S15" s="24">
        <f t="shared" si="3"/>
        <v>1</v>
      </c>
    </row>
    <row r="16" spans="1:88" ht="20.100000000000001" customHeight="1" x14ac:dyDescent="0.2">
      <c r="A16" s="182" t="str">
        <f ca="1">INDIRECT("Datos!B"&amp;MATCH("RUBRO ITEM",Datos!B:B,0)+ROW()-MATCH("RUBRO ITEM",A:A,0)-1)</f>
        <v>1.a.2</v>
      </c>
      <c r="B16" s="33" t="str">
        <f t="shared" ca="1" si="1"/>
        <v>Por Extrusión</v>
      </c>
      <c r="C16" s="34"/>
      <c r="D16" s="15">
        <f t="shared" ca="1" si="2"/>
        <v>0</v>
      </c>
      <c r="E16" s="48"/>
      <c r="F16" s="514"/>
      <c r="G16" s="514"/>
      <c r="H16" s="514">
        <v>0.15</v>
      </c>
      <c r="I16" s="514">
        <v>0.15</v>
      </c>
      <c r="J16" s="514">
        <v>0.15</v>
      </c>
      <c r="K16" s="514">
        <v>0.15</v>
      </c>
      <c r="L16" s="514">
        <v>0.15</v>
      </c>
      <c r="M16" s="514">
        <v>0.15</v>
      </c>
      <c r="N16" s="514">
        <v>0.1</v>
      </c>
      <c r="O16" s="515"/>
      <c r="P16" s="515"/>
      <c r="Q16" s="515"/>
      <c r="R16" s="25"/>
      <c r="S16" s="24">
        <f t="shared" si="3"/>
        <v>1</v>
      </c>
    </row>
    <row r="17" spans="1:88" ht="20.100000000000001" customHeight="1" x14ac:dyDescent="0.2">
      <c r="A17" s="182" t="str">
        <f ca="1">INDIRECT("Datos!B"&amp;MATCH("RUBRO ITEM",Datos!B:B,0)+ROW()-MATCH("RUBRO ITEM",A:A,0)-1)</f>
        <v>1.b</v>
      </c>
      <c r="B17" s="33" t="str">
        <f t="shared" ca="1" si="1"/>
        <v>CON PINTURA ACRILICA PARA PARA PAVIMENTOS APLICADA A TEMPERATURA AMBIENTE CON EQUIPO MECÁNICO</v>
      </c>
      <c r="C17" s="34"/>
      <c r="D17" s="15">
        <f t="shared" ca="1" si="2"/>
        <v>0</v>
      </c>
      <c r="E17" s="48"/>
      <c r="F17" s="514"/>
      <c r="G17" s="514"/>
      <c r="H17" s="514"/>
      <c r="I17" s="514"/>
      <c r="J17" s="514"/>
      <c r="K17" s="514"/>
      <c r="L17" s="514">
        <v>0.4</v>
      </c>
      <c r="M17" s="514">
        <v>0.3</v>
      </c>
      <c r="N17" s="515">
        <v>0.3</v>
      </c>
      <c r="O17" s="515"/>
      <c r="P17" s="515"/>
      <c r="Q17" s="515"/>
      <c r="R17" s="25"/>
      <c r="S17" s="24">
        <f t="shared" si="3"/>
        <v>1</v>
      </c>
    </row>
    <row r="18" spans="1:88" ht="20.100000000000001" customHeight="1" x14ac:dyDescent="0.2">
      <c r="A18" s="182">
        <f ca="1">INDIRECT("Datos!B"&amp;MATCH("RUBRO ITEM",Datos!B:B,0)+ROW()-MATCH("RUBRO ITEM",A:A,0)-1)</f>
        <v>2</v>
      </c>
      <c r="B18" s="33" t="str">
        <f t="shared" ca="1" si="1"/>
        <v>PROVISION Y COLOCACION DE TACHAS REFLECTIVAS</v>
      </c>
      <c r="C18" s="34"/>
      <c r="D18" s="15">
        <f t="shared" ca="1" si="2"/>
        <v>0</v>
      </c>
      <c r="E18" s="48"/>
      <c r="F18" s="514"/>
      <c r="G18" s="514"/>
      <c r="H18" s="514">
        <v>0.15</v>
      </c>
      <c r="I18" s="514">
        <v>0.15</v>
      </c>
      <c r="J18" s="514">
        <v>0.15</v>
      </c>
      <c r="K18" s="514">
        <v>0.15</v>
      </c>
      <c r="L18" s="514">
        <v>0.15</v>
      </c>
      <c r="M18" s="514">
        <v>0.15</v>
      </c>
      <c r="N18" s="514">
        <v>0.1</v>
      </c>
      <c r="O18" s="515"/>
      <c r="P18" s="515"/>
      <c r="Q18" s="515"/>
      <c r="R18" s="25"/>
      <c r="S18" s="24">
        <f t="shared" si="3"/>
        <v>1</v>
      </c>
    </row>
    <row r="19" spans="1:88" ht="20.100000000000001" customHeight="1" x14ac:dyDescent="0.2">
      <c r="A19" s="182">
        <f ca="1">INDIRECT("Datos!B"&amp;MATCH("RUBRO ITEM",Datos!B:B,0)+ROW()-MATCH("RUBRO ITEM",A:A,0)-1)</f>
        <v>3</v>
      </c>
      <c r="B19" s="33" t="str">
        <f t="shared" ca="1" si="1"/>
        <v>SEÑALAMIENTO VERTICAL</v>
      </c>
      <c r="C19" s="34"/>
      <c r="D19" s="15">
        <f t="shared" ca="1" si="2"/>
        <v>0</v>
      </c>
      <c r="E19" s="48"/>
      <c r="F19" s="514"/>
      <c r="G19" s="514">
        <v>0.1</v>
      </c>
      <c r="H19" s="514">
        <v>0.1</v>
      </c>
      <c r="I19" s="514">
        <v>0.1</v>
      </c>
      <c r="J19" s="514">
        <v>0.1</v>
      </c>
      <c r="K19" s="514">
        <v>0.1</v>
      </c>
      <c r="L19" s="514">
        <v>0.1</v>
      </c>
      <c r="M19" s="514">
        <v>0.1</v>
      </c>
      <c r="N19" s="514">
        <v>0.1</v>
      </c>
      <c r="O19" s="514">
        <v>0.1</v>
      </c>
      <c r="P19" s="515">
        <v>0.1</v>
      </c>
      <c r="Q19" s="515"/>
      <c r="R19" s="25"/>
      <c r="S19" s="24">
        <f t="shared" si="3"/>
        <v>0.99999999999999989</v>
      </c>
    </row>
    <row r="20" spans="1:88" ht="20.100000000000001" customHeight="1" x14ac:dyDescent="0.2">
      <c r="A20" s="182">
        <f ca="1">INDIRECT("Datos!B"&amp;MATCH("RUBRO ITEM",Datos!B:B,0)+ROW()-MATCH("RUBRO ITEM",A:A,0)-1)</f>
        <v>4</v>
      </c>
      <c r="B20" s="33" t="str">
        <f t="shared" ca="1" si="1"/>
        <v>MOVILIDAD PARA EL PERSONAL AUXILIAR DE SUPERVISIÓN</v>
      </c>
      <c r="C20" s="34"/>
      <c r="D20" s="15">
        <f t="shared" ca="1" si="2"/>
        <v>0</v>
      </c>
      <c r="E20" s="48"/>
      <c r="F20" s="514"/>
      <c r="G20" s="514">
        <v>0.1</v>
      </c>
      <c r="H20" s="514">
        <v>0.1</v>
      </c>
      <c r="I20" s="514">
        <v>0.1</v>
      </c>
      <c r="J20" s="514">
        <v>0.1</v>
      </c>
      <c r="K20" s="514">
        <v>0.1</v>
      </c>
      <c r="L20" s="514">
        <v>0.1</v>
      </c>
      <c r="M20" s="514">
        <v>0.1</v>
      </c>
      <c r="N20" s="514">
        <v>0.1</v>
      </c>
      <c r="O20" s="514">
        <v>0.1</v>
      </c>
      <c r="P20" s="515">
        <v>0.1</v>
      </c>
      <c r="Q20" s="515"/>
      <c r="R20" s="25"/>
      <c r="S20" s="24">
        <f t="shared" si="3"/>
        <v>0.99999999999999989</v>
      </c>
    </row>
    <row r="21" spans="1:88" ht="20.100000000000001" customHeight="1" x14ac:dyDescent="0.2">
      <c r="A21" s="182" t="str">
        <f ca="1">INDIRECT("Datos!B"&amp;MATCH("RUBRO ITEM",Datos!B:B,0)+ROW()-MATCH("RUBRO ITEM",A:A,0)-1)</f>
        <v>4.a</v>
      </c>
      <c r="B21" s="33" t="str">
        <f t="shared" ca="1" si="1"/>
        <v>Cuota Fija</v>
      </c>
      <c r="C21" s="34"/>
      <c r="D21" s="15">
        <f t="shared" ca="1" si="2"/>
        <v>0</v>
      </c>
      <c r="E21" s="48"/>
      <c r="F21" s="514"/>
      <c r="G21" s="514"/>
      <c r="H21" s="514"/>
      <c r="I21" s="514"/>
      <c r="J21" s="514"/>
      <c r="K21" s="514"/>
      <c r="L21" s="514">
        <v>0.25</v>
      </c>
      <c r="M21" s="514">
        <v>0.25</v>
      </c>
      <c r="N21" s="515">
        <v>0.25</v>
      </c>
      <c r="O21" s="515">
        <v>0.25</v>
      </c>
      <c r="P21" s="515"/>
      <c r="Q21" s="515"/>
      <c r="R21" s="25"/>
      <c r="S21" s="24">
        <f t="shared" si="3"/>
        <v>1</v>
      </c>
    </row>
    <row r="22" spans="1:88" ht="20.100000000000001" customHeight="1" x14ac:dyDescent="0.2">
      <c r="A22" s="182" t="str">
        <f ca="1">INDIRECT("Datos!B"&amp;MATCH("RUBRO ITEM",Datos!B:B,0)+ROW()-MATCH("RUBRO ITEM",A:A,0)-1)</f>
        <v>4.b</v>
      </c>
      <c r="B22" s="33" t="str">
        <f t="shared" ca="1" si="1"/>
        <v>Cuota Adicional</v>
      </c>
      <c r="C22" s="34"/>
      <c r="D22" s="15">
        <f t="shared" ca="1" si="2"/>
        <v>0</v>
      </c>
      <c r="E22" s="48"/>
      <c r="F22" s="514">
        <v>0.25</v>
      </c>
      <c r="G22" s="514"/>
      <c r="H22" s="514">
        <v>0.25</v>
      </c>
      <c r="I22" s="514"/>
      <c r="J22" s="514">
        <v>0.25</v>
      </c>
      <c r="K22" s="514"/>
      <c r="L22" s="514">
        <v>0.25</v>
      </c>
      <c r="M22" s="514"/>
      <c r="N22" s="515"/>
      <c r="O22" s="515"/>
      <c r="P22" s="515"/>
      <c r="Q22" s="515"/>
      <c r="R22" s="25"/>
      <c r="S22" s="24">
        <f t="shared" si="3"/>
        <v>1</v>
      </c>
    </row>
    <row r="23" spans="1:88" s="10" customFormat="1" ht="20.100000000000001" customHeight="1" x14ac:dyDescent="0.2">
      <c r="A23" s="53" t="s">
        <v>3</v>
      </c>
      <c r="B23" s="35" t="s">
        <v>3</v>
      </c>
      <c r="C23" s="35"/>
      <c r="D23" s="54" t="s">
        <v>4</v>
      </c>
      <c r="E23" s="36"/>
      <c r="F23" s="56"/>
      <c r="G23" s="57"/>
      <c r="H23" s="57"/>
      <c r="I23" s="57"/>
      <c r="J23" s="57"/>
      <c r="K23" s="57"/>
      <c r="L23" s="57"/>
      <c r="M23" s="57"/>
      <c r="N23" s="57"/>
      <c r="O23" s="57"/>
      <c r="P23" s="57"/>
      <c r="Q23" s="57"/>
      <c r="S23" s="26">
        <f t="shared" ref="S23" si="4">SUM(F23:Q23)</f>
        <v>0</v>
      </c>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ht="20.100000000000001" customHeight="1" x14ac:dyDescent="0.2">
      <c r="A24" s="53" t="s">
        <v>3</v>
      </c>
      <c r="B24" s="51" t="s">
        <v>7</v>
      </c>
      <c r="C24" s="55"/>
      <c r="D24" s="50">
        <f ca="1">SUM(D13:D23)</f>
        <v>0</v>
      </c>
      <c r="E24" s="49"/>
      <c r="F24" s="37"/>
      <c r="G24" s="37"/>
      <c r="H24" s="37"/>
      <c r="I24" s="37"/>
      <c r="J24" s="37"/>
      <c r="K24" s="37"/>
      <c r="L24" s="37"/>
      <c r="M24" s="37"/>
      <c r="N24" s="37"/>
      <c r="O24" s="37"/>
      <c r="P24" s="37"/>
      <c r="Q24" s="37"/>
    </row>
    <row r="25" spans="1:88" ht="20.100000000000001" customHeight="1" x14ac:dyDescent="0.2">
      <c r="A25" s="38"/>
      <c r="B25" s="38"/>
      <c r="C25" s="38"/>
      <c r="D25" s="38"/>
      <c r="E25" s="39"/>
      <c r="F25" s="38"/>
      <c r="G25" s="38"/>
      <c r="H25" s="38"/>
      <c r="I25" s="38"/>
      <c r="J25" s="38"/>
      <c r="K25" s="38"/>
      <c r="L25" s="38"/>
      <c r="M25" s="38"/>
      <c r="N25" s="38"/>
      <c r="O25" s="38"/>
      <c r="P25" s="38"/>
      <c r="Q25" s="38"/>
    </row>
    <row r="26" spans="1:88" ht="20.100000000000001" customHeight="1" x14ac:dyDescent="0.2">
      <c r="A26" s="38"/>
      <c r="B26" s="38"/>
      <c r="C26" s="38"/>
      <c r="D26" s="40" t="s">
        <v>18</v>
      </c>
      <c r="E26" s="39">
        <v>0</v>
      </c>
      <c r="F26" s="41">
        <f t="shared" ref="F26:Q26" ca="1" si="5">SUMPRODUCT($D$13:$D$22,F13:F22)</f>
        <v>0</v>
      </c>
      <c r="G26" s="41">
        <f t="shared" ca="1" si="5"/>
        <v>0</v>
      </c>
      <c r="H26" s="41">
        <f t="shared" ca="1" si="5"/>
        <v>0</v>
      </c>
      <c r="I26" s="41">
        <f t="shared" ca="1" si="5"/>
        <v>0</v>
      </c>
      <c r="J26" s="41">
        <f t="shared" ca="1" si="5"/>
        <v>0</v>
      </c>
      <c r="K26" s="41">
        <f t="shared" ca="1" si="5"/>
        <v>0</v>
      </c>
      <c r="L26" s="41">
        <f t="shared" ca="1" si="5"/>
        <v>0</v>
      </c>
      <c r="M26" s="41">
        <f t="shared" ca="1" si="5"/>
        <v>0</v>
      </c>
      <c r="N26" s="41">
        <f t="shared" ca="1" si="5"/>
        <v>0</v>
      </c>
      <c r="O26" s="41">
        <f t="shared" ca="1" si="5"/>
        <v>0</v>
      </c>
      <c r="P26" s="41">
        <f t="shared" ca="1" si="5"/>
        <v>0</v>
      </c>
      <c r="Q26" s="41">
        <f t="shared" ca="1" si="5"/>
        <v>0</v>
      </c>
      <c r="R26" s="27"/>
    </row>
    <row r="27" spans="1:88" ht="20.100000000000001" customHeight="1" x14ac:dyDescent="0.2">
      <c r="A27" s="38"/>
      <c r="B27" s="38"/>
      <c r="C27" s="38"/>
      <c r="D27" s="40" t="s">
        <v>19</v>
      </c>
      <c r="E27" s="39">
        <v>0</v>
      </c>
      <c r="F27" s="41">
        <f ca="1">E27+F26</f>
        <v>0</v>
      </c>
      <c r="G27" s="41">
        <f t="shared" ref="G27:Q27" ca="1" si="6">F27+G26</f>
        <v>0</v>
      </c>
      <c r="H27" s="41">
        <f t="shared" ca="1" si="6"/>
        <v>0</v>
      </c>
      <c r="I27" s="41">
        <f t="shared" ca="1" si="6"/>
        <v>0</v>
      </c>
      <c r="J27" s="41">
        <f t="shared" ca="1" si="6"/>
        <v>0</v>
      </c>
      <c r="K27" s="41">
        <f t="shared" ca="1" si="6"/>
        <v>0</v>
      </c>
      <c r="L27" s="41">
        <f t="shared" ca="1" si="6"/>
        <v>0</v>
      </c>
      <c r="M27" s="41">
        <f t="shared" ca="1" si="6"/>
        <v>0</v>
      </c>
      <c r="N27" s="41">
        <f t="shared" ca="1" si="6"/>
        <v>0</v>
      </c>
      <c r="O27" s="41">
        <f t="shared" ca="1" si="6"/>
        <v>0</v>
      </c>
      <c r="P27" s="41">
        <f t="shared" ca="1" si="6"/>
        <v>0</v>
      </c>
      <c r="Q27" s="41">
        <f t="shared" ca="1" si="6"/>
        <v>0</v>
      </c>
      <c r="R27" s="27"/>
    </row>
    <row r="28" spans="1:88" ht="20.100000000000001" customHeight="1" x14ac:dyDescent="0.2">
      <c r="A28" s="38"/>
      <c r="B28" s="38"/>
      <c r="C28" s="38"/>
      <c r="D28" s="42"/>
      <c r="E28" s="43" t="s">
        <v>941</v>
      </c>
      <c r="F28" s="38"/>
      <c r="G28" s="38"/>
      <c r="H28" s="38"/>
      <c r="I28" s="38"/>
      <c r="J28" s="38"/>
      <c r="K28" s="38"/>
      <c r="L28" s="38"/>
      <c r="M28" s="38"/>
      <c r="N28" s="38"/>
      <c r="O28" s="38"/>
      <c r="P28" s="38"/>
      <c r="Q28" s="38"/>
    </row>
    <row r="29" spans="1:88" ht="20.100000000000001" customHeight="1" x14ac:dyDescent="0.2">
      <c r="A29" s="38"/>
      <c r="B29" s="38"/>
      <c r="C29" s="38"/>
      <c r="D29" s="40" t="s">
        <v>20</v>
      </c>
      <c r="E29" s="44">
        <f ca="1">Anticipo_Financiero*Monto_Oferta</f>
        <v>0</v>
      </c>
      <c r="F29" s="44">
        <f t="shared" ref="F29:Q29" ca="1" si="7">Monto_Oferta*F26</f>
        <v>0</v>
      </c>
      <c r="G29" s="44">
        <f t="shared" ca="1" si="7"/>
        <v>0</v>
      </c>
      <c r="H29" s="44">
        <f t="shared" ca="1" si="7"/>
        <v>0</v>
      </c>
      <c r="I29" s="44">
        <f t="shared" ca="1" si="7"/>
        <v>0</v>
      </c>
      <c r="J29" s="44">
        <f t="shared" ca="1" si="7"/>
        <v>0</v>
      </c>
      <c r="K29" s="44">
        <f t="shared" ca="1" si="7"/>
        <v>0</v>
      </c>
      <c r="L29" s="44">
        <f t="shared" ca="1" si="7"/>
        <v>0</v>
      </c>
      <c r="M29" s="44">
        <f t="shared" ca="1" si="7"/>
        <v>0</v>
      </c>
      <c r="N29" s="44">
        <f t="shared" ca="1" si="7"/>
        <v>0</v>
      </c>
      <c r="O29" s="44">
        <f t="shared" ca="1" si="7"/>
        <v>0</v>
      </c>
      <c r="P29" s="44">
        <f t="shared" ca="1" si="7"/>
        <v>0</v>
      </c>
      <c r="Q29" s="44">
        <f t="shared" ca="1" si="7"/>
        <v>0</v>
      </c>
      <c r="R29" s="11"/>
      <c r="S29" s="29"/>
    </row>
    <row r="30" spans="1:88" ht="20.100000000000001" customHeight="1" x14ac:dyDescent="0.2">
      <c r="A30" s="38"/>
      <c r="B30" s="38"/>
      <c r="C30" s="38"/>
      <c r="D30" s="40" t="s">
        <v>891</v>
      </c>
      <c r="E30" s="44">
        <f ca="1">E29</f>
        <v>0</v>
      </c>
      <c r="F30" s="44">
        <f t="shared" ref="F30" ca="1" si="8">E30+F29*(1-Anticipo_Financiero)</f>
        <v>0</v>
      </c>
      <c r="G30" s="44">
        <f t="shared" ref="G30" ca="1" si="9">F30+G29*(1-Anticipo_Financiero)</f>
        <v>0</v>
      </c>
      <c r="H30" s="44">
        <f t="shared" ref="H30" ca="1" si="10">G30+H29*(1-Anticipo_Financiero)</f>
        <v>0</v>
      </c>
      <c r="I30" s="44">
        <f t="shared" ref="I30" ca="1" si="11">H30+I29*(1-Anticipo_Financiero)</f>
        <v>0</v>
      </c>
      <c r="J30" s="44">
        <f t="shared" ref="J30" ca="1" si="12">I30+J29*(1-Anticipo_Financiero)</f>
        <v>0</v>
      </c>
      <c r="K30" s="44">
        <f t="shared" ref="K30" ca="1" si="13">J30+K29*(1-Anticipo_Financiero)</f>
        <v>0</v>
      </c>
      <c r="L30" s="44">
        <f t="shared" ref="L30" ca="1" si="14">K30+L29*(1-Anticipo_Financiero)</f>
        <v>0</v>
      </c>
      <c r="M30" s="44">
        <f t="shared" ref="M30" ca="1" si="15">L30+M29*(1-Anticipo_Financiero)</f>
        <v>0</v>
      </c>
      <c r="N30" s="44">
        <f t="shared" ref="N30" ca="1" si="16">M30+N29*(1-Anticipo_Financiero)</f>
        <v>0</v>
      </c>
      <c r="O30" s="44">
        <f t="shared" ref="O30" ca="1" si="17">N30+O29*(1-Anticipo_Financiero)</f>
        <v>0</v>
      </c>
      <c r="P30" s="44">
        <f t="shared" ref="P30" ca="1" si="18">O30+P29*(1-Anticipo_Financiero)</f>
        <v>0</v>
      </c>
      <c r="Q30" s="44">
        <f t="shared" ref="Q30" ca="1" si="19">P30+Q29*(1-Anticipo_Financiero)</f>
        <v>0</v>
      </c>
      <c r="R30" s="11"/>
    </row>
    <row r="31" spans="1:88" ht="20.100000000000001" customHeight="1" x14ac:dyDescent="0.2">
      <c r="E31" s="28">
        <v>0</v>
      </c>
    </row>
    <row r="32" spans="1:88" ht="20.100000000000001" customHeight="1" x14ac:dyDescent="0.2">
      <c r="E32" s="28">
        <v>0</v>
      </c>
    </row>
  </sheetData>
  <mergeCells count="6">
    <mergeCell ref="A8:D8"/>
    <mergeCell ref="F10:Q10"/>
    <mergeCell ref="S10:S11"/>
    <mergeCell ref="A10:A11"/>
    <mergeCell ref="B10:C11"/>
    <mergeCell ref="D10:D11"/>
  </mergeCells>
  <conditionalFormatting sqref="A23:A24 B13:B22">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23:C23 C13:C22">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22">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736" t="s">
        <v>1816</v>
      </c>
      <c r="B6" s="736"/>
      <c r="C6" s="736"/>
      <c r="D6" s="736"/>
      <c r="E6" s="736"/>
      <c r="F6" s="736"/>
      <c r="G6" s="736"/>
      <c r="H6" s="736"/>
      <c r="I6" s="736"/>
      <c r="J6" s="736"/>
      <c r="K6" s="736"/>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C22" sqref="C22"/>
    </sheetView>
  </sheetViews>
  <sheetFormatPr baseColWidth="10" defaultColWidth="11.42578125"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738" t="s">
        <v>1857</v>
      </c>
      <c r="C6" s="738"/>
      <c r="D6" s="738"/>
      <c r="E6" s="738"/>
      <c r="F6" s="738"/>
    </row>
    <row r="8" spans="1:6" s="693" customFormat="1" x14ac:dyDescent="0.2">
      <c r="A8" s="692"/>
      <c r="B8" s="586" t="s">
        <v>1856</v>
      </c>
      <c r="C8" s="586" t="s">
        <v>1817</v>
      </c>
      <c r="D8" s="586" t="s">
        <v>1</v>
      </c>
      <c r="E8" s="737" t="s">
        <v>1858</v>
      </c>
      <c r="F8" s="737"/>
    </row>
    <row r="9" spans="1:6" x14ac:dyDescent="0.2">
      <c r="B9" s="694"/>
      <c r="C9" s="694"/>
      <c r="D9" s="694"/>
      <c r="E9" s="695"/>
      <c r="F9" s="696"/>
    </row>
    <row r="10" spans="1:6" x14ac:dyDescent="0.2">
      <c r="A10" s="692">
        <v>1</v>
      </c>
      <c r="B10" s="586" t="str">
        <f t="shared" ref="B10:B47" si="0">IFERROR(VLOOKUP(A10,T_NumeroItem,2,FALSE),"")</f>
        <v>1.a.1</v>
      </c>
      <c r="C10" s="571" t="str">
        <f t="shared" ref="C10:C47" si="1">IFERROR(VLOOKUP(B10,T_Datos,2,FALSE),"")</f>
        <v>Por Pulverización</v>
      </c>
      <c r="D10" s="586" t="str">
        <f t="shared" ref="D10:D47" si="2">IFERROR(VLOOKUP(B10,T_Datos,3,FALSE),"")</f>
        <v>m2</v>
      </c>
      <c r="E10" s="695"/>
      <c r="F10" s="697" t="str">
        <f>D10&amp;"/dia"</f>
        <v>m2/dia</v>
      </c>
    </row>
    <row r="11" spans="1:6" x14ac:dyDescent="0.2">
      <c r="A11" s="692">
        <v>2</v>
      </c>
      <c r="B11" s="586" t="str">
        <f t="shared" si="0"/>
        <v>1.a.2</v>
      </c>
      <c r="C11" s="571" t="str">
        <f t="shared" si="1"/>
        <v>Por Extrusión</v>
      </c>
      <c r="D11" s="586" t="str">
        <f t="shared" si="2"/>
        <v>m2</v>
      </c>
      <c r="E11" s="695"/>
      <c r="F11" s="697" t="str">
        <f t="shared" ref="F11:F47" si="3">D11&amp;"/dia"</f>
        <v>m2/dia</v>
      </c>
    </row>
    <row r="12" spans="1:6" x14ac:dyDescent="0.2">
      <c r="A12" s="692">
        <v>3</v>
      </c>
      <c r="B12" s="586" t="str">
        <f t="shared" si="0"/>
        <v>1.b</v>
      </c>
      <c r="C12" s="571" t="str">
        <f t="shared" si="1"/>
        <v>CON PINTURA ACRILICA PARA PARA PAVIMENTOS APLICADA A TEMPERATURA AMBIENTE CON EQUIPO MECÁNICO</v>
      </c>
      <c r="D12" s="586" t="str">
        <f t="shared" si="2"/>
        <v>m2</v>
      </c>
      <c r="E12" s="695"/>
      <c r="F12" s="697" t="str">
        <f t="shared" si="3"/>
        <v>m2/dia</v>
      </c>
    </row>
    <row r="13" spans="1:6" x14ac:dyDescent="0.2">
      <c r="A13" s="692">
        <v>4</v>
      </c>
      <c r="B13" s="586">
        <f t="shared" si="0"/>
        <v>2</v>
      </c>
      <c r="C13" s="571" t="str">
        <f t="shared" si="1"/>
        <v>PROVISION Y COLOCACION DE TACHAS REFLECTIVAS</v>
      </c>
      <c r="D13" s="586" t="str">
        <f t="shared" si="2"/>
        <v>n°</v>
      </c>
      <c r="E13" s="695"/>
      <c r="F13" s="697" t="str">
        <f t="shared" si="3"/>
        <v>n°/dia</v>
      </c>
    </row>
    <row r="14" spans="1:6" x14ac:dyDescent="0.2">
      <c r="A14" s="692">
        <v>5</v>
      </c>
      <c r="B14" s="586">
        <f t="shared" si="0"/>
        <v>3</v>
      </c>
      <c r="C14" s="571" t="str">
        <f t="shared" si="1"/>
        <v>SEÑALAMIENTO VERTICAL</v>
      </c>
      <c r="D14" s="586" t="str">
        <f t="shared" si="2"/>
        <v>m2</v>
      </c>
      <c r="E14" s="695"/>
      <c r="F14" s="697" t="str">
        <f t="shared" si="3"/>
        <v>m2/dia</v>
      </c>
    </row>
    <row r="15" spans="1:6" x14ac:dyDescent="0.2">
      <c r="A15" s="692">
        <v>6</v>
      </c>
      <c r="B15" s="586" t="str">
        <f t="shared" si="0"/>
        <v>4.a</v>
      </c>
      <c r="C15" s="571" t="str">
        <f t="shared" si="1"/>
        <v>Cuota Fija</v>
      </c>
      <c r="D15" s="586" t="str">
        <f t="shared" si="2"/>
        <v>Mes</v>
      </c>
      <c r="E15" s="695"/>
      <c r="F15" s="697" t="str">
        <f t="shared" si="3"/>
        <v>Mes/dia</v>
      </c>
    </row>
    <row r="16" spans="1:6" x14ac:dyDescent="0.2">
      <c r="A16" s="692">
        <v>7</v>
      </c>
      <c r="B16" s="586" t="str">
        <f t="shared" si="0"/>
        <v>4.b</v>
      </c>
      <c r="C16" s="571" t="str">
        <f t="shared" si="1"/>
        <v>Cuota Adicional</v>
      </c>
      <c r="D16" s="586" t="str">
        <f t="shared" si="2"/>
        <v>Km</v>
      </c>
      <c r="E16" s="695"/>
      <c r="F16" s="697" t="str">
        <f t="shared" si="3"/>
        <v>Km/dia</v>
      </c>
    </row>
    <row r="17" spans="1:6" x14ac:dyDescent="0.2">
      <c r="A17" s="692">
        <v>8</v>
      </c>
      <c r="B17" s="586" t="str">
        <f t="shared" si="0"/>
        <v/>
      </c>
      <c r="C17" s="571" t="str">
        <f t="shared" si="1"/>
        <v/>
      </c>
      <c r="D17" s="586" t="str">
        <f t="shared" si="2"/>
        <v/>
      </c>
      <c r="E17" s="695"/>
      <c r="F17" s="697" t="str">
        <f t="shared" si="3"/>
        <v>/dia</v>
      </c>
    </row>
    <row r="18" spans="1:6" x14ac:dyDescent="0.2">
      <c r="A18" s="692">
        <v>9</v>
      </c>
      <c r="B18" s="586" t="str">
        <f t="shared" si="0"/>
        <v/>
      </c>
      <c r="C18" s="571" t="str">
        <f t="shared" si="1"/>
        <v/>
      </c>
      <c r="D18" s="586" t="str">
        <f t="shared" si="2"/>
        <v/>
      </c>
      <c r="E18" s="695"/>
      <c r="F18" s="697" t="str">
        <f t="shared" si="3"/>
        <v>/dia</v>
      </c>
    </row>
    <row r="19" spans="1:6" x14ac:dyDescent="0.2">
      <c r="A19" s="692">
        <v>10</v>
      </c>
      <c r="B19" s="586" t="str">
        <f t="shared" si="0"/>
        <v/>
      </c>
      <c r="C19" s="571" t="str">
        <f t="shared" si="1"/>
        <v/>
      </c>
      <c r="D19" s="586" t="str">
        <f t="shared" si="2"/>
        <v/>
      </c>
      <c r="E19" s="695"/>
      <c r="F19" s="697" t="str">
        <f t="shared" si="3"/>
        <v>/dia</v>
      </c>
    </row>
    <row r="20" spans="1:6" x14ac:dyDescent="0.2">
      <c r="A20" s="692">
        <v>11</v>
      </c>
      <c r="B20" s="586" t="str">
        <f t="shared" si="0"/>
        <v/>
      </c>
      <c r="C20" s="571" t="str">
        <f t="shared" si="1"/>
        <v/>
      </c>
      <c r="D20" s="586" t="str">
        <f t="shared" si="2"/>
        <v/>
      </c>
      <c r="E20" s="695"/>
      <c r="F20" s="697" t="str">
        <f t="shared" si="3"/>
        <v>/dia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39" t="str">
        <f>"OBRA: " &amp; UPPER(Obra)</f>
        <v>OBRA: SEÑALIZACION HORIZONTAL - PROVISION Y COLOCACION DE TACHAS REFLECTIVAS Y SEÑALAMIENTO VERTICAL</v>
      </c>
      <c r="D1" s="739"/>
      <c r="E1" s="739"/>
      <c r="F1" s="739"/>
      <c r="G1" s="739"/>
      <c r="H1" s="739"/>
      <c r="I1" s="739"/>
      <c r="J1" s="739"/>
      <c r="K1" s="739"/>
      <c r="L1" s="739"/>
    </row>
    <row r="2" spans="3:12" ht="23.25" x14ac:dyDescent="0.35">
      <c r="C2" s="739" t="s">
        <v>955</v>
      </c>
      <c r="D2" s="739"/>
      <c r="E2" s="739"/>
      <c r="F2" s="739"/>
      <c r="G2" s="739"/>
      <c r="H2" s="739"/>
      <c r="I2" s="739"/>
      <c r="J2" s="739"/>
      <c r="K2" s="739"/>
      <c r="L2" s="739"/>
    </row>
    <row r="3" spans="3:12" ht="23.25" x14ac:dyDescent="0.35">
      <c r="C3" s="739" t="s">
        <v>956</v>
      </c>
      <c r="D3" s="739"/>
      <c r="E3" s="739"/>
      <c r="F3" s="739"/>
      <c r="G3" s="739"/>
      <c r="H3" s="739"/>
      <c r="I3" s="739"/>
      <c r="J3" s="739"/>
      <c r="K3" s="739"/>
      <c r="L3" s="73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2019-04-09T12:39:01Z</dcterms:modified>
</cp:coreProperties>
</file>