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10230" yWindow="-15" windowWidth="10275" windowHeight="8160" tabRatio="855"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AP!$A$1:$A$2731</definedName>
    <definedName name="_xlnm._FilterDatabase" localSheetId="11" hidden="1">'Coef-Equipos'!$C$1:$C$68</definedName>
    <definedName name="_xlnm._FilterDatabase" localSheetId="4" hidden="1">CyP!$A$1:$A$71</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PTyCI!$D$1:$D$64</definedName>
    <definedName name="A" localSheetId="13">'Transp. Camión con Acoplado'!$O$4</definedName>
    <definedName name="A" localSheetId="12">'Transp. Camión Solo'!$O$4</definedName>
    <definedName name="Anticipo_Financiero">Datos!$B$12</definedName>
    <definedName name="_xlnm.Print_Area" localSheetId="5">AP!$A$1:$G$2731</definedName>
    <definedName name="_xlnm.Print_Area" localSheetId="4">CyP!$A$18:$I$71</definedName>
    <definedName name="_xlnm.Print_Area" localSheetId="2">Datos!$A$1:$I$74</definedName>
    <definedName name="_xlnm.Print_Area" localSheetId="3">Propuesta!$A$1:$G$69</definedName>
    <definedName name="_xlnm.Print_Area" localSheetId="6">PTyCI!$A$13:$BA$61</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CyP!$F$60</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CyP!$H$60</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45621"/>
</workbook>
</file>

<file path=xl/calcChain.xml><?xml version="1.0" encoding="utf-8"?>
<calcChain xmlns="http://schemas.openxmlformats.org/spreadsheetml/2006/main">
  <c r="H64" i="2" l="1"/>
  <c r="G2725" i="6" l="1"/>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F2694" i="6"/>
  <c r="G2694" i="6" s="1"/>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B2631" i="6"/>
  <c r="A2631" i="6"/>
  <c r="F2630" i="6"/>
  <c r="E2630" i="6"/>
  <c r="B2630" i="6"/>
  <c r="A2630" i="6"/>
  <c r="F2629" i="6"/>
  <c r="E2629" i="6"/>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B2564" i="6"/>
  <c r="A2564" i="6"/>
  <c r="F2563" i="6"/>
  <c r="E2563" i="6"/>
  <c r="B2563" i="6"/>
  <c r="A2563" i="6"/>
  <c r="F2562" i="6"/>
  <c r="E2562" i="6"/>
  <c r="B2562" i="6"/>
  <c r="A2562" i="6"/>
  <c r="F2561" i="6"/>
  <c r="E2561" i="6"/>
  <c r="B2561" i="6"/>
  <c r="A2561" i="6"/>
  <c r="F2560" i="6"/>
  <c r="E2560" i="6"/>
  <c r="B2560" i="6"/>
  <c r="A2560" i="6"/>
  <c r="F2559" i="6"/>
  <c r="E2559" i="6"/>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F2412" i="6"/>
  <c r="G2412" i="6" s="1"/>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B2354" i="6"/>
  <c r="A2354" i="6"/>
  <c r="F2353" i="6"/>
  <c r="E2353" i="6"/>
  <c r="B2353" i="6"/>
  <c r="A2353" i="6"/>
  <c r="F2352" i="6"/>
  <c r="E2352" i="6"/>
  <c r="B2352" i="6"/>
  <c r="A2352" i="6"/>
  <c r="F2351" i="6"/>
  <c r="E2351" i="6"/>
  <c r="B2351" i="6"/>
  <c r="A2351" i="6"/>
  <c r="F2350" i="6"/>
  <c r="E2350" i="6"/>
  <c r="B2350" i="6"/>
  <c r="A2350" i="6"/>
  <c r="F2349" i="6"/>
  <c r="E2349" i="6"/>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F2274" i="6"/>
  <c r="G2274" i="6" s="1"/>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F1854" i="6"/>
  <c r="G1854" i="6" s="1"/>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B1794" i="6"/>
  <c r="A1794" i="6"/>
  <c r="F1793" i="6"/>
  <c r="E1793" i="6"/>
  <c r="B1793" i="6"/>
  <c r="A1793" i="6"/>
  <c r="F1792" i="6"/>
  <c r="E1792" i="6"/>
  <c r="B1792" i="6"/>
  <c r="A1792" i="6"/>
  <c r="F1791" i="6"/>
  <c r="E1791" i="6"/>
  <c r="B1791" i="6"/>
  <c r="A1791" i="6"/>
  <c r="F1790" i="6"/>
  <c r="E1790" i="6"/>
  <c r="B1790" i="6"/>
  <c r="A1790" i="6"/>
  <c r="F1789" i="6"/>
  <c r="E1789" i="6"/>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F1714" i="6"/>
  <c r="G1714" i="6" s="1"/>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B1374" i="6"/>
  <c r="A1374" i="6"/>
  <c r="F1373" i="6"/>
  <c r="E1373" i="6"/>
  <c r="B1373" i="6"/>
  <c r="A1373" i="6"/>
  <c r="F1372" i="6"/>
  <c r="E1372" i="6"/>
  <c r="B1372" i="6"/>
  <c r="A1372" i="6"/>
  <c r="F1371" i="6"/>
  <c r="E1371" i="6"/>
  <c r="B1371" i="6"/>
  <c r="A1371" i="6"/>
  <c r="F1370" i="6"/>
  <c r="E1370" i="6"/>
  <c r="B1370" i="6"/>
  <c r="A1370" i="6"/>
  <c r="F1369" i="6"/>
  <c r="E1369" i="6"/>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F1294" i="6"/>
  <c r="G1294" i="6" s="1"/>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B880" i="6"/>
  <c r="A880" i="6"/>
  <c r="F879" i="6"/>
  <c r="E879" i="6"/>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B324" i="6"/>
  <c r="A324" i="6"/>
  <c r="F323" i="6"/>
  <c r="E323" i="6"/>
  <c r="B323" i="6"/>
  <c r="A323" i="6"/>
  <c r="F322" i="6"/>
  <c r="E322" i="6"/>
  <c r="B322" i="6"/>
  <c r="A322" i="6"/>
  <c r="F321" i="6"/>
  <c r="E321" i="6"/>
  <c r="B321" i="6"/>
  <c r="A321" i="6"/>
  <c r="F320" i="6"/>
  <c r="E320" i="6"/>
  <c r="B320" i="6"/>
  <c r="A320" i="6"/>
  <c r="F319" i="6"/>
  <c r="E319" i="6"/>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66" i="18"/>
  <c r="A6" i="18"/>
  <c r="A5" i="18"/>
  <c r="A4" i="18"/>
  <c r="A3" i="18"/>
  <c r="A2" i="18"/>
  <c r="A1" i="18"/>
  <c r="I13" i="18"/>
  <c r="I14" i="18"/>
  <c r="O7" i="21"/>
  <c r="O7" i="20"/>
  <c r="G64" i="21"/>
  <c r="F64" i="21"/>
  <c r="P64" i="21" s="1"/>
  <c r="C64" i="21"/>
  <c r="E64" i="21" s="1"/>
  <c r="I64" i="21" s="1"/>
  <c r="G63" i="21"/>
  <c r="F63" i="21"/>
  <c r="P63" i="21" s="1"/>
  <c r="E63" i="21"/>
  <c r="C63" i="21"/>
  <c r="G62" i="21"/>
  <c r="F62" i="21"/>
  <c r="P62" i="21" s="1"/>
  <c r="C62" i="21"/>
  <c r="E62" i="21" s="1"/>
  <c r="G61" i="21"/>
  <c r="F61" i="21"/>
  <c r="P61" i="21" s="1"/>
  <c r="C61" i="21"/>
  <c r="P60" i="21"/>
  <c r="I60" i="21"/>
  <c r="G60" i="21"/>
  <c r="F60" i="21"/>
  <c r="C60" i="21"/>
  <c r="E60" i="21" s="1"/>
  <c r="G59" i="21"/>
  <c r="F59" i="21"/>
  <c r="P59" i="21" s="1"/>
  <c r="E59" i="21"/>
  <c r="N59" i="21" s="1"/>
  <c r="C59" i="21"/>
  <c r="G58" i="21"/>
  <c r="F58" i="21"/>
  <c r="P58" i="21" s="1"/>
  <c r="C58" i="21"/>
  <c r="E58" i="21" s="1"/>
  <c r="G57" i="21"/>
  <c r="F57" i="21"/>
  <c r="P57" i="21" s="1"/>
  <c r="C57" i="21"/>
  <c r="G56" i="21"/>
  <c r="F56" i="21"/>
  <c r="P56" i="21" s="1"/>
  <c r="E56" i="21"/>
  <c r="C56" i="21"/>
  <c r="N55" i="21"/>
  <c r="G55" i="21"/>
  <c r="F55" i="21"/>
  <c r="P55" i="21" s="1"/>
  <c r="C55" i="21"/>
  <c r="E55" i="21" s="1"/>
  <c r="P54" i="21"/>
  <c r="G54" i="21"/>
  <c r="F54" i="21"/>
  <c r="C54" i="21"/>
  <c r="E54" i="21" s="1"/>
  <c r="P53" i="21"/>
  <c r="G53" i="21"/>
  <c r="F53" i="21"/>
  <c r="C53" i="21"/>
  <c r="P52" i="21"/>
  <c r="G52" i="21"/>
  <c r="F52" i="21"/>
  <c r="C52" i="21"/>
  <c r="E52" i="21" s="1"/>
  <c r="G51" i="21"/>
  <c r="F51" i="21"/>
  <c r="P51" i="21" s="1"/>
  <c r="C51" i="21"/>
  <c r="E51" i="21" s="1"/>
  <c r="P50" i="21"/>
  <c r="G50" i="21"/>
  <c r="F50" i="21"/>
  <c r="C50" i="21"/>
  <c r="E50" i="21" s="1"/>
  <c r="N50" i="21" s="1"/>
  <c r="G49" i="21"/>
  <c r="F49" i="21"/>
  <c r="P49" i="21" s="1"/>
  <c r="C49" i="21"/>
  <c r="P48" i="21"/>
  <c r="G48" i="21"/>
  <c r="F48" i="21"/>
  <c r="C48" i="21"/>
  <c r="E48" i="21" s="1"/>
  <c r="G47" i="21"/>
  <c r="F47" i="21"/>
  <c r="P47" i="21" s="1"/>
  <c r="C47" i="21"/>
  <c r="E47" i="21" s="1"/>
  <c r="G46" i="21"/>
  <c r="F46" i="21"/>
  <c r="P46" i="21" s="1"/>
  <c r="C46" i="21"/>
  <c r="E46" i="21" s="1"/>
  <c r="N46" i="21" s="1"/>
  <c r="G45" i="21"/>
  <c r="F45" i="21"/>
  <c r="P45" i="21" s="1"/>
  <c r="C45" i="21"/>
  <c r="E45" i="21" s="1"/>
  <c r="I45" i="21" s="1"/>
  <c r="G44" i="21"/>
  <c r="F44" i="21"/>
  <c r="P44" i="21" s="1"/>
  <c r="C44" i="21"/>
  <c r="E44" i="21" s="1"/>
  <c r="G43" i="21"/>
  <c r="F43" i="21"/>
  <c r="P43" i="21" s="1"/>
  <c r="C43" i="21"/>
  <c r="E43" i="21" s="1"/>
  <c r="N43" i="21" s="1"/>
  <c r="P42" i="21"/>
  <c r="G42" i="21"/>
  <c r="F42" i="21"/>
  <c r="C42" i="21"/>
  <c r="E42" i="21" s="1"/>
  <c r="P41" i="21"/>
  <c r="G41" i="21"/>
  <c r="F41" i="21"/>
  <c r="E41" i="21"/>
  <c r="N41" i="21" s="1"/>
  <c r="C41" i="21"/>
  <c r="G40" i="21"/>
  <c r="F40" i="21"/>
  <c r="P40" i="21" s="1"/>
  <c r="E40" i="21"/>
  <c r="C40" i="21"/>
  <c r="I39" i="21"/>
  <c r="G39" i="21"/>
  <c r="F39" i="21"/>
  <c r="P39" i="21" s="1"/>
  <c r="C39" i="21"/>
  <c r="E39" i="21" s="1"/>
  <c r="N39" i="21" s="1"/>
  <c r="P38" i="21"/>
  <c r="G38" i="21"/>
  <c r="F38" i="21"/>
  <c r="C38" i="21"/>
  <c r="E38" i="21" s="1"/>
  <c r="N38" i="21" s="1"/>
  <c r="P37" i="21"/>
  <c r="G37" i="21"/>
  <c r="F37" i="21"/>
  <c r="E37" i="21"/>
  <c r="I37" i="21" s="1"/>
  <c r="C37" i="21"/>
  <c r="G36" i="21"/>
  <c r="F36" i="21"/>
  <c r="P36" i="21" s="1"/>
  <c r="E36" i="21"/>
  <c r="C36" i="21"/>
  <c r="G35" i="21"/>
  <c r="F35" i="21"/>
  <c r="P35" i="21" s="1"/>
  <c r="E35" i="21"/>
  <c r="N35" i="21" s="1"/>
  <c r="C35" i="21"/>
  <c r="G34" i="21"/>
  <c r="F34" i="21"/>
  <c r="P34" i="21" s="1"/>
  <c r="C34" i="21"/>
  <c r="E34" i="21" s="1"/>
  <c r="G33" i="21"/>
  <c r="F33" i="21"/>
  <c r="P33" i="21" s="1"/>
  <c r="E33" i="21"/>
  <c r="N33" i="21" s="1"/>
  <c r="C33" i="21"/>
  <c r="G32" i="21"/>
  <c r="F32" i="21"/>
  <c r="P32" i="21" s="1"/>
  <c r="E32" i="21"/>
  <c r="C32" i="21"/>
  <c r="G31" i="21"/>
  <c r="F31" i="21"/>
  <c r="P31" i="21" s="1"/>
  <c r="C31" i="21"/>
  <c r="G30" i="21"/>
  <c r="F30" i="21"/>
  <c r="P30" i="21" s="1"/>
  <c r="E30" i="21"/>
  <c r="C30" i="2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E48" i="20"/>
  <c r="N48" i="20" s="1"/>
  <c r="C48" i="20"/>
  <c r="P47" i="20"/>
  <c r="G47" i="20"/>
  <c r="E47" i="20"/>
  <c r="N47" i="20" s="1"/>
  <c r="C47" i="20"/>
  <c r="P46" i="20"/>
  <c r="G46" i="20"/>
  <c r="E46" i="20"/>
  <c r="N46" i="20" s="1"/>
  <c r="C46" i="20"/>
  <c r="P45" i="20"/>
  <c r="G45" i="20"/>
  <c r="E45" i="20"/>
  <c r="N45" i="20" s="1"/>
  <c r="C45" i="20"/>
  <c r="P44" i="20"/>
  <c r="G44" i="20"/>
  <c r="E44" i="20"/>
  <c r="N44" i="20" s="1"/>
  <c r="C44" i="20"/>
  <c r="P43" i="20"/>
  <c r="G43" i="20"/>
  <c r="E43" i="20"/>
  <c r="N43" i="20" s="1"/>
  <c r="C43" i="20"/>
  <c r="P42" i="20"/>
  <c r="G42" i="20"/>
  <c r="C42" i="20"/>
  <c r="E42" i="20" s="1"/>
  <c r="N42" i="20" s="1"/>
  <c r="P41" i="20"/>
  <c r="G41" i="20"/>
  <c r="C41" i="20"/>
  <c r="E41" i="20" s="1"/>
  <c r="N41" i="20" s="1"/>
  <c r="P40" i="20"/>
  <c r="G40" i="20"/>
  <c r="C40" i="20"/>
  <c r="E40" i="20" s="1"/>
  <c r="N40" i="20" s="1"/>
  <c r="P39" i="20"/>
  <c r="G39" i="20"/>
  <c r="C39" i="20"/>
  <c r="E39" i="20" s="1"/>
  <c r="N39" i="20" s="1"/>
  <c r="P38" i="20"/>
  <c r="G38" i="20"/>
  <c r="E38" i="20"/>
  <c r="N38" i="20" s="1"/>
  <c r="C38" i="20"/>
  <c r="P37" i="20"/>
  <c r="G37" i="20"/>
  <c r="E37" i="20"/>
  <c r="N37" i="20" s="1"/>
  <c r="C37" i="20"/>
  <c r="P36" i="20"/>
  <c r="G36" i="20"/>
  <c r="E36" i="20"/>
  <c r="N36" i="20" s="1"/>
  <c r="C36" i="20"/>
  <c r="P35" i="20"/>
  <c r="G35" i="20"/>
  <c r="E35" i="20"/>
  <c r="N35" i="20" s="1"/>
  <c r="C35" i="20"/>
  <c r="P34" i="20"/>
  <c r="K34" i="20"/>
  <c r="G34" i="20"/>
  <c r="E34" i="20"/>
  <c r="N34" i="20" s="1"/>
  <c r="C34" i="20"/>
  <c r="P33" i="20"/>
  <c r="G33" i="20"/>
  <c r="E33" i="20"/>
  <c r="N33" i="20" s="1"/>
  <c r="C33" i="20"/>
  <c r="P32" i="20"/>
  <c r="G32" i="20"/>
  <c r="E32" i="20"/>
  <c r="N32" i="20" s="1"/>
  <c r="C32" i="20"/>
  <c r="P31" i="20"/>
  <c r="G31" i="20"/>
  <c r="M31" i="20" s="1"/>
  <c r="E31" i="20"/>
  <c r="N31" i="20" s="1"/>
  <c r="C31" i="20"/>
  <c r="P30" i="20"/>
  <c r="G30" i="20"/>
  <c r="C30" i="20"/>
  <c r="E30" i="20" s="1"/>
  <c r="N30" i="20" s="1"/>
  <c r="O22" i="20"/>
  <c r="O19" i="20"/>
  <c r="M64" i="20" s="1"/>
  <c r="O16" i="20"/>
  <c r="O13" i="20"/>
  <c r="K44" i="20" s="1"/>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G669" i="6" l="1"/>
  <c r="G670" i="6"/>
  <c r="G671" i="6"/>
  <c r="G673" i="6"/>
  <c r="G674" i="6"/>
  <c r="G879" i="6"/>
  <c r="G880" i="6"/>
  <c r="G885" i="6" s="1"/>
  <c r="G881" i="6"/>
  <c r="G883" i="6"/>
  <c r="G884" i="6"/>
  <c r="G2629" i="6"/>
  <c r="G2630" i="6"/>
  <c r="G2631" i="6"/>
  <c r="G2489" i="6"/>
  <c r="G2491" i="6"/>
  <c r="G2492" i="6"/>
  <c r="G2493" i="6"/>
  <c r="G1369" i="6"/>
  <c r="G1370" i="6"/>
  <c r="G1371" i="6"/>
  <c r="G1373" i="6"/>
  <c r="G1374" i="6"/>
  <c r="G1789" i="6"/>
  <c r="G1790" i="6"/>
  <c r="G1791" i="6"/>
  <c r="G1793" i="6"/>
  <c r="G1794" i="6"/>
  <c r="G319" i="6"/>
  <c r="G320" i="6"/>
  <c r="G322" i="6"/>
  <c r="G323" i="6"/>
  <c r="G324" i="6"/>
  <c r="K51" i="20"/>
  <c r="K42" i="20"/>
  <c r="K30" i="20"/>
  <c r="K38" i="20"/>
  <c r="K48" i="20"/>
  <c r="K36" i="20"/>
  <c r="N47" i="21"/>
  <c r="I47" i="21"/>
  <c r="L62" i="20"/>
  <c r="M49" i="20"/>
  <c r="K41" i="21"/>
  <c r="M39" i="20"/>
  <c r="K35" i="21"/>
  <c r="M39" i="21"/>
  <c r="I63" i="21"/>
  <c r="N63" i="21"/>
  <c r="G249" i="6"/>
  <c r="G250" i="6"/>
  <c r="G251" i="6"/>
  <c r="G255" i="6" s="1"/>
  <c r="G253" i="6"/>
  <c r="G254" i="6"/>
  <c r="G740" i="6"/>
  <c r="G742" i="6"/>
  <c r="G744" i="6"/>
  <c r="G2349" i="6"/>
  <c r="G2351" i="6"/>
  <c r="G2353" i="6"/>
  <c r="G2354" i="6"/>
  <c r="G2559" i="6"/>
  <c r="G2560" i="6"/>
  <c r="G2561" i="6"/>
  <c r="G2563" i="6"/>
  <c r="G2564" i="6"/>
  <c r="G1579" i="6"/>
  <c r="G1580" i="6"/>
  <c r="G1581" i="6"/>
  <c r="G1583" i="6"/>
  <c r="G1584" i="6"/>
  <c r="G109" i="6"/>
  <c r="G115" i="6" s="1"/>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2001" i="6"/>
  <c r="G2002" i="6"/>
  <c r="G2003" i="6"/>
  <c r="G2004" i="6"/>
  <c r="G2419" i="6"/>
  <c r="G2420" i="6"/>
  <c r="G2421" i="6"/>
  <c r="G2422" i="6"/>
  <c r="G2423"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5" i="6" s="1"/>
  <c r="G2701" i="6"/>
  <c r="G2702" i="6"/>
  <c r="G2703" i="6"/>
  <c r="G2704" i="6"/>
  <c r="G2632" i="6"/>
  <c r="G2633" i="6"/>
  <c r="G2634" i="6"/>
  <c r="E301" i="6"/>
  <c r="E231" i="6"/>
  <c r="E1421" i="6"/>
  <c r="E2261" i="6"/>
  <c r="E2401" i="6"/>
  <c r="E2471" i="6"/>
  <c r="E161" i="6"/>
  <c r="E861" i="6"/>
  <c r="E1001" i="6"/>
  <c r="E1491" i="6"/>
  <c r="G2401" i="6"/>
  <c r="E261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2051" i="6"/>
  <c r="G2331" i="6"/>
  <c r="G1981" i="6"/>
  <c r="E2121" i="6"/>
  <c r="E1351" i="6"/>
  <c r="E2051" i="6"/>
  <c r="G2191" i="6"/>
  <c r="G2541" i="6"/>
  <c r="G2121" i="6"/>
  <c r="G2261" i="6"/>
  <c r="G462" i="6"/>
  <c r="G602" i="6"/>
  <c r="G1440" i="6"/>
  <c r="G2352" i="6"/>
  <c r="G112" i="6"/>
  <c r="G182" i="6"/>
  <c r="G392" i="6"/>
  <c r="G2142" i="6"/>
  <c r="C14" i="14"/>
  <c r="G672" i="6"/>
  <c r="G811" i="6"/>
  <c r="G815" i="6" s="1"/>
  <c r="G1444" i="6"/>
  <c r="G481" i="6"/>
  <c r="G952" i="6"/>
  <c r="G1022" i="6"/>
  <c r="G1510" i="6"/>
  <c r="G2212" i="6"/>
  <c r="G2282" i="6"/>
  <c r="G131" i="6"/>
  <c r="G201" i="6"/>
  <c r="G321" i="6"/>
  <c r="G971" i="6"/>
  <c r="G691" i="6"/>
  <c r="G741" i="6"/>
  <c r="G882" i="6"/>
  <c r="G1041" i="6"/>
  <c r="G1093" i="6"/>
  <c r="G1159" i="6"/>
  <c r="G1302" i="6"/>
  <c r="G1951" i="6"/>
  <c r="G2231" i="6"/>
  <c r="G252" i="6"/>
  <c r="G271" i="6"/>
  <c r="G341" i="6"/>
  <c r="G395" i="6"/>
  <c r="G532" i="6"/>
  <c r="G761" i="6"/>
  <c r="G1232" i="6"/>
  <c r="G1372" i="6"/>
  <c r="G1375" i="6" s="1"/>
  <c r="G1391" i="6"/>
  <c r="G1741" i="6"/>
  <c r="G1881" i="6"/>
  <c r="G2091" i="6"/>
  <c r="G2441" i="6"/>
  <c r="G2581" i="6"/>
  <c r="G2635" i="6"/>
  <c r="G1421" i="6"/>
  <c r="G1491" i="6"/>
  <c r="G1461" i="6"/>
  <c r="G1561" i="6"/>
  <c r="G2021" i="6"/>
  <c r="G1601" i="6"/>
  <c r="E1561" i="6"/>
  <c r="G1582" i="6"/>
  <c r="G1631" i="6"/>
  <c r="E1701" i="6"/>
  <c r="G1722" i="6"/>
  <c r="G1771" i="6"/>
  <c r="E1841" i="6"/>
  <c r="G1862" i="6"/>
  <c r="G1911" i="6"/>
  <c r="E1981" i="6"/>
  <c r="G1811" i="6"/>
  <c r="G1671" i="6"/>
  <c r="G1512" i="6"/>
  <c r="G1531" i="6"/>
  <c r="E1631" i="6"/>
  <c r="G1652" i="6"/>
  <c r="G1701" i="6"/>
  <c r="E1771" i="6"/>
  <c r="G1792" i="6"/>
  <c r="G1841" i="6"/>
  <c r="E1911" i="6"/>
  <c r="G1932" i="6"/>
  <c r="G2161" i="6"/>
  <c r="G2144" i="6"/>
  <c r="E2331" i="6"/>
  <c r="G2371" i="6"/>
  <c r="G2140" i="6"/>
  <c r="E2191" i="6"/>
  <c r="G2214" i="6"/>
  <c r="G2280" i="6"/>
  <c r="G2301" i="6"/>
  <c r="G2424" i="6"/>
  <c r="G2471" i="6"/>
  <c r="G2350" i="6"/>
  <c r="G2490" i="6"/>
  <c r="G2511" i="6"/>
  <c r="E2541" i="6"/>
  <c r="G2562" i="6"/>
  <c r="G2681" i="6"/>
  <c r="G2721" i="6"/>
  <c r="G2494" i="6"/>
  <c r="G2611" i="6"/>
  <c r="G2651" i="6"/>
  <c r="E2681" i="6"/>
  <c r="G1095" i="6"/>
  <c r="G1111" i="6"/>
  <c r="G1181" i="6"/>
  <c r="G1211" i="6"/>
  <c r="G1251" i="6"/>
  <c r="G1281" i="6"/>
  <c r="G1164" i="6"/>
  <c r="G1230" i="6"/>
  <c r="G1321" i="6"/>
  <c r="G1351" i="6"/>
  <c r="G831" i="6"/>
  <c r="G931" i="6"/>
  <c r="E791" i="6"/>
  <c r="G721" i="6"/>
  <c r="G743" i="6"/>
  <c r="G861" i="6"/>
  <c r="G901" i="6"/>
  <c r="E931" i="6"/>
  <c r="G739" i="6"/>
  <c r="G791" i="6"/>
  <c r="G1001" i="6"/>
  <c r="E371" i="6"/>
  <c r="G411" i="6"/>
  <c r="E441" i="6"/>
  <c r="G551" i="6"/>
  <c r="G581" i="6"/>
  <c r="G511" i="6"/>
  <c r="E581" i="6"/>
  <c r="G621" i="6"/>
  <c r="G651" i="6"/>
  <c r="G301" i="6"/>
  <c r="G91"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565" i="6" l="1"/>
  <c r="G1795" i="6"/>
  <c r="G675" i="6"/>
  <c r="G605" i="6"/>
  <c r="G2075" i="6"/>
  <c r="G2425" i="6"/>
  <c r="G1655" i="6"/>
  <c r="G1865" i="6"/>
  <c r="G325" i="6"/>
  <c r="G1235" i="6"/>
  <c r="G1445" i="6"/>
  <c r="G2005" i="6"/>
  <c r="G465" i="6"/>
  <c r="G185" i="6"/>
  <c r="G1305" i="6"/>
  <c r="G1165" i="6"/>
  <c r="G2355" i="6"/>
  <c r="G2285" i="6"/>
  <c r="G1935" i="6"/>
  <c r="G1585" i="6"/>
  <c r="G955" i="6"/>
  <c r="G1025" i="6"/>
  <c r="G2215" i="6"/>
  <c r="G1515" i="6"/>
  <c r="G1725" i="6"/>
  <c r="G535" i="6"/>
  <c r="G745" i="6"/>
  <c r="G2495" i="6"/>
  <c r="G214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R699" i="12"/>
  <c r="Q699" i="12"/>
  <c r="S691" i="12"/>
  <c r="Q691" i="12"/>
  <c r="R691" i="12" s="1"/>
  <c r="B690" i="12"/>
  <c r="B689" i="12"/>
  <c r="S688" i="12"/>
  <c r="Q688" i="12"/>
  <c r="R688" i="12" s="1"/>
  <c r="S685" i="12"/>
  <c r="Q685" i="12"/>
  <c r="R685" i="12" s="1"/>
  <c r="S678" i="12"/>
  <c r="R678" i="12"/>
  <c r="Q678" i="12"/>
  <c r="S677" i="12"/>
  <c r="Q677" i="12"/>
  <c r="R677" i="12" s="1"/>
  <c r="S670" i="12"/>
  <c r="R670" i="12"/>
  <c r="Q670" i="12"/>
  <c r="S662" i="12"/>
  <c r="Q662" i="12"/>
  <c r="R662" i="12" s="1"/>
  <c r="S658" i="12"/>
  <c r="Q658" i="12"/>
  <c r="R658" i="12" s="1"/>
  <c r="S647" i="12"/>
  <c r="R647" i="12"/>
  <c r="Q647" i="12"/>
  <c r="S645" i="12"/>
  <c r="Q645" i="12"/>
  <c r="R645" i="12" s="1"/>
  <c r="S644" i="12"/>
  <c r="Q644" i="12"/>
  <c r="R644" i="12" s="1"/>
  <c r="S641" i="12"/>
  <c r="R641" i="12"/>
  <c r="Q641" i="12"/>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R599" i="12"/>
  <c r="Q599" i="12"/>
  <c r="S592" i="12"/>
  <c r="Q592" i="12"/>
  <c r="R592" i="12" s="1"/>
  <c r="S590" i="12"/>
  <c r="Q590" i="12"/>
  <c r="R590" i="12" s="1"/>
  <c r="S587" i="12"/>
  <c r="Q587" i="12"/>
  <c r="R587" i="12" s="1"/>
  <c r="S583" i="12"/>
  <c r="Q583" i="12"/>
  <c r="R583" i="12" s="1"/>
  <c r="S582" i="12"/>
  <c r="Q582" i="12"/>
  <c r="R582" i="12" s="1"/>
  <c r="S578" i="12"/>
  <c r="Q578" i="12"/>
  <c r="R578" i="12" s="1"/>
  <c r="S577" i="12"/>
  <c r="Q577" i="12"/>
  <c r="R577" i="12" s="1"/>
  <c r="S572" i="12"/>
  <c r="R572" i="12"/>
  <c r="Q572" i="12"/>
  <c r="S570" i="12"/>
  <c r="Q570" i="12"/>
  <c r="R570" i="12" s="1"/>
  <c r="S563" i="12"/>
  <c r="Q563" i="12"/>
  <c r="R563" i="12" s="1"/>
  <c r="S562" i="12"/>
  <c r="Q562" i="12"/>
  <c r="R562" i="12" s="1"/>
  <c r="C561" i="12"/>
  <c r="B561" i="12"/>
  <c r="C560" i="12"/>
  <c r="B560" i="12"/>
  <c r="S559" i="12"/>
  <c r="R559" i="12"/>
  <c r="Q559" i="12"/>
  <c r="S554" i="12"/>
  <c r="Q554" i="12"/>
  <c r="R554" i="12" s="1"/>
  <c r="S551" i="12"/>
  <c r="Q551" i="12"/>
  <c r="R551" i="12" s="1"/>
  <c r="S550" i="12"/>
  <c r="Q550" i="12"/>
  <c r="R550" i="12" s="1"/>
  <c r="S541" i="12"/>
  <c r="R541" i="12"/>
  <c r="Q541" i="12"/>
  <c r="S539" i="12"/>
  <c r="Q539" i="12"/>
  <c r="R539" i="12" s="1"/>
  <c r="S530" i="12"/>
  <c r="Q530" i="12"/>
  <c r="R530" i="12" s="1"/>
  <c r="S525" i="12"/>
  <c r="Q525" i="12"/>
  <c r="R525" i="12" s="1"/>
  <c r="S520" i="12"/>
  <c r="R520" i="12"/>
  <c r="Q520" i="12"/>
  <c r="S482" i="12"/>
  <c r="Q482" i="12"/>
  <c r="R482" i="12" s="1"/>
  <c r="S434" i="12"/>
  <c r="Q434" i="12"/>
  <c r="R434" i="12" s="1"/>
  <c r="S404" i="12"/>
  <c r="Q404" i="12"/>
  <c r="R404" i="12" s="1"/>
  <c r="S386" i="12"/>
  <c r="R386" i="12"/>
  <c r="Q386" i="12"/>
  <c r="S325" i="12"/>
  <c r="Q325" i="12"/>
  <c r="R325" i="12" s="1"/>
  <c r="S324" i="12"/>
  <c r="Q324" i="12"/>
  <c r="R324" i="12" s="1"/>
  <c r="S315" i="12"/>
  <c r="Q315" i="12"/>
  <c r="R315" i="12" s="1"/>
  <c r="S313" i="12"/>
  <c r="R313" i="12"/>
  <c r="Q313" i="12"/>
  <c r="S302" i="12"/>
  <c r="Q302" i="12"/>
  <c r="R302" i="12" s="1"/>
  <c r="S301" i="12"/>
  <c r="Q301" i="12"/>
  <c r="R301" i="12" s="1"/>
  <c r="S300" i="12"/>
  <c r="Q300" i="12"/>
  <c r="R300" i="12" s="1"/>
  <c r="S299" i="12"/>
  <c r="R299" i="12"/>
  <c r="Q299" i="12"/>
  <c r="S293" i="12"/>
  <c r="Q293" i="12"/>
  <c r="R293" i="12" s="1"/>
  <c r="S291" i="12"/>
  <c r="Q291" i="12"/>
  <c r="R291" i="12" s="1"/>
  <c r="S278" i="12"/>
  <c r="Q278" i="12"/>
  <c r="R278" i="12" s="1"/>
  <c r="S277" i="12"/>
  <c r="R277" i="12"/>
  <c r="Q277" i="12"/>
  <c r="S276" i="12"/>
  <c r="Q276" i="12"/>
  <c r="R276" i="12" s="1"/>
  <c r="S275" i="12"/>
  <c r="Q275" i="12"/>
  <c r="R275" i="12" s="1"/>
  <c r="S274" i="12"/>
  <c r="Q274" i="12"/>
  <c r="R274" i="12" s="1"/>
  <c r="S273" i="12"/>
  <c r="R273" i="12"/>
  <c r="Q273" i="12"/>
  <c r="S264" i="12"/>
  <c r="Q264" i="12"/>
  <c r="R264" i="12" s="1"/>
  <c r="S261" i="12"/>
  <c r="Q261" i="12"/>
  <c r="R261" i="12" s="1"/>
  <c r="S252" i="12"/>
  <c r="Q252" i="12"/>
  <c r="R252" i="12" s="1"/>
  <c r="S245" i="12"/>
  <c r="R245" i="12"/>
  <c r="Q245" i="12"/>
  <c r="S236" i="12"/>
  <c r="Q236" i="12"/>
  <c r="R236" i="12" s="1"/>
  <c r="S235" i="12"/>
  <c r="Q235" i="12"/>
  <c r="R235" i="12" s="1"/>
  <c r="S228" i="12"/>
  <c r="Q228" i="12"/>
  <c r="R228" i="12" s="1"/>
  <c r="S227" i="12"/>
  <c r="R227" i="12"/>
  <c r="Q227" i="12"/>
  <c r="C202" i="12"/>
  <c r="C201" i="12"/>
  <c r="C200" i="12"/>
  <c r="S198" i="12"/>
  <c r="R198" i="12"/>
  <c r="Q198" i="12"/>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R168" i="12"/>
  <c r="Q168"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Q137" i="12"/>
  <c r="R137" i="12" s="1"/>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R125" i="12"/>
  <c r="S124" i="12"/>
  <c r="S122" i="12"/>
  <c r="R122" i="12"/>
  <c r="S121" i="12"/>
  <c r="R121" i="12"/>
  <c r="R128" i="12" s="1"/>
  <c r="Q121" i="12"/>
  <c r="S119" i="12"/>
  <c r="S117" i="12"/>
  <c r="S116" i="12"/>
  <c r="S114" i="12"/>
  <c r="Q114" i="12"/>
  <c r="R114" i="12" s="1"/>
  <c r="S112" i="12"/>
  <c r="S110" i="12"/>
  <c r="S109" i="12"/>
  <c r="S108" i="12"/>
  <c r="S107" i="12"/>
  <c r="S106" i="12"/>
  <c r="S105" i="12"/>
  <c r="S103" i="12"/>
  <c r="R103" i="12"/>
  <c r="R112" i="12" s="1"/>
  <c r="Q103" i="12"/>
  <c r="S99" i="12"/>
  <c r="Q99" i="12"/>
  <c r="R99" i="12" s="1"/>
  <c r="S97" i="12"/>
  <c r="S96" i="12"/>
  <c r="S95" i="12"/>
  <c r="R95" i="12"/>
  <c r="R97" i="12" s="1"/>
  <c r="Q95" i="12"/>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R68" i="12"/>
  <c r="R88" i="12" s="1"/>
  <c r="Q68" i="12"/>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71" i="18"/>
  <c r="R77" i="12" l="1"/>
  <c r="R85" i="12"/>
  <c r="R127" i="12"/>
  <c r="R83" i="12"/>
  <c r="R75" i="12"/>
  <c r="R73" i="12"/>
  <c r="R81" i="12"/>
  <c r="R89" i="12"/>
  <c r="B35" i="15"/>
  <c r="R70" i="12"/>
  <c r="R79" i="12"/>
  <c r="R87" i="12"/>
  <c r="R96" i="12"/>
  <c r="C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1779" i="6"/>
  <c r="G1779" i="6" s="1"/>
  <c r="E2057" i="6"/>
  <c r="G2057" i="6" s="1"/>
  <c r="E1708" i="6"/>
  <c r="G1708" i="6" s="1"/>
  <c r="E1987" i="6"/>
  <c r="G1987"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1638" i="6"/>
  <c r="G1638" i="6" s="1"/>
  <c r="E1917" i="6"/>
  <c r="G1917" i="6" s="1"/>
  <c r="E2408" i="6"/>
  <c r="G2408" i="6" s="1"/>
  <c r="E1429" i="6"/>
  <c r="G1429" i="6" s="1"/>
  <c r="E1498" i="6"/>
  <c r="G1498" i="6" s="1"/>
  <c r="E1567" i="6"/>
  <c r="G1567" i="6" s="1"/>
  <c r="E2127" i="6"/>
  <c r="G2127" i="6" s="1"/>
  <c r="E2269" i="6"/>
  <c r="G2269" i="6" s="1"/>
  <c r="E2338" i="6"/>
  <c r="G2338" i="6" s="1"/>
  <c r="E2477" i="6"/>
  <c r="G2477" i="6" s="1"/>
  <c r="E2619" i="6"/>
  <c r="G2619" i="6" s="1"/>
  <c r="E2688" i="6"/>
  <c r="G2688" i="6" s="1"/>
  <c r="E1357" i="6"/>
  <c r="G1357" i="6" s="1"/>
  <c r="E2058" i="6"/>
  <c r="G2058" i="6" s="1"/>
  <c r="E1709" i="6"/>
  <c r="G1709" i="6" s="1"/>
  <c r="E1988" i="6"/>
  <c r="G198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1639" i="6"/>
  <c r="G1639" i="6" s="1"/>
  <c r="E1918" i="6"/>
  <c r="G1918" i="6" s="1"/>
  <c r="E2409" i="6"/>
  <c r="G240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1358" i="6"/>
  <c r="G1358" i="6" s="1"/>
  <c r="E1777" i="6"/>
  <c r="G1777" i="6" s="1"/>
  <c r="E2059" i="6"/>
  <c r="G2059" i="6" s="1"/>
  <c r="E1989" i="6"/>
  <c r="G1989"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1359" i="6"/>
  <c r="G1359" i="6" s="1"/>
  <c r="E1778" i="6"/>
  <c r="G1778" i="6" s="1"/>
  <c r="E1707" i="6"/>
  <c r="G170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1501" i="6"/>
  <c r="G1501" i="6" s="1"/>
  <c r="E1570" i="6"/>
  <c r="G1570" i="6" s="1"/>
  <c r="E2130" i="6"/>
  <c r="G2130" i="6" s="1"/>
  <c r="E2341" i="6"/>
  <c r="G2341" i="6" s="1"/>
  <c r="E2480" i="6"/>
  <c r="G2480" i="6" s="1"/>
  <c r="E2691" i="6"/>
  <c r="G2691" i="6" s="1"/>
  <c r="E1360" i="6"/>
  <c r="G1360" i="6" s="1"/>
  <c r="E2061" i="6"/>
  <c r="G2061" i="6" s="1"/>
  <c r="E1991" i="6"/>
  <c r="G1991" i="6" s="1"/>
  <c r="E240" i="6"/>
  <c r="G240" i="6" s="1"/>
  <c r="E871" i="6"/>
  <c r="G871" i="6" s="1"/>
  <c r="E940" i="6"/>
  <c r="G940" i="6" s="1"/>
  <c r="E101" i="6"/>
  <c r="G101" i="6" s="1"/>
  <c r="E380" i="6"/>
  <c r="G380" i="6" s="1"/>
  <c r="E731" i="6"/>
  <c r="G731" i="6" s="1"/>
  <c r="E311" i="6"/>
  <c r="G311" i="6" s="1"/>
  <c r="E1011" i="6"/>
  <c r="G1011" i="6" s="1"/>
  <c r="E660" i="6"/>
  <c r="G660" i="6" s="1"/>
  <c r="E1921" i="6"/>
  <c r="G1921" i="6" s="1"/>
  <c r="E1290" i="6"/>
  <c r="G1290" i="6" s="1"/>
  <c r="E1571" i="6"/>
  <c r="G1571" i="6" s="1"/>
  <c r="E1850" i="6"/>
  <c r="G1850" i="6" s="1"/>
  <c r="E2131" i="6"/>
  <c r="G2131" i="6" s="1"/>
  <c r="E2200" i="6"/>
  <c r="G2200" i="6" s="1"/>
  <c r="E2481" i="6"/>
  <c r="G2481" i="6" s="1"/>
  <c r="E2550" i="6"/>
  <c r="G2550" i="6" s="1"/>
  <c r="E1361" i="6"/>
  <c r="G1361" i="6" s="1"/>
  <c r="E1780" i="6"/>
  <c r="G1780" i="6" s="1"/>
  <c r="E241" i="6"/>
  <c r="G241" i="6" s="1"/>
  <c r="E941" i="6"/>
  <c r="G941" i="6" s="1"/>
  <c r="E1080" i="6"/>
  <c r="G1080" i="6" s="1"/>
  <c r="E381" i="6"/>
  <c r="G381" i="6" s="1"/>
  <c r="E450" i="6"/>
  <c r="G450" i="6" s="1"/>
  <c r="E661" i="6"/>
  <c r="G661" i="6" s="1"/>
  <c r="E1291" i="6"/>
  <c r="G1291" i="6" s="1"/>
  <c r="E1430" i="6"/>
  <c r="G1430" i="6" s="1"/>
  <c r="E1851" i="6"/>
  <c r="G1851" i="6" s="1"/>
  <c r="E2201" i="6"/>
  <c r="G2201" i="6" s="1"/>
  <c r="E2270" i="6"/>
  <c r="G2270" i="6" s="1"/>
  <c r="E2551" i="6"/>
  <c r="G2551" i="6" s="1"/>
  <c r="E2620" i="6"/>
  <c r="G2620" i="6" s="1"/>
  <c r="E1781" i="6"/>
  <c r="G1781" i="6" s="1"/>
  <c r="E1710" i="6"/>
  <c r="G171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E1431" i="6"/>
  <c r="G1431" i="6" s="1"/>
  <c r="E1500" i="6"/>
  <c r="G1500" i="6" s="1"/>
  <c r="E2271" i="6"/>
  <c r="G2271" i="6" s="1"/>
  <c r="E2340" i="6"/>
  <c r="G2340" i="6" s="1"/>
  <c r="E2621" i="6"/>
  <c r="G2621" i="6" s="1"/>
  <c r="E2690" i="6"/>
  <c r="G2690" i="6" s="1"/>
  <c r="E2060" i="6"/>
  <c r="G2060" i="6" s="1"/>
  <c r="E1711" i="6"/>
  <c r="G1711" i="6" s="1"/>
  <c r="E1990" i="6"/>
  <c r="G1990" i="6" s="1"/>
  <c r="E29" i="6"/>
  <c r="G29" i="6" s="1"/>
  <c r="E27" i="6"/>
  <c r="G27" i="6" s="1"/>
  <c r="E28" i="6"/>
  <c r="G28" i="6" s="1"/>
  <c r="E30" i="6"/>
  <c r="E31" i="6"/>
  <c r="G40" i="6"/>
  <c r="G41" i="6"/>
  <c r="F43" i="6"/>
  <c r="G43" i="6" s="1"/>
  <c r="G42" i="6"/>
  <c r="G2415" i="6" l="1"/>
  <c r="G1085" i="6"/>
  <c r="G1118" i="6" s="1"/>
  <c r="G1785" i="6"/>
  <c r="G1818" i="6" s="1"/>
  <c r="G2555" i="6"/>
  <c r="G2588" i="6" s="1"/>
  <c r="G1295" i="6"/>
  <c r="G1328" i="6" s="1"/>
  <c r="G1645" i="6"/>
  <c r="G1678" i="6" s="1"/>
  <c r="G945" i="6"/>
  <c r="G978" i="6" s="1"/>
  <c r="G1715" i="6"/>
  <c r="G2485" i="6"/>
  <c r="G2518" i="6" s="1"/>
  <c r="G1575" i="6"/>
  <c r="G1608" i="6" s="1"/>
  <c r="G1925" i="6"/>
  <c r="G1958" i="6" s="1"/>
  <c r="G735" i="6"/>
  <c r="G768" i="6" s="1"/>
  <c r="G1995" i="6"/>
  <c r="G2028" i="6" s="1"/>
  <c r="G2065" i="6"/>
  <c r="G2098" i="6" s="1"/>
  <c r="G1225" i="6"/>
  <c r="G1258" i="6" s="1"/>
  <c r="G455" i="6"/>
  <c r="G488" i="6" s="1"/>
  <c r="G1855" i="6"/>
  <c r="G1888" i="6" s="1"/>
  <c r="G1365" i="6"/>
  <c r="G1398" i="6" s="1"/>
  <c r="G1015" i="6"/>
  <c r="G1048" i="6" s="1"/>
  <c r="G875" i="6"/>
  <c r="G908" i="6" s="1"/>
  <c r="G2345" i="6"/>
  <c r="G2378" i="6" s="1"/>
  <c r="G1505" i="6"/>
  <c r="G1538" i="6" s="1"/>
  <c r="G525" i="6"/>
  <c r="G558" i="6" s="1"/>
  <c r="G1748" i="6"/>
  <c r="G2275" i="6"/>
  <c r="G2308" i="6" s="1"/>
  <c r="G385" i="6"/>
  <c r="G418" i="6" s="1"/>
  <c r="G805" i="6"/>
  <c r="G838" i="6" s="1"/>
  <c r="G2695" i="6"/>
  <c r="G2728" i="6" s="1"/>
  <c r="G2448" i="6"/>
  <c r="G1188" i="6"/>
  <c r="G2625" i="6"/>
  <c r="G2658" i="6" s="1"/>
  <c r="G1435" i="6"/>
  <c r="G1468" i="6" s="1"/>
  <c r="G2205" i="6"/>
  <c r="G2238" i="6" s="1"/>
  <c r="G665" i="6"/>
  <c r="G698" i="6" s="1"/>
  <c r="G245" i="6"/>
  <c r="G278" i="6" s="1"/>
  <c r="G2135" i="6"/>
  <c r="G2168" i="6" s="1"/>
  <c r="G315" i="6"/>
  <c r="G348" i="6" s="1"/>
  <c r="G105" i="6"/>
  <c r="G138" i="6" s="1"/>
  <c r="G595" i="6"/>
  <c r="G628" i="6" s="1"/>
  <c r="G175" i="6"/>
  <c r="G208" i="6" s="1"/>
  <c r="G31" i="6"/>
  <c r="G30" i="6"/>
  <c r="G45" i="6"/>
  <c r="G35" i="6" l="1"/>
  <c r="G68" i="6" s="1"/>
  <c r="H1" i="6" l="1"/>
  <c r="C36" i="8"/>
  <c r="C11" i="8"/>
  <c r="C75" i="8" s="1"/>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N57" i="15" l="1"/>
  <c r="N58" i="15" s="1"/>
  <c r="N59" i="15" s="1"/>
  <c r="C1" i="5"/>
  <c r="C1" i="4"/>
  <c r="N71" i="15" l="1"/>
  <c r="N72" i="15" s="1"/>
  <c r="N73" i="15" s="1"/>
  <c r="N74" i="15" s="1"/>
  <c r="N60" i="15"/>
  <c r="N61" i="15" s="1"/>
  <c r="N62" i="15" s="1"/>
  <c r="N63" i="15" s="1"/>
  <c r="N64" i="15" s="1"/>
  <c r="N65" i="15" s="1"/>
  <c r="N66" i="15" s="1"/>
  <c r="N67" i="15" s="1"/>
  <c r="N68" i="15" s="1"/>
  <c r="N69" i="15" s="1"/>
  <c r="N70" i="15" s="1"/>
  <c r="E67" i="2"/>
  <c r="E66" i="2"/>
  <c r="B66" i="2" s="1"/>
  <c r="E64" i="2"/>
  <c r="B64"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6" i="14" l="1"/>
  <c r="B28" i="6" s="1"/>
  <c r="E20" i="14"/>
  <c r="B31" i="6" s="1"/>
  <c r="E24" i="14"/>
  <c r="E28" i="14"/>
  <c r="E32" i="14"/>
  <c r="E36" i="14"/>
  <c r="E40" i="14"/>
  <c r="E44" i="14"/>
  <c r="E48" i="14"/>
  <c r="E52" i="14"/>
  <c r="E56" i="14"/>
  <c r="E60" i="14"/>
  <c r="E64" i="14"/>
  <c r="E68" i="14"/>
  <c r="E72" i="14"/>
  <c r="E76" i="14"/>
  <c r="E80" i="14"/>
  <c r="E84" i="14"/>
  <c r="E88" i="14"/>
  <c r="E92" i="14"/>
  <c r="E96" i="14"/>
  <c r="E100" i="14"/>
  <c r="E104" i="14"/>
  <c r="E108" i="14"/>
  <c r="E112" i="14"/>
  <c r="E116" i="14"/>
  <c r="E120" i="14"/>
  <c r="E124" i="14"/>
  <c r="E128" i="14"/>
  <c r="E132" i="14"/>
  <c r="E136" i="14"/>
  <c r="E140" i="14"/>
  <c r="E144" i="14"/>
  <c r="E148" i="14"/>
  <c r="E152" i="14"/>
  <c r="E156" i="14"/>
  <c r="E160" i="14"/>
  <c r="E164" i="14"/>
  <c r="E168" i="14"/>
  <c r="E172" i="14"/>
  <c r="E176" i="14"/>
  <c r="E180" i="14"/>
  <c r="E184" i="14"/>
  <c r="E188" i="14"/>
  <c r="E192" i="14"/>
  <c r="E17" i="14"/>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21" i="14"/>
  <c r="E125" i="14"/>
  <c r="E129" i="14"/>
  <c r="E133" i="14"/>
  <c r="E137" i="14"/>
  <c r="E141" i="14"/>
  <c r="E145" i="14"/>
  <c r="E149" i="14"/>
  <c r="E153" i="14"/>
  <c r="E157" i="14"/>
  <c r="E161" i="14"/>
  <c r="E165" i="14"/>
  <c r="E169" i="14"/>
  <c r="E173" i="14"/>
  <c r="E177" i="14"/>
  <c r="E181" i="14"/>
  <c r="E185" i="14"/>
  <c r="E189" i="14"/>
  <c r="E193" i="14"/>
  <c r="E197" i="14"/>
  <c r="E201" i="14"/>
  <c r="E205" i="14"/>
  <c r="E209" i="14"/>
  <c r="E213" i="14"/>
  <c r="E217" i="14"/>
  <c r="E221" i="14"/>
  <c r="E225" i="14"/>
  <c r="E229" i="14"/>
  <c r="E233" i="14"/>
  <c r="E237" i="14"/>
  <c r="E241" i="14"/>
  <c r="E245" i="14"/>
  <c r="E249" i="14"/>
  <c r="E253" i="14"/>
  <c r="E257" i="14"/>
  <c r="E261" i="14"/>
  <c r="E265" i="14"/>
  <c r="E269" i="14"/>
  <c r="E273" i="14"/>
  <c r="E277" i="14"/>
  <c r="E281" i="14"/>
  <c r="E285" i="14"/>
  <c r="E289" i="14"/>
  <c r="E293" i="14"/>
  <c r="E297" i="14"/>
  <c r="E301" i="14"/>
  <c r="E305" i="14"/>
  <c r="E309" i="14"/>
  <c r="E313" i="14"/>
  <c r="E317" i="14"/>
  <c r="E321" i="14"/>
  <c r="E325" i="14"/>
  <c r="E329" i="14"/>
  <c r="E18" i="14"/>
  <c r="E22" i="14"/>
  <c r="E26" i="14"/>
  <c r="E30" i="14"/>
  <c r="E34" i="14"/>
  <c r="E38" i="14"/>
  <c r="E42" i="14"/>
  <c r="E46" i="14"/>
  <c r="E50" i="14"/>
  <c r="E54" i="14"/>
  <c r="B50" i="6" s="1"/>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390" i="14"/>
  <c r="E394" i="14"/>
  <c r="E398" i="14"/>
  <c r="E402" i="14"/>
  <c r="E406" i="14"/>
  <c r="E410" i="14"/>
  <c r="E414" i="14"/>
  <c r="E418" i="14"/>
  <c r="E422" i="14"/>
  <c r="E426" i="14"/>
  <c r="E430" i="14"/>
  <c r="E434" i="14"/>
  <c r="E438" i="14"/>
  <c r="E442" i="14"/>
  <c r="E446" i="14"/>
  <c r="E450" i="14"/>
  <c r="E454" i="14"/>
  <c r="E458" i="14"/>
  <c r="E462" i="14"/>
  <c r="E466" i="14"/>
  <c r="E470" i="14"/>
  <c r="E474" i="14"/>
  <c r="E478" i="14"/>
  <c r="E482" i="14"/>
  <c r="E486" i="14"/>
  <c r="E490" i="14"/>
  <c r="E494" i="14"/>
  <c r="E498" i="14"/>
  <c r="E502" i="14"/>
  <c r="E506" i="14"/>
  <c r="E510" i="14"/>
  <c r="E514" i="14"/>
  <c r="E518" i="14"/>
  <c r="E522" i="14"/>
  <c r="E526" i="14"/>
  <c r="E530" i="14"/>
  <c r="E534" i="14"/>
  <c r="E538" i="14"/>
  <c r="E542" i="14"/>
  <c r="E5" i="14"/>
  <c r="B40" i="6" s="1"/>
  <c r="E9" i="14"/>
  <c r="E13" i="14"/>
  <c r="E59" i="14"/>
  <c r="E139" i="14"/>
  <c r="E199" i="14"/>
  <c r="E231" i="14"/>
  <c r="E271" i="14"/>
  <c r="E303" i="14"/>
  <c r="E333" i="14"/>
  <c r="E355" i="14"/>
  <c r="E376" i="14"/>
  <c r="E403" i="14"/>
  <c r="E440" i="14"/>
  <c r="E461" i="14"/>
  <c r="E488" i="14"/>
  <c r="E515" i="14"/>
  <c r="E6" i="14"/>
  <c r="B41" i="6" s="1"/>
  <c r="E15" i="14"/>
  <c r="B27" i="6" s="1"/>
  <c r="E31" i="14"/>
  <c r="E47" i="14"/>
  <c r="E63" i="14"/>
  <c r="E79" i="14"/>
  <c r="E95" i="14"/>
  <c r="E111" i="14"/>
  <c r="E127" i="14"/>
  <c r="E143" i="14"/>
  <c r="E159" i="14"/>
  <c r="E175" i="14"/>
  <c r="E191" i="14"/>
  <c r="E200" i="14"/>
  <c r="E208" i="14"/>
  <c r="E216" i="14"/>
  <c r="E224" i="14"/>
  <c r="E232" i="14"/>
  <c r="E240" i="14"/>
  <c r="E248" i="14"/>
  <c r="E256" i="14"/>
  <c r="E264" i="14"/>
  <c r="E272" i="14"/>
  <c r="E280" i="14"/>
  <c r="E288" i="14"/>
  <c r="E296" i="14"/>
  <c r="E304" i="14"/>
  <c r="E312" i="14"/>
  <c r="E320" i="14"/>
  <c r="E328" i="14"/>
  <c r="E335" i="14"/>
  <c r="E340" i="14"/>
  <c r="E345" i="14"/>
  <c r="E351" i="14"/>
  <c r="E356" i="14"/>
  <c r="E361" i="14"/>
  <c r="E367" i="14"/>
  <c r="E372" i="14"/>
  <c r="E377" i="14"/>
  <c r="E383" i="14"/>
  <c r="E388" i="14"/>
  <c r="E393" i="14"/>
  <c r="E399" i="14"/>
  <c r="E404" i="14"/>
  <c r="E409" i="14"/>
  <c r="E415" i="14"/>
  <c r="E420" i="14"/>
  <c r="E425" i="14"/>
  <c r="E431" i="14"/>
  <c r="E436" i="14"/>
  <c r="E441" i="14"/>
  <c r="E447" i="14"/>
  <c r="E452" i="14"/>
  <c r="E457" i="14"/>
  <c r="E463" i="14"/>
  <c r="E468" i="14"/>
  <c r="E473" i="14"/>
  <c r="E479" i="14"/>
  <c r="E484" i="14"/>
  <c r="E489" i="14"/>
  <c r="E495" i="14"/>
  <c r="E500" i="14"/>
  <c r="E505" i="14"/>
  <c r="E511" i="14"/>
  <c r="E516" i="14"/>
  <c r="E521" i="14"/>
  <c r="E527" i="14"/>
  <c r="E532" i="14"/>
  <c r="E537" i="14"/>
  <c r="E543" i="14"/>
  <c r="E7" i="14"/>
  <c r="B42" i="6" s="1"/>
  <c r="E12" i="14"/>
  <c r="E23" i="14"/>
  <c r="E71" i="14"/>
  <c r="E103" i="14"/>
  <c r="E119" i="14"/>
  <c r="E151" i="14"/>
  <c r="E167" i="14"/>
  <c r="E196" i="14"/>
  <c r="E220" i="14"/>
  <c r="E236" i="14"/>
  <c r="E252" i="14"/>
  <c r="E276" i="14"/>
  <c r="E300" i="14"/>
  <c r="E316" i="14"/>
  <c r="E337" i="14"/>
  <c r="E353" i="14"/>
  <c r="E369" i="14"/>
  <c r="E385" i="14"/>
  <c r="E401" i="14"/>
  <c r="E417" i="14"/>
  <c r="E428" i="14"/>
  <c r="E439" i="14"/>
  <c r="E460" i="14"/>
  <c r="E471" i="14"/>
  <c r="E487" i="14"/>
  <c r="E503" i="14"/>
  <c r="E519" i="14"/>
  <c r="E535" i="14"/>
  <c r="E10" i="14"/>
  <c r="E107" i="14"/>
  <c r="E187" i="14"/>
  <c r="E223" i="14"/>
  <c r="E247" i="14"/>
  <c r="E279" i="14"/>
  <c r="E319" i="14"/>
  <c r="E344" i="14"/>
  <c r="E365" i="14"/>
  <c r="E392" i="14"/>
  <c r="E413" i="14"/>
  <c r="E429" i="14"/>
  <c r="E451" i="14"/>
  <c r="E477" i="14"/>
  <c r="E499" i="14"/>
  <c r="E520" i="14"/>
  <c r="E541" i="14"/>
  <c r="E19" i="14"/>
  <c r="B30" i="6" s="1"/>
  <c r="E35" i="14"/>
  <c r="E51" i="14"/>
  <c r="E67" i="14"/>
  <c r="E83" i="14"/>
  <c r="E99" i="14"/>
  <c r="E115" i="14"/>
  <c r="E131" i="14"/>
  <c r="E147" i="14"/>
  <c r="E163" i="14"/>
  <c r="E179" i="14"/>
  <c r="E195" i="14"/>
  <c r="E203" i="14"/>
  <c r="E211" i="14"/>
  <c r="E219" i="14"/>
  <c r="E227" i="14"/>
  <c r="E235" i="14"/>
  <c r="E243" i="14"/>
  <c r="E251" i="14"/>
  <c r="E259" i="14"/>
  <c r="E267" i="14"/>
  <c r="E275" i="14"/>
  <c r="E283" i="14"/>
  <c r="E291" i="14"/>
  <c r="E299" i="14"/>
  <c r="E307" i="14"/>
  <c r="E315" i="14"/>
  <c r="E323" i="14"/>
  <c r="E331" i="14"/>
  <c r="E336" i="14"/>
  <c r="E341" i="14"/>
  <c r="E347" i="14"/>
  <c r="E352" i="14"/>
  <c r="E357" i="14"/>
  <c r="E363" i="14"/>
  <c r="E368" i="14"/>
  <c r="E373" i="14"/>
  <c r="E379" i="14"/>
  <c r="E384" i="14"/>
  <c r="E389" i="14"/>
  <c r="E395" i="14"/>
  <c r="E400" i="14"/>
  <c r="E405" i="14"/>
  <c r="E411" i="14"/>
  <c r="E416" i="14"/>
  <c r="E421" i="14"/>
  <c r="E427" i="14"/>
  <c r="E432" i="14"/>
  <c r="E437" i="14"/>
  <c r="E443" i="14"/>
  <c r="E448" i="14"/>
  <c r="E453" i="14"/>
  <c r="E459" i="14"/>
  <c r="E464" i="14"/>
  <c r="E469" i="14"/>
  <c r="E475" i="14"/>
  <c r="E480" i="14"/>
  <c r="E485" i="14"/>
  <c r="E491" i="14"/>
  <c r="E496" i="14"/>
  <c r="E501" i="14"/>
  <c r="E507" i="14"/>
  <c r="E512" i="14"/>
  <c r="E517" i="14"/>
  <c r="E523" i="14"/>
  <c r="E528" i="14"/>
  <c r="E533" i="14"/>
  <c r="E539" i="14"/>
  <c r="E544" i="14"/>
  <c r="E8" i="14"/>
  <c r="E14" i="14"/>
  <c r="E39" i="14"/>
  <c r="E87" i="14"/>
  <c r="E135" i="14"/>
  <c r="E183" i="14"/>
  <c r="E204" i="14"/>
  <c r="E228" i="14"/>
  <c r="E244" i="14"/>
  <c r="E268" i="14"/>
  <c r="E284" i="14"/>
  <c r="E308" i="14"/>
  <c r="E332" i="14"/>
  <c r="E348" i="14"/>
  <c r="E364" i="14"/>
  <c r="E380" i="14"/>
  <c r="E391" i="14"/>
  <c r="E412" i="14"/>
  <c r="E433" i="14"/>
  <c r="E444" i="14"/>
  <c r="E455" i="14"/>
  <c r="E476" i="14"/>
  <c r="E492" i="14"/>
  <c r="E508" i="14"/>
  <c r="E524" i="14"/>
  <c r="E540" i="14"/>
  <c r="E43" i="14"/>
  <c r="E215" i="14"/>
  <c r="E263" i="14"/>
  <c r="E295" i="14"/>
  <c r="E327" i="14"/>
  <c r="E349" i="14"/>
  <c r="E371" i="14"/>
  <c r="E387" i="14"/>
  <c r="E408" i="14"/>
  <c r="E424" i="14"/>
  <c r="E445" i="14"/>
  <c r="E467" i="14"/>
  <c r="E483" i="14"/>
  <c r="E504" i="14"/>
  <c r="E525" i="14"/>
  <c r="E536" i="14"/>
  <c r="E55" i="14"/>
  <c r="E212" i="14"/>
  <c r="E260" i="14"/>
  <c r="E292" i="14"/>
  <c r="E324" i="14"/>
  <c r="E343" i="14"/>
  <c r="E359" i="14"/>
  <c r="E375" i="14"/>
  <c r="E396" i="14"/>
  <c r="E407" i="14"/>
  <c r="E423" i="14"/>
  <c r="E449" i="14"/>
  <c r="E465" i="14"/>
  <c r="E481" i="14"/>
  <c r="E497" i="14"/>
  <c r="E513" i="14"/>
  <c r="E529" i="14"/>
  <c r="E4" i="14"/>
  <c r="B39" i="6" s="1"/>
  <c r="E27" i="14"/>
  <c r="E75" i="14"/>
  <c r="E91" i="14"/>
  <c r="E123" i="14"/>
  <c r="E155" i="14"/>
  <c r="E171" i="14"/>
  <c r="E207" i="14"/>
  <c r="E239" i="14"/>
  <c r="E255" i="14"/>
  <c r="E287" i="14"/>
  <c r="E311" i="14"/>
  <c r="E339" i="14"/>
  <c r="E360" i="14"/>
  <c r="E381" i="14"/>
  <c r="E397" i="14"/>
  <c r="E419" i="14"/>
  <c r="E435" i="14"/>
  <c r="E456" i="14"/>
  <c r="E472" i="14"/>
  <c r="E493" i="14"/>
  <c r="E509" i="14"/>
  <c r="E531" i="14"/>
  <c r="E11"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N34" i="15"/>
  <c r="N35" i="15" s="1"/>
  <c r="N36" i="15" s="1"/>
  <c r="N37" i="15" s="1"/>
  <c r="N38" i="15" s="1"/>
  <c r="N39" i="15" s="1"/>
  <c r="N40" i="15" s="1"/>
  <c r="N41" i="15" s="1"/>
  <c r="N42" i="15" s="1"/>
  <c r="N43" i="15" s="1"/>
  <c r="N44" i="15" s="1"/>
  <c r="N45" i="15" s="1"/>
  <c r="N46" i="15" s="1"/>
  <c r="N47" i="15" s="1"/>
  <c r="N48" i="15" s="1"/>
  <c r="N49" i="15" s="1"/>
  <c r="N50" i="15" s="1"/>
  <c r="N51" i="15" s="1"/>
  <c r="N52" i="15" s="1"/>
  <c r="N53" i="15" s="1"/>
  <c r="N54" i="15" s="1"/>
  <c r="N55" i="15" s="1"/>
  <c r="N56" i="15" s="1"/>
  <c r="M34" i="15"/>
  <c r="M35" i="15" s="1"/>
  <c r="BC13" i="9"/>
  <c r="BC14" i="9"/>
  <c r="M36" i="15" l="1"/>
  <c r="A18" i="2"/>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A20" i="2"/>
  <c r="A19" i="2"/>
  <c r="AF11" i="9"/>
  <c r="A13" i="9"/>
  <c r="B20" i="2" l="1"/>
  <c r="D20" i="2"/>
  <c r="E20" i="2"/>
  <c r="A18" i="18"/>
  <c r="B19" i="2"/>
  <c r="D19" i="2"/>
  <c r="E19" i="2"/>
  <c r="A17" i="18"/>
  <c r="M38" i="15"/>
  <c r="A21" i="2"/>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A22" i="2"/>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D22" i="2" l="1"/>
  <c r="A20" i="18"/>
  <c r="B22" i="2"/>
  <c r="E22" i="2"/>
  <c r="M40" i="15"/>
  <c r="A23" i="2"/>
  <c r="A17" i="9"/>
  <c r="AI11" i="9"/>
  <c r="E75" i="8"/>
  <c r="B23" i="2" l="1"/>
  <c r="E23" i="2"/>
  <c r="D23" i="2"/>
  <c r="A21" i="18"/>
  <c r="M41" i="15"/>
  <c r="A24" i="2"/>
  <c r="A18" i="9"/>
  <c r="AJ11" i="9"/>
  <c r="D36" i="8"/>
  <c r="D24" i="2" l="1"/>
  <c r="A22" i="18"/>
  <c r="E24" i="2"/>
  <c r="B24" i="2"/>
  <c r="A19" i="9"/>
  <c r="M42" i="15"/>
  <c r="A25" i="2"/>
  <c r="AK11" i="9"/>
  <c r="B5" i="8"/>
  <c r="B4" i="8"/>
  <c r="B3" i="8"/>
  <c r="B2" i="8"/>
  <c r="M43" i="15" l="1"/>
  <c r="A26" i="2"/>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67" i="2"/>
  <c r="D26" i="2" l="1"/>
  <c r="A24" i="18"/>
  <c r="B26" i="2"/>
  <c r="E26" i="2"/>
  <c r="A21" i="9"/>
  <c r="M44" i="15"/>
  <c r="A27" i="2"/>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M45" i="15" l="1"/>
  <c r="A28" i="2"/>
  <c r="B27" i="2"/>
  <c r="E27" i="2"/>
  <c r="A25" i="18"/>
  <c r="D27" i="2"/>
  <c r="A22" i="9"/>
  <c r="A26" i="18" l="1"/>
  <c r="D28" i="2"/>
  <c r="E28" i="2"/>
  <c r="B28" i="2"/>
  <c r="A23" i="9"/>
  <c r="M46" i="15"/>
  <c r="A29" i="2"/>
  <c r="M47" i="15" l="1"/>
  <c r="A30" i="2"/>
  <c r="B29" i="2"/>
  <c r="D29" i="2"/>
  <c r="E29" i="2"/>
  <c r="A27" i="18"/>
  <c r="A24" i="9"/>
  <c r="M48" i="15" l="1"/>
  <c r="A31" i="2"/>
  <c r="D30" i="2"/>
  <c r="A28" i="18"/>
  <c r="B30" i="2"/>
  <c r="E30" i="2"/>
  <c r="A25" i="9"/>
  <c r="B31" i="2" l="1"/>
  <c r="E31" i="2"/>
  <c r="A29" i="18"/>
  <c r="D31" i="2"/>
  <c r="A26" i="9"/>
  <c r="M49" i="15"/>
  <c r="A32" i="2"/>
  <c r="A30" i="18" l="1"/>
  <c r="D32" i="2"/>
  <c r="E32" i="2"/>
  <c r="B32" i="2"/>
  <c r="A27" i="9"/>
  <c r="M50" i="15"/>
  <c r="A33" i="2"/>
  <c r="M51" i="15" l="1"/>
  <c r="A34" i="2"/>
  <c r="B33" i="2"/>
  <c r="D33" i="2"/>
  <c r="E33" i="2"/>
  <c r="A31" i="18"/>
  <c r="A28" i="9"/>
  <c r="D34" i="2" l="1"/>
  <c r="A32" i="18"/>
  <c r="B34" i="2"/>
  <c r="E34" i="2"/>
  <c r="A29" i="9"/>
  <c r="M52" i="15"/>
  <c r="A35" i="2"/>
  <c r="B35" i="2" l="1"/>
  <c r="E35" i="2"/>
  <c r="D35" i="2"/>
  <c r="A33" i="18"/>
  <c r="A30" i="9"/>
  <c r="M53" i="15"/>
  <c r="A36" i="2"/>
  <c r="D36" i="2" l="1"/>
  <c r="A34" i="18"/>
  <c r="E36" i="2"/>
  <c r="B36" i="2"/>
  <c r="A31" i="9"/>
  <c r="M54" i="15"/>
  <c r="A37" i="2"/>
  <c r="B37" i="2" l="1"/>
  <c r="D37" i="2"/>
  <c r="E37" i="2"/>
  <c r="A35" i="18"/>
  <c r="A32" i="9"/>
  <c r="M55" i="15"/>
  <c r="A38" i="2"/>
  <c r="D38" i="2" l="1"/>
  <c r="A36" i="18"/>
  <c r="B38" i="2"/>
  <c r="E38" i="2"/>
  <c r="A33" i="9"/>
  <c r="M56" i="15"/>
  <c r="A39" i="2"/>
  <c r="M57" i="15" l="1"/>
  <c r="A40" i="2"/>
  <c r="B39" i="2"/>
  <c r="E39" i="2"/>
  <c r="A37" i="18"/>
  <c r="D39" i="2"/>
  <c r="A34" i="9"/>
  <c r="D40" i="2" l="1"/>
  <c r="A38" i="18"/>
  <c r="E40" i="2"/>
  <c r="B40" i="2"/>
  <c r="A35" i="9"/>
  <c r="M58" i="15"/>
  <c r="A41" i="2"/>
  <c r="M59" i="15" l="1"/>
  <c r="A42" i="2"/>
  <c r="B986" i="2" s="1"/>
  <c r="B41" i="2"/>
  <c r="D41" i="2"/>
  <c r="E41" i="2"/>
  <c r="A39" i="18"/>
  <c r="A36" i="9"/>
  <c r="A37" i="9" l="1"/>
  <c r="D42" i="2"/>
  <c r="A40" i="18"/>
  <c r="B42" i="2"/>
  <c r="E42" i="2"/>
  <c r="M60" i="15"/>
  <c r="M61" i="15" l="1"/>
  <c r="A43" i="2"/>
  <c r="B920" i="15"/>
  <c r="A44" i="2" l="1"/>
  <c r="B970" i="15"/>
  <c r="B43" i="2"/>
  <c r="E43" i="2"/>
  <c r="D43" i="2"/>
  <c r="A41" i="18"/>
  <c r="A38" i="9"/>
  <c r="B1036" i="2"/>
  <c r="M62" i="15"/>
  <c r="B7" i="6"/>
  <c r="M63" i="15" l="1"/>
  <c r="A45" i="2"/>
  <c r="B1020" i="15"/>
  <c r="A42" i="18"/>
  <c r="D44" i="2"/>
  <c r="E44" i="2"/>
  <c r="B44" i="2"/>
  <c r="B1086" i="2"/>
  <c r="A39" i="9"/>
  <c r="B6" i="6"/>
  <c r="A68" i="6"/>
  <c r="B45" i="2" l="1"/>
  <c r="D45" i="2"/>
  <c r="E45" i="2"/>
  <c r="A43" i="18"/>
  <c r="A40" i="9"/>
  <c r="B1136" i="2"/>
  <c r="A46" i="2"/>
  <c r="B1070" i="15"/>
  <c r="M64" i="15"/>
  <c r="B77" i="6"/>
  <c r="H71" i="6"/>
  <c r="A47" i="2" l="1"/>
  <c r="B1120" i="15"/>
  <c r="D46" i="2"/>
  <c r="A44" i="18"/>
  <c r="B46" i="2"/>
  <c r="E46" i="2"/>
  <c r="B1186" i="2"/>
  <c r="A41" i="9"/>
  <c r="M65" i="15"/>
  <c r="A48" i="2"/>
  <c r="A43" i="9" s="1"/>
  <c r="B76" i="6"/>
  <c r="A138" i="6"/>
  <c r="B1236" i="2" l="1"/>
  <c r="A46" i="18"/>
  <c r="D48" i="2"/>
  <c r="E48" i="2"/>
  <c r="B48" i="2"/>
  <c r="M66" i="15"/>
  <c r="B47" i="2"/>
  <c r="E47" i="2"/>
  <c r="A45" i="18"/>
  <c r="D47" i="2"/>
  <c r="A42" i="9"/>
  <c r="B147" i="6"/>
  <c r="H141" i="6"/>
  <c r="M67" i="15" l="1"/>
  <c r="A49" i="2"/>
  <c r="B1170" i="15"/>
  <c r="B146" i="6"/>
  <c r="A208" i="6"/>
  <c r="M68" i="15" l="1"/>
  <c r="A51" i="2"/>
  <c r="A46" i="9" s="1"/>
  <c r="B49" i="2"/>
  <c r="D49" i="2"/>
  <c r="E49" i="2"/>
  <c r="A47" i="18"/>
  <c r="A44" i="9"/>
  <c r="B1286" i="2"/>
  <c r="A50" i="2"/>
  <c r="B1220" i="15"/>
  <c r="H211" i="6"/>
  <c r="B217" i="6"/>
  <c r="B1336" i="2" l="1"/>
  <c r="D50" i="2"/>
  <c r="A48" i="18"/>
  <c r="B50" i="2"/>
  <c r="E50" i="2"/>
  <c r="A45" i="9"/>
  <c r="B51" i="2"/>
  <c r="E51" i="2"/>
  <c r="A49" i="18"/>
  <c r="D51" i="2"/>
  <c r="M69" i="15"/>
  <c r="B216" i="6"/>
  <c r="A278" i="6"/>
  <c r="M70" i="15" l="1"/>
  <c r="A52" i="2"/>
  <c r="B1270" i="15"/>
  <c r="H281" i="6"/>
  <c r="B287" i="6"/>
  <c r="A53" i="2" l="1"/>
  <c r="B1320" i="15"/>
  <c r="A50" i="18"/>
  <c r="B52" i="2"/>
  <c r="E52" i="2"/>
  <c r="D52" i="2"/>
  <c r="A47" i="9"/>
  <c r="B1386" i="2"/>
  <c r="M71" i="15"/>
  <c r="B286" i="6"/>
  <c r="A348" i="6"/>
  <c r="A54" i="2" l="1"/>
  <c r="B1370" i="15"/>
  <c r="M72" i="15"/>
  <c r="B53" i="2"/>
  <c r="E53" i="2"/>
  <c r="A51" i="18"/>
  <c r="D53" i="2"/>
  <c r="A48" i="9"/>
  <c r="B1436" i="2"/>
  <c r="B357" i="6"/>
  <c r="H351" i="6"/>
  <c r="M73" i="15" l="1"/>
  <c r="A55" i="2"/>
  <c r="B1420" i="15"/>
  <c r="E54" i="2"/>
  <c r="D54" i="2"/>
  <c r="A52" i="18"/>
  <c r="B54" i="2"/>
  <c r="A49" i="9"/>
  <c r="B1486" i="2"/>
  <c r="B356" i="6"/>
  <c r="A418" i="6"/>
  <c r="E55" i="2" l="1"/>
  <c r="A53" i="18"/>
  <c r="B55" i="2"/>
  <c r="D55" i="2"/>
  <c r="A50" i="9"/>
  <c r="B1536" i="2"/>
  <c r="A56" i="2"/>
  <c r="B1470" i="15"/>
  <c r="M74" i="15"/>
  <c r="B427" i="6"/>
  <c r="H421" i="6"/>
  <c r="A57" i="2" l="1"/>
  <c r="B1520" i="15"/>
  <c r="E56" i="2"/>
  <c r="A54" i="18"/>
  <c r="D56" i="2"/>
  <c r="B56" i="2"/>
  <c r="A51" i="9"/>
  <c r="B1586" i="2"/>
  <c r="B426" i="6"/>
  <c r="A488" i="6"/>
  <c r="A58" i="2" l="1"/>
  <c r="B1570" i="15"/>
  <c r="E57" i="2"/>
  <c r="A55" i="18"/>
  <c r="B57" i="2"/>
  <c r="D57" i="2"/>
  <c r="A52" i="9"/>
  <c r="B1636" i="2"/>
  <c r="H491" i="6"/>
  <c r="B497" i="6"/>
  <c r="B1620" i="15" l="1"/>
  <c r="E58" i="2"/>
  <c r="B58" i="2"/>
  <c r="A56" i="18"/>
  <c r="D58" i="2"/>
  <c r="B1686" i="2"/>
  <c r="A53" i="9"/>
  <c r="B496" i="6"/>
  <c r="A558" i="6"/>
  <c r="B1736" i="2"/>
  <c r="H561" i="6" l="1"/>
  <c r="B567" i="6"/>
  <c r="B1670" i="15" l="1"/>
  <c r="A628" i="6"/>
  <c r="B566" i="6"/>
  <c r="B1720" i="15" l="1"/>
  <c r="B1786" i="2"/>
  <c r="B637" i="6"/>
  <c r="H631" i="6"/>
  <c r="B1770" i="15" l="1"/>
  <c r="B1836" i="2"/>
  <c r="A698" i="6"/>
  <c r="B636" i="6"/>
  <c r="B1820" i="15" l="1"/>
  <c r="B1886" i="2"/>
  <c r="H701" i="6"/>
  <c r="B707" i="6"/>
  <c r="B1870" i="15" l="1"/>
  <c r="B1936" i="2"/>
  <c r="B706" i="6"/>
  <c r="A768" i="6"/>
  <c r="B1986" i="2"/>
  <c r="H771" i="6" l="1"/>
  <c r="B777" i="6"/>
  <c r="B1920" i="15" l="1"/>
  <c r="B776" i="6"/>
  <c r="A838" i="6"/>
  <c r="B1970" i="15" l="1"/>
  <c r="B2036" i="2"/>
  <c r="H841" i="6"/>
  <c r="B847" i="6"/>
  <c r="A908" i="6" l="1"/>
  <c r="B846" i="6"/>
  <c r="B917" i="6" l="1"/>
  <c r="H911" i="6"/>
  <c r="B916" i="6" l="1"/>
  <c r="A978" i="6"/>
  <c r="H981" i="6" l="1"/>
  <c r="B987" i="6"/>
  <c r="B986" i="6" l="1"/>
  <c r="A1048" i="6"/>
  <c r="B1057" i="6" l="1"/>
  <c r="H1051" i="6"/>
  <c r="B1056" i="6" l="1"/>
  <c r="A1118" i="6"/>
  <c r="B1127" i="6" l="1"/>
  <c r="H1121" i="6"/>
  <c r="B1126" i="6" l="1"/>
  <c r="A1188" i="6"/>
  <c r="B1197" i="6" l="1"/>
  <c r="H1191" i="6"/>
  <c r="A1258" i="6" l="1"/>
  <c r="B1196" i="6"/>
  <c r="H1261" i="6" l="1"/>
  <c r="B1267" i="6"/>
  <c r="B1266" i="6" l="1"/>
  <c r="A1328" i="6"/>
  <c r="H1331" i="6" l="1"/>
  <c r="B1337" i="6"/>
  <c r="B1336" i="6" l="1"/>
  <c r="A1398" i="6"/>
  <c r="H1401" i="6" l="1"/>
  <c r="B1407" i="6"/>
  <c r="A1468" i="6" l="1"/>
  <c r="B1406" i="6"/>
  <c r="B1477" i="6" l="1"/>
  <c r="H1471" i="6"/>
  <c r="A1538" i="6" l="1"/>
  <c r="B1476" i="6"/>
  <c r="B1547" i="6" l="1"/>
  <c r="H1541" i="6"/>
  <c r="A1608" i="6" l="1"/>
  <c r="B1546" i="6"/>
  <c r="B1617" i="6" l="1"/>
  <c r="H1611" i="6"/>
  <c r="B1616" i="6" l="1"/>
  <c r="A1678" i="6"/>
  <c r="B1687" i="6" l="1"/>
  <c r="H1681" i="6"/>
  <c r="B1686" i="6" l="1"/>
  <c r="A1748" i="6"/>
  <c r="H1751" i="6" l="1"/>
  <c r="B1757" i="6"/>
  <c r="A1818" i="6" l="1"/>
  <c r="B1756" i="6"/>
  <c r="B1827" i="6" l="1"/>
  <c r="H1821" i="6"/>
  <c r="B1826" i="6" l="1"/>
  <c r="A1888" i="6"/>
  <c r="B1897" i="6" l="1"/>
  <c r="H1891" i="6"/>
  <c r="B1896" i="6" l="1"/>
  <c r="A1958" i="6"/>
  <c r="H1961" i="6" l="1"/>
  <c r="B1967" i="6"/>
  <c r="B1966" i="6" l="1"/>
  <c r="A2028" i="6"/>
  <c r="H2031" i="6" l="1"/>
  <c r="B2037" i="6"/>
  <c r="B2036" i="6" l="1"/>
  <c r="A2098" i="6"/>
  <c r="B2107" i="6" l="1"/>
  <c r="H2101" i="6"/>
  <c r="B2106" i="6" l="1"/>
  <c r="A2168" i="6"/>
  <c r="B2177" i="6" l="1"/>
  <c r="H2171" i="6"/>
  <c r="B2176" i="6" l="1"/>
  <c r="A2238" i="6"/>
  <c r="H2241" i="6" l="1"/>
  <c r="B2247" i="6"/>
  <c r="A2308" i="6" l="1"/>
  <c r="B2246" i="6"/>
  <c r="H2311" i="6" l="1"/>
  <c r="B2317" i="6"/>
  <c r="B2316" i="6" l="1"/>
  <c r="A2378" i="6"/>
  <c r="B2387" i="6" l="1"/>
  <c r="H2381" i="6"/>
  <c r="B2386" i="6" l="1"/>
  <c r="A2448" i="6"/>
  <c r="B2457" i="6" l="1"/>
  <c r="H2451" i="6"/>
  <c r="A2518" i="6" l="1"/>
  <c r="B2456" i="6"/>
  <c r="H2521" i="6" l="1"/>
  <c r="B2527" i="6"/>
  <c r="A2588" i="6" l="1"/>
  <c r="B2526" i="6"/>
  <c r="H2591" i="6" l="1"/>
  <c r="B2597" i="6"/>
  <c r="B2596" i="6" l="1"/>
  <c r="A2658" i="6"/>
  <c r="B2667" i="6" l="1"/>
  <c r="H2661" i="6"/>
  <c r="A2728" i="6" l="1"/>
  <c r="B2666" i="6"/>
  <c r="D18" i="2" l="1"/>
  <c r="B18" i="2"/>
  <c r="B16" i="18" l="1"/>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6" i="18"/>
  <c r="B45" i="18"/>
  <c r="B47" i="18"/>
  <c r="B48" i="18"/>
  <c r="B49" i="18"/>
  <c r="B50" i="18"/>
  <c r="B51" i="18"/>
  <c r="B52" i="18"/>
  <c r="B53" i="18"/>
  <c r="B54" i="18"/>
  <c r="B55" i="18"/>
  <c r="B56"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B14" i="9"/>
  <c r="C7" i="6"/>
  <c r="B68" i="6" s="1"/>
  <c r="G7" i="6"/>
  <c r="E22" i="6" s="1"/>
  <c r="B49" i="9"/>
  <c r="B51" i="9"/>
  <c r="B50" i="9"/>
  <c r="B53" i="9"/>
  <c r="B52" i="9"/>
  <c r="B41" i="9"/>
  <c r="B43" i="9"/>
  <c r="B39" i="9"/>
  <c r="B45" i="9"/>
  <c r="B47" i="9"/>
  <c r="B40" i="9"/>
  <c r="B48" i="9"/>
  <c r="B38" i="9"/>
  <c r="B37" i="9"/>
  <c r="B42" i="9"/>
  <c r="B33" i="9"/>
  <c r="B35" i="9"/>
  <c r="B30" i="9"/>
  <c r="B26" i="9"/>
  <c r="B32" i="9"/>
  <c r="B27" i="9"/>
  <c r="B24" i="9"/>
  <c r="B23" i="9"/>
  <c r="B22" i="9"/>
  <c r="B19" i="9"/>
  <c r="B18" i="9"/>
  <c r="B16" i="9"/>
  <c r="B15" i="9"/>
  <c r="B25" i="9"/>
  <c r="B31" i="9"/>
  <c r="B17" i="9"/>
  <c r="B46" i="9"/>
  <c r="B20" i="9"/>
  <c r="B44" i="9"/>
  <c r="B21" i="9"/>
  <c r="B36" i="9"/>
  <c r="B29" i="9"/>
  <c r="B34" i="9"/>
  <c r="B28" i="9"/>
  <c r="B13" i="9"/>
  <c r="E18" i="2"/>
  <c r="D16" i="18" l="1"/>
  <c r="D18" i="18"/>
  <c r="D17"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6" i="18"/>
  <c r="D45" i="18"/>
  <c r="D47" i="18"/>
  <c r="D49" i="18"/>
  <c r="D48" i="18"/>
  <c r="D50" i="18"/>
  <c r="D51" i="18"/>
  <c r="D52" i="18"/>
  <c r="D53" i="18"/>
  <c r="D54" i="18"/>
  <c r="D55" i="18"/>
  <c r="D56" i="18"/>
  <c r="F68" i="6"/>
  <c r="F69" i="6"/>
  <c r="C6" i="6" l="1"/>
  <c r="H66" i="2" l="1"/>
  <c r="H67" i="2" l="1"/>
  <c r="C2596" i="6" l="1"/>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F1258" i="6" l="1"/>
  <c r="F348" i="6"/>
  <c r="F1819" i="6"/>
  <c r="F768" i="6"/>
  <c r="E302" i="6"/>
  <c r="F1818" i="6"/>
  <c r="F769" i="6"/>
  <c r="F2378" i="6"/>
  <c r="E2332" i="6"/>
  <c r="E2262" i="6"/>
  <c r="F1958" i="6"/>
  <c r="F2168" i="6"/>
  <c r="F2519" i="6"/>
  <c r="F2028" i="6"/>
  <c r="F139" i="6"/>
  <c r="F629" i="6"/>
  <c r="E862" i="6"/>
  <c r="F909" i="6"/>
  <c r="F1959" i="6"/>
  <c r="F1398" i="6"/>
  <c r="E1982" i="6"/>
  <c r="F2309" i="6"/>
  <c r="E582" i="6"/>
  <c r="F1118" i="6"/>
  <c r="F1748" i="6"/>
  <c r="E2472" i="6"/>
  <c r="E2542" i="6"/>
  <c r="F2589" i="6"/>
  <c r="F209" i="6"/>
  <c r="E372" i="6"/>
  <c r="E1282" i="6"/>
  <c r="E1702" i="6"/>
  <c r="F699" i="6"/>
  <c r="F838" i="6"/>
  <c r="F1889" i="6"/>
  <c r="F2239" i="6"/>
  <c r="F2729" i="6"/>
  <c r="E1422" i="6"/>
  <c r="F1679" i="6"/>
  <c r="F1678" i="6"/>
  <c r="F2098" i="6"/>
  <c r="F2099" i="6"/>
  <c r="F1539" i="6"/>
  <c r="F1188" i="6"/>
  <c r="E1142" i="6"/>
  <c r="E232" i="6"/>
  <c r="F279" i="6"/>
  <c r="F208" i="6"/>
  <c r="F1048" i="6"/>
  <c r="E1352" i="6"/>
  <c r="E2052" i="6"/>
  <c r="F2448" i="6"/>
  <c r="F2449" i="6"/>
  <c r="E932" i="6"/>
  <c r="F978" i="6"/>
  <c r="E1212" i="6"/>
  <c r="F1538" i="6"/>
  <c r="F2659" i="6"/>
  <c r="F2658" i="6"/>
  <c r="E442" i="6"/>
  <c r="F1328" i="6"/>
  <c r="F1468" i="6"/>
  <c r="F1608" i="6"/>
  <c r="E1842" i="6"/>
  <c r="F2169" i="6"/>
  <c r="E2402" i="6"/>
  <c r="F2728" i="6"/>
  <c r="F418" i="6"/>
  <c r="E92" i="6"/>
  <c r="F278" i="6"/>
  <c r="E1002" i="6"/>
  <c r="F1119" i="6"/>
  <c r="E1562" i="6"/>
  <c r="E1632" i="6"/>
  <c r="E512" i="6"/>
  <c r="F698" i="6"/>
  <c r="E2192" i="6"/>
  <c r="E792" i="6"/>
  <c r="F489" i="6"/>
  <c r="F559" i="6"/>
  <c r="F18" i="2" l="1"/>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60" i="2" l="1"/>
  <c r="B23" i="15" s="1"/>
  <c r="G19" i="2"/>
  <c r="G18"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G1609" i="6"/>
  <c r="G559" i="6"/>
  <c r="G47" i="2"/>
  <c r="G30" i="2"/>
  <c r="G52" i="2"/>
  <c r="G44" i="2"/>
  <c r="G53" i="2"/>
  <c r="G35" i="2"/>
  <c r="G419" i="6"/>
  <c r="G28" i="2"/>
  <c r="G279" i="6"/>
  <c r="G34" i="2"/>
  <c r="G2379" i="6"/>
  <c r="G2099" i="6"/>
  <c r="G29" i="2"/>
  <c r="G39" i="2"/>
  <c r="G26" i="2"/>
  <c r="G56" i="2"/>
  <c r="G40" i="2"/>
  <c r="G2589" i="6"/>
  <c r="G54" i="2"/>
  <c r="G489" i="6"/>
  <c r="G1889" i="6"/>
  <c r="G38" i="2"/>
  <c r="G2519" i="6"/>
  <c r="G48" i="2"/>
  <c r="G27" i="2"/>
  <c r="G629" i="6"/>
  <c r="G1399" i="6"/>
  <c r="G41" i="2"/>
  <c r="G839" i="6"/>
  <c r="G2029" i="6"/>
  <c r="G23" i="2"/>
  <c r="G1469" i="6"/>
  <c r="B27" i="15"/>
  <c r="G2449" i="6"/>
  <c r="G31" i="2"/>
  <c r="G69" i="6"/>
  <c r="G2169" i="6"/>
  <c r="G769" i="6"/>
  <c r="G42" i="2"/>
  <c r="G2309" i="6"/>
  <c r="G49" i="2"/>
  <c r="G24" i="2"/>
  <c r="G1049" i="6"/>
  <c r="G139" i="6"/>
  <c r="G51" i="2"/>
  <c r="G43" i="2"/>
  <c r="G1749" i="6"/>
  <c r="G2729" i="6"/>
  <c r="G1119" i="6"/>
  <c r="G46" i="2"/>
  <c r="G1679" i="6"/>
  <c r="G699" i="6"/>
  <c r="G1259" i="6"/>
  <c r="G979" i="6"/>
  <c r="G37" i="2"/>
  <c r="G32" i="2"/>
  <c r="G2659" i="6"/>
  <c r="G20" i="2"/>
  <c r="G25" i="2"/>
  <c r="G50" i="2"/>
  <c r="G2239" i="6"/>
  <c r="G33" i="2"/>
  <c r="G57" i="2"/>
  <c r="G349" i="6"/>
  <c r="G36" i="2"/>
  <c r="G55" i="2"/>
  <c r="G1959" i="6"/>
  <c r="G45" i="2"/>
  <c r="G209" i="6"/>
  <c r="G909" i="6"/>
  <c r="G1189" i="6"/>
  <c r="G1539" i="6"/>
  <c r="G58" i="2"/>
  <c r="G1819" i="6"/>
  <c r="G1329" i="6"/>
  <c r="G21" i="2"/>
  <c r="G22" i="2"/>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H58" i="2"/>
  <c r="H56" i="2"/>
  <c r="H54" i="2"/>
  <c r="H52" i="2"/>
  <c r="H50" i="2"/>
  <c r="H48" i="2"/>
  <c r="H46" i="2"/>
  <c r="H44" i="2"/>
  <c r="H42" i="2"/>
  <c r="H40" i="2"/>
  <c r="H38" i="2"/>
  <c r="H36" i="2"/>
  <c r="H34" i="2"/>
  <c r="H32" i="2"/>
  <c r="H30" i="2"/>
  <c r="H28" i="2"/>
  <c r="H26" i="2"/>
  <c r="H24" i="2"/>
  <c r="H22" i="2"/>
  <c r="H20" i="2"/>
  <c r="H57" i="2"/>
  <c r="H55" i="2"/>
  <c r="H53" i="2"/>
  <c r="H51" i="2"/>
  <c r="H49" i="2"/>
  <c r="H47" i="2"/>
  <c r="H45" i="2"/>
  <c r="H43" i="2"/>
  <c r="H41" i="2"/>
  <c r="H39" i="2"/>
  <c r="H37" i="2"/>
  <c r="H35" i="2"/>
  <c r="H33" i="2"/>
  <c r="H31" i="2"/>
  <c r="H29" i="2"/>
  <c r="H27" i="2"/>
  <c r="H25" i="2"/>
  <c r="H23" i="2"/>
  <c r="H21" i="2"/>
  <c r="E63" i="2"/>
  <c r="B63" i="2" s="1"/>
  <c r="H63" i="2"/>
  <c r="E56" i="18"/>
  <c r="E55" i="18"/>
  <c r="E54" i="18"/>
  <c r="E53" i="18"/>
  <c r="E52" i="18"/>
  <c r="E51" i="18"/>
  <c r="E50" i="18"/>
  <c r="E49" i="18"/>
  <c r="E48" i="18"/>
  <c r="E47" i="18"/>
  <c r="E45" i="18"/>
  <c r="E46" i="18"/>
  <c r="E44" i="18"/>
  <c r="E43" i="18"/>
  <c r="E42" i="18"/>
  <c r="E41" i="18"/>
  <c r="E16" i="18"/>
  <c r="E17" i="18"/>
  <c r="G58" i="18" l="1"/>
  <c r="H60" i="2"/>
  <c r="E28" i="18"/>
  <c r="E40" i="18"/>
  <c r="E18" i="18"/>
  <c r="E33" i="18"/>
  <c r="E20" i="18"/>
  <c r="E36" i="18"/>
  <c r="E31" i="18"/>
  <c r="E24" i="18"/>
  <c r="B71" i="2"/>
  <c r="E21" i="18"/>
  <c r="E26" i="18"/>
  <c r="E27" i="18"/>
  <c r="E23" i="18"/>
  <c r="E38" i="18"/>
  <c r="E30" i="18"/>
  <c r="E22" i="18"/>
  <c r="E35" i="18"/>
  <c r="E19" i="18"/>
  <c r="E29" i="18"/>
  <c r="E37" i="18"/>
  <c r="E34" i="18"/>
  <c r="E32" i="18"/>
  <c r="E39" i="18"/>
  <c r="E25" i="18"/>
  <c r="I32" i="2" l="1"/>
  <c r="I20" i="2"/>
  <c r="I37" i="2"/>
  <c r="I49" i="2"/>
  <c r="I21" i="2"/>
  <c r="I33" i="2"/>
  <c r="I54" i="2"/>
  <c r="I36" i="2"/>
  <c r="I48" i="2"/>
  <c r="I44" i="2"/>
  <c r="I45" i="2"/>
  <c r="I56" i="2"/>
  <c r="I24" i="2"/>
  <c r="I25" i="2"/>
  <c r="I19" i="2"/>
  <c r="B60" i="18"/>
  <c r="C11" i="2"/>
  <c r="H65" i="2"/>
  <c r="H62" i="2" s="1"/>
  <c r="H69" i="2"/>
  <c r="E60" i="9"/>
  <c r="E61" i="9" s="1"/>
  <c r="I58" i="2"/>
  <c r="I50" i="2"/>
  <c r="I55" i="2"/>
  <c r="I57" i="2"/>
  <c r="I42" i="2"/>
  <c r="I26" i="2"/>
  <c r="I43" i="2"/>
  <c r="I27" i="2"/>
  <c r="I53" i="2"/>
  <c r="I46" i="2"/>
  <c r="I38" i="2"/>
  <c r="I30" i="2"/>
  <c r="I22" i="2"/>
  <c r="I47" i="2"/>
  <c r="I39" i="2"/>
  <c r="I31" i="2"/>
  <c r="I23" i="2"/>
  <c r="I34" i="2"/>
  <c r="I18" i="2"/>
  <c r="I35" i="2"/>
  <c r="I51" i="2"/>
  <c r="I52" i="2"/>
  <c r="I28" i="2"/>
  <c r="I29" i="2"/>
  <c r="D24" i="9" s="1"/>
  <c r="I40" i="2"/>
  <c r="D35" i="9" s="1"/>
  <c r="I41" i="2"/>
  <c r="D36" i="9" s="1"/>
  <c r="D46" i="9" l="1"/>
  <c r="D29" i="9"/>
  <c r="D34" i="9"/>
  <c r="D33" i="9"/>
  <c r="D22" i="9"/>
  <c r="D52" i="9"/>
  <c r="D47" i="9"/>
  <c r="D23" i="9"/>
  <c r="D26" i="9"/>
  <c r="D25" i="9"/>
  <c r="D37" i="9"/>
  <c r="D53" i="9"/>
  <c r="D20" i="9"/>
  <c r="D43" i="9"/>
  <c r="D16" i="9"/>
  <c r="D19" i="9"/>
  <c r="D40" i="9"/>
  <c r="D49" i="9"/>
  <c r="D44" i="9"/>
  <c r="D42" i="9"/>
  <c r="D41" i="9"/>
  <c r="D38" i="9"/>
  <c r="D50" i="9"/>
  <c r="D51" i="9"/>
  <c r="D39" i="9"/>
  <c r="D31" i="9"/>
  <c r="D28" i="9"/>
  <c r="D30" i="9"/>
  <c r="D18" i="9"/>
  <c r="D17" i="9"/>
  <c r="D48" i="9"/>
  <c r="D21" i="9"/>
  <c r="D45" i="9"/>
  <c r="D14" i="9"/>
  <c r="D32" i="9"/>
  <c r="D15" i="9"/>
  <c r="D27" i="9"/>
  <c r="I60" i="2"/>
  <c r="D13" i="9"/>
  <c r="H57" i="9" l="1"/>
  <c r="H60" i="9" s="1"/>
  <c r="X57" i="9"/>
  <c r="X60" i="9" s="1"/>
  <c r="AN57" i="9"/>
  <c r="AN60" i="9" s="1"/>
  <c r="BA57" i="9"/>
  <c r="BA60" i="9" s="1"/>
  <c r="S57" i="9"/>
  <c r="S60" i="9" s="1"/>
  <c r="AI57" i="9"/>
  <c r="AI60" i="9" s="1"/>
  <c r="AY57" i="9"/>
  <c r="AY60" i="9" s="1"/>
  <c r="N57" i="9"/>
  <c r="N60" i="9" s="1"/>
  <c r="AD57" i="9"/>
  <c r="AD60" i="9" s="1"/>
  <c r="AT57" i="9"/>
  <c r="AT60" i="9" s="1"/>
  <c r="M57" i="9"/>
  <c r="M60" i="9" s="1"/>
  <c r="AC57" i="9"/>
  <c r="AC60" i="9" s="1"/>
  <c r="AU57" i="9"/>
  <c r="AU60" i="9" s="1"/>
  <c r="AP57" i="9"/>
  <c r="AP60" i="9" s="1"/>
  <c r="L57" i="9"/>
  <c r="L60" i="9" s="1"/>
  <c r="AB57" i="9"/>
  <c r="AB60" i="9" s="1"/>
  <c r="AR57" i="9"/>
  <c r="AR60" i="9" s="1"/>
  <c r="G57" i="9"/>
  <c r="G60" i="9" s="1"/>
  <c r="W57" i="9"/>
  <c r="W60" i="9" s="1"/>
  <c r="AM57" i="9"/>
  <c r="AM60" i="9" s="1"/>
  <c r="AW57" i="9"/>
  <c r="AW60" i="9" s="1"/>
  <c r="R57" i="9"/>
  <c r="R60" i="9" s="1"/>
  <c r="AH57" i="9"/>
  <c r="AH60" i="9" s="1"/>
  <c r="AX57" i="9"/>
  <c r="AX60" i="9" s="1"/>
  <c r="Q57" i="9"/>
  <c r="Q60" i="9" s="1"/>
  <c r="AG57" i="9"/>
  <c r="AG60" i="9" s="1"/>
  <c r="Z57" i="9"/>
  <c r="Z60" i="9" s="1"/>
  <c r="Y57" i="9"/>
  <c r="Y60" i="9" s="1"/>
  <c r="P57" i="9"/>
  <c r="P60" i="9" s="1"/>
  <c r="AF57" i="9"/>
  <c r="AF60" i="9" s="1"/>
  <c r="AV57" i="9"/>
  <c r="AV60" i="9" s="1"/>
  <c r="K57" i="9"/>
  <c r="K60" i="9" s="1"/>
  <c r="AA57" i="9"/>
  <c r="AA60" i="9" s="1"/>
  <c r="AQ57" i="9"/>
  <c r="AQ60" i="9" s="1"/>
  <c r="F57" i="9"/>
  <c r="V57" i="9"/>
  <c r="V60" i="9" s="1"/>
  <c r="AL57" i="9"/>
  <c r="AL60" i="9" s="1"/>
  <c r="AS57" i="9"/>
  <c r="AS60" i="9" s="1"/>
  <c r="U57" i="9"/>
  <c r="U60" i="9" s="1"/>
  <c r="AK57" i="9"/>
  <c r="AK60" i="9" s="1"/>
  <c r="D55" i="9"/>
  <c r="T57" i="9"/>
  <c r="T60" i="9" s="1"/>
  <c r="AJ57" i="9"/>
  <c r="AJ60" i="9" s="1"/>
  <c r="AZ57" i="9"/>
  <c r="AZ60" i="9" s="1"/>
  <c r="O57" i="9"/>
  <c r="O60" i="9" s="1"/>
  <c r="AE57" i="9"/>
  <c r="AE60" i="9" s="1"/>
  <c r="J57" i="9"/>
  <c r="J60" i="9" s="1"/>
  <c r="I57" i="9"/>
  <c r="I60" i="9" s="1"/>
  <c r="AO57" i="9"/>
  <c r="AO60" i="9" s="1"/>
  <c r="F58" i="9" l="1"/>
  <c r="G58" i="9" s="1"/>
  <c r="H58" i="9" s="1"/>
  <c r="I58" i="9" s="1"/>
  <c r="J58" i="9" s="1"/>
  <c r="K58" i="9" s="1"/>
  <c r="L58" i="9" s="1"/>
  <c r="M58" i="9" s="1"/>
  <c r="N58" i="9" s="1"/>
  <c r="O58" i="9" s="1"/>
  <c r="P58" i="9" s="1"/>
  <c r="Q58" i="9" s="1"/>
  <c r="R58" i="9" s="1"/>
  <c r="S58" i="9" s="1"/>
  <c r="T58" i="9" s="1"/>
  <c r="U58" i="9" s="1"/>
  <c r="V58" i="9" s="1"/>
  <c r="W58" i="9" s="1"/>
  <c r="X58" i="9" s="1"/>
  <c r="Y58" i="9" s="1"/>
  <c r="Z58" i="9" s="1"/>
  <c r="AA58" i="9" s="1"/>
  <c r="AB58" i="9" s="1"/>
  <c r="AC58" i="9" s="1"/>
  <c r="AD58" i="9" s="1"/>
  <c r="AE58" i="9" s="1"/>
  <c r="F60" i="9"/>
  <c r="F61" i="9" l="1"/>
  <c r="G61" i="9" s="1"/>
  <c r="H61" i="9" s="1"/>
  <c r="I61" i="9" s="1"/>
  <c r="J61" i="9" s="1"/>
  <c r="K61" i="9" s="1"/>
  <c r="L61" i="9" s="1"/>
  <c r="M61" i="9" s="1"/>
  <c r="N61" i="9" s="1"/>
  <c r="O61" i="9" s="1"/>
  <c r="P61" i="9" s="1"/>
  <c r="Q61" i="9" s="1"/>
  <c r="R61" i="9" s="1"/>
  <c r="S61" i="9" s="1"/>
  <c r="T61" i="9" s="1"/>
  <c r="U61" i="9" s="1"/>
  <c r="V61" i="9" s="1"/>
  <c r="W61" i="9" s="1"/>
  <c r="X61" i="9" s="1"/>
  <c r="Y61" i="9" s="1"/>
  <c r="Z61" i="9" s="1"/>
  <c r="AA61" i="9" s="1"/>
  <c r="AB61" i="9" s="1"/>
  <c r="AC61" i="9" s="1"/>
  <c r="AD61" i="9" s="1"/>
  <c r="AE61" i="9" s="1"/>
  <c r="AF61" i="9" s="1"/>
  <c r="AG61" i="9" s="1"/>
  <c r="AH61" i="9" s="1"/>
  <c r="AI61" i="9" s="1"/>
  <c r="AJ61" i="9" s="1"/>
  <c r="AK61" i="9" s="1"/>
  <c r="AL61" i="9" s="1"/>
  <c r="AM61" i="9" s="1"/>
  <c r="AN61" i="9" s="1"/>
  <c r="AO61" i="9" s="1"/>
  <c r="AP61" i="9" s="1"/>
  <c r="AQ61" i="9" s="1"/>
  <c r="AR61" i="9" s="1"/>
  <c r="AS61" i="9" s="1"/>
  <c r="AT61" i="9" s="1"/>
  <c r="AU61" i="9" s="1"/>
  <c r="AV61" i="9" s="1"/>
  <c r="AW61" i="9" s="1"/>
  <c r="AX61" i="9" s="1"/>
  <c r="AY61" i="9" s="1"/>
  <c r="AZ61" i="9" s="1"/>
  <c r="BA61" i="9" s="1"/>
  <c r="AN58" i="9"/>
  <c r="AF58" i="9"/>
  <c r="AO58" i="9" l="1"/>
  <c r="AG58" i="9"/>
  <c r="AH58" i="9" l="1"/>
  <c r="AP58" i="9"/>
  <c r="AI58" i="9" l="1"/>
  <c r="AQ58" i="9"/>
  <c r="AR58" i="9" l="1"/>
  <c r="AJ58" i="9"/>
  <c r="AS58" i="9" l="1"/>
  <c r="AK58" i="9"/>
  <c r="AT58" i="9" l="1"/>
  <c r="AL58" i="9"/>
  <c r="AU58" i="9" l="1"/>
  <c r="AM58" i="9"/>
  <c r="AV58" i="9" s="1"/>
  <c r="AW58" i="9" s="1"/>
  <c r="AX58" i="9" s="1"/>
  <c r="AY58" i="9" s="1"/>
  <c r="AZ58" i="9" s="1"/>
  <c r="BA58" i="9" s="1"/>
</calcChain>
</file>

<file path=xl/comments1.xml><?xml version="1.0" encoding="utf-8"?>
<comments xmlns="http://schemas.openxmlformats.org/spreadsheetml/2006/main">
  <authors>
    <author>Secretaria Servicios</author>
  </authors>
  <commentList>
    <comment ref="B23" authorId="0">
      <text>
        <r>
          <rPr>
            <sz val="9"/>
            <color indexed="81"/>
            <rFont val="Tahoma"/>
            <family val="2"/>
          </rPr>
          <t>Este valor se calcula automáticamente completando la planilla Gastos Generales</t>
        </r>
      </text>
    </comment>
    <comment ref="B27"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<sst xmlns="http://schemas.openxmlformats.org/spreadsheetml/2006/main" count="6743" uniqueCount="1929">
  <si>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</si>
  <si>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</si>
  <si>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</si>
  <si>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</si>
  <si>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</si>
  <si>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</si>
  <si>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</si>
  <si>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</si>
  <si>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</si>
  <si>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</si>
  <si>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</si>
  <si>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</si>
  <si>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</si>
  <si>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</si>
  <si>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</si>
  <si>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</si>
  <si>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</si>
  <si>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</si>
  <si>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</si>
  <si>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</si>
  <si>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</si>
  <si>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</si>
  <si>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</si>
  <si>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</si>
  <si>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</si>
  <si>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</si>
  <si>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</si>
  <si>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</si>
  <si>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</si>
  <si>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</si>
  <si>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</si>
  <si>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</si>
  <si>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</si>
  <si>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</si>
  <si>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</si>
  <si>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</si>
  <si>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</si>
  <si>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</si>
  <si>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</si>
  <si>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</si>
  <si>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</si>
  <si>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</si>
  <si>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</si>
  <si>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</si>
  <si>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</si>
  <si>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</si>
  <si>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</si>
  <si>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</si>
  <si>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</si>
  <si>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</si>
  <si>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</si>
  <si>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</si>
  <si>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</si>
  <si>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</si>
  <si>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</si>
  <si>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</si>
  <si>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</si>
  <si>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</si>
  <si>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</si>
  <si>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</si>
  <si>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</si>
  <si>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</si>
  <si>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</si>
  <si>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</si>
  <si>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</si>
  <si>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</si>
  <si>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</si>
  <si>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</si>
  <si>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</si>
  <si>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</si>
  <si>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</si>
  <si>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</si>
  <si>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</si>
  <si>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</si>
  <si>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</si>
  <si>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</si>
  <si>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</si>
  <si>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</si>
  <si>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</si>
  <si>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</si>
  <si>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</si>
  <si>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</si>
  <si>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</si>
  <si>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</si>
  <si>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</si>
  <si>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</si>
  <si>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</si>
  <si>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</si>
  <si>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</si>
  <si>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</si>
  <si>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</si>
  <si>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</si>
  <si>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</si>
  <si>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</si>
  <si>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</si>
  <si>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</si>
  <si>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</si>
  <si>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</si>
  <si>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</si>
  <si>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</si>
  <si>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</si>
  <si>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</si>
  <si>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</si>
  <si>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</si>
  <si>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</si>
  <si>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</si>
  <si>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</si>
  <si>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</si>
  <si>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</si>
  <si>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</si>
  <si>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</si>
  <si>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</si>
  <si>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</si>
  <si>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</si>
  <si>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</si>
  <si>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</si>
  <si>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</si>
  <si>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</si>
  <si>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</si>
  <si>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</si>
  <si>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</si>
  <si>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</si>
  <si>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</si>
  <si>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</si>
  <si>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</si>
  <si>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</si>
  <si>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</si>
  <si>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</si>
  <si>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</si>
  <si>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</si>
  <si>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</si>
  <si>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</si>
  <si>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</si>
  <si>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</si>
  <si>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</si>
  <si>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</si>
  <si>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</si>
  <si>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</si>
  <si>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</si>
  <si>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</si>
  <si>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</si>
  <si>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</si>
  <si>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</si>
  <si>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</si>
  <si>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</si>
  <si>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</si>
  <si>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</si>
  <si>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</si>
  <si>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</si>
  <si>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</si>
  <si>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</si>
  <si>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</si>
  <si>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</si>
  <si>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</si>
  <si>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</si>
  <si>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</si>
  <si>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</si>
  <si>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</si>
  <si>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</si>
  <si>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</si>
  <si>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</si>
  <si>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</si>
  <si>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</si>
  <si>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</si>
  <si>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</si>
  <si>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</si>
  <si>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</si>
  <si>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</si>
  <si>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</si>
  <si>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</si>
  <si>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</si>
  <si>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</si>
  <si>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</si>
  <si>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</si>
  <si>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</si>
  <si>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</si>
  <si>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</si>
  <si>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</si>
  <si>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</si>
  <si>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</si>
  <si>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</si>
  <si>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</si>
  <si>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</si>
  <si>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</si>
  <si>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</si>
  <si>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</si>
  <si>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</si>
  <si>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</si>
  <si>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</si>
  <si>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</si>
  <si>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</si>
  <si>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</si>
  <si>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</si>
  <si>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</si>
  <si>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</si>
  <si>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</si>
  <si>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</si>
  <si>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</si>
  <si>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</si>
  <si>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</si>
  <si>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</si>
  <si>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</si>
  <si>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</si>
  <si>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</si>
  <si>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</si>
  <si>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</si>
  <si>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</si>
  <si>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</si>
  <si>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</si>
  <si>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</si>
  <si>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</si>
  <si>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</si>
  <si>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</si>
  <si>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</si>
  <si>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</si>
  <si>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</si>
  <si>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</si>
  <si>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</si>
  <si>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</si>
  <si>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</si>
  <si>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</si>
  <si>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</si>
  <si>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</si>
  <si>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</si>
  <si>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</si>
  <si>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</si>
  <si>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</si>
  <si>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</si>
  <si>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</si>
  <si>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</si>
  <si>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</si>
  <si>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</si>
  <si>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</si>
  <si>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</si>
  <si>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</si>
  <si>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</si>
  <si>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</si>
  <si>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</si>
  <si>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</si>
  <si>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</si>
  <si>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</si>
  <si>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</si>
  <si>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</si>
  <si>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</si>
  <si>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</si>
  <si>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</si>
  <si>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</si>
  <si>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</si>
  <si>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</si>
  <si>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</si>
  <si>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</si>
  <si>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</si>
  <si>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</si>
  <si>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</si>
  <si>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</si>
  <si>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</si>
  <si>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</si>
  <si>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</si>
  <si>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</si>
  <si>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</si>
  <si>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</si>
  <si>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</si>
  <si>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</si>
  <si>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</si>
  <si>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</si>
  <si>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</si>
  <si>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</si>
  <si>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</si>
  <si>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</si>
  <si>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</si>
  <si>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</si>
  <si>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</si>
  <si>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</si>
  <si>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</si>
  <si>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</si>
  <si>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</si>
  <si>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</si>
  <si>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</si>
  <si>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</si>
  <si>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</si>
  <si>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</si>
  <si>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</si>
  <si>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</si>
  <si>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</si>
  <si>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</si>
  <si>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</si>
  <si>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</si>
  <si>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</si>
  <si>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</si>
  <si>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</si>
  <si>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</si>
  <si>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</si>
  <si>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</si>
  <si>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</si>
  <si>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</si>
  <si>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</si>
  <si>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</si>
  <si>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</si>
  <si>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</si>
  <si>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</si>
  <si>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</si>
  <si>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</si>
  <si>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</si>
  <si>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</si>
  <si>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</si>
  <si>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</si>
  <si>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</si>
  <si>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</si>
  <si>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</si>
  <si>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</si>
  <si>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</si>
  <si>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</si>
  <si>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</si>
  <si>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</si>
  <si>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</si>
  <si>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</si>
  <si>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</si>
  <si>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</si>
  <si>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</si>
  <si>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</si>
  <si>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</si>
  <si>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</si>
  <si>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</si>
  <si>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</si>
  <si>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</si>
  <si>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</si>
  <si>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</si>
  <si>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</si>
  <si>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</si>
  <si>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</si>
  <si>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</si>
  <si>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</si>
  <si>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</si>
  <si>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</si>
  <si>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</si>
  <si>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</si>
  <si>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</si>
  <si>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</si>
  <si>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</si>
  <si>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</si>
  <si>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</si>
  <si>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</si>
  <si>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</si>
  <si>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</si>
  <si>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</si>
  <si>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</si>
  <si>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</si>
  <si>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</si>
  <si>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</si>
  <si>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</si>
  <si>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</si>
  <si>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</si>
  <si>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</si>
  <si>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</si>
  <si>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</si>
  <si>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</si>
  <si>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</si>
  <si>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</si>
  <si>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</si>
  <si>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</si>
  <si>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</si>
  <si>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</si>
  <si>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</si>
  <si>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</si>
  <si>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</si>
  <si>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</si>
  <si>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</si>
  <si>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</si>
  <si>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</si>
  <si>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</si>
  <si>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</si>
  <si>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</si>
  <si>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</si>
  <si>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</si>
  <si>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</si>
  <si>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</si>
  <si>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</si>
  <si>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</si>
  <si>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</si>
  <si>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</si>
  <si>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</si>
  <si>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</si>
  <si>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</si>
  <si>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</si>
  <si>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</si>
  <si>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</si>
  <si>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</si>
  <si>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</si>
  <si>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</si>
  <si>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</si>
  <si>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</si>
  <si>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</si>
  <si>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</si>
  <si>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</si>
  <si>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</si>
  <si>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</si>
  <si>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</si>
  <si>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</si>
  <si>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</si>
  <si>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</si>
  <si>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</si>
  <si>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</si>
  <si>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</si>
  <si>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</si>
  <si>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</si>
  <si>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</si>
  <si>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</si>
  <si>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</si>
  <si>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</si>
  <si>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</si>
  <si>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</si>
  <si>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</si>
  <si>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</si>
  <si>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</si>
  <si>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</si>
  <si>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</si>
  <si>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</si>
  <si>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</si>
  <si>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</si>
  <si>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</si>
  <si>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</si>
  <si>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</si>
  <si>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</si>
  <si>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</si>
  <si>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</si>
  <si>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</si>
  <si>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</si>
  <si>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</si>
  <si>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</si>
  <si>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</si>
  <si>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</si>
  <si>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</si>
  <si>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</si>
  <si>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</si>
  <si>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</si>
  <si>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</si>
  <si>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</si>
  <si>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</si>
  <si>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</si>
  <si>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</si>
  <si>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</si>
  <si>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</si>
  <si>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</si>
  <si>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</si>
  <si>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</si>
  <si>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</si>
  <si>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</si>
  <si>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</si>
  <si>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</si>
  <si>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</si>
  <si>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</si>
  <si>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</si>
  <si>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</si>
  <si>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</si>
  <si>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</si>
  <si>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</si>
  <si>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</si>
  <si>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</si>
  <si>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</si>
  <si>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</si>
  <si>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</si>
  <si>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</si>
  <si>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</si>
  <si>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</si>
  <si>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</si>
  <si>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</si>
  <si>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</si>
  <si>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</si>
  <si>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</si>
  <si>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</si>
  <si>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</si>
  <si>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</si>
  <si>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</si>
  <si>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</si>
  <si>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</si>
  <si>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</si>
  <si>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</si>
  <si>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</si>
  <si>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</si>
  <si>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</si>
  <si>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</si>
  <si>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</si>
  <si>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</si>
  <si>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</si>
  <si>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</si>
  <si>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</si>
  <si>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</si>
  <si>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</si>
  <si>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</si>
  <si>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</si>
  <si>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</si>
  <si>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</si>
  <si>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</si>
  <si>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</si>
  <si>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</si>
  <si>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</si>
  <si>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</si>
  <si>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</si>
  <si>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</si>
  <si>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</si>
  <si>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</si>
  <si>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</si>
  <si>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</si>
  <si>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</si>
  <si>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</si>
  <si>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</si>
  <si>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</si>
  <si>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</si>
  <si>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</si>
  <si>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</si>
  <si>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</si>
  <si>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</si>
  <si>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</si>
  <si>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</si>
  <si>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</si>
  <si>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</si>
  <si>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</si>
  <si>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</si>
  <si>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</si>
  <si>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</si>
  <si>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</si>
  <si>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</si>
  <si>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</si>
  <si>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</si>
  <si>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</si>
  <si>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</si>
  <si>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</si>
  <si>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</si>
  <si>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</si>
  <si>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</si>
  <si>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</si>
  <si>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</si>
  <si>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</si>
  <si>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</si>
  <si>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</si>
  <si>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</si>
  <si>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</si>
  <si>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</si>
  <si>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</si>
  <si>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</si>
  <si>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</si>
  <si>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</si>
  <si>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</si>
  <si>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</si>
  <si>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</si>
  <si>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</si>
  <si>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</si>
  <si>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</si>
  <si>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</si>
  <si>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</si>
  <si>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</si>
  <si>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</si>
  <si>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</si>
  <si>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</si>
  <si>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</si>
  <si>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</si>
  <si>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</si>
  <si>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</si>
  <si>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</si>
  <si>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</si>
  <si>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</si>
  <si>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</si>
  <si>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</si>
  <si>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</si>
  <si>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</si>
  <si>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</si>
  <si>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</si>
  <si>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</si>
  <si>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</si>
  <si>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</si>
  <si>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</si>
  <si>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</si>
  <si>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</si>
  <si>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</si>
  <si>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</si>
  <si>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</si>
  <si>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</si>
  <si>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</si>
  <si>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</si>
  <si>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</si>
  <si>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</si>
  <si>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</si>
  <si>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</si>
  <si>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</si>
  <si>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</si>
  <si>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</si>
  <si>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</si>
  <si>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</si>
  <si>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</si>
  <si>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</si>
  <si>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</si>
  <si>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</si>
  <si>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</si>
  <si>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</si>
  <si>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</si>
  <si>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</si>
  <si>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</si>
  <si>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</si>
  <si>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</si>
  <si>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</si>
  <si>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</si>
  <si>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</si>
  <si>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</si>
  <si>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</si>
  <si>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</si>
  <si>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</si>
  <si>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</si>
  <si>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</si>
  <si>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</si>
  <si>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</si>
  <si>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</si>
  <si>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</si>
  <si>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</si>
  <si>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</si>
  <si>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</si>
  <si>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</si>
  <si>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</si>
  <si>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</si>
  <si>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</si>
  <si>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</si>
  <si>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</si>
  <si>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</si>
  <si>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</si>
  <si>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</si>
  <si>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</si>
  <si>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</si>
  <si>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</si>
  <si>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</si>
  <si>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</si>
  <si>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</si>
  <si>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</si>
  <si>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</si>
  <si>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</si>
  <si>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</si>
  <si>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</si>
  <si>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</si>
  <si>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</si>
  <si>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</si>
  <si>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</si>
  <si>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</si>
  <si>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</si>
  <si>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</si>
  <si>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</si>
  <si>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</si>
  <si>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</si>
  <si>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</si>
  <si>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</si>
  <si>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</si>
  <si>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</si>
  <si>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</si>
  <si>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</si>
  <si>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</si>
  <si>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</si>
  <si>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</si>
  <si>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</si>
  <si>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</si>
  <si>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</si>
  <si>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</si>
  <si>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</si>
  <si>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</si>
  <si>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</si>
  <si>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</si>
  <si>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</si>
  <si>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</si>
  <si>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</si>
  <si>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</si>
  <si>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</si>
  <si>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</si>
  <si>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</si>
  <si>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</si>
  <si>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</si>
  <si>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</si>
  <si>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</si>
  <si>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</si>
  <si>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</si>
  <si>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</si>
  <si>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</si>
  <si>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</si>
  <si>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</si>
  <si>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</si>
  <si>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</si>
  <si>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</si>
  <si>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</si>
  <si>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</si>
  <si>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</si>
  <si>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</si>
  <si>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</si>
  <si>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</si>
  <si>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</si>
  <si>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</si>
  <si>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</si>
  <si>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</si>
  <si>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</si>
  <si>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</si>
  <si>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</si>
  <si>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</si>
  <si>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</si>
  <si>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</si>
  <si>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</si>
  <si>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</si>
  <si>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</si>
  <si>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</si>
  <si>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</si>
  <si>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</si>
  <si>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</si>
  <si>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</si>
  <si>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</si>
  <si>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</si>
  <si>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</si>
  <si>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</si>
  <si>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</si>
  <si>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</si>
  <si>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</si>
  <si>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</si>
  <si>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</si>
  <si>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</si>
  <si>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</si>
  <si>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</si>
  <si>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</si>
  <si>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</si>
  <si>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</si>
  <si>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</si>
  <si>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</si>
  <si>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</si>
  <si>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</si>
  <si>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</si>
  <si>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</si>
  <si>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</si>
  <si>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</si>
  <si>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</si>
  <si>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</si>
  <si>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</si>
  <si>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</si>
  <si>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</si>
  <si>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</si>
  <si>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</si>
  <si>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</si>
  <si>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</si>
  <si>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</si>
  <si>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</si>
  <si>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</si>
  <si>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</si>
  <si>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</si>
  <si>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</si>
  <si>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</si>
  <si>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</si>
  <si>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</si>
  <si>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</si>
  <si>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</si>
  <si>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</si>
  <si>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</si>
  <si>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</si>
  <si>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</si>
  <si>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</si>
  <si>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</si>
  <si>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</si>
  <si>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</si>
  <si>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</si>
  <si>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</si>
  <si>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</si>
  <si>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</si>
  <si>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</si>
  <si>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</si>
  <si>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</si>
  <si>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</si>
  <si>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</si>
  <si>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</si>
  <si>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</si>
  <si>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</si>
  <si>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</si>
  <si>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</si>
  <si>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</si>
  <si>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</si>
  <si>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</si>
  <si>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</si>
  <si>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</si>
  <si>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</si>
  <si>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</si>
  <si>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</si>
  <si>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</si>
  <si>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</si>
  <si>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</si>
  <si>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</si>
  <si>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</si>
  <si>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</si>
  <si>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</si>
  <si>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</si>
  <si>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</si>
  <si>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</si>
  <si>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</si>
  <si>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</si>
  <si>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</si>
  <si>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</si>
  <si>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</si>
  <si>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</si>
  <si>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</si>
  <si>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</si>
  <si>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</si>
  <si>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</si>
  <si>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</si>
  <si>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</si>
  <si>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</si>
  <si>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</si>
  <si>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</si>
  <si>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</si>
  <si>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</si>
  <si>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</si>
  <si>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</si>
  <si>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</si>
  <si>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</si>
  <si>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</si>
  <si>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</si>
  <si>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</si>
  <si>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</si>
  <si>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</si>
  <si>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</si>
  <si>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</si>
  <si>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</si>
  <si>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</si>
  <si>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</si>
  <si>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</si>
  <si>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</si>
  <si>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</si>
  <si>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</si>
  <si>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</si>
  <si>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</si>
  <si>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</si>
  <si>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</si>
  <si>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</si>
  <si>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</si>
  <si>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</si>
  <si>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</si>
  <si>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</si>
  <si>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</si>
  <si>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</si>
  <si>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</si>
  <si>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</si>
  <si>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</si>
  <si>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</si>
  <si>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</si>
  <si>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</si>
  <si>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</si>
  <si>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</si>
  <si>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</si>
  <si>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</si>
  <si>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</si>
  <si>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</si>
  <si>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</si>
  <si>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</si>
  <si>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</si>
  <si>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</si>
  <si>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</si>
  <si>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</si>
  <si>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</si>
  <si>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</si>
  <si>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</si>
  <si>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</si>
  <si>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</si>
  <si>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</si>
  <si>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</si>
  <si>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</si>
  <si>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</si>
  <si>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</si>
  <si>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</si>
  <si>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</si>
  <si>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</si>
  <si>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</si>
  <si>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</si>
  <si>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</si>
  <si>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</si>
  <si>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</si>
  <si>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</si>
  <si>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</si>
  <si>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</si>
  <si>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</si>
  <si>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</si>
  <si>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</si>
  <si>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</si>
  <si>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</si>
  <si>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</si>
  <si>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</si>
  <si>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</si>
  <si>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</si>
  <si>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</si>
  <si>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</si>
  <si>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</si>
  <si>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</si>
  <si>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</si>
  <si>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</si>
  <si>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</si>
  <si>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</si>
  <si>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</si>
  <si>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</si>
  <si>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</si>
  <si>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</si>
  <si>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</si>
  <si>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</si>
  <si>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</si>
  <si>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</si>
  <si>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</si>
  <si>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</si>
  <si>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</si>
  <si>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</si>
  <si>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</si>
  <si>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</si>
  <si>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</si>
  <si>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</si>
  <si>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</si>
  <si>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</si>
  <si>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</si>
  <si>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</si>
  <si>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</si>
  <si>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</si>
  <si>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</si>
  <si>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</si>
  <si>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</si>
  <si>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</si>
  <si>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</si>
  <si>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</si>
  <si>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</si>
  <si>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</si>
  <si>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</si>
  <si>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</si>
  <si>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</si>
  <si>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</si>
  <si>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</si>
  <si>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</si>
  <si>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</si>
  <si>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</si>
  <si>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</si>
  <si>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</si>
  <si>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</si>
  <si>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</si>
  <si>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</si>
  <si>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</si>
  <si>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</si>
  <si>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</si>
  <si>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</si>
  <si>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</si>
  <si>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</si>
  <si>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</si>
  <si>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</si>
  <si>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</si>
  <si>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</si>
  <si>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</si>
  <si>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</si>
  <si>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</si>
  <si>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</si>
  <si>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</si>
  <si>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</si>
  <si>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</si>
  <si>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</si>
  <si>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</si>
  <si>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</si>
  <si>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</si>
  <si>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</si>
  <si>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</si>
  <si>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</si>
  <si>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</si>
  <si>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</si>
  <si>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</si>
  <si>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</si>
  <si>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</si>
  <si>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</si>
  <si>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</si>
  <si>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</si>
  <si>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</si>
  <si>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</si>
  <si>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</si>
  <si>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</si>
  <si>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</si>
  <si>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</si>
  <si>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</si>
  <si>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</si>
  <si>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</si>
  <si>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</si>
  <si>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</si>
  <si>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</si>
  <si>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</si>
  <si>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</si>
  <si>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</si>
  <si>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</si>
  <si>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</si>
  <si>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</si>
  <si>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</si>
  <si>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</si>
  <si>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</si>
  <si>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</si>
  <si>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</si>
  <si>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</si>
  <si>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</si>
  <si>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</si>
  <si>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</si>
  <si>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</si>
  <si>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</si>
  <si>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</si>
  <si>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</si>
  <si>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</si>
  <si>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</si>
  <si>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</si>
  <si>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</si>
  <si>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</si>
  <si>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</si>
  <si>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</si>
  <si>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</si>
  <si>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</si>
  <si>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</si>
  <si>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</si>
  <si>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</si>
  <si>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</si>
  <si>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</si>
  <si>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</si>
  <si>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</si>
  <si>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</si>
  <si>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</si>
  <si>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</si>
  <si>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</si>
  <si>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</si>
  <si>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</si>
  <si>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</si>
  <si>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</si>
  <si>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</si>
  <si>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</si>
  <si>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</si>
  <si>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</si>
  <si>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</si>
  <si>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</si>
  <si>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</si>
  <si>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</si>
  <si>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</si>
  <si>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</si>
  <si>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</si>
  <si>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</si>
  <si>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</si>
  <si>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</si>
  <si>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</si>
  <si>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</si>
  <si>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</si>
  <si>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</si>
  <si>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</si>
  <si>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</si>
  <si>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</si>
  <si>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</si>
  <si>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</si>
  <si>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</si>
  <si>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</si>
  <si>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</si>
  <si>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</si>
  <si>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</si>
  <si>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</si>
  <si>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</si>
  <si>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</si>
  <si>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</si>
  <si>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</si>
  <si>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</si>
  <si>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</si>
  <si>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</si>
  <si>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</si>
  <si>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</si>
  <si>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</si>
  <si>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</si>
  <si>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</si>
  <si>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</si>
  <si>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</si>
  <si>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</si>
  <si>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</si>
  <si>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</si>
  <si>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</si>
  <si>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</si>
  <si>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</si>
  <si>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</si>
  <si>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</si>
  <si>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</si>
  <si>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</si>
  <si>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</si>
  <si>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</si>
  <si>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</si>
  <si>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</si>
  <si>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</si>
  <si>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</si>
  <si>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</si>
  <si>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</si>
  <si>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</si>
  <si>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</si>
  <si>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</si>
  <si>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</si>
  <si>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</si>
  <si>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</si>
  <si>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</si>
  <si>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</si>
  <si>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</si>
  <si>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</si>
  <si>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</si>
  <si>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</si>
  <si>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</si>
  <si>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</si>
  <si>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</si>
  <si>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</si>
  <si>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</si>
  <si>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</si>
  <si>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</si>
  <si>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</si>
  <si>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</si>
  <si>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</si>
  <si>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</si>
  <si>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</si>
  <si>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</si>
  <si>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</si>
  <si>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</si>
  <si>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</si>
  <si>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</si>
  <si>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</si>
  <si>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</si>
  <si>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</si>
  <si>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</si>
  <si>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</si>
  <si>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</si>
  <si>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</si>
  <si>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</si>
  <si>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</si>
  <si>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</si>
  <si>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</si>
  <si>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</si>
  <si>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</si>
  <si>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</si>
  <si>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</si>
  <si>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</si>
  <si>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</si>
  <si>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</si>
  <si>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</si>
  <si>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</si>
  <si>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</si>
  <si>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</si>
  <si>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</si>
  <si>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</si>
  <si>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</si>
  <si>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</si>
  <si>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</si>
  <si>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</si>
  <si>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</si>
  <si>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</si>
  <si>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</si>
  <si>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</si>
  <si>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</si>
  <si>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</si>
  <si>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</si>
  <si>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</si>
  <si>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</si>
  <si>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</si>
  <si>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</si>
  <si>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</si>
  <si>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</si>
  <si>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</si>
  <si>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</si>
  <si>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</si>
  <si>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</si>
  <si>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</si>
  <si>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</si>
  <si>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</si>
  <si>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</si>
  <si>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</si>
  <si>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</si>
  <si>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</si>
  <si>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</si>
  <si>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</si>
  <si>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</si>
  <si>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</si>
  <si>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</si>
  <si>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</si>
  <si>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</si>
  <si>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</si>
  <si>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</si>
  <si>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</si>
  <si>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</si>
  <si>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</si>
  <si>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</si>
  <si>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</si>
  <si>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</si>
  <si>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</si>
  <si>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</si>
  <si>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</si>
  <si>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</si>
  <si>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</si>
  <si>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</si>
  <si>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</si>
  <si>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</si>
  <si>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</si>
  <si>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</si>
  <si>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</si>
  <si>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</si>
  <si>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</si>
  <si>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</si>
  <si>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</si>
  <si>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</si>
  <si>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</si>
  <si>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</si>
  <si>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</si>
  <si>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</si>
  <si>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</si>
  <si>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</si>
  <si>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</si>
  <si>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</si>
  <si>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</si>
  <si>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</si>
  <si>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</si>
  <si>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</si>
  <si>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</si>
  <si>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</si>
  <si>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</si>
  <si>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</si>
  <si>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</si>
  <si>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</si>
  <si>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</si>
  <si>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</si>
  <si>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</si>
  <si>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</si>
  <si>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</si>
  <si>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</si>
  <si>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</si>
  <si>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</si>
  <si>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</si>
  <si>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</si>
  <si>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</si>
  <si>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</si>
  <si>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</si>
  <si>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</si>
  <si>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</si>
  <si>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</si>
  <si>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</si>
  <si>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</si>
  <si>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</si>
  <si>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</si>
  <si>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</si>
  <si>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</si>
  <si>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</si>
  <si>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</si>
  <si>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</si>
  <si>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</si>
  <si>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</si>
  <si>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</si>
  <si>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</si>
  <si>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</si>
  <si>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</si>
  <si>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</si>
  <si>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</si>
  <si>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</si>
  <si>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</si>
  <si>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</si>
  <si>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</si>
  <si>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</si>
  <si>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</si>
  <si>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</si>
  <si>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</si>
  <si>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</si>
  <si>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</si>
  <si>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</si>
  <si>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</si>
  <si>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</si>
  <si>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</si>
  <si>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</si>
  <si>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</si>
  <si>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</si>
  <si>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</si>
  <si>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</si>
  <si>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</si>
  <si>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</si>
  <si>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</si>
  <si>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</si>
  <si>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</si>
  <si>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</si>
  <si>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</si>
  <si>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</si>
  <si>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</si>
  <si>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</si>
  <si>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</si>
  <si>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</si>
  <si>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</si>
  <si>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</si>
  <si>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</si>
  <si>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</si>
  <si>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</si>
  <si>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</si>
  <si>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</si>
  <si>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</si>
  <si>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</si>
  <si>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</si>
  <si>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</si>
  <si>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</si>
  <si>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</si>
  <si>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</si>
  <si>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</si>
  <si>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</si>
  <si>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</si>
  <si>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</si>
  <si>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</si>
  <si>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</si>
  <si>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</si>
  <si>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</si>
  <si>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</si>
  <si>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</si>
  <si>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</si>
  <si>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</si>
  <si>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</si>
  <si>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</si>
  <si>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</si>
  <si>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</si>
  <si>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</si>
  <si>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</si>
  <si>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</si>
  <si>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</si>
  <si>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</si>
  <si>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</si>
  <si>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</si>
  <si>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</si>
  <si>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</si>
  <si>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</si>
  <si>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</si>
  <si>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</si>
  <si>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</si>
  <si>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</si>
  <si>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</si>
  <si>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</si>
  <si>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</si>
  <si>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</si>
  <si>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</si>
  <si>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</si>
  <si>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</si>
  <si>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</si>
  <si>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</si>
  <si>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</si>
  <si>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</si>
  <si>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</si>
  <si>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</si>
  <si>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</si>
  <si>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</si>
  <si>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</si>
  <si>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</si>
  <si>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</si>
  <si>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</si>
  <si>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</si>
  <si>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</si>
  <si>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</si>
  <si>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</si>
  <si>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</si>
  <si>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</si>
  <si>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</si>
  <si>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</si>
  <si>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</si>
  <si>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</si>
  <si>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</si>
  <si>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</si>
  <si>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</si>
  <si>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</si>
  <si>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</si>
  <si>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</si>
  <si>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</si>
  <si>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</si>
  <si>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</si>
  <si>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</si>
  <si>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</si>
  <si>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</si>
  <si>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</si>
  <si>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</si>
  <si>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</si>
  <si>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</si>
  <si>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</si>
  <si>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</si>
  <si>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</si>
  <si>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</si>
  <si>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</si>
  <si>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</si>
  <si>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</si>
  <si>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</si>
  <si>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</si>
  <si>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</si>
  <si>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</si>
  <si>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</si>
  <si>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</si>
  <si>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</si>
  <si>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</si>
  <si>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</si>
  <si>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</si>
  <si>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</si>
  <si>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</si>
  <si>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</si>
  <si>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</si>
  <si>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</si>
  <si>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</si>
  <si>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</si>
  <si>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</si>
  <si>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</si>
  <si>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</si>
  <si>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</si>
  <si>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</si>
  <si>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</si>
  <si>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</si>
  <si>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</si>
  <si>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</si>
  <si>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</si>
  <si>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</si>
  <si>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</si>
  <si>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</si>
  <si>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</si>
  <si>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</si>
  <si>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</si>
  <si>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</si>
  <si>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</si>
  <si>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</si>
  <si>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</si>
  <si>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</si>
  <si>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</si>
  <si>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</si>
  <si>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</si>
  <si>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</si>
  <si>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</si>
  <si>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</si>
  <si>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</si>
  <si>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</si>
  <si>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</si>
  <si>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</si>
  <si>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</si>
  <si>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</si>
  <si>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</si>
  <si>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</si>
  <si>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</si>
  <si>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</si>
  <si>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</si>
  <si>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</si>
  <si>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</si>
  <si>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</si>
  <si>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</si>
  <si>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</si>
  <si>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</si>
  <si>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</si>
  <si>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</si>
  <si>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</si>
  <si>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</si>
  <si>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</si>
  <si>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</si>
  <si>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</si>
  <si>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</si>
  <si>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</si>
  <si>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</si>
  <si>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</si>
  <si>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</si>
  <si>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</si>
  <si>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</si>
  <si>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</si>
  <si>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</si>
  <si>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</si>
  <si>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</si>
  <si>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</si>
  <si>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</si>
  <si>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</si>
  <si>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</si>
  <si>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</si>
  <si>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</si>
  <si>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</si>
  <si>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</si>
  <si>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</si>
  <si>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</si>
  <si>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</si>
  <si>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</si>
  <si>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</si>
  <si>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</si>
  <si>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</si>
  <si>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</si>
  <si>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</si>
  <si>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</si>
  <si>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</si>
  <si>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</si>
  <si>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</si>
  <si>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</si>
  <si>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</si>
  <si>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</si>
  <si>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</si>
  <si>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</si>
  <si>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</si>
  <si>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</si>
  <si>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</si>
  <si>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</si>
  <si>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</si>
  <si>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</si>
  <si>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</si>
  <si>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</si>
  <si>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</si>
  <si>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</si>
  <si>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</si>
  <si>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</si>
  <si>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</si>
  <si>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</si>
  <si>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</si>
  <si>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</si>
  <si>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</si>
  <si>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</si>
  <si>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</si>
  <si>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</si>
  <si>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</si>
  <si>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</si>
  <si>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</si>
  <si>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</si>
  <si>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</si>
  <si>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</si>
  <si>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</si>
  <si>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</si>
  <si>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</si>
  <si>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</si>
  <si>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</si>
  <si>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</si>
  <si>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</si>
  <si>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</si>
  <si>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</si>
  <si>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</si>
  <si>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</si>
  <si>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</si>
  <si>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</si>
  <si>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</si>
  <si>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</si>
  <si>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</si>
  <si>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</si>
  <si>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</si>
  <si>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</si>
  <si>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</si>
  <si>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</si>
  <si>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</si>
  <si>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</si>
  <si>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</si>
  <si>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</si>
  <si>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</si>
  <si>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</si>
  <si>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</si>
  <si>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</si>
  <si>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</si>
  <si>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</si>
  <si>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</si>
  <si>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</si>
  <si>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</si>
  <si>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</si>
  <si>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</si>
  <si>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</si>
  <si>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</si>
  <si>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</si>
  <si>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</si>
  <si>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</si>
  <si>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</si>
  <si>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</si>
  <si>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</si>
  <si>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</si>
  <si>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</si>
  <si>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</si>
  <si>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</si>
  <si>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</si>
  <si>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</si>
  <si>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</si>
  <si>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</si>
  <si>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</si>
  <si>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</si>
  <si>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</si>
  <si>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</si>
  <si>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</si>
  <si>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</si>
  <si>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</si>
  <si>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</si>
  <si>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</si>
  <si>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</si>
  <si>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</si>
  <si>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</si>
  <si>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</si>
  <si>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</si>
  <si>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</si>
  <si>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</si>
  <si>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</si>
  <si>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</si>
  <si>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</si>
  <si>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</si>
  <si>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</si>
  <si>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</si>
  <si>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</si>
  <si>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</si>
  <si>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</si>
  <si>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</si>
  <si>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</si>
  <si>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</si>
  <si>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</si>
  <si>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</si>
  <si>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</si>
  <si>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</si>
  <si>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</si>
  <si>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</si>
  <si>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</si>
  <si>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</si>
  <si>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</si>
  <si>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</si>
  <si>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</si>
  <si>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</si>
  <si>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</si>
  <si>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</si>
  <si>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</si>
  <si>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</si>
  <si>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</si>
  <si>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</si>
  <si>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</si>
  <si>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</si>
  <si>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</si>
  <si>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</si>
  <si>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</si>
  <si>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</si>
  <si>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</si>
  <si>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</si>
  <si>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</si>
  <si>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</si>
  <si>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</si>
  <si>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</si>
  <si>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</si>
  <si>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</si>
  <si>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</si>
  <si>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</si>
  <si>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</si>
  <si>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</si>
  <si>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</si>
  <si>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</si>
  <si>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</si>
  <si>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</si>
  <si>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</si>
  <si>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</si>
  <si>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</si>
  <si>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</si>
  <si>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</si>
  <si>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</si>
  <si>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</si>
  <si>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</si>
  <si>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</si>
  <si>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</si>
  <si>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</si>
  <si>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</si>
  <si>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</si>
  <si>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</si>
  <si>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</si>
  <si>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</si>
  <si>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</si>
  <si>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</si>
  <si>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</si>
  <si>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</si>
  <si>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</si>
  <si>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</si>
  <si>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</si>
  <si>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</si>
  <si>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</si>
  <si>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</si>
  <si>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</si>
  <si>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</si>
  <si>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</si>
  <si>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</si>
  <si>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</si>
  <si>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</si>
  <si>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</si>
  <si>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</si>
  <si>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</si>
  <si>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</si>
  <si>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</si>
  <si>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</si>
  <si>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</si>
  <si>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</si>
  <si>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</si>
  <si>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</si>
  <si>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</si>
  <si>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</si>
  <si>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</si>
  <si>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</si>
  <si>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</si>
  <si>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</si>
  <si>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</si>
  <si>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</si>
  <si>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</si>
  <si>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</si>
  <si>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</si>
  <si>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</si>
  <si>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</si>
  <si>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</si>
  <si>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</si>
  <si>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</si>
  <si>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</si>
  <si>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</si>
  <si>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</si>
  <si>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</si>
  <si>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</si>
  <si>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</si>
  <si>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</si>
  <si>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</si>
  <si>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</si>
  <si>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</si>
  <si>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</si>
  <si>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</si>
  <si>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</si>
  <si>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</si>
  <si>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</si>
  <si>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</si>
  <si>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</si>
  <si>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</si>
  <si>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</si>
  <si>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</si>
  <si>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</si>
  <si>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</si>
  <si>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</si>
  <si>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</si>
  <si>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</si>
  <si>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</si>
  <si>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</si>
  <si>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</si>
  <si>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</si>
  <si>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</si>
  <si>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</si>
  <si>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</si>
  <si>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</si>
  <si>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</si>
  <si>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</si>
  <si>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</si>
  <si>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</si>
  <si>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</si>
  <si>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</si>
  <si>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</si>
  <si>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</si>
  <si>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</si>
  <si>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</si>
  <si>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</si>
  <si>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</si>
  <si>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</si>
  <si>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</si>
  <si>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</si>
  <si>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</si>
  <si>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</si>
  <si>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</si>
  <si>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</si>
  <si>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</si>
  <si>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</si>
  <si>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</si>
  <si>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</si>
  <si>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</si>
  <si>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</si>
  <si>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</si>
  <si>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</si>
  <si>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</si>
  <si>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</si>
  <si>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</si>
  <si>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</si>
  <si>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</si>
  <si>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</si>
  <si>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</si>
  <si>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</si>
  <si>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</si>
  <si>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</si>
  <si>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</si>
  <si>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</si>
  <si>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</si>
  <si>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</si>
  <si>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</si>
  <si>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</si>
  <si>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</si>
  <si>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</si>
  <si>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</si>
  <si>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</si>
  <si>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</si>
  <si>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</si>
  <si>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</si>
  <si>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</si>
  <si>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</si>
  <si>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</si>
  <si>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</si>
  <si>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</si>
  <si>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</si>
  <si>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</si>
  <si>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</si>
  <si>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</si>
  <si>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</si>
  <si>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</si>
  <si>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</si>
  <si>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</si>
  <si>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</si>
  <si>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</si>
  <si>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</si>
  <si>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</si>
  <si>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</si>
  <si>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</si>
  <si>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</si>
  <si>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</si>
  <si>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</si>
  <si>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</si>
  <si>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</si>
  <si>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</si>
  <si>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</si>
  <si>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</si>
  <si>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</si>
  <si>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</si>
  <si>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</si>
  <si>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</si>
  <si>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</si>
  <si>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</si>
  <si>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</si>
  <si>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</si>
  <si>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</si>
  <si>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</si>
  <si>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</si>
  <si>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</si>
  <si>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</si>
  <si>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</si>
  <si>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</si>
  <si>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</si>
  <si>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</si>
  <si>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</si>
  <si>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</si>
  <si>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</si>
  <si>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</si>
  <si>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</si>
  <si>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</si>
  <si>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</si>
  <si>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</si>
  <si>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</si>
  <si>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</si>
  <si>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</si>
  <si>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</si>
  <si>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</si>
  <si>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</si>
  <si>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</si>
  <si>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</si>
  <si>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</si>
  <si>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</si>
  <si>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</si>
  <si>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</si>
  <si>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</si>
  <si>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</si>
  <si>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</si>
  <si>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</si>
  <si>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</si>
  <si>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</si>
  <si>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</si>
  <si>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</si>
  <si>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</si>
  <si>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</si>
  <si>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</si>
  <si>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</si>
  <si>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</si>
  <si>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</si>
  <si>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</si>
  <si>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</si>
  <si>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</si>
  <si>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</si>
  <si>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</si>
  <si>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</si>
  <si>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</si>
  <si>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</si>
  <si>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</si>
  <si>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</si>
  <si>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</si>
  <si>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</si>
  <si>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</si>
  <si>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</si>
  <si>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</si>
  <si>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</si>
  <si>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</si>
  <si>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</si>
  <si>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</si>
  <si>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</si>
  <si>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</si>
  <si>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</si>
  <si>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</si>
  <si>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</si>
  <si>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</si>
  <si>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</si>
  <si>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</si>
  <si>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</si>
  <si>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</si>
  <si>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</si>
  <si>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</si>
  <si>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</si>
  <si>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DEPARTAMENTO POCITO</t>
  </si>
  <si>
    <t>FRESADO DE PAVIMENTO EXISTENTE</t>
  </si>
  <si>
    <t xml:space="preserve">EXCAVACIÓN NO CLASIFICADA
</t>
  </si>
  <si>
    <t>m3</t>
  </si>
  <si>
    <t>CONSTRUCCIÓN DE TERRAPLENES RIPIOSOS CON COMPACTACIÓN ESPECIAL</t>
  </si>
  <si>
    <t>CONSTRUCCIÓN DE TERRAPLENES RIPIOSOS SIN COMPACTACIÓN ESPECIAL</t>
  </si>
  <si>
    <t>CONSTRUCCIÓN DE SUB-BASE ESTABILIZADA GRANULAR</t>
  </si>
  <si>
    <t>CONSTRUCCIÓN DE BASE ESTABILIZADA GRANULAR</t>
  </si>
  <si>
    <t>RIEGO DE IMPRIMACÓN CON EMULSIÓN
CATIÓNICA CI</t>
  </si>
  <si>
    <t>RIEGO DE LIGA CON EMULSIÓN
CATIÓNICA E.R.1</t>
  </si>
  <si>
    <t>CARPETA CON MEZCLA BITUMINOSA TIPO CONCRETO ASFÁLTICO
Incluído materiales, colocación y transporte. En 0,05m de espesor</t>
  </si>
  <si>
    <t>EXCAVACIÓN PARA FUNDACIONES</t>
  </si>
  <si>
    <t>HORMIGÓN DE CEMENTO PORTLAND TIPO H-21, EXCLUIDO ARMADURA</t>
  </si>
  <si>
    <t>HORMIGÓN DE CEMENTO PORTLAND TIPO H-17, EXCLUIDO ARMADURA</t>
  </si>
  <si>
    <t>HORMIGÓN DE CEMENTO PORTLAND TIPO H-13</t>
  </si>
  <si>
    <t>HORMIGÓN DE CEMENTO PORTLAND TIPO H-8</t>
  </si>
  <si>
    <t>CONSTRUCCIÓN DE SIFÓN</t>
  </si>
  <si>
    <t>CONSTRUCCIÓN DE CORDÓN CUNETA</t>
  </si>
  <si>
    <t>ACERO ESPECIAL EN BARRA COLOCADO</t>
  </si>
  <si>
    <t>Tn</t>
  </si>
  <si>
    <t>CONSTRUCCIÓN DE CANAL IMPERMEABILIZADO DE HORMIGÓN</t>
  </si>
  <si>
    <t>CONSTRUCCIÓN DE CUNETA IMPERMEABILIZADA DE HORMIGÓN</t>
  </si>
  <si>
    <t>CONSTRUCCIÓN DE COMPARTO</t>
  </si>
  <si>
    <t>N°</t>
  </si>
  <si>
    <t>CONSTRUCCIÓN DE ALAMABRADO SEGÚN PLANO TIPO H-2840-I, TIPO "C"</t>
  </si>
  <si>
    <t>COLOCACIÓN DE TRANQUERA s/PLANO TIPO J-5084 TIPO "A"</t>
  </si>
  <si>
    <t>SEÑALAMIENTO VERTICAL REFLECTIVO</t>
  </si>
  <si>
    <t>SEÑALAMIENTO HORIZONTAL
Con material termoplástico reflectante</t>
  </si>
  <si>
    <t xml:space="preserve">   Por Pulverización</t>
  </si>
  <si>
    <t xml:space="preserve">   Por Extrusión</t>
  </si>
  <si>
    <t>DEMOLICIÓN DE CANAL DE HORMIGÓN Y OBRAS COMPLEMENTARIAS</t>
  </si>
  <si>
    <t>RETIRO DE ALAMBRADO EXISTENTE</t>
  </si>
  <si>
    <t>LIMPIEZA DE CANAL EXISTENTE</t>
  </si>
  <si>
    <t>DEMOLICIÓN DE OBRAS VARIAS</t>
  </si>
  <si>
    <t>Gl</t>
  </si>
  <si>
    <t>RETIRO Y REUBICACIÓN DE INSTALACIONES DE SEMÁFOROS</t>
  </si>
  <si>
    <t>RETIRO DE LÍNEA ELÉCTRICA Y POSTES DE ALUMBRADO PÚBLICO EXISTENTES</t>
  </si>
  <si>
    <t>TRASLADO Y/O REUBICACIÓN  DE LÍNEAS ELÉCTRICAS</t>
  </si>
  <si>
    <t>PROYECTO Y CONSTRUCCIÓN DE CANAL IMPERMEABILIZADO DE HORMIGÓN</t>
  </si>
  <si>
    <t>AMPLIACIÓN Y MEJORAMIENTO DE RED DE AGUA POTABLE</t>
  </si>
  <si>
    <t>PROYECYO Y CONSTRUCCIÓN DE OBRAS DE ILUMINACIÓN</t>
  </si>
  <si>
    <t>CUMPLIMIENTO MANEJO AMBIENTAL</t>
  </si>
  <si>
    <t>Mes</t>
  </si>
  <si>
    <t>PROVISIÓN DE MOVILIDAD PARA EL PERSONAL DE LA INSPECCIÓN</t>
  </si>
  <si>
    <t>Cuota Mensual</t>
  </si>
  <si>
    <t>Adicional por Kilómetro</t>
  </si>
  <si>
    <t>MOVILIZACIÓN DE OBRA</t>
  </si>
  <si>
    <t>24.a</t>
  </si>
  <si>
    <t>24.b</t>
  </si>
  <si>
    <t>36.a</t>
  </si>
  <si>
    <t>36.b</t>
  </si>
  <si>
    <t>PAVIMENTACION Y ENSANCHE DE RUTA PROVINCIAL N°7 AV. JOAQUIN UÑAC</t>
  </si>
  <si>
    <t>RUTA PROV. Nº 231 (CALLE 13) - RUTA PROV. Nº259 (CALLE 14)</t>
  </si>
  <si>
    <t>30/18</t>
  </si>
  <si>
    <t>510-003059-18</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</si>
</sst>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_ ;\-#,##0.00\ "/>
    <numFmt numFmtId="189" formatCode="0.000000"/>
    <numFmt numFmtId="190" formatCode="000"/>
    <numFmt numFmtId="191" formatCode="0.0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74" fontId="11" fillId="0" borderId="19" xfId="7" applyNumberFormat="1" applyFont="1" applyFill="1" applyBorder="1" applyAlignment="1" applyProtection="1">
      <alignment horizontal="center" vertical="center"/>
      <protection hidden="1"/>
    </xf>
    <xf numFmtId="167"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6"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2" fontId="7" fillId="4"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6" fontId="7" fillId="0" borderId="16" xfId="0" applyNumberFormat="1" applyFont="1" applyFill="1" applyBorder="1" applyAlignment="1" applyProtection="1">
      <alignment vertical="center"/>
      <protection hidden="1"/>
    </xf>
    <xf numFmtId="166"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6"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6"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7" fontId="8" fillId="0" borderId="0" xfId="0" applyNumberFormat="1" applyFont="1" applyFill="1" applyBorder="1" applyAlignment="1" applyProtection="1">
      <alignment horizontal="center" vertical="center"/>
    </xf>
    <xf numFmtId="166"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6"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7" fontId="8" fillId="0" borderId="9" xfId="0" applyNumberFormat="1" applyFont="1" applyFill="1" applyBorder="1" applyAlignment="1" applyProtection="1">
      <alignment horizontal="center" vertical="center"/>
      <protection locked="0"/>
    </xf>
    <xf numFmtId="180" fontId="8" fillId="0" borderId="9" xfId="49" applyNumberFormat="1" applyFont="1" applyFill="1" applyBorder="1" applyAlignment="1" applyProtection="1">
      <alignment vertical="center"/>
      <protection locked="0"/>
    </xf>
    <xf numFmtId="180"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88" fontId="8" fillId="0" borderId="9" xfId="0" applyNumberFormat="1" applyFont="1" applyFill="1" applyBorder="1" applyAlignment="1" applyProtection="1">
      <alignment vertical="center"/>
      <protection locked="0"/>
    </xf>
    <xf numFmtId="188"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78"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6" fontId="8" fillId="0" borderId="15" xfId="0" applyNumberFormat="1" applyFont="1" applyFill="1" applyBorder="1" applyAlignment="1" applyProtection="1">
      <alignment horizontal="center" vertical="center"/>
    </xf>
    <xf numFmtId="166" fontId="8" fillId="0" borderId="11"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6"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6"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16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0"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0"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90"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0"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0"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0"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0"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0"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0"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0"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0"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0"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0"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0"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0"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0"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0" fontId="11" fillId="0" borderId="75" xfId="63" applyNumberFormat="1" applyFont="1" applyBorder="1" applyAlignment="1">
      <alignment horizontal="center" vertical="center"/>
    </xf>
    <xf numFmtId="190"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0"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0"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0"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0"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0" fontId="11" fillId="0" borderId="32" xfId="63" applyNumberFormat="1" applyFont="1" applyBorder="1" applyAlignment="1">
      <alignment vertical="center"/>
    </xf>
    <xf numFmtId="0" fontId="7" fillId="0" borderId="14" xfId="63" applyFont="1" applyBorder="1" applyAlignment="1">
      <alignment vertical="center"/>
    </xf>
    <xf numFmtId="190" fontId="11" fillId="0" borderId="51" xfId="63" applyNumberFormat="1" applyFont="1" applyBorder="1" applyAlignment="1">
      <alignment vertical="center"/>
    </xf>
    <xf numFmtId="0" fontId="7" fillId="0" borderId="52" xfId="63" applyFont="1" applyBorder="1" applyAlignment="1">
      <alignment vertical="center"/>
    </xf>
    <xf numFmtId="190" fontId="11" fillId="0" borderId="32" xfId="63" applyNumberFormat="1" applyFont="1" applyFill="1" applyBorder="1" applyAlignment="1">
      <alignment vertical="center"/>
    </xf>
    <xf numFmtId="190"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0" fontId="11" fillId="0" borderId="0" xfId="63" applyNumberFormat="1" applyFont="1" applyAlignment="1">
      <alignment horizontal="center" vertical="center"/>
    </xf>
    <xf numFmtId="0" fontId="44" fillId="0" borderId="0" xfId="19" applyFont="1" applyFill="1" applyBorder="1" applyAlignment="1">
      <alignment vertical="center"/>
    </xf>
    <xf numFmtId="191"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1" fontId="7" fillId="0" borderId="9" xfId="20" applyNumberFormat="1" applyFont="1" applyBorder="1" applyAlignment="1">
      <alignment horizontal="left" vertical="center" wrapText="1"/>
    </xf>
    <xf numFmtId="191"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9"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2"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3" fontId="8" fillId="0" borderId="9" xfId="20" applyNumberFormat="1" applyFont="1" applyFill="1" applyBorder="1" applyAlignment="1" applyProtection="1">
      <alignment horizontal="center" vertical="center"/>
      <protection locked="0"/>
    </xf>
    <xf numFmtId="194" fontId="8" fillId="0" borderId="9" xfId="81" applyNumberFormat="1" applyFont="1" applyFill="1" applyBorder="1" applyAlignment="1" applyProtection="1">
      <alignment horizontal="center" vertical="center"/>
      <protection locked="0"/>
    </xf>
    <xf numFmtId="195" fontId="8" fillId="0" borderId="9" xfId="20" applyNumberFormat="1" applyFont="1" applyFill="1" applyBorder="1" applyAlignment="1" applyProtection="1">
      <alignment horizontal="center" vertical="center"/>
    </xf>
    <xf numFmtId="196" fontId="8" fillId="0" borderId="9" xfId="20" applyNumberFormat="1" applyFont="1" applyFill="1" applyBorder="1" applyAlignment="1" applyProtection="1">
      <alignment horizontal="center" vertical="center"/>
    </xf>
    <xf numFmtId="0" fontId="8" fillId="0" borderId="13" xfId="20" applyFont="1" applyFill="1" applyBorder="1" applyProtection="1"/>
    <xf numFmtId="197" fontId="8" fillId="0" borderId="9" xfId="20" applyNumberFormat="1" applyFont="1" applyFill="1" applyBorder="1" applyProtection="1">
      <protection locked="0"/>
    </xf>
    <xf numFmtId="198" fontId="8" fillId="0" borderId="9" xfId="20" applyNumberFormat="1" applyFont="1" applyFill="1" applyBorder="1" applyProtection="1">
      <protection locked="0"/>
    </xf>
    <xf numFmtId="199" fontId="8" fillId="0" borderId="9" xfId="20" applyNumberFormat="1" applyFont="1" applyFill="1" applyBorder="1" applyAlignment="1" applyProtection="1">
      <alignment horizontal="center" vertical="center"/>
      <protection locked="0"/>
    </xf>
    <xf numFmtId="200" fontId="8" fillId="0" borderId="9" xfId="81" applyNumberFormat="1" applyFont="1" applyFill="1" applyBorder="1" applyAlignment="1" applyProtection="1">
      <alignment horizontal="center" vertical="center"/>
      <protection locked="0"/>
    </xf>
    <xf numFmtId="201" fontId="8" fillId="0" borderId="9" xfId="81" applyNumberFormat="1" applyFont="1" applyFill="1" applyBorder="1" applyAlignment="1" applyProtection="1">
      <alignment horizontal="center" vertical="center"/>
      <protection locked="0"/>
    </xf>
    <xf numFmtId="202" fontId="8" fillId="0" borderId="9" xfId="20" applyNumberFormat="1" applyFont="1" applyFill="1" applyBorder="1" applyAlignment="1" applyProtection="1">
      <alignment horizontal="center" vertical="center"/>
    </xf>
    <xf numFmtId="203" fontId="8" fillId="0" borderId="9"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right" vertical="center"/>
    </xf>
    <xf numFmtId="204" fontId="8" fillId="0" borderId="9" xfId="20" applyNumberFormat="1" applyFont="1" applyFill="1" applyBorder="1" applyProtection="1">
      <protection locked="0"/>
    </xf>
    <xf numFmtId="205" fontId="8" fillId="0" borderId="9" xfId="81" applyNumberFormat="1" applyFont="1" applyFill="1" applyBorder="1" applyAlignment="1" applyProtection="1">
      <alignment horizontal="center" vertical="center"/>
      <protection locked="0"/>
    </xf>
    <xf numFmtId="189" fontId="12" fillId="0" borderId="9" xfId="0" applyNumberFormat="1" applyFont="1" applyBorder="1" applyAlignment="1">
      <alignment vertical="center"/>
    </xf>
    <xf numFmtId="189" fontId="8" fillId="0" borderId="9" xfId="49" applyNumberFormat="1" applyFont="1" applyFill="1" applyBorder="1" applyAlignment="1" applyProtection="1">
      <alignment vertical="center"/>
      <protection locked="0"/>
    </xf>
    <xf numFmtId="180" fontId="8" fillId="0" borderId="9" xfId="49" applyNumberFormat="1" applyFont="1" applyFill="1" applyBorder="1" applyAlignment="1" applyProtection="1">
      <alignment horizontal="center" vertical="center"/>
      <protection locked="0"/>
    </xf>
    <xf numFmtId="166"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7"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7" fontId="7" fillId="0" borderId="0" xfId="20" applyNumberFormat="1" applyFont="1" applyAlignment="1" applyProtection="1">
      <protection hidden="1"/>
    </xf>
    <xf numFmtId="208" fontId="7" fillId="0" borderId="0" xfId="20" applyNumberFormat="1" applyFont="1" applyBorder="1" applyAlignment="1" applyProtection="1">
      <alignment shrinkToFit="1"/>
      <protection hidden="1"/>
    </xf>
    <xf numFmtId="209"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Protection="1">
      <protection hidden="1"/>
    </xf>
    <xf numFmtId="214" fontId="7" fillId="0" borderId="0" xfId="20" applyNumberFormat="1" applyFont="1" applyBorder="1" applyAlignment="1" applyProtection="1">
      <alignment horizontal="center"/>
      <protection hidden="1"/>
    </xf>
    <xf numFmtId="215" fontId="7" fillId="0" borderId="0" xfId="20" applyNumberFormat="1" applyFont="1" applyBorder="1" applyAlignment="1" applyProtection="1">
      <alignment horizontal="center" vertical="center" shrinkToFit="1"/>
      <protection hidden="1"/>
    </xf>
    <xf numFmtId="217" fontId="7" fillId="0" borderId="0" xfId="20" applyNumberFormat="1" applyFont="1" applyAlignment="1" applyProtection="1">
      <alignment shrinkToFit="1"/>
      <protection hidden="1"/>
    </xf>
    <xf numFmtId="218" fontId="7" fillId="0" borderId="0" xfId="20" applyNumberFormat="1" applyFont="1" applyAlignment="1" applyProtection="1">
      <alignment horizontal="center" shrinkToFit="1"/>
      <protection hidden="1"/>
    </xf>
    <xf numFmtId="219"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0"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09"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5" fontId="8" fillId="0" borderId="9" xfId="20" applyNumberFormat="1" applyFont="1" applyBorder="1" applyAlignment="1" applyProtection="1">
      <alignment horizontal="center" vertical="center"/>
      <protection hidden="1"/>
    </xf>
    <xf numFmtId="222" fontId="8" fillId="0" borderId="9" xfId="20" applyNumberFormat="1" applyFont="1" applyBorder="1" applyAlignment="1" applyProtection="1">
      <alignment horizontal="center" vertical="center"/>
      <protection locked="0"/>
    </xf>
    <xf numFmtId="223" fontId="8" fillId="0" borderId="9" xfId="20" applyNumberFormat="1" applyFont="1" applyBorder="1" applyAlignment="1" applyProtection="1">
      <alignment horizontal="center" vertical="center"/>
      <protection hidden="1"/>
    </xf>
    <xf numFmtId="223" fontId="8" fillId="0" borderId="9" xfId="20" applyNumberFormat="1" applyFont="1" applyBorder="1" applyAlignment="1" applyProtection="1">
      <alignment horizontal="center" vertical="center"/>
      <protection locked="0"/>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06" fontId="8" fillId="0" borderId="9" xfId="20" applyNumberFormat="1" applyFont="1" applyBorder="1" applyAlignment="1" applyProtection="1">
      <alignment horizontal="center" vertical="center"/>
      <protection hidden="1"/>
    </xf>
    <xf numFmtId="226" fontId="10" fillId="0" borderId="9" xfId="20" applyNumberFormat="1" applyFont="1" applyBorder="1" applyAlignment="1" applyProtection="1">
      <alignment horizontal="center" vertical="center"/>
      <protection hidden="1"/>
    </xf>
    <xf numFmtId="226" fontId="7" fillId="0" borderId="0" xfId="20" applyNumberFormat="1" applyFont="1" applyAlignment="1" applyProtection="1">
      <alignment vertical="center"/>
      <protection hidden="1"/>
    </xf>
    <xf numFmtId="222"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hidden="1"/>
    </xf>
    <xf numFmtId="226" fontId="7" fillId="0" borderId="0" xfId="20" applyNumberFormat="1" applyFont="1" applyBorder="1" applyAlignment="1" applyProtection="1">
      <alignment vertical="center"/>
      <protection hidden="1"/>
    </xf>
    <xf numFmtId="227"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79" fontId="12" fillId="0" borderId="9" xfId="49" applyNumberFormat="1" applyFont="1" applyFill="1" applyBorder="1" applyAlignment="1" applyProtection="1">
      <alignment vertical="center" wrapText="1"/>
      <protection hidden="1"/>
    </xf>
    <xf numFmtId="179"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44"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6" fontId="11" fillId="0" borderId="19" xfId="0" applyNumberFormat="1" applyFont="1" applyFill="1" applyBorder="1" applyAlignment="1" applyProtection="1">
      <alignment vertical="center"/>
      <protection hidden="1"/>
    </xf>
    <xf numFmtId="166" fontId="11" fillId="0" borderId="9" xfId="49" applyFont="1" applyBorder="1" applyProtection="1">
      <protection locked="0"/>
    </xf>
    <xf numFmtId="211"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2" fontId="11" fillId="0" borderId="9" xfId="20" applyNumberFormat="1" applyFont="1" applyBorder="1" applyProtection="1">
      <protection locked="0"/>
    </xf>
    <xf numFmtId="214" fontId="11" fillId="0" borderId="9" xfId="20" applyNumberFormat="1" applyFont="1" applyBorder="1" applyProtection="1">
      <protection locked="0"/>
    </xf>
    <xf numFmtId="197" fontId="11" fillId="0" borderId="9" xfId="20" applyNumberFormat="1" applyFont="1" applyBorder="1" applyProtection="1">
      <protection locked="0"/>
    </xf>
    <xf numFmtId="199" fontId="11" fillId="0" borderId="9" xfId="20" applyNumberFormat="1" applyFont="1" applyBorder="1" applyProtection="1">
      <protection locked="0"/>
    </xf>
    <xf numFmtId="216" fontId="11" fillId="0" borderId="9" xfId="20" applyNumberFormat="1" applyFont="1" applyFill="1" applyBorder="1" applyProtection="1">
      <protection locked="0"/>
    </xf>
    <xf numFmtId="221" fontId="11" fillId="0" borderId="9" xfId="20" applyNumberFormat="1" applyFont="1" applyBorder="1" applyProtection="1">
      <protection locked="0"/>
    </xf>
    <xf numFmtId="209" fontId="11" fillId="0" borderId="9" xfId="20" applyNumberFormat="1" applyFont="1" applyBorder="1" applyProtection="1">
      <protection locked="0"/>
    </xf>
    <xf numFmtId="166" fontId="11" fillId="0" borderId="9" xfId="49" applyFont="1" applyBorder="1" applyProtection="1">
      <protection hidden="1"/>
    </xf>
    <xf numFmtId="211"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2" fontId="7" fillId="0" borderId="9" xfId="20" applyNumberFormat="1" applyFont="1" applyBorder="1" applyProtection="1">
      <protection hidden="1"/>
    </xf>
    <xf numFmtId="214" fontId="11" fillId="0" borderId="9" xfId="20" applyNumberFormat="1" applyFont="1" applyBorder="1" applyProtection="1">
      <protection hidden="1"/>
    </xf>
    <xf numFmtId="197" fontId="7" fillId="0" borderId="9" xfId="20" applyNumberFormat="1" applyFont="1" applyBorder="1" applyProtection="1">
      <protection hidden="1"/>
    </xf>
    <xf numFmtId="199" fontId="7" fillId="0" borderId="9" xfId="20" applyNumberFormat="1" applyFont="1" applyBorder="1" applyProtection="1">
      <protection hidden="1"/>
    </xf>
    <xf numFmtId="216" fontId="11" fillId="0" borderId="9" xfId="20" applyNumberFormat="1" applyFont="1" applyFill="1" applyBorder="1" applyProtection="1">
      <protection hidden="1"/>
    </xf>
    <xf numFmtId="221" fontId="7" fillId="0" borderId="9" xfId="20" applyNumberFormat="1" applyFont="1" applyBorder="1" applyProtection="1">
      <protection hidden="1"/>
    </xf>
    <xf numFmtId="209"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7" fontId="7" fillId="0" borderId="9" xfId="20" applyNumberFormat="1" applyFont="1" applyFill="1" applyBorder="1" applyAlignment="1" applyProtection="1">
      <alignment horizontal="center" vertical="center"/>
      <protection locked="0"/>
    </xf>
    <xf numFmtId="166"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6"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186" fontId="8" fillId="0" borderId="31" xfId="0" applyNumberFormat="1" applyFont="1" applyFill="1" applyBorder="1" applyAlignment="1" applyProtection="1">
      <alignment horizontal="center" vertical="center"/>
    </xf>
    <xf numFmtId="186" fontId="8" fillId="0" borderId="29" xfId="0" applyNumberFormat="1"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39" fontId="8" fillId="0" borderId="26"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1" fontId="7" fillId="0" borderId="0" xfId="20" applyNumberFormat="1" applyFont="1" applyBorder="1" applyAlignment="1" applyProtection="1">
      <alignment horizontal="center"/>
      <protection hidden="1"/>
    </xf>
    <xf numFmtId="197" fontId="7" fillId="0" borderId="0" xfId="20" applyNumberFormat="1" applyFont="1" applyBorder="1" applyAlignment="1" applyProtection="1">
      <alignment horizontal="center"/>
      <protection hidden="1"/>
    </xf>
    <xf numFmtId="0" fontId="8" fillId="0" borderId="9" xfId="20" applyFont="1" applyBorder="1" applyAlignment="1" applyProtection="1">
      <alignment horizontal="center" vertical="center" wrapText="1"/>
      <protection hidden="1"/>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2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PTyCI!$E$57:$BA$57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PTyCI!$E$58:$BA$58</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10656896"/>
        <c:axId val="110659072"/>
      </c:lineChart>
      <c:catAx>
        <c:axId val="1106568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659072"/>
        <c:crossesAt val="0"/>
        <c:auto val="1"/>
        <c:lblAlgn val="ctr"/>
        <c:lblOffset val="100"/>
        <c:noMultiLvlLbl val="0"/>
      </c:catAx>
      <c:valAx>
        <c:axId val="1106590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06568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PTyCI!$E$60:$BA$60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PTyCI!$E$61:$BA$61</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25187584"/>
        <c:axId val="125189504"/>
      </c:lineChart>
      <c:catAx>
        <c:axId val="1251875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5189504"/>
        <c:crosses val="autoZero"/>
        <c:auto val="1"/>
        <c:lblAlgn val="ctr"/>
        <c:lblOffset val="100"/>
        <c:noMultiLvlLbl val="0"/>
      </c:catAx>
      <c:valAx>
        <c:axId val="12518950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251875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91" customWidth="1"/>
    <col min="2" max="16384" width="11.42578125" style="191"/>
  </cols>
  <sheetData>
    <row r="1" spans="1:7" ht="30" customHeight="1" x14ac:dyDescent="0.2">
      <c r="A1" s="190" t="s">
        <v>959</v>
      </c>
    </row>
    <row r="2" spans="1:7" ht="30" customHeight="1" x14ac:dyDescent="0.2">
      <c r="A2" s="190" t="s">
        <v>982</v>
      </c>
    </row>
    <row r="3" spans="1:7" ht="165" x14ac:dyDescent="0.2">
      <c r="A3" s="192" t="s">
        <v>987</v>
      </c>
    </row>
    <row r="4" spans="1:7" ht="30" customHeight="1" x14ac:dyDescent="0.2">
      <c r="A4" s="190" t="s">
        <v>960</v>
      </c>
    </row>
    <row r="5" spans="1:7" ht="150" x14ac:dyDescent="0.2">
      <c r="A5" s="220" t="s">
        <v>983</v>
      </c>
    </row>
    <row r="6" spans="1:7" ht="255.75" x14ac:dyDescent="0.2">
      <c r="A6" s="220" t="s">
        <v>985</v>
      </c>
      <c r="B6" s="193"/>
      <c r="C6" s="193"/>
      <c r="D6" s="193"/>
      <c r="E6" s="193"/>
      <c r="F6" s="193"/>
      <c r="G6" s="193"/>
    </row>
    <row r="7" spans="1:7" ht="15" x14ac:dyDescent="0.2">
      <c r="A7" s="192" t="s">
        <v>984</v>
      </c>
      <c r="B7" s="193"/>
      <c r="C7" s="193"/>
      <c r="D7" s="193"/>
      <c r="E7" s="193"/>
      <c r="F7" s="193"/>
      <c r="G7" s="193"/>
    </row>
    <row r="8" spans="1:7" ht="45" customHeight="1" x14ac:dyDescent="0.2">
      <c r="A8" s="192" t="s">
        <v>986</v>
      </c>
      <c r="B8" s="193"/>
      <c r="C8" s="193"/>
      <c r="D8" s="193"/>
      <c r="E8" s="193"/>
      <c r="F8" s="193"/>
      <c r="G8" s="193"/>
    </row>
    <row r="9" spans="1:7" ht="30" x14ac:dyDescent="0.2">
      <c r="A9" s="192" t="s">
        <v>991</v>
      </c>
      <c r="B9" s="193" t="s">
        <v>3</v>
      </c>
      <c r="C9" s="193"/>
      <c r="D9" s="193"/>
      <c r="E9" s="193"/>
      <c r="F9" s="193"/>
      <c r="G9" s="193"/>
    </row>
    <row r="10" spans="1:7" ht="30" customHeight="1" x14ac:dyDescent="0.2">
      <c r="A10" s="190" t="s">
        <v>961</v>
      </c>
    </row>
    <row r="11" spans="1:7" ht="45" customHeight="1" x14ac:dyDescent="0.2">
      <c r="A11" s="192" t="s">
        <v>988</v>
      </c>
      <c r="B11" s="193"/>
      <c r="C11" s="193"/>
      <c r="D11" s="193"/>
      <c r="E11" s="193"/>
      <c r="F11" s="193"/>
      <c r="G11" s="193"/>
    </row>
    <row r="12" spans="1:7" ht="45" customHeight="1" x14ac:dyDescent="0.2">
      <c r="A12" s="192" t="s">
        <v>992</v>
      </c>
      <c r="B12" s="193"/>
      <c r="C12" s="193"/>
      <c r="D12" s="193"/>
      <c r="E12" s="193"/>
      <c r="F12" s="193"/>
      <c r="G12" s="193"/>
    </row>
    <row r="13" spans="1:7" ht="30" x14ac:dyDescent="0.2">
      <c r="A13" s="192" t="s">
        <v>989</v>
      </c>
      <c r="B13" s="193"/>
      <c r="C13" s="193"/>
      <c r="D13" s="193"/>
      <c r="E13" s="193"/>
      <c r="F13" s="193"/>
      <c r="G13" s="193"/>
    </row>
    <row r="14" spans="1:7" ht="15" x14ac:dyDescent="0.2">
      <c r="A14" s="192"/>
      <c r="B14" s="193"/>
      <c r="C14" s="193"/>
      <c r="D14" s="193"/>
      <c r="E14" s="193"/>
      <c r="F14" s="193"/>
      <c r="G14" s="193"/>
    </row>
    <row r="15" spans="1:7" ht="30" customHeight="1" x14ac:dyDescent="0.2">
      <c r="A15" s="190" t="s">
        <v>962</v>
      </c>
    </row>
    <row r="16" spans="1:7" ht="45" x14ac:dyDescent="0.2">
      <c r="A16" s="192" t="s">
        <v>990</v>
      </c>
      <c r="B16" s="193"/>
      <c r="C16" s="193"/>
      <c r="D16" s="193"/>
      <c r="E16" s="193"/>
      <c r="F16" s="193"/>
      <c r="G16" s="193"/>
    </row>
    <row r="17" spans="1:7" ht="15" x14ac:dyDescent="0.2">
      <c r="A17" s="192" t="s">
        <v>993</v>
      </c>
      <c r="B17" s="193"/>
      <c r="C17" s="193"/>
      <c r="D17" s="193"/>
      <c r="E17" s="193"/>
      <c r="F17" s="193"/>
      <c r="G17" s="193"/>
    </row>
    <row r="18" spans="1:7" ht="30" customHeight="1" x14ac:dyDescent="0.2">
      <c r="A18" s="190" t="s">
        <v>965</v>
      </c>
    </row>
    <row r="19" spans="1:7" ht="45" x14ac:dyDescent="0.2">
      <c r="A19" s="192" t="s">
        <v>994</v>
      </c>
      <c r="B19" s="193"/>
      <c r="C19" s="193"/>
      <c r="D19" s="193"/>
      <c r="E19" s="193"/>
      <c r="F19" s="193"/>
      <c r="G19" s="193"/>
    </row>
    <row r="21" spans="1:7" ht="30" customHeight="1" x14ac:dyDescent="0.2">
      <c r="A21" s="190" t="s">
        <v>995</v>
      </c>
    </row>
    <row r="22" spans="1:7" ht="45" x14ac:dyDescent="0.2">
      <c r="A22" s="192" t="s">
        <v>996</v>
      </c>
    </row>
    <row r="23" spans="1:7" ht="15" x14ac:dyDescent="0.2">
      <c r="A23" s="192"/>
    </row>
    <row r="24" spans="1:7" ht="30" x14ac:dyDescent="0.2">
      <c r="A24" s="192" t="s">
        <v>999</v>
      </c>
    </row>
    <row r="25" spans="1:7" ht="15" x14ac:dyDescent="0.2">
      <c r="A25" s="1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PAVIMENTACION Y ENSANCHE DE RUTA PROVINCIAL N°7 AV. JOAQUIN UÑAC</v>
      </c>
    </row>
    <row r="3" spans="1:6" s="6" customFormat="1" ht="20.100000000000001" customHeight="1" x14ac:dyDescent="0.2">
      <c r="A3" s="13" t="s">
        <v>15</v>
      </c>
      <c r="B3" s="13" t="str">
        <f>Ubicación</f>
        <v>DEPARTAMENTO POCITO</v>
      </c>
    </row>
    <row r="4" spans="1:6" s="6" customFormat="1" ht="20.100000000000001" customHeight="1" x14ac:dyDescent="0.2">
      <c r="A4" s="13" t="s">
        <v>14</v>
      </c>
      <c r="B4" s="14" t="str">
        <f>Licitación_N°</f>
        <v>30/18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8" t="s">
        <v>36</v>
      </c>
      <c r="B7" s="759"/>
      <c r="C7" s="759"/>
      <c r="D7" s="759"/>
      <c r="E7" s="760"/>
    </row>
    <row r="8" spans="1:6" ht="20.100000000000001" customHeight="1" x14ac:dyDescent="0.2">
      <c r="A8" s="761" t="s">
        <v>717</v>
      </c>
      <c r="B8" s="762"/>
      <c r="C8" s="763"/>
      <c r="D8" s="763"/>
      <c r="E8" s="764"/>
    </row>
    <row r="10" spans="1:6" ht="20.100000000000001" customHeight="1" x14ac:dyDescent="0.2">
      <c r="A10" s="756"/>
      <c r="B10" s="757"/>
      <c r="C10" s="114" t="s">
        <v>40</v>
      </c>
      <c r="D10" s="115" t="s">
        <v>37</v>
      </c>
      <c r="E10" s="115" t="s">
        <v>38</v>
      </c>
    </row>
    <row r="11" spans="1:6" ht="20.100000000000001" customHeight="1" x14ac:dyDescent="0.2">
      <c r="A11" s="754" t="s">
        <v>958</v>
      </c>
      <c r="B11" s="755"/>
      <c r="C11" s="137">
        <f>ROUND(SUBTOTAL(9,C12:C34),2)</f>
        <v>0</v>
      </c>
      <c r="D11" s="16">
        <f>SUBTOTAL(9,D12:D34)</f>
        <v>0</v>
      </c>
      <c r="E11" s="12"/>
    </row>
    <row r="12" spans="1:6" ht="20.100000000000001" customHeight="1" x14ac:dyDescent="0.2">
      <c r="A12" s="202"/>
      <c r="B12" s="203"/>
      <c r="C12" s="204"/>
      <c r="D12" s="15">
        <f t="shared" ref="D12:D34" si="0">IFERROR(C12/GG_Obra,0)</f>
        <v>0</v>
      </c>
      <c r="E12" s="15">
        <f t="shared" ref="E12:E34" si="1">IFERROR(C12/GG_Pesos,0)</f>
        <v>0</v>
      </c>
    </row>
    <row r="13" spans="1:6" ht="20.100000000000001" customHeight="1" x14ac:dyDescent="0.2">
      <c r="A13" s="202"/>
      <c r="B13" s="203"/>
      <c r="C13" s="204"/>
      <c r="D13" s="15">
        <f t="shared" si="0"/>
        <v>0</v>
      </c>
      <c r="E13" s="15">
        <f t="shared" si="1"/>
        <v>0</v>
      </c>
    </row>
    <row r="14" spans="1:6" ht="20.100000000000001" customHeight="1" x14ac:dyDescent="0.2">
      <c r="A14" s="202"/>
      <c r="B14" s="203"/>
      <c r="C14" s="204"/>
      <c r="D14" s="15">
        <f t="shared" si="0"/>
        <v>0</v>
      </c>
      <c r="E14" s="15">
        <f t="shared" si="1"/>
        <v>0</v>
      </c>
    </row>
    <row r="15" spans="1:6" ht="20.100000000000001" customHeight="1" x14ac:dyDescent="0.2">
      <c r="A15" s="202"/>
      <c r="B15" s="203"/>
      <c r="C15" s="204"/>
      <c r="D15" s="15">
        <f t="shared" si="0"/>
        <v>0</v>
      </c>
      <c r="E15" s="15">
        <f t="shared" si="1"/>
        <v>0</v>
      </c>
    </row>
    <row r="16" spans="1:6" ht="20.100000000000001" customHeight="1" x14ac:dyDescent="0.2">
      <c r="A16" s="202"/>
      <c r="B16" s="203"/>
      <c r="C16" s="204"/>
      <c r="D16" s="15">
        <f t="shared" si="0"/>
        <v>0</v>
      </c>
      <c r="E16" s="15">
        <f t="shared" si="1"/>
        <v>0</v>
      </c>
    </row>
    <row r="17" spans="1:5" ht="20.100000000000001" customHeight="1" x14ac:dyDescent="0.2">
      <c r="A17" s="756"/>
      <c r="B17" s="757"/>
      <c r="C17" s="138"/>
      <c r="D17" s="15">
        <f t="shared" si="0"/>
        <v>0</v>
      </c>
      <c r="E17" s="15">
        <f t="shared" si="1"/>
        <v>0</v>
      </c>
    </row>
    <row r="18" spans="1:5" ht="20.100000000000001" customHeight="1" x14ac:dyDescent="0.2">
      <c r="A18" s="756"/>
      <c r="B18" s="757"/>
      <c r="C18" s="138"/>
      <c r="D18" s="15">
        <f t="shared" si="0"/>
        <v>0</v>
      </c>
      <c r="E18" s="15">
        <f t="shared" si="1"/>
        <v>0</v>
      </c>
    </row>
    <row r="19" spans="1:5" ht="20.100000000000001" customHeight="1" x14ac:dyDescent="0.2">
      <c r="A19" s="756"/>
      <c r="B19" s="757"/>
      <c r="C19" s="138"/>
      <c r="D19" s="15">
        <f t="shared" si="0"/>
        <v>0</v>
      </c>
      <c r="E19" s="15">
        <f t="shared" si="1"/>
        <v>0</v>
      </c>
    </row>
    <row r="20" spans="1:5" ht="20.100000000000001" customHeight="1" x14ac:dyDescent="0.2">
      <c r="A20" s="756"/>
      <c r="B20" s="757"/>
      <c r="C20" s="138"/>
      <c r="D20" s="15">
        <f t="shared" si="0"/>
        <v>0</v>
      </c>
      <c r="E20" s="15">
        <f t="shared" si="1"/>
        <v>0</v>
      </c>
    </row>
    <row r="21" spans="1:5" ht="20.100000000000001" customHeight="1" x14ac:dyDescent="0.2">
      <c r="A21" s="756"/>
      <c r="B21" s="757"/>
      <c r="C21" s="138"/>
      <c r="D21" s="15">
        <f t="shared" si="0"/>
        <v>0</v>
      </c>
      <c r="E21" s="15">
        <f t="shared" si="1"/>
        <v>0</v>
      </c>
    </row>
    <row r="22" spans="1:5" ht="20.100000000000001" customHeight="1" x14ac:dyDescent="0.2">
      <c r="A22" s="756"/>
      <c r="B22" s="757"/>
      <c r="C22" s="138"/>
      <c r="D22" s="15">
        <f t="shared" si="0"/>
        <v>0</v>
      </c>
      <c r="E22" s="15">
        <f t="shared" si="1"/>
        <v>0</v>
      </c>
    </row>
    <row r="23" spans="1:5" ht="20.100000000000001" customHeight="1" x14ac:dyDescent="0.2">
      <c r="A23" s="756"/>
      <c r="B23" s="757"/>
      <c r="C23" s="138"/>
      <c r="D23" s="15">
        <f t="shared" si="0"/>
        <v>0</v>
      </c>
      <c r="E23" s="15">
        <f t="shared" si="1"/>
        <v>0</v>
      </c>
    </row>
    <row r="24" spans="1:5" ht="20.100000000000001" customHeight="1" x14ac:dyDescent="0.2">
      <c r="A24" s="756"/>
      <c r="B24" s="757"/>
      <c r="C24" s="138"/>
      <c r="D24" s="15">
        <f t="shared" si="0"/>
        <v>0</v>
      </c>
      <c r="E24" s="15">
        <f t="shared" si="1"/>
        <v>0</v>
      </c>
    </row>
    <row r="25" spans="1:5" ht="20.100000000000001" customHeight="1" x14ac:dyDescent="0.2">
      <c r="A25" s="756"/>
      <c r="B25" s="757"/>
      <c r="C25" s="138"/>
      <c r="D25" s="15">
        <f t="shared" ref="D25:D28" si="2">IFERROR(C25/GG_Obra,0)</f>
        <v>0</v>
      </c>
      <c r="E25" s="15">
        <f t="shared" ref="E25:E28" si="3">IFERROR(C25/GG_Pesos,0)</f>
        <v>0</v>
      </c>
    </row>
    <row r="26" spans="1:5" ht="20.100000000000001" customHeight="1" x14ac:dyDescent="0.2">
      <c r="A26" s="756"/>
      <c r="B26" s="757"/>
      <c r="C26" s="138"/>
      <c r="D26" s="15">
        <f t="shared" si="2"/>
        <v>0</v>
      </c>
      <c r="E26" s="15">
        <f t="shared" si="3"/>
        <v>0</v>
      </c>
    </row>
    <row r="27" spans="1:5" ht="20.100000000000001" customHeight="1" x14ac:dyDescent="0.2">
      <c r="A27" s="756"/>
      <c r="B27" s="757"/>
      <c r="C27" s="138"/>
      <c r="D27" s="15">
        <f t="shared" si="2"/>
        <v>0</v>
      </c>
      <c r="E27" s="15">
        <f t="shared" si="3"/>
        <v>0</v>
      </c>
    </row>
    <row r="28" spans="1:5" ht="20.100000000000001" customHeight="1" x14ac:dyDescent="0.2">
      <c r="A28" s="756"/>
      <c r="B28" s="757"/>
      <c r="C28" s="138"/>
      <c r="D28" s="15">
        <f t="shared" si="2"/>
        <v>0</v>
      </c>
      <c r="E28" s="15">
        <f t="shared" si="3"/>
        <v>0</v>
      </c>
    </row>
    <row r="29" spans="1:5" ht="20.100000000000001" customHeight="1" x14ac:dyDescent="0.2">
      <c r="A29" s="756"/>
      <c r="B29" s="757"/>
      <c r="C29" s="138"/>
      <c r="D29" s="15">
        <f t="shared" si="0"/>
        <v>0</v>
      </c>
      <c r="E29" s="15">
        <f t="shared" si="1"/>
        <v>0</v>
      </c>
    </row>
    <row r="30" spans="1:5" ht="20.100000000000001" customHeight="1" x14ac:dyDescent="0.2">
      <c r="A30" s="756"/>
      <c r="B30" s="757"/>
      <c r="C30" s="138"/>
      <c r="D30" s="15">
        <f t="shared" si="0"/>
        <v>0</v>
      </c>
      <c r="E30" s="15">
        <f t="shared" si="1"/>
        <v>0</v>
      </c>
    </row>
    <row r="31" spans="1:5" ht="20.100000000000001" customHeight="1" x14ac:dyDescent="0.2">
      <c r="A31" s="756"/>
      <c r="B31" s="757"/>
      <c r="C31" s="138"/>
      <c r="D31" s="15">
        <f t="shared" si="0"/>
        <v>0</v>
      </c>
      <c r="E31" s="15">
        <f t="shared" si="1"/>
        <v>0</v>
      </c>
    </row>
    <row r="32" spans="1:5" ht="20.100000000000001" customHeight="1" x14ac:dyDescent="0.2">
      <c r="A32" s="756"/>
      <c r="B32" s="757"/>
      <c r="C32" s="138"/>
      <c r="D32" s="15">
        <f t="shared" si="0"/>
        <v>0</v>
      </c>
      <c r="E32" s="15">
        <f t="shared" si="1"/>
        <v>0</v>
      </c>
    </row>
    <row r="33" spans="1:5" ht="20.100000000000001" customHeight="1" x14ac:dyDescent="0.2">
      <c r="A33" s="756"/>
      <c r="B33" s="757"/>
      <c r="C33" s="138"/>
      <c r="D33" s="15">
        <f t="shared" si="0"/>
        <v>0</v>
      </c>
      <c r="E33" s="15">
        <f t="shared" si="1"/>
        <v>0</v>
      </c>
    </row>
    <row r="34" spans="1:5" ht="20.100000000000001" customHeight="1" x14ac:dyDescent="0.2">
      <c r="A34" s="756"/>
      <c r="B34" s="757"/>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54" t="s">
        <v>39</v>
      </c>
      <c r="B36" s="755"/>
      <c r="C36" s="137">
        <f>ROUND(SUBTOTAL(9,C37:C73),2)</f>
        <v>0</v>
      </c>
      <c r="D36" s="111">
        <f>SUBTOTAL(9,D37:D80)</f>
        <v>0</v>
      </c>
      <c r="E36" s="117"/>
    </row>
    <row r="37" spans="1:5" ht="20.100000000000001" customHeight="1" x14ac:dyDescent="0.2">
      <c r="A37" s="198"/>
      <c r="B37" s="199"/>
      <c r="C37" s="200"/>
      <c r="D37" s="15">
        <f t="shared" ref="D37:D73" si="4">IFERROR(C37/GG_Empresa,0)</f>
        <v>0</v>
      </c>
      <c r="E37" s="15">
        <f t="shared" ref="E37:E73" si="5">IFERROR(C37/GG_Pesos,0)</f>
        <v>0</v>
      </c>
    </row>
    <row r="38" spans="1:5" ht="20.100000000000001" customHeight="1" x14ac:dyDescent="0.2">
      <c r="A38" s="198"/>
      <c r="B38" s="199"/>
      <c r="C38" s="200"/>
      <c r="D38" s="15">
        <f t="shared" si="4"/>
        <v>0</v>
      </c>
      <c r="E38" s="15">
        <f t="shared" si="5"/>
        <v>0</v>
      </c>
    </row>
    <row r="39" spans="1:5" ht="20.100000000000001" customHeight="1" x14ac:dyDescent="0.2">
      <c r="A39" s="198"/>
      <c r="B39" s="199"/>
      <c r="C39" s="200"/>
      <c r="D39" s="15">
        <f t="shared" si="4"/>
        <v>0</v>
      </c>
      <c r="E39" s="15">
        <f t="shared" si="5"/>
        <v>0</v>
      </c>
    </row>
    <row r="40" spans="1:5" ht="20.100000000000001" customHeight="1" x14ac:dyDescent="0.2">
      <c r="A40" s="198"/>
      <c r="B40" s="199"/>
      <c r="C40" s="200"/>
      <c r="D40" s="15">
        <f t="shared" si="4"/>
        <v>0</v>
      </c>
      <c r="E40" s="15">
        <f t="shared" si="5"/>
        <v>0</v>
      </c>
    </row>
    <row r="41" spans="1:5" ht="20.100000000000001" customHeight="1" x14ac:dyDescent="0.2">
      <c r="A41" s="198"/>
      <c r="B41" s="199"/>
      <c r="C41" s="200"/>
      <c r="D41" s="15">
        <f t="shared" ref="D41:D60" si="6">IFERROR(C41/GG_Empresa,0)</f>
        <v>0</v>
      </c>
      <c r="E41" s="15">
        <f t="shared" ref="E41:E60" si="7">IFERROR(C41/GG_Pesos,0)</f>
        <v>0</v>
      </c>
    </row>
    <row r="42" spans="1:5" ht="20.100000000000001" customHeight="1" x14ac:dyDescent="0.2">
      <c r="A42" s="198"/>
      <c r="B42" s="199"/>
      <c r="C42" s="200"/>
      <c r="D42" s="15">
        <f t="shared" si="6"/>
        <v>0</v>
      </c>
      <c r="E42" s="15">
        <f t="shared" si="7"/>
        <v>0</v>
      </c>
    </row>
    <row r="43" spans="1:5" ht="20.100000000000001" customHeight="1" x14ac:dyDescent="0.2">
      <c r="A43" s="198"/>
      <c r="B43" s="199"/>
      <c r="C43" s="200"/>
      <c r="D43" s="15">
        <f t="shared" si="6"/>
        <v>0</v>
      </c>
      <c r="E43" s="15">
        <f t="shared" si="7"/>
        <v>0</v>
      </c>
    </row>
    <row r="44" spans="1:5" ht="20.100000000000001" customHeight="1" x14ac:dyDescent="0.2">
      <c r="A44" s="198"/>
      <c r="B44" s="199"/>
      <c r="C44" s="200"/>
      <c r="D44" s="15">
        <f t="shared" si="6"/>
        <v>0</v>
      </c>
      <c r="E44" s="15">
        <f t="shared" si="7"/>
        <v>0</v>
      </c>
    </row>
    <row r="45" spans="1:5" ht="20.100000000000001" customHeight="1" x14ac:dyDescent="0.2">
      <c r="A45" s="198"/>
      <c r="B45" s="199"/>
      <c r="C45" s="200"/>
      <c r="D45" s="15">
        <f t="shared" si="6"/>
        <v>0</v>
      </c>
      <c r="E45" s="15">
        <f t="shared" si="7"/>
        <v>0</v>
      </c>
    </row>
    <row r="46" spans="1:5" ht="20.100000000000001" customHeight="1" x14ac:dyDescent="0.2">
      <c r="A46" s="198"/>
      <c r="B46" s="199"/>
      <c r="C46" s="200"/>
      <c r="D46" s="15">
        <f t="shared" si="6"/>
        <v>0</v>
      </c>
      <c r="E46" s="15">
        <f t="shared" si="7"/>
        <v>0</v>
      </c>
    </row>
    <row r="47" spans="1:5" ht="20.100000000000001" customHeight="1" x14ac:dyDescent="0.2">
      <c r="A47" s="198"/>
      <c r="B47" s="199"/>
      <c r="C47" s="200"/>
      <c r="D47" s="15">
        <f t="shared" si="6"/>
        <v>0</v>
      </c>
      <c r="E47" s="15">
        <f t="shared" si="7"/>
        <v>0</v>
      </c>
    </row>
    <row r="48" spans="1:5" ht="20.100000000000001" customHeight="1" x14ac:dyDescent="0.2">
      <c r="A48" s="198"/>
      <c r="B48" s="199"/>
      <c r="C48" s="200"/>
      <c r="D48" s="15">
        <f t="shared" si="6"/>
        <v>0</v>
      </c>
      <c r="E48" s="15">
        <f t="shared" si="7"/>
        <v>0</v>
      </c>
    </row>
    <row r="49" spans="1:5" ht="20.100000000000001" customHeight="1" x14ac:dyDescent="0.2">
      <c r="A49" s="198"/>
      <c r="B49" s="199"/>
      <c r="C49" s="200"/>
      <c r="D49" s="15">
        <f t="shared" si="6"/>
        <v>0</v>
      </c>
      <c r="E49" s="15">
        <f t="shared" si="7"/>
        <v>0</v>
      </c>
    </row>
    <row r="50" spans="1:5" ht="20.100000000000001" customHeight="1" x14ac:dyDescent="0.2">
      <c r="A50" s="198"/>
      <c r="B50" s="199"/>
      <c r="C50" s="200"/>
      <c r="D50" s="15">
        <f t="shared" si="6"/>
        <v>0</v>
      </c>
      <c r="E50" s="15">
        <f t="shared" si="7"/>
        <v>0</v>
      </c>
    </row>
    <row r="51" spans="1:5" ht="20.100000000000001" customHeight="1" x14ac:dyDescent="0.2">
      <c r="A51" s="198"/>
      <c r="B51" s="199"/>
      <c r="C51" s="200"/>
      <c r="D51" s="15">
        <f t="shared" si="6"/>
        <v>0</v>
      </c>
      <c r="E51" s="15">
        <f t="shared" si="7"/>
        <v>0</v>
      </c>
    </row>
    <row r="52" spans="1:5" ht="20.100000000000001" customHeight="1" x14ac:dyDescent="0.2">
      <c r="A52" s="198"/>
      <c r="B52" s="199"/>
      <c r="C52" s="200"/>
      <c r="D52" s="15">
        <f t="shared" si="6"/>
        <v>0</v>
      </c>
      <c r="E52" s="15">
        <f t="shared" si="7"/>
        <v>0</v>
      </c>
    </row>
    <row r="53" spans="1:5" ht="20.100000000000001" customHeight="1" x14ac:dyDescent="0.2">
      <c r="A53" s="198"/>
      <c r="B53" s="199"/>
      <c r="C53" s="200"/>
      <c r="D53" s="15">
        <f t="shared" si="6"/>
        <v>0</v>
      </c>
      <c r="E53" s="15">
        <f t="shared" si="7"/>
        <v>0</v>
      </c>
    </row>
    <row r="54" spans="1:5" ht="20.100000000000001" customHeight="1" x14ac:dyDescent="0.2">
      <c r="A54" s="198"/>
      <c r="B54" s="199"/>
      <c r="C54" s="200"/>
      <c r="D54" s="15">
        <f t="shared" si="6"/>
        <v>0</v>
      </c>
      <c r="E54" s="15">
        <f t="shared" si="7"/>
        <v>0</v>
      </c>
    </row>
    <row r="55" spans="1:5" ht="20.100000000000001" customHeight="1" x14ac:dyDescent="0.2">
      <c r="A55" s="198"/>
      <c r="B55" s="199"/>
      <c r="C55" s="200"/>
      <c r="D55" s="15">
        <f t="shared" si="6"/>
        <v>0</v>
      </c>
      <c r="E55" s="15">
        <f t="shared" si="7"/>
        <v>0</v>
      </c>
    </row>
    <row r="56" spans="1:5" ht="20.100000000000001" customHeight="1" x14ac:dyDescent="0.2">
      <c r="A56" s="198"/>
      <c r="B56" s="199"/>
      <c r="C56" s="200"/>
      <c r="D56" s="15">
        <f t="shared" si="6"/>
        <v>0</v>
      </c>
      <c r="E56" s="15">
        <f t="shared" si="7"/>
        <v>0</v>
      </c>
    </row>
    <row r="57" spans="1:5" ht="20.100000000000001" customHeight="1" x14ac:dyDescent="0.2">
      <c r="A57" s="198"/>
      <c r="B57" s="199"/>
      <c r="C57" s="200"/>
      <c r="D57" s="15">
        <f t="shared" si="6"/>
        <v>0</v>
      </c>
      <c r="E57" s="15">
        <f t="shared" si="7"/>
        <v>0</v>
      </c>
    </row>
    <row r="58" spans="1:5" ht="20.100000000000001" customHeight="1" x14ac:dyDescent="0.2">
      <c r="A58" s="198"/>
      <c r="B58" s="201"/>
      <c r="C58" s="200"/>
      <c r="D58" s="15">
        <f t="shared" si="6"/>
        <v>0</v>
      </c>
      <c r="E58" s="15">
        <f t="shared" si="7"/>
        <v>0</v>
      </c>
    </row>
    <row r="59" spans="1:5" ht="20.100000000000001" customHeight="1" x14ac:dyDescent="0.2">
      <c r="A59" s="198"/>
      <c r="B59" s="201"/>
      <c r="C59" s="200"/>
      <c r="D59" s="15">
        <f t="shared" si="6"/>
        <v>0</v>
      </c>
      <c r="E59" s="15">
        <f t="shared" si="7"/>
        <v>0</v>
      </c>
    </row>
    <row r="60" spans="1:5" ht="20.100000000000001" customHeight="1" x14ac:dyDescent="0.2">
      <c r="A60" s="198"/>
      <c r="B60" s="201"/>
      <c r="C60" s="200"/>
      <c r="D60" s="15">
        <f t="shared" si="6"/>
        <v>0</v>
      </c>
      <c r="E60" s="15">
        <f t="shared" si="7"/>
        <v>0</v>
      </c>
    </row>
    <row r="61" spans="1:5" ht="20.100000000000001" customHeight="1" x14ac:dyDescent="0.2">
      <c r="A61" s="198"/>
      <c r="B61" s="201"/>
      <c r="C61" s="200"/>
      <c r="D61" s="15">
        <f t="shared" si="4"/>
        <v>0</v>
      </c>
      <c r="E61" s="15">
        <f t="shared" si="5"/>
        <v>0</v>
      </c>
    </row>
    <row r="62" spans="1:5" ht="20.100000000000001" customHeight="1" x14ac:dyDescent="0.2">
      <c r="A62" s="198"/>
      <c r="B62" s="201"/>
      <c r="C62" s="200"/>
      <c r="D62" s="15">
        <f t="shared" si="4"/>
        <v>0</v>
      </c>
      <c r="E62" s="15">
        <f t="shared" si="5"/>
        <v>0</v>
      </c>
    </row>
    <row r="63" spans="1:5" ht="20.100000000000001" customHeight="1" x14ac:dyDescent="0.2">
      <c r="A63" s="198"/>
      <c r="B63" s="201"/>
      <c r="C63" s="200"/>
      <c r="D63" s="15">
        <f t="shared" si="4"/>
        <v>0</v>
      </c>
      <c r="E63" s="15">
        <f t="shared" si="5"/>
        <v>0</v>
      </c>
    </row>
    <row r="64" spans="1:5" ht="20.100000000000001" customHeight="1" x14ac:dyDescent="0.2">
      <c r="A64" s="198"/>
      <c r="B64" s="201"/>
      <c r="C64" s="200"/>
      <c r="D64" s="15">
        <f t="shared" si="4"/>
        <v>0</v>
      </c>
      <c r="E64" s="15">
        <f t="shared" si="5"/>
        <v>0</v>
      </c>
    </row>
    <row r="65" spans="1:5" ht="20.100000000000001" customHeight="1" x14ac:dyDescent="0.2">
      <c r="A65" s="198"/>
      <c r="B65" s="201"/>
      <c r="C65" s="200"/>
      <c r="D65" s="15">
        <f t="shared" si="4"/>
        <v>0</v>
      </c>
      <c r="E65" s="15">
        <f t="shared" si="5"/>
        <v>0</v>
      </c>
    </row>
    <row r="66" spans="1:5" ht="20.100000000000001" customHeight="1" x14ac:dyDescent="0.2">
      <c r="A66" s="198"/>
      <c r="B66" s="201"/>
      <c r="C66" s="200"/>
      <c r="D66" s="15">
        <f t="shared" si="4"/>
        <v>0</v>
      </c>
      <c r="E66" s="15">
        <f t="shared" si="5"/>
        <v>0</v>
      </c>
    </row>
    <row r="67" spans="1:5" ht="20.100000000000001" customHeight="1" x14ac:dyDescent="0.2">
      <c r="A67" s="198"/>
      <c r="B67" s="201"/>
      <c r="C67" s="200"/>
      <c r="D67" s="15">
        <f t="shared" si="4"/>
        <v>0</v>
      </c>
      <c r="E67" s="15">
        <f t="shared" si="5"/>
        <v>0</v>
      </c>
    </row>
    <row r="68" spans="1:5" ht="20.100000000000001" customHeight="1" x14ac:dyDescent="0.2">
      <c r="A68" s="198"/>
      <c r="B68" s="201"/>
      <c r="C68" s="200"/>
      <c r="D68" s="15">
        <f t="shared" si="4"/>
        <v>0</v>
      </c>
      <c r="E68" s="15">
        <f t="shared" si="5"/>
        <v>0</v>
      </c>
    </row>
    <row r="69" spans="1:5" ht="20.100000000000001" customHeight="1" x14ac:dyDescent="0.2">
      <c r="A69" s="198"/>
      <c r="B69" s="201"/>
      <c r="C69" s="200"/>
      <c r="D69" s="15">
        <f t="shared" si="4"/>
        <v>0</v>
      </c>
      <c r="E69" s="15">
        <f t="shared" si="5"/>
        <v>0</v>
      </c>
    </row>
    <row r="70" spans="1:5" ht="20.100000000000001" customHeight="1" x14ac:dyDescent="0.2">
      <c r="A70" s="198"/>
      <c r="B70" s="201"/>
      <c r="C70" s="200"/>
      <c r="D70" s="15">
        <f t="shared" ref="D70:D72" si="8">IFERROR(C70/GG_Empresa,0)</f>
        <v>0</v>
      </c>
      <c r="E70" s="15">
        <f t="shared" ref="E70:E72" si="9">IFERROR(C70/GG_Pesos,0)</f>
        <v>0</v>
      </c>
    </row>
    <row r="71" spans="1:5" ht="20.100000000000001" customHeight="1" x14ac:dyDescent="0.2">
      <c r="A71" s="198"/>
      <c r="B71" s="201"/>
      <c r="C71" s="200"/>
      <c r="D71" s="15">
        <f t="shared" si="8"/>
        <v>0</v>
      </c>
      <c r="E71" s="15">
        <f t="shared" si="9"/>
        <v>0</v>
      </c>
    </row>
    <row r="72" spans="1:5" ht="20.100000000000001" customHeight="1" x14ac:dyDescent="0.2">
      <c r="A72" s="198"/>
      <c r="B72" s="201"/>
      <c r="C72" s="200"/>
      <c r="D72" s="15">
        <f t="shared" si="8"/>
        <v>0</v>
      </c>
      <c r="E72" s="15">
        <f t="shared" si="9"/>
        <v>0</v>
      </c>
    </row>
    <row r="73" spans="1:5" ht="20.100000000000001" customHeight="1" x14ac:dyDescent="0.2">
      <c r="A73" s="198"/>
      <c r="B73" s="201"/>
      <c r="C73" s="200"/>
      <c r="D73" s="15">
        <f t="shared" si="4"/>
        <v>0</v>
      </c>
      <c r="E73" s="15">
        <f t="shared" si="5"/>
        <v>0</v>
      </c>
    </row>
    <row r="74" spans="1:5" ht="20.100000000000001" customHeight="1" x14ac:dyDescent="0.2">
      <c r="A74" s="116"/>
      <c r="B74" s="5"/>
      <c r="C74" s="5"/>
      <c r="D74" s="5"/>
      <c r="E74" s="117"/>
    </row>
    <row r="75" spans="1:5" ht="20.100000000000001" customHeight="1" x14ac:dyDescent="0.2">
      <c r="A75" s="754" t="s">
        <v>718</v>
      </c>
      <c r="B75" s="755"/>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6">
        <f>Equipo_Amortización+Equipo_Interés</f>
        <v>0</v>
      </c>
      <c r="D14" s="126" t="s">
        <v>1656</v>
      </c>
      <c r="E14" s="126" t="str">
        <f t="shared" si="0"/>
        <v>Equipo - Amortización de equipo</v>
      </c>
    </row>
    <row r="15" spans="1:5" x14ac:dyDescent="0.2">
      <c r="A15" s="126" t="s">
        <v>1737</v>
      </c>
      <c r="B15" s="124" t="s">
        <v>1735</v>
      </c>
      <c r="C15" s="606">
        <f>Equipo_Amortización</f>
        <v>0</v>
      </c>
      <c r="D15" s="126" t="s">
        <v>1656</v>
      </c>
      <c r="E15" s="126" t="str">
        <f t="shared" si="0"/>
        <v>Equipo - Amortización de equipo</v>
      </c>
    </row>
    <row r="16" spans="1:5" x14ac:dyDescent="0.2">
      <c r="A16" s="126" t="s">
        <v>1738</v>
      </c>
      <c r="B16" s="124" t="s">
        <v>1735</v>
      </c>
      <c r="C16" s="606">
        <f>Equipo_Interés</f>
        <v>0</v>
      </c>
      <c r="D16" s="126" t="s">
        <v>1656</v>
      </c>
      <c r="E16" s="126" t="str">
        <f t="shared" si="0"/>
        <v>Equipo - Amortización de equipo</v>
      </c>
    </row>
    <row r="17" spans="1:5" x14ac:dyDescent="0.2">
      <c r="A17" s="126" t="s">
        <v>1739</v>
      </c>
      <c r="B17" s="124" t="s">
        <v>1735</v>
      </c>
      <c r="C17" s="606">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6">
        <f>Camioneta_Amortización</f>
        <v>0</v>
      </c>
      <c r="D21" s="126" t="s">
        <v>1656</v>
      </c>
      <c r="E21" s="126" t="str">
        <f t="shared" si="0"/>
        <v>Equipo - Amortización de equipo</v>
      </c>
    </row>
    <row r="22" spans="1:5" x14ac:dyDescent="0.2">
      <c r="A22" s="126" t="s">
        <v>1744</v>
      </c>
      <c r="B22" s="124" t="s">
        <v>1735</v>
      </c>
      <c r="C22" s="606">
        <f>Camioneta_Interés</f>
        <v>0</v>
      </c>
      <c r="D22" s="126" t="s">
        <v>1656</v>
      </c>
      <c r="E22" s="126" t="str">
        <f t="shared" si="0"/>
        <v>Equipo - Amortización de equipo</v>
      </c>
    </row>
    <row r="23" spans="1:5" x14ac:dyDescent="0.2">
      <c r="A23" s="126" t="s">
        <v>1745</v>
      </c>
      <c r="B23" s="124" t="s">
        <v>1735</v>
      </c>
      <c r="C23" s="606">
        <f>Camioneta_Seguro</f>
        <v>0</v>
      </c>
      <c r="D23" s="126" t="s">
        <v>1656</v>
      </c>
      <c r="E23" s="126" t="str">
        <f t="shared" si="0"/>
        <v>Equipo - Amortización de equipo</v>
      </c>
    </row>
    <row r="24" spans="1:5" x14ac:dyDescent="0.2">
      <c r="A24" s="126" t="s">
        <v>1746</v>
      </c>
      <c r="B24" s="124" t="s">
        <v>1735</v>
      </c>
      <c r="C24" s="606">
        <f>Camioneta_Patente</f>
        <v>0</v>
      </c>
      <c r="D24" s="126" t="s">
        <v>1656</v>
      </c>
      <c r="E24" s="126" t="str">
        <f t="shared" si="0"/>
        <v>Equipo - Amortización de equipo</v>
      </c>
    </row>
    <row r="25" spans="1:5" x14ac:dyDescent="0.2">
      <c r="A25" s="126" t="s">
        <v>1747</v>
      </c>
      <c r="B25" s="124" t="s">
        <v>1735</v>
      </c>
      <c r="C25" s="606">
        <f>Camioneta_Combustibles_Lubricantes</f>
        <v>0</v>
      </c>
      <c r="D25" s="126" t="s">
        <v>1657</v>
      </c>
      <c r="E25" s="126" t="str">
        <f t="shared" si="0"/>
        <v xml:space="preserve">Gas oil                                                                </v>
      </c>
    </row>
    <row r="26" spans="1:5" x14ac:dyDescent="0.2">
      <c r="A26" s="126" t="s">
        <v>1748</v>
      </c>
      <c r="B26" s="124" t="s">
        <v>1735</v>
      </c>
      <c r="C26" s="606">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4"/>
      <c r="D35" s="127" t="s">
        <v>1660</v>
      </c>
      <c r="E35" s="126" t="str">
        <f t="shared" si="0"/>
        <v xml:space="preserve">Máquinas viales autopropulsadas                                        </v>
      </c>
    </row>
    <row r="36" spans="1:5" ht="12.75" x14ac:dyDescent="0.2">
      <c r="A36" s="126" t="s">
        <v>802</v>
      </c>
      <c r="B36" s="124"/>
      <c r="C36" s="554"/>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2"/>
      <c r="E41" s="126" t="str">
        <f t="shared" si="0"/>
        <v/>
      </c>
    </row>
    <row r="42" spans="1:5" x14ac:dyDescent="0.2">
      <c r="A42" s="126" t="s">
        <v>882</v>
      </c>
      <c r="B42" s="124"/>
      <c r="C42" s="129"/>
      <c r="D42" s="292"/>
      <c r="E42" s="126" t="str">
        <f t="shared" si="0"/>
        <v/>
      </c>
    </row>
    <row r="43" spans="1:5" x14ac:dyDescent="0.2">
      <c r="A43" s="126" t="s">
        <v>1045</v>
      </c>
      <c r="B43" s="124"/>
      <c r="C43" s="129"/>
      <c r="D43" s="292"/>
      <c r="E43" s="126" t="str">
        <f t="shared" si="0"/>
        <v/>
      </c>
    </row>
    <row r="44" spans="1:5" x14ac:dyDescent="0.2">
      <c r="A44" s="126"/>
      <c r="B44" s="124"/>
      <c r="C44" s="129"/>
      <c r="D44" s="126"/>
      <c r="E44" s="126" t="str">
        <f t="shared" si="0"/>
        <v/>
      </c>
    </row>
    <row r="45" spans="1:5" ht="12.75" x14ac:dyDescent="0.2">
      <c r="A45" s="126" t="s">
        <v>1827</v>
      </c>
      <c r="B45" s="124"/>
      <c r="C45" s="554"/>
      <c r="D45" s="127" t="s">
        <v>934</v>
      </c>
      <c r="E45" s="126" t="str">
        <f t="shared" si="0"/>
        <v>Acero aletado conformado, en barra</v>
      </c>
    </row>
    <row r="46" spans="1:5" ht="12.75" x14ac:dyDescent="0.2">
      <c r="A46" s="126" t="s">
        <v>1828</v>
      </c>
      <c r="B46" s="124"/>
      <c r="C46" s="554"/>
      <c r="D46" s="127" t="s">
        <v>934</v>
      </c>
      <c r="E46" s="126" t="str">
        <f t="shared" si="0"/>
        <v>Acero aletado conformado, en barra</v>
      </c>
    </row>
    <row r="47" spans="1:5" ht="12.75" x14ac:dyDescent="0.2">
      <c r="A47" s="126" t="s">
        <v>740</v>
      </c>
      <c r="B47" s="555"/>
      <c r="C47" s="554"/>
      <c r="D47" s="127" t="s">
        <v>943</v>
      </c>
      <c r="E47" s="126" t="str">
        <f t="shared" si="0"/>
        <v xml:space="preserve">Perfiles de hierro                                                     </v>
      </c>
    </row>
    <row r="48" spans="1:5" ht="12.75" x14ac:dyDescent="0.2">
      <c r="A48" s="126" t="s">
        <v>1829</v>
      </c>
      <c r="B48" s="555"/>
      <c r="C48" s="554"/>
      <c r="D48" s="127" t="s">
        <v>934</v>
      </c>
      <c r="E48" s="126" t="str">
        <f t="shared" si="0"/>
        <v>Acero aletado conformado, en barra</v>
      </c>
    </row>
    <row r="49" spans="1:5" ht="12.75" x14ac:dyDescent="0.2">
      <c r="A49" s="126" t="s">
        <v>1830</v>
      </c>
      <c r="B49" s="556"/>
      <c r="C49" s="554"/>
      <c r="D49" s="127" t="s">
        <v>1663</v>
      </c>
      <c r="E49" s="126" t="str">
        <f t="shared" si="0"/>
        <v>Productos químicos</v>
      </c>
    </row>
    <row r="50" spans="1:5" ht="12.75" x14ac:dyDescent="0.2">
      <c r="A50" s="126" t="s">
        <v>1831</v>
      </c>
      <c r="B50" s="555"/>
      <c r="C50" s="554"/>
      <c r="D50" s="127" t="s">
        <v>1664</v>
      </c>
      <c r="E50" s="126" t="str">
        <f t="shared" si="0"/>
        <v xml:space="preserve">Tejidos de alambre                                                     </v>
      </c>
    </row>
    <row r="51" spans="1:5" ht="12.75" x14ac:dyDescent="0.2">
      <c r="A51" s="126" t="s">
        <v>1832</v>
      </c>
      <c r="B51" s="555"/>
      <c r="C51" s="554"/>
      <c r="D51" s="127" t="s">
        <v>933</v>
      </c>
      <c r="E51" s="126" t="str">
        <f t="shared" si="0"/>
        <v xml:space="preserve">Alambres de acero                                                      </v>
      </c>
    </row>
    <row r="52" spans="1:5" ht="12.75" x14ac:dyDescent="0.2">
      <c r="A52" s="126" t="s">
        <v>755</v>
      </c>
      <c r="B52" s="555"/>
      <c r="C52" s="554"/>
      <c r="D52" s="127" t="s">
        <v>1665</v>
      </c>
      <c r="E52" s="126" t="str">
        <f t="shared" si="0"/>
        <v xml:space="preserve">Lingotes y perfiles de aluminio y sus aleaciones                       </v>
      </c>
    </row>
    <row r="53" spans="1:5" ht="12.75" x14ac:dyDescent="0.2">
      <c r="A53" s="126" t="s">
        <v>1833</v>
      </c>
      <c r="B53" s="556"/>
      <c r="C53" s="554"/>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7"/>
      <c r="C55" s="558"/>
      <c r="D55" s="127" t="s">
        <v>940</v>
      </c>
      <c r="E55" s="126" t="str">
        <f t="shared" si="0"/>
        <v>Arena clasificada lavada</v>
      </c>
    </row>
    <row r="56" spans="1:5" ht="12.75" x14ac:dyDescent="0.2">
      <c r="A56" s="126" t="s">
        <v>1669</v>
      </c>
      <c r="B56" s="557"/>
      <c r="C56" s="558"/>
      <c r="D56" s="127" t="s">
        <v>940</v>
      </c>
      <c r="E56" s="126" t="str">
        <f t="shared" si="0"/>
        <v>Arena clasificada lavada</v>
      </c>
    </row>
    <row r="57" spans="1:5" ht="12.75" x14ac:dyDescent="0.2">
      <c r="A57" s="126" t="s">
        <v>1834</v>
      </c>
      <c r="B57" s="557"/>
      <c r="C57" s="558"/>
      <c r="D57" s="127" t="s">
        <v>1670</v>
      </c>
      <c r="E57" s="126" t="str">
        <f t="shared" si="0"/>
        <v>Asfaliq EM1</v>
      </c>
    </row>
    <row r="58" spans="1:5" ht="12.75" x14ac:dyDescent="0.2">
      <c r="A58" s="126" t="s">
        <v>1835</v>
      </c>
      <c r="B58" s="555"/>
      <c r="C58" s="554"/>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5"/>
      <c r="C60" s="554"/>
      <c r="D60" s="127" t="s">
        <v>944</v>
      </c>
      <c r="E60" s="126" t="str">
        <f t="shared" si="0"/>
        <v xml:space="preserve">Chapas metálicas                                                       </v>
      </c>
    </row>
    <row r="61" spans="1:5" ht="12.75" x14ac:dyDescent="0.2">
      <c r="A61" s="126" t="s">
        <v>1836</v>
      </c>
      <c r="B61" s="555"/>
      <c r="C61" s="554"/>
      <c r="D61" s="127" t="s">
        <v>942</v>
      </c>
      <c r="E61" s="126" t="str">
        <f t="shared" si="0"/>
        <v>Caño de hierro galvanizado</v>
      </c>
    </row>
    <row r="62" spans="1:5" ht="12.75" x14ac:dyDescent="0.2">
      <c r="A62" s="126" t="s">
        <v>1837</v>
      </c>
      <c r="B62" s="555"/>
      <c r="C62" s="554"/>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3"/>
      <c r="C65" s="554"/>
      <c r="D65" s="127" t="s">
        <v>1677</v>
      </c>
      <c r="E65" s="126" t="str">
        <f t="shared" si="0"/>
        <v xml:space="preserve">Clavos                                                                 </v>
      </c>
    </row>
    <row r="66" spans="1:5" ht="12.75" x14ac:dyDescent="0.2">
      <c r="A66" s="126" t="s">
        <v>1839</v>
      </c>
      <c r="B66" s="555"/>
      <c r="C66" s="554"/>
      <c r="D66" s="127" t="s">
        <v>943</v>
      </c>
      <c r="E66" s="126" t="str">
        <f t="shared" si="0"/>
        <v xml:space="preserve">Perfiles de hierro                                                     </v>
      </c>
    </row>
    <row r="67" spans="1:5" ht="12.75" x14ac:dyDescent="0.2">
      <c r="A67" s="126" t="s">
        <v>1840</v>
      </c>
      <c r="B67" s="555"/>
      <c r="C67" s="554"/>
      <c r="D67" s="127" t="s">
        <v>1678</v>
      </c>
      <c r="E67" s="126" t="str">
        <f t="shared" si="0"/>
        <v xml:space="preserve">Conductores eléctricos                                                 </v>
      </c>
    </row>
    <row r="68" spans="1:5" x14ac:dyDescent="0.2">
      <c r="A68" s="126" t="s">
        <v>1679</v>
      </c>
      <c r="B68" s="559"/>
      <c r="C68" s="560"/>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59"/>
      <c r="C70" s="560"/>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7"/>
      <c r="C73" s="558"/>
      <c r="D73" s="127" t="s">
        <v>1684</v>
      </c>
      <c r="E73" s="126" t="str">
        <f t="shared" si="1"/>
        <v>Emulsion EBCR</v>
      </c>
    </row>
    <row r="74" spans="1:5" ht="12.75" x14ac:dyDescent="0.2">
      <c r="A74" s="126" t="s">
        <v>935</v>
      </c>
      <c r="B74" s="555"/>
      <c r="C74" s="554"/>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5"/>
      <c r="C77" s="554"/>
      <c r="D77" s="127" t="s">
        <v>1657</v>
      </c>
      <c r="E77" s="126" t="str">
        <f t="shared" si="1"/>
        <v xml:space="preserve">Gas oil                                                                </v>
      </c>
    </row>
    <row r="78" spans="1:5" ht="12.75" x14ac:dyDescent="0.2">
      <c r="A78" s="126" t="s">
        <v>1843</v>
      </c>
      <c r="B78" s="556"/>
      <c r="C78" s="554"/>
      <c r="D78" s="127" t="s">
        <v>1663</v>
      </c>
      <c r="E78" s="126" t="str">
        <f t="shared" si="1"/>
        <v>Productos químicos</v>
      </c>
    </row>
    <row r="79" spans="1:5" ht="12.75" x14ac:dyDescent="0.2">
      <c r="A79" s="126" t="s">
        <v>1844</v>
      </c>
      <c r="B79" s="556"/>
      <c r="C79" s="554"/>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7"/>
      <c r="C82" s="558"/>
      <c r="D82" s="127" t="s">
        <v>932</v>
      </c>
      <c r="E82" s="126" t="str">
        <f t="shared" si="1"/>
        <v>Hormigón elaborado</v>
      </c>
    </row>
    <row r="83" spans="1:5" ht="12.75" x14ac:dyDescent="0.2">
      <c r="A83" s="126" t="s">
        <v>1693</v>
      </c>
      <c r="B83" s="557"/>
      <c r="C83" s="558"/>
      <c r="D83" s="127" t="s">
        <v>938</v>
      </c>
      <c r="E83" s="126" t="str">
        <f t="shared" si="1"/>
        <v>LADRILLON 1°</v>
      </c>
    </row>
    <row r="84" spans="1:5" ht="12.75" x14ac:dyDescent="0.2">
      <c r="A84" s="126" t="s">
        <v>1845</v>
      </c>
      <c r="B84" s="555"/>
      <c r="C84" s="554"/>
      <c r="D84" s="127" t="s">
        <v>946</v>
      </c>
      <c r="E84" s="126" t="str">
        <f t="shared" si="1"/>
        <v>Artefacto de iluminación</v>
      </c>
    </row>
    <row r="85" spans="1:5" ht="12.75" x14ac:dyDescent="0.2">
      <c r="A85" s="126" t="s">
        <v>1846</v>
      </c>
      <c r="B85" s="555"/>
      <c r="C85" s="554"/>
      <c r="D85" s="127" t="s">
        <v>946</v>
      </c>
      <c r="E85" s="126" t="str">
        <f t="shared" si="1"/>
        <v>Artefacto de iluminación</v>
      </c>
    </row>
    <row r="86" spans="1:5" ht="12.75" x14ac:dyDescent="0.2">
      <c r="A86" s="126" t="s">
        <v>327</v>
      </c>
      <c r="B86" s="556"/>
      <c r="C86" s="554"/>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3"/>
      <c r="C89" s="554"/>
      <c r="D89" s="127" t="s">
        <v>1698</v>
      </c>
      <c r="E89" s="126" t="str">
        <f t="shared" si="1"/>
        <v xml:space="preserve">Canto rodado natural </v>
      </c>
    </row>
    <row r="90" spans="1:5" ht="12.75" x14ac:dyDescent="0.2">
      <c r="A90" s="126" t="s">
        <v>1847</v>
      </c>
      <c r="B90" s="556"/>
      <c r="C90" s="554"/>
      <c r="D90" s="127" t="s">
        <v>1663</v>
      </c>
      <c r="E90" s="126" t="str">
        <f t="shared" si="1"/>
        <v>Productos químicos</v>
      </c>
    </row>
    <row r="91" spans="1:5" ht="12.75" x14ac:dyDescent="0.2">
      <c r="A91" s="126" t="s">
        <v>1848</v>
      </c>
      <c r="B91" s="556"/>
      <c r="C91" s="554"/>
      <c r="D91" s="127" t="s">
        <v>1663</v>
      </c>
      <c r="E91" s="126" t="str">
        <f t="shared" si="1"/>
        <v>Productos químicos</v>
      </c>
    </row>
    <row r="92" spans="1:5" ht="12.75" x14ac:dyDescent="0.2">
      <c r="A92" s="126" t="s">
        <v>748</v>
      </c>
      <c r="B92" s="556"/>
      <c r="C92" s="554"/>
      <c r="D92" s="127" t="s">
        <v>1699</v>
      </c>
      <c r="E92" s="126" t="str">
        <f t="shared" si="1"/>
        <v xml:space="preserve">Membranas asfálticas                                                   </v>
      </c>
    </row>
    <row r="93" spans="1:5" ht="12.75" x14ac:dyDescent="0.2">
      <c r="A93" s="126" t="s">
        <v>1700</v>
      </c>
      <c r="B93" s="557"/>
      <c r="C93" s="558"/>
      <c r="D93" s="127" t="s">
        <v>1701</v>
      </c>
      <c r="E93" s="126" t="str">
        <f t="shared" si="1"/>
        <v>Mezcla 70/30</v>
      </c>
    </row>
    <row r="94" spans="1:5" ht="12.75" x14ac:dyDescent="0.2">
      <c r="A94" s="126" t="s">
        <v>1849</v>
      </c>
      <c r="B94" s="555"/>
      <c r="C94" s="554"/>
      <c r="D94" s="127" t="s">
        <v>1702</v>
      </c>
      <c r="E94" s="126" t="str">
        <f t="shared" si="1"/>
        <v xml:space="preserve">Naftas                                                                 </v>
      </c>
    </row>
    <row r="95" spans="1:5" ht="12.75" x14ac:dyDescent="0.2">
      <c r="A95" s="126" t="s">
        <v>1850</v>
      </c>
      <c r="B95" s="556"/>
      <c r="C95" s="554"/>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5"/>
      <c r="C97" s="554"/>
      <c r="D97" s="127" t="s">
        <v>943</v>
      </c>
      <c r="E97" s="126" t="str">
        <f t="shared" si="1"/>
        <v xml:space="preserve">Perfiles de hierro                                                     </v>
      </c>
    </row>
    <row r="98" spans="1:5" ht="12.75" x14ac:dyDescent="0.2">
      <c r="A98" s="126" t="s">
        <v>1852</v>
      </c>
      <c r="B98" s="556"/>
      <c r="C98" s="554"/>
      <c r="D98" s="127" t="s">
        <v>1704</v>
      </c>
      <c r="E98" s="126" t="str">
        <f t="shared" si="1"/>
        <v xml:space="preserve">Maderas aserradas                                                      </v>
      </c>
    </row>
    <row r="99" spans="1:5" ht="12.75" x14ac:dyDescent="0.2">
      <c r="A99" s="126" t="s">
        <v>1853</v>
      </c>
      <c r="B99" s="556"/>
      <c r="C99" s="554"/>
      <c r="D99" s="127" t="s">
        <v>1663</v>
      </c>
      <c r="E99" s="126" t="str">
        <f t="shared" si="1"/>
        <v>Productos químicos</v>
      </c>
    </row>
    <row r="100" spans="1:5" ht="12.75" x14ac:dyDescent="0.2">
      <c r="A100" s="126" t="s">
        <v>1854</v>
      </c>
      <c r="B100" s="556"/>
      <c r="C100" s="554"/>
      <c r="D100" s="127" t="s">
        <v>1663</v>
      </c>
      <c r="E100" s="126" t="str">
        <f t="shared" si="1"/>
        <v>Productos químicos</v>
      </c>
    </row>
    <row r="101" spans="1:5" ht="12.75" x14ac:dyDescent="0.2">
      <c r="A101" s="126" t="s">
        <v>1855</v>
      </c>
      <c r="B101" s="556"/>
      <c r="C101" s="554"/>
      <c r="D101" s="127" t="s">
        <v>1663</v>
      </c>
      <c r="E101" s="126" t="str">
        <f t="shared" si="1"/>
        <v>Productos químicos</v>
      </c>
    </row>
    <row r="102" spans="1:5" ht="12.75" x14ac:dyDescent="0.2">
      <c r="A102" s="126" t="s">
        <v>1856</v>
      </c>
      <c r="B102" s="555"/>
      <c r="C102" s="554"/>
      <c r="D102" s="127" t="s">
        <v>945</v>
      </c>
      <c r="E102" s="126" t="str">
        <f t="shared" si="1"/>
        <v xml:space="preserve">Interruptores eléctricos                                               </v>
      </c>
    </row>
    <row r="103" spans="1:5" ht="12.75" x14ac:dyDescent="0.2">
      <c r="A103" s="126" t="s">
        <v>1857</v>
      </c>
      <c r="B103" s="556"/>
      <c r="C103" s="554"/>
      <c r="D103" s="127" t="s">
        <v>1666</v>
      </c>
      <c r="E103" s="126" t="str">
        <f t="shared" si="1"/>
        <v xml:space="preserve">Cauchos sintéticos                                                     </v>
      </c>
    </row>
    <row r="104" spans="1:5" ht="12.75" x14ac:dyDescent="0.2">
      <c r="A104" s="126" t="s">
        <v>1858</v>
      </c>
      <c r="B104" s="555"/>
      <c r="C104" s="554"/>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561" customWidth="1"/>
    <col min="2" max="2" width="19.140625" style="561" customWidth="1"/>
    <col min="3" max="3" width="37.7109375" style="561" customWidth="1"/>
    <col min="4" max="4" width="12.42578125" style="561" customWidth="1"/>
    <col min="5" max="5" width="11.42578125" style="561"/>
    <col min="6" max="6" width="12" style="561" bestFit="1" customWidth="1"/>
    <col min="7" max="7" width="12.7109375" style="561" customWidth="1"/>
    <col min="8" max="8" width="11.42578125" style="561"/>
    <col min="9" max="9" width="12.85546875" style="561" bestFit="1" customWidth="1"/>
    <col min="10" max="10" width="13.28515625" style="561" bestFit="1" customWidth="1"/>
    <col min="11" max="16384" width="11.42578125" style="561"/>
  </cols>
  <sheetData>
    <row r="1" spans="1:7" x14ac:dyDescent="0.2">
      <c r="A1" s="765" t="s">
        <v>1708</v>
      </c>
      <c r="B1" s="765"/>
      <c r="C1" s="765"/>
      <c r="D1" s="765"/>
      <c r="E1" s="765"/>
      <c r="F1" s="765"/>
      <c r="G1" s="765"/>
    </row>
    <row r="2" spans="1:7" x14ac:dyDescent="0.2">
      <c r="A2" s="562" t="s">
        <v>720</v>
      </c>
      <c r="B2" s="562" t="str">
        <f>Comitente</f>
        <v>DIRECCIÓN PROVINCIAL DE VIALIDAD</v>
      </c>
      <c r="C2" s="563"/>
      <c r="D2" s="564"/>
      <c r="E2" s="564"/>
      <c r="F2" s="565"/>
      <c r="G2" s="565"/>
    </row>
    <row r="3" spans="1:7" x14ac:dyDescent="0.2">
      <c r="A3" s="562" t="s">
        <v>721</v>
      </c>
      <c r="B3" s="562">
        <f>Contratista</f>
        <v>0</v>
      </c>
      <c r="C3" s="566"/>
      <c r="D3" s="566"/>
      <c r="E3" s="566"/>
      <c r="F3" s="562"/>
      <c r="G3" s="562"/>
    </row>
    <row r="4" spans="1:7" x14ac:dyDescent="0.2">
      <c r="A4" s="562" t="s">
        <v>23</v>
      </c>
      <c r="B4" s="562" t="str">
        <f>Obra</f>
        <v>PAVIMENTACION Y ENSANCHE DE RUTA PROVINCIAL N°7 AV. JOAQUIN UÑAC</v>
      </c>
      <c r="C4" s="566"/>
      <c r="D4" s="562" t="s">
        <v>34</v>
      </c>
      <c r="E4" s="562">
        <f>Fecha_Base</f>
        <v>43444</v>
      </c>
    </row>
    <row r="5" spans="1:7" x14ac:dyDescent="0.2">
      <c r="A5" s="567" t="s">
        <v>719</v>
      </c>
      <c r="B5" s="567" t="str">
        <f>Ubicación</f>
        <v>DEPARTAMENTO POCITO</v>
      </c>
      <c r="C5" s="567"/>
      <c r="D5" s="568"/>
      <c r="E5" s="569"/>
      <c r="F5" s="570"/>
      <c r="G5" s="571"/>
    </row>
    <row r="6" spans="1:7" x14ac:dyDescent="0.2">
      <c r="A6" s="567"/>
      <c r="B6" s="567"/>
      <c r="C6" s="567"/>
      <c r="D6" s="568"/>
      <c r="E6" s="569"/>
      <c r="F6" s="570"/>
      <c r="G6" s="571"/>
    </row>
    <row r="7" spans="1:7" x14ac:dyDescent="0.2">
      <c r="A7" s="567"/>
      <c r="B7" s="572"/>
      <c r="C7" s="573" t="s">
        <v>1709</v>
      </c>
      <c r="D7" s="568"/>
      <c r="E7" s="569"/>
      <c r="F7" s="567"/>
      <c r="G7" s="574"/>
    </row>
    <row r="8" spans="1:7" x14ac:dyDescent="0.2">
      <c r="A8" s="567"/>
      <c r="B8" s="572"/>
      <c r="C8" s="575"/>
      <c r="D8" s="576" t="s">
        <v>1710</v>
      </c>
      <c r="F8" s="567"/>
      <c r="G8" s="574"/>
    </row>
    <row r="9" spans="1:7" x14ac:dyDescent="0.2">
      <c r="A9" s="567"/>
      <c r="B9" s="572"/>
      <c r="C9" s="575"/>
      <c r="D9" s="569"/>
      <c r="F9" s="567"/>
      <c r="G9" s="574"/>
    </row>
    <row r="10" spans="1:7" x14ac:dyDescent="0.2">
      <c r="A10" s="577" t="s">
        <v>1711</v>
      </c>
      <c r="C10" s="561" t="s">
        <v>1042</v>
      </c>
      <c r="D10" s="601">
        <f>IF(V_U_Equipo+8*Interés_Anual/(2*2000)=0,0,8*Porcentaje_amortizaciónl_Equipo/V_U_Equipo)</f>
        <v>0</v>
      </c>
      <c r="F10" s="578"/>
      <c r="G10" s="574"/>
    </row>
    <row r="11" spans="1:7" x14ac:dyDescent="0.2">
      <c r="A11" s="579"/>
      <c r="C11" s="572"/>
      <c r="D11" s="602"/>
      <c r="F11" s="581"/>
      <c r="G11" s="574"/>
    </row>
    <row r="12" spans="1:7" x14ac:dyDescent="0.2">
      <c r="A12" s="567"/>
      <c r="D12" s="603"/>
      <c r="F12" s="567"/>
      <c r="G12" s="574"/>
    </row>
    <row r="13" spans="1:7" x14ac:dyDescent="0.2">
      <c r="A13" s="577" t="s">
        <v>1043</v>
      </c>
      <c r="C13" s="561" t="s">
        <v>1043</v>
      </c>
      <c r="D13" s="601">
        <f>IF(V_U_Equipo+8*Interés_Anual/(2*2000)=0,0,8*Interés_Anual/(2*2000))</f>
        <v>0</v>
      </c>
      <c r="F13" s="578"/>
      <c r="G13" s="574"/>
    </row>
    <row r="14" spans="1:7" x14ac:dyDescent="0.2">
      <c r="A14" s="579"/>
      <c r="C14" s="572"/>
      <c r="D14" s="602"/>
      <c r="F14" s="581"/>
      <c r="G14" s="574"/>
    </row>
    <row r="15" spans="1:7" x14ac:dyDescent="0.2">
      <c r="A15" s="579"/>
      <c r="C15" s="572"/>
      <c r="D15" s="602"/>
      <c r="F15" s="581"/>
      <c r="G15" s="574"/>
    </row>
    <row r="16" spans="1:7" x14ac:dyDescent="0.2">
      <c r="A16" s="577" t="s">
        <v>1044</v>
      </c>
      <c r="C16" s="561" t="s">
        <v>1044</v>
      </c>
      <c r="D16" s="601">
        <f>IF(V_U_Equipo*Porc_repuestos_reparaciones_de_amortización=0,0,8*Porcentaje_amortizaciónl_Equipo/V_U_Equipo*Porc_repuestos_reparaciones_de_amortización)</f>
        <v>0</v>
      </c>
      <c r="F16" s="581"/>
      <c r="G16" s="574"/>
    </row>
    <row r="17" spans="1:7" x14ac:dyDescent="0.2">
      <c r="A17" s="577"/>
      <c r="C17" s="572"/>
      <c r="D17" s="580"/>
      <c r="F17" s="567"/>
      <c r="G17" s="568"/>
    </row>
    <row r="18" spans="1:7" x14ac:dyDescent="0.2">
      <c r="A18" s="577"/>
      <c r="C18" s="572"/>
      <c r="D18" s="582"/>
      <c r="F18" s="567"/>
      <c r="G18" s="568"/>
    </row>
    <row r="19" spans="1:7" x14ac:dyDescent="0.2">
      <c r="A19" s="577" t="s">
        <v>1658</v>
      </c>
      <c r="C19" s="561" t="s">
        <v>882</v>
      </c>
      <c r="D19" s="600">
        <f>Consumo_gasoil_Equipo_porHP*8*Precio_gasoil</f>
        <v>0</v>
      </c>
      <c r="F19" s="567"/>
      <c r="G19" s="568"/>
    </row>
    <row r="20" spans="1:7" x14ac:dyDescent="0.2">
      <c r="A20" s="567"/>
      <c r="C20" s="572"/>
      <c r="D20" s="582"/>
      <c r="F20" s="567"/>
      <c r="G20" s="568"/>
    </row>
    <row r="21" spans="1:7" x14ac:dyDescent="0.2">
      <c r="A21" s="567"/>
      <c r="C21" s="572"/>
      <c r="D21" s="582"/>
      <c r="F21" s="567"/>
      <c r="G21" s="568"/>
    </row>
    <row r="22" spans="1:7" x14ac:dyDescent="0.2">
      <c r="A22" s="567"/>
      <c r="C22" s="561" t="s">
        <v>1045</v>
      </c>
      <c r="D22" s="600">
        <f>Consumo_gasoil_Equipo_porHP*8*Precio_gasoil*Porcentaje_lubricantes_respecto_al_combustible</f>
        <v>0</v>
      </c>
      <c r="F22" s="567"/>
      <c r="G22" s="583"/>
    </row>
    <row r="23" spans="1:7" x14ac:dyDescent="0.2">
      <c r="A23" s="567"/>
      <c r="B23" s="572"/>
      <c r="C23" s="572"/>
      <c r="D23" s="582"/>
      <c r="E23" s="583"/>
      <c r="F23" s="567"/>
      <c r="G23" s="568"/>
    </row>
    <row r="24" spans="1:7" x14ac:dyDescent="0.2">
      <c r="A24" s="567"/>
      <c r="B24" s="572" t="s">
        <v>1712</v>
      </c>
      <c r="C24" s="582"/>
      <c r="D24" s="582"/>
      <c r="E24" s="580"/>
      <c r="F24" s="567"/>
      <c r="G24" s="584"/>
    </row>
    <row r="25" spans="1:7" x14ac:dyDescent="0.2">
      <c r="A25" s="567"/>
      <c r="B25" s="585" t="s">
        <v>1713</v>
      </c>
      <c r="C25" s="586"/>
      <c r="D25" s="587"/>
      <c r="E25" s="569"/>
      <c r="F25" s="567"/>
      <c r="G25" s="584"/>
    </row>
    <row r="26" spans="1:7" x14ac:dyDescent="0.2">
      <c r="A26" s="567"/>
      <c r="B26" s="585" t="s">
        <v>1714</v>
      </c>
      <c r="C26" s="586"/>
      <c r="D26" s="588"/>
      <c r="E26" s="569"/>
      <c r="F26" s="567"/>
      <c r="G26" s="584"/>
    </row>
    <row r="27" spans="1:7" x14ac:dyDescent="0.2">
      <c r="A27" s="567"/>
      <c r="B27" s="589" t="s">
        <v>1715</v>
      </c>
      <c r="C27" s="586"/>
      <c r="D27" s="588"/>
      <c r="E27" s="569"/>
      <c r="F27" s="567"/>
      <c r="G27" s="584"/>
    </row>
    <row r="28" spans="1:7" x14ac:dyDescent="0.2">
      <c r="A28" s="567"/>
      <c r="B28" s="589" t="s">
        <v>1716</v>
      </c>
      <c r="C28" s="586"/>
      <c r="D28" s="588"/>
      <c r="E28" s="569"/>
      <c r="F28" s="567"/>
      <c r="G28" s="584"/>
    </row>
    <row r="29" spans="1:7" x14ac:dyDescent="0.2">
      <c r="A29" s="567"/>
      <c r="B29" s="589" t="s">
        <v>1717</v>
      </c>
      <c r="C29" s="586"/>
      <c r="D29" s="590"/>
      <c r="E29" s="569"/>
      <c r="F29" s="567"/>
      <c r="G29" s="584"/>
    </row>
    <row r="30" spans="1:7" x14ac:dyDescent="0.2">
      <c r="A30" s="567"/>
      <c r="B30" s="589" t="s">
        <v>1718</v>
      </c>
      <c r="C30" s="586"/>
      <c r="D30" s="591"/>
      <c r="E30" s="569"/>
      <c r="F30" s="567"/>
      <c r="G30" s="568"/>
    </row>
    <row r="31" spans="1:7" x14ac:dyDescent="0.2">
      <c r="A31" s="567"/>
      <c r="B31" s="589" t="s">
        <v>1719</v>
      </c>
      <c r="C31" s="586"/>
      <c r="D31" s="588"/>
      <c r="E31" s="569"/>
      <c r="F31" s="567"/>
      <c r="G31" s="568"/>
    </row>
    <row r="32" spans="1:7" x14ac:dyDescent="0.2">
      <c r="A32" s="582"/>
      <c r="B32" s="582"/>
      <c r="C32" s="582"/>
      <c r="D32" s="582"/>
      <c r="E32" s="582"/>
      <c r="F32" s="582"/>
      <c r="G32" s="582"/>
    </row>
    <row r="33" spans="1:7" x14ac:dyDescent="0.2">
      <c r="A33" s="582"/>
      <c r="B33" s="582"/>
      <c r="C33" s="573" t="s">
        <v>1720</v>
      </c>
      <c r="D33" s="582"/>
      <c r="E33" s="582"/>
      <c r="F33" s="582"/>
      <c r="G33" s="582"/>
    </row>
    <row r="34" spans="1:7" x14ac:dyDescent="0.2">
      <c r="A34" s="582"/>
      <c r="B34" s="582"/>
      <c r="C34" s="573"/>
      <c r="D34" s="582"/>
      <c r="E34" s="582" t="s">
        <v>1710</v>
      </c>
      <c r="F34" s="582"/>
      <c r="G34" s="582"/>
    </row>
    <row r="35" spans="1:7" x14ac:dyDescent="0.2">
      <c r="A35" s="567"/>
      <c r="B35" s="572"/>
      <c r="C35" s="575"/>
      <c r="D35" s="568"/>
      <c r="E35" s="569"/>
      <c r="F35" s="567"/>
      <c r="G35" s="568"/>
    </row>
    <row r="36" spans="1:7" x14ac:dyDescent="0.2">
      <c r="A36" s="567"/>
      <c r="B36" s="572"/>
      <c r="C36" s="561" t="s">
        <v>1042</v>
      </c>
      <c r="D36" s="578"/>
      <c r="E36" s="592">
        <f>IF(V_U_Camioneta_meses=0,0,P_Camioneta_Amortizar/V_U_Camioneta_meses)</f>
        <v>0</v>
      </c>
      <c r="F36" s="578"/>
      <c r="G36" s="573"/>
    </row>
    <row r="37" spans="1:7" x14ac:dyDescent="0.2">
      <c r="A37" s="567"/>
      <c r="B37" s="572"/>
      <c r="C37" s="572"/>
      <c r="D37" s="578"/>
      <c r="E37" s="583"/>
      <c r="F37" s="578"/>
      <c r="G37" s="573"/>
    </row>
    <row r="38" spans="1:7" x14ac:dyDescent="0.2">
      <c r="A38" s="567"/>
      <c r="B38" s="572"/>
      <c r="D38" s="569"/>
      <c r="E38" s="580"/>
      <c r="F38" s="581"/>
      <c r="G38" s="574"/>
    </row>
    <row r="39" spans="1:7" x14ac:dyDescent="0.2">
      <c r="A39" s="567"/>
      <c r="B39" s="572"/>
      <c r="C39" s="561" t="s">
        <v>1043</v>
      </c>
      <c r="D39" s="569"/>
      <c r="E39" s="592">
        <f>Interés_Anual/(2*12)</f>
        <v>0</v>
      </c>
      <c r="F39" s="581"/>
      <c r="G39" s="574"/>
    </row>
    <row r="40" spans="1:7" x14ac:dyDescent="0.2">
      <c r="A40" s="567"/>
      <c r="B40" s="572"/>
      <c r="C40" s="572"/>
      <c r="D40" s="569"/>
      <c r="E40" s="580"/>
      <c r="F40" s="581"/>
      <c r="G40" s="574"/>
    </row>
    <row r="41" spans="1:7" x14ac:dyDescent="0.2">
      <c r="A41" s="567"/>
      <c r="B41" s="572"/>
      <c r="C41" s="572"/>
      <c r="D41" s="569"/>
      <c r="E41" s="580"/>
      <c r="F41" s="581"/>
      <c r="G41" s="574"/>
    </row>
    <row r="42" spans="1:7" x14ac:dyDescent="0.2">
      <c r="A42" s="567"/>
      <c r="B42" s="572"/>
      <c r="C42" s="561" t="s">
        <v>1734</v>
      </c>
      <c r="D42" s="569"/>
      <c r="E42" s="592">
        <f>D59/12</f>
        <v>0</v>
      </c>
      <c r="F42" s="581"/>
      <c r="G42" s="574"/>
    </row>
    <row r="43" spans="1:7" x14ac:dyDescent="0.2">
      <c r="A43" s="567"/>
      <c r="B43" s="572"/>
      <c r="C43" s="572"/>
      <c r="D43" s="582"/>
      <c r="E43" s="580"/>
      <c r="F43" s="567"/>
      <c r="G43" s="568"/>
    </row>
    <row r="44" spans="1:7" x14ac:dyDescent="0.2">
      <c r="A44" s="567"/>
      <c r="B44" s="572"/>
      <c r="C44" s="572"/>
      <c r="D44" s="582"/>
      <c r="E44" s="580"/>
      <c r="F44" s="567"/>
      <c r="G44" s="568"/>
    </row>
    <row r="45" spans="1:7" x14ac:dyDescent="0.2">
      <c r="A45" s="567"/>
      <c r="B45" s="572"/>
      <c r="C45" s="561" t="s">
        <v>1721</v>
      </c>
      <c r="D45" s="582"/>
      <c r="E45" s="592">
        <f>D60/12</f>
        <v>0</v>
      </c>
      <c r="F45" s="567"/>
      <c r="G45" s="568"/>
    </row>
    <row r="46" spans="1:7" x14ac:dyDescent="0.2">
      <c r="A46" s="567"/>
      <c r="B46" s="572"/>
      <c r="C46" s="572"/>
      <c r="D46" s="582"/>
      <c r="E46" s="580"/>
      <c r="F46" s="567"/>
      <c r="G46" s="568"/>
    </row>
    <row r="47" spans="1:7" x14ac:dyDescent="0.2">
      <c r="A47" s="567"/>
      <c r="B47" s="572"/>
      <c r="C47" s="572"/>
      <c r="D47" s="582"/>
      <c r="E47" s="580"/>
      <c r="F47" s="567"/>
      <c r="G47" s="568"/>
    </row>
    <row r="48" spans="1:7" x14ac:dyDescent="0.2">
      <c r="A48" s="567"/>
      <c r="B48" s="572"/>
      <c r="C48" s="561" t="s">
        <v>1658</v>
      </c>
      <c r="D48" s="582"/>
      <c r="E48" s="593">
        <f>Consumo_gasoil_Camioneta_porkm*Precio_gasoil*(1+Porcentaje_Lubricantes_Camionetas)</f>
        <v>0</v>
      </c>
      <c r="F48" s="567"/>
      <c r="G48" s="568"/>
    </row>
    <row r="49" spans="1:7" x14ac:dyDescent="0.2">
      <c r="A49" s="567"/>
      <c r="B49" s="572"/>
      <c r="C49" s="572"/>
      <c r="D49" s="582"/>
      <c r="E49" s="580"/>
      <c r="F49" s="567"/>
      <c r="G49" s="568"/>
    </row>
    <row r="50" spans="1:7" x14ac:dyDescent="0.2">
      <c r="A50" s="567"/>
      <c r="B50" s="572"/>
      <c r="C50" s="572"/>
      <c r="D50" s="582"/>
      <c r="E50" s="580"/>
      <c r="F50" s="567"/>
      <c r="G50" s="568"/>
    </row>
    <row r="51" spans="1:7" x14ac:dyDescent="0.2">
      <c r="A51" s="567"/>
      <c r="B51" s="572"/>
      <c r="C51" s="572" t="s">
        <v>1722</v>
      </c>
      <c r="D51" s="582"/>
      <c r="E51" s="593">
        <f>IF(V_U_cámara_cubiertas_Camionetas=0,0,Cant_Cubiertas_Camioneta*Costo_de_cámaras_y_cubiertas_Camionetas/V_U_cámara_cubiertas_Camionetas)</f>
        <v>0</v>
      </c>
      <c r="F51" s="567"/>
      <c r="G51" s="568"/>
    </row>
    <row r="52" spans="1:7" x14ac:dyDescent="0.2">
      <c r="A52" s="567"/>
      <c r="B52" s="572"/>
      <c r="C52" s="572"/>
      <c r="D52" s="582"/>
      <c r="E52" s="580"/>
      <c r="F52" s="567"/>
      <c r="G52" s="568"/>
    </row>
    <row r="53" spans="1:7" x14ac:dyDescent="0.2">
      <c r="A53" s="567"/>
      <c r="B53" s="572"/>
      <c r="C53" s="572"/>
      <c r="D53" s="582"/>
      <c r="E53" s="580"/>
      <c r="F53" s="567"/>
      <c r="G53" s="568"/>
    </row>
    <row r="54" spans="1:7" x14ac:dyDescent="0.2">
      <c r="A54" s="567"/>
      <c r="B54" s="572"/>
      <c r="C54" s="572"/>
      <c r="D54" s="582"/>
      <c r="E54" s="583"/>
      <c r="F54" s="567"/>
      <c r="G54" s="568"/>
    </row>
    <row r="55" spans="1:7" x14ac:dyDescent="0.2">
      <c r="A55" s="582"/>
      <c r="B55" s="585" t="s">
        <v>1723</v>
      </c>
      <c r="C55" s="586"/>
      <c r="D55" s="588"/>
      <c r="E55" s="582"/>
      <c r="F55" s="582"/>
      <c r="G55" s="582"/>
    </row>
    <row r="56" spans="1:7" x14ac:dyDescent="0.2">
      <c r="A56" s="582"/>
      <c r="B56" s="594" t="s">
        <v>1724</v>
      </c>
      <c r="C56" s="586"/>
      <c r="D56" s="595"/>
      <c r="E56" s="582"/>
      <c r="F56" s="582"/>
      <c r="G56" s="582"/>
    </row>
    <row r="57" spans="1:7" x14ac:dyDescent="0.2">
      <c r="A57" s="582"/>
      <c r="B57" s="594" t="s">
        <v>1725</v>
      </c>
      <c r="C57" s="586"/>
      <c r="D57" s="596"/>
      <c r="E57" s="582"/>
      <c r="F57" s="582"/>
      <c r="G57" s="582"/>
    </row>
    <row r="58" spans="1:7" x14ac:dyDescent="0.2">
      <c r="A58" s="582"/>
      <c r="B58" s="594" t="s">
        <v>1726</v>
      </c>
      <c r="C58" s="586"/>
      <c r="D58" s="604"/>
      <c r="E58" s="582"/>
      <c r="F58" s="582"/>
      <c r="G58" s="582"/>
    </row>
    <row r="59" spans="1:7" x14ac:dyDescent="0.2">
      <c r="A59" s="582"/>
      <c r="B59" s="594" t="s">
        <v>1727</v>
      </c>
      <c r="C59" s="586"/>
      <c r="D59" s="588"/>
      <c r="E59" s="582"/>
      <c r="F59" s="582"/>
      <c r="G59" s="582"/>
    </row>
    <row r="60" spans="1:7" x14ac:dyDescent="0.2">
      <c r="A60" s="582"/>
      <c r="B60" s="594" t="s">
        <v>1728</v>
      </c>
      <c r="C60" s="586"/>
      <c r="D60" s="588"/>
      <c r="E60" s="582"/>
      <c r="F60" s="582"/>
      <c r="G60" s="582"/>
    </row>
    <row r="61" spans="1:7" x14ac:dyDescent="0.2">
      <c r="A61" s="582"/>
      <c r="B61" s="594" t="s">
        <v>1729</v>
      </c>
      <c r="C61" s="586"/>
      <c r="D61" s="597"/>
      <c r="E61" s="582"/>
      <c r="F61" s="582"/>
      <c r="G61" s="582"/>
    </row>
    <row r="62" spans="1:7" x14ac:dyDescent="0.2">
      <c r="A62" s="582"/>
      <c r="B62" s="594" t="s">
        <v>1730</v>
      </c>
      <c r="C62" s="586"/>
      <c r="D62" s="588"/>
      <c r="E62" s="582"/>
      <c r="F62" s="582"/>
      <c r="G62" s="582"/>
    </row>
    <row r="63" spans="1:7" x14ac:dyDescent="0.2">
      <c r="A63" s="582"/>
      <c r="B63" s="594" t="s">
        <v>1731</v>
      </c>
      <c r="C63" s="586"/>
      <c r="D63" s="598"/>
      <c r="E63" s="582"/>
      <c r="F63" s="582"/>
      <c r="G63" s="582"/>
    </row>
    <row r="64" spans="1:7" x14ac:dyDescent="0.2">
      <c r="A64" s="582"/>
      <c r="B64" s="594" t="s">
        <v>1732</v>
      </c>
      <c r="C64" s="586"/>
      <c r="D64" s="605"/>
      <c r="E64" s="582"/>
      <c r="F64" s="582"/>
      <c r="G64" s="582"/>
    </row>
    <row r="65" spans="1:7" x14ac:dyDescent="0.2">
      <c r="A65" s="582"/>
      <c r="B65" s="594" t="s">
        <v>1733</v>
      </c>
      <c r="C65" s="586"/>
      <c r="D65" s="599"/>
      <c r="E65" s="582"/>
      <c r="F65" s="582"/>
      <c r="G65" s="582"/>
    </row>
    <row r="66" spans="1:7" x14ac:dyDescent="0.2">
      <c r="A66" s="582"/>
      <c r="B66" s="582"/>
      <c r="C66" s="582"/>
      <c r="D66" s="582"/>
      <c r="E66" s="582"/>
      <c r="F66" s="582"/>
      <c r="G66" s="582"/>
    </row>
    <row r="67" spans="1:7" x14ac:dyDescent="0.2">
      <c r="A67" s="582"/>
      <c r="B67" s="582"/>
      <c r="C67" s="582"/>
      <c r="D67" s="582"/>
      <c r="E67" s="582"/>
      <c r="F67" s="582"/>
      <c r="G67" s="582"/>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RowHeight="15" customHeight="1" x14ac:dyDescent="0.2"/>
  <cols>
    <col min="1" max="14" width="10.7109375" style="610" customWidth="1"/>
    <col min="15" max="15" width="23.7109375" style="610" customWidth="1"/>
    <col min="16" max="16" width="10.28515625" style="610" customWidth="1"/>
    <col min="17" max="256" width="11.42578125" style="610"/>
    <col min="257" max="257" width="7" style="610" customWidth="1"/>
    <col min="258" max="258" width="10.7109375" style="610" customWidth="1"/>
    <col min="259" max="259" width="10.5703125" style="610" customWidth="1"/>
    <col min="260" max="260" width="10.7109375" style="610" customWidth="1"/>
    <col min="261" max="261" width="10.28515625" style="610" customWidth="1"/>
    <col min="262" max="262" width="10.7109375" style="610" customWidth="1"/>
    <col min="263" max="263" width="9.42578125" style="610" customWidth="1"/>
    <col min="264" max="264" width="10.5703125" style="610" customWidth="1"/>
    <col min="265" max="265" width="13.7109375" style="610" customWidth="1"/>
    <col min="266" max="267" width="10.42578125" style="610" customWidth="1"/>
    <col min="268" max="268" width="10.28515625" style="610" customWidth="1"/>
    <col min="269" max="269" width="9.42578125" style="610" customWidth="1"/>
    <col min="270" max="270" width="8.7109375" style="610" customWidth="1"/>
    <col min="271" max="271" width="10.42578125" style="610" customWidth="1"/>
    <col min="272" max="272" width="10.28515625" style="610" customWidth="1"/>
    <col min="273" max="512" width="11.42578125" style="610"/>
    <col min="513" max="513" width="7" style="610" customWidth="1"/>
    <col min="514" max="514" width="10.7109375" style="610" customWidth="1"/>
    <col min="515" max="515" width="10.5703125" style="610" customWidth="1"/>
    <col min="516" max="516" width="10.7109375" style="610" customWidth="1"/>
    <col min="517" max="517" width="10.28515625" style="610" customWidth="1"/>
    <col min="518" max="518" width="10.7109375" style="610" customWidth="1"/>
    <col min="519" max="519" width="9.42578125" style="610" customWidth="1"/>
    <col min="520" max="520" width="10.5703125" style="610" customWidth="1"/>
    <col min="521" max="521" width="13.7109375" style="610" customWidth="1"/>
    <col min="522" max="523" width="10.42578125" style="610" customWidth="1"/>
    <col min="524" max="524" width="10.28515625" style="610" customWidth="1"/>
    <col min="525" max="525" width="9.42578125" style="610" customWidth="1"/>
    <col min="526" max="526" width="8.7109375" style="610" customWidth="1"/>
    <col min="527" max="527" width="10.42578125" style="610" customWidth="1"/>
    <col min="528" max="528" width="10.28515625" style="610" customWidth="1"/>
    <col min="529" max="768" width="11.42578125" style="610"/>
    <col min="769" max="769" width="7" style="610" customWidth="1"/>
    <col min="770" max="770" width="10.7109375" style="610" customWidth="1"/>
    <col min="771" max="771" width="10.5703125" style="610" customWidth="1"/>
    <col min="772" max="772" width="10.7109375" style="610" customWidth="1"/>
    <col min="773" max="773" width="10.28515625" style="610" customWidth="1"/>
    <col min="774" max="774" width="10.7109375" style="610" customWidth="1"/>
    <col min="775" max="775" width="9.42578125" style="610" customWidth="1"/>
    <col min="776" max="776" width="10.5703125" style="610" customWidth="1"/>
    <col min="777" max="777" width="13.7109375" style="610" customWidth="1"/>
    <col min="778" max="779" width="10.42578125" style="610" customWidth="1"/>
    <col min="780" max="780" width="10.28515625" style="610" customWidth="1"/>
    <col min="781" max="781" width="9.42578125" style="610" customWidth="1"/>
    <col min="782" max="782" width="8.7109375" style="610" customWidth="1"/>
    <col min="783" max="783" width="10.42578125" style="610" customWidth="1"/>
    <col min="784" max="784" width="10.28515625" style="610" customWidth="1"/>
    <col min="785" max="1024" width="11.42578125" style="610"/>
    <col min="1025" max="1025" width="7" style="610" customWidth="1"/>
    <col min="1026" max="1026" width="10.7109375" style="610" customWidth="1"/>
    <col min="1027" max="1027" width="10.5703125" style="610" customWidth="1"/>
    <col min="1028" max="1028" width="10.7109375" style="610" customWidth="1"/>
    <col min="1029" max="1029" width="10.28515625" style="610" customWidth="1"/>
    <col min="1030" max="1030" width="10.7109375" style="610" customWidth="1"/>
    <col min="1031" max="1031" width="9.42578125" style="610" customWidth="1"/>
    <col min="1032" max="1032" width="10.5703125" style="610" customWidth="1"/>
    <col min="1033" max="1033" width="13.7109375" style="610" customWidth="1"/>
    <col min="1034" max="1035" width="10.42578125" style="610" customWidth="1"/>
    <col min="1036" max="1036" width="10.28515625" style="610" customWidth="1"/>
    <col min="1037" max="1037" width="9.42578125" style="610" customWidth="1"/>
    <col min="1038" max="1038" width="8.7109375" style="610" customWidth="1"/>
    <col min="1039" max="1039" width="10.42578125" style="610" customWidth="1"/>
    <col min="1040" max="1040" width="10.28515625" style="610" customWidth="1"/>
    <col min="1041" max="1280" width="11.42578125" style="610"/>
    <col min="1281" max="1281" width="7" style="610" customWidth="1"/>
    <col min="1282" max="1282" width="10.7109375" style="610" customWidth="1"/>
    <col min="1283" max="1283" width="10.5703125" style="610" customWidth="1"/>
    <col min="1284" max="1284" width="10.7109375" style="610" customWidth="1"/>
    <col min="1285" max="1285" width="10.28515625" style="610" customWidth="1"/>
    <col min="1286" max="1286" width="10.7109375" style="610" customWidth="1"/>
    <col min="1287" max="1287" width="9.42578125" style="610" customWidth="1"/>
    <col min="1288" max="1288" width="10.5703125" style="610" customWidth="1"/>
    <col min="1289" max="1289" width="13.7109375" style="610" customWidth="1"/>
    <col min="1290" max="1291" width="10.42578125" style="610" customWidth="1"/>
    <col min="1292" max="1292" width="10.28515625" style="610" customWidth="1"/>
    <col min="1293" max="1293" width="9.42578125" style="610" customWidth="1"/>
    <col min="1294" max="1294" width="8.7109375" style="610" customWidth="1"/>
    <col min="1295" max="1295" width="10.42578125" style="610" customWidth="1"/>
    <col min="1296" max="1296" width="10.28515625" style="610" customWidth="1"/>
    <col min="1297" max="1536" width="11.42578125" style="610"/>
    <col min="1537" max="1537" width="7" style="610" customWidth="1"/>
    <col min="1538" max="1538" width="10.7109375" style="610" customWidth="1"/>
    <col min="1539" max="1539" width="10.5703125" style="610" customWidth="1"/>
    <col min="1540" max="1540" width="10.7109375" style="610" customWidth="1"/>
    <col min="1541" max="1541" width="10.28515625" style="610" customWidth="1"/>
    <col min="1542" max="1542" width="10.7109375" style="610" customWidth="1"/>
    <col min="1543" max="1543" width="9.42578125" style="610" customWidth="1"/>
    <col min="1544" max="1544" width="10.5703125" style="610" customWidth="1"/>
    <col min="1545" max="1545" width="13.7109375" style="610" customWidth="1"/>
    <col min="1546" max="1547" width="10.42578125" style="610" customWidth="1"/>
    <col min="1548" max="1548" width="10.28515625" style="610" customWidth="1"/>
    <col min="1549" max="1549" width="9.42578125" style="610" customWidth="1"/>
    <col min="1550" max="1550" width="8.7109375" style="610" customWidth="1"/>
    <col min="1551" max="1551" width="10.42578125" style="610" customWidth="1"/>
    <col min="1552" max="1552" width="10.28515625" style="610" customWidth="1"/>
    <col min="1553" max="1792" width="11.42578125" style="610"/>
    <col min="1793" max="1793" width="7" style="610" customWidth="1"/>
    <col min="1794" max="1794" width="10.7109375" style="610" customWidth="1"/>
    <col min="1795" max="1795" width="10.5703125" style="610" customWidth="1"/>
    <col min="1796" max="1796" width="10.7109375" style="610" customWidth="1"/>
    <col min="1797" max="1797" width="10.28515625" style="610" customWidth="1"/>
    <col min="1798" max="1798" width="10.7109375" style="610" customWidth="1"/>
    <col min="1799" max="1799" width="9.42578125" style="610" customWidth="1"/>
    <col min="1800" max="1800" width="10.5703125" style="610" customWidth="1"/>
    <col min="1801" max="1801" width="13.7109375" style="610" customWidth="1"/>
    <col min="1802" max="1803" width="10.42578125" style="610" customWidth="1"/>
    <col min="1804" max="1804" width="10.28515625" style="610" customWidth="1"/>
    <col min="1805" max="1805" width="9.42578125" style="610" customWidth="1"/>
    <col min="1806" max="1806" width="8.7109375" style="610" customWidth="1"/>
    <col min="1807" max="1807" width="10.42578125" style="610" customWidth="1"/>
    <col min="1808" max="1808" width="10.28515625" style="610" customWidth="1"/>
    <col min="1809" max="2048" width="11.42578125" style="610"/>
    <col min="2049" max="2049" width="7" style="610" customWidth="1"/>
    <col min="2050" max="2050" width="10.7109375" style="610" customWidth="1"/>
    <col min="2051" max="2051" width="10.5703125" style="610" customWidth="1"/>
    <col min="2052" max="2052" width="10.7109375" style="610" customWidth="1"/>
    <col min="2053" max="2053" width="10.28515625" style="610" customWidth="1"/>
    <col min="2054" max="2054" width="10.7109375" style="610" customWidth="1"/>
    <col min="2055" max="2055" width="9.42578125" style="610" customWidth="1"/>
    <col min="2056" max="2056" width="10.5703125" style="610" customWidth="1"/>
    <col min="2057" max="2057" width="13.7109375" style="610" customWidth="1"/>
    <col min="2058" max="2059" width="10.42578125" style="610" customWidth="1"/>
    <col min="2060" max="2060" width="10.28515625" style="610" customWidth="1"/>
    <col min="2061" max="2061" width="9.42578125" style="610" customWidth="1"/>
    <col min="2062" max="2062" width="8.7109375" style="610" customWidth="1"/>
    <col min="2063" max="2063" width="10.42578125" style="610" customWidth="1"/>
    <col min="2064" max="2064" width="10.28515625" style="610" customWidth="1"/>
    <col min="2065" max="2304" width="11.42578125" style="610"/>
    <col min="2305" max="2305" width="7" style="610" customWidth="1"/>
    <col min="2306" max="2306" width="10.7109375" style="610" customWidth="1"/>
    <col min="2307" max="2307" width="10.5703125" style="610" customWidth="1"/>
    <col min="2308" max="2308" width="10.7109375" style="610" customWidth="1"/>
    <col min="2309" max="2309" width="10.28515625" style="610" customWidth="1"/>
    <col min="2310" max="2310" width="10.7109375" style="610" customWidth="1"/>
    <col min="2311" max="2311" width="9.42578125" style="610" customWidth="1"/>
    <col min="2312" max="2312" width="10.5703125" style="610" customWidth="1"/>
    <col min="2313" max="2313" width="13.7109375" style="610" customWidth="1"/>
    <col min="2314" max="2315" width="10.42578125" style="610" customWidth="1"/>
    <col min="2316" max="2316" width="10.28515625" style="610" customWidth="1"/>
    <col min="2317" max="2317" width="9.42578125" style="610" customWidth="1"/>
    <col min="2318" max="2318" width="8.7109375" style="610" customWidth="1"/>
    <col min="2319" max="2319" width="10.42578125" style="610" customWidth="1"/>
    <col min="2320" max="2320" width="10.28515625" style="610" customWidth="1"/>
    <col min="2321" max="2560" width="11.42578125" style="610"/>
    <col min="2561" max="2561" width="7" style="610" customWidth="1"/>
    <col min="2562" max="2562" width="10.7109375" style="610" customWidth="1"/>
    <col min="2563" max="2563" width="10.5703125" style="610" customWidth="1"/>
    <col min="2564" max="2564" width="10.7109375" style="610" customWidth="1"/>
    <col min="2565" max="2565" width="10.28515625" style="610" customWidth="1"/>
    <col min="2566" max="2566" width="10.7109375" style="610" customWidth="1"/>
    <col min="2567" max="2567" width="9.42578125" style="610" customWidth="1"/>
    <col min="2568" max="2568" width="10.5703125" style="610" customWidth="1"/>
    <col min="2569" max="2569" width="13.7109375" style="610" customWidth="1"/>
    <col min="2570" max="2571" width="10.42578125" style="610" customWidth="1"/>
    <col min="2572" max="2572" width="10.28515625" style="610" customWidth="1"/>
    <col min="2573" max="2573" width="9.42578125" style="610" customWidth="1"/>
    <col min="2574" max="2574" width="8.7109375" style="610" customWidth="1"/>
    <col min="2575" max="2575" width="10.42578125" style="610" customWidth="1"/>
    <col min="2576" max="2576" width="10.28515625" style="610" customWidth="1"/>
    <col min="2577" max="2816" width="11.42578125" style="610"/>
    <col min="2817" max="2817" width="7" style="610" customWidth="1"/>
    <col min="2818" max="2818" width="10.7109375" style="610" customWidth="1"/>
    <col min="2819" max="2819" width="10.5703125" style="610" customWidth="1"/>
    <col min="2820" max="2820" width="10.7109375" style="610" customWidth="1"/>
    <col min="2821" max="2821" width="10.28515625" style="610" customWidth="1"/>
    <col min="2822" max="2822" width="10.7109375" style="610" customWidth="1"/>
    <col min="2823" max="2823" width="9.42578125" style="610" customWidth="1"/>
    <col min="2824" max="2824" width="10.5703125" style="610" customWidth="1"/>
    <col min="2825" max="2825" width="13.7109375" style="610" customWidth="1"/>
    <col min="2826" max="2827" width="10.42578125" style="610" customWidth="1"/>
    <col min="2828" max="2828" width="10.28515625" style="610" customWidth="1"/>
    <col min="2829" max="2829" width="9.42578125" style="610" customWidth="1"/>
    <col min="2830" max="2830" width="8.7109375" style="610" customWidth="1"/>
    <col min="2831" max="2831" width="10.42578125" style="610" customWidth="1"/>
    <col min="2832" max="2832" width="10.28515625" style="610" customWidth="1"/>
    <col min="2833" max="3072" width="11.42578125" style="610"/>
    <col min="3073" max="3073" width="7" style="610" customWidth="1"/>
    <col min="3074" max="3074" width="10.7109375" style="610" customWidth="1"/>
    <col min="3075" max="3075" width="10.5703125" style="610" customWidth="1"/>
    <col min="3076" max="3076" width="10.7109375" style="610" customWidth="1"/>
    <col min="3077" max="3077" width="10.28515625" style="610" customWidth="1"/>
    <col min="3078" max="3078" width="10.7109375" style="610" customWidth="1"/>
    <col min="3079" max="3079" width="9.42578125" style="610" customWidth="1"/>
    <col min="3080" max="3080" width="10.5703125" style="610" customWidth="1"/>
    <col min="3081" max="3081" width="13.7109375" style="610" customWidth="1"/>
    <col min="3082" max="3083" width="10.42578125" style="610" customWidth="1"/>
    <col min="3084" max="3084" width="10.28515625" style="610" customWidth="1"/>
    <col min="3085" max="3085" width="9.42578125" style="610" customWidth="1"/>
    <col min="3086" max="3086" width="8.7109375" style="610" customWidth="1"/>
    <col min="3087" max="3087" width="10.42578125" style="610" customWidth="1"/>
    <col min="3088" max="3088" width="10.28515625" style="610" customWidth="1"/>
    <col min="3089" max="3328" width="11.42578125" style="610"/>
    <col min="3329" max="3329" width="7" style="610" customWidth="1"/>
    <col min="3330" max="3330" width="10.7109375" style="610" customWidth="1"/>
    <col min="3331" max="3331" width="10.5703125" style="610" customWidth="1"/>
    <col min="3332" max="3332" width="10.7109375" style="610" customWidth="1"/>
    <col min="3333" max="3333" width="10.28515625" style="610" customWidth="1"/>
    <col min="3334" max="3334" width="10.7109375" style="610" customWidth="1"/>
    <col min="3335" max="3335" width="9.42578125" style="610" customWidth="1"/>
    <col min="3336" max="3336" width="10.5703125" style="610" customWidth="1"/>
    <col min="3337" max="3337" width="13.7109375" style="610" customWidth="1"/>
    <col min="3338" max="3339" width="10.42578125" style="610" customWidth="1"/>
    <col min="3340" max="3340" width="10.28515625" style="610" customWidth="1"/>
    <col min="3341" max="3341" width="9.42578125" style="610" customWidth="1"/>
    <col min="3342" max="3342" width="8.7109375" style="610" customWidth="1"/>
    <col min="3343" max="3343" width="10.42578125" style="610" customWidth="1"/>
    <col min="3344" max="3344" width="10.28515625" style="610" customWidth="1"/>
    <col min="3345" max="3584" width="11.42578125" style="610"/>
    <col min="3585" max="3585" width="7" style="610" customWidth="1"/>
    <col min="3586" max="3586" width="10.7109375" style="610" customWidth="1"/>
    <col min="3587" max="3587" width="10.5703125" style="610" customWidth="1"/>
    <col min="3588" max="3588" width="10.7109375" style="610" customWidth="1"/>
    <col min="3589" max="3589" width="10.28515625" style="610" customWidth="1"/>
    <col min="3590" max="3590" width="10.7109375" style="610" customWidth="1"/>
    <col min="3591" max="3591" width="9.42578125" style="610" customWidth="1"/>
    <col min="3592" max="3592" width="10.5703125" style="610" customWidth="1"/>
    <col min="3593" max="3593" width="13.7109375" style="610" customWidth="1"/>
    <col min="3594" max="3595" width="10.42578125" style="610" customWidth="1"/>
    <col min="3596" max="3596" width="10.28515625" style="610" customWidth="1"/>
    <col min="3597" max="3597" width="9.42578125" style="610" customWidth="1"/>
    <col min="3598" max="3598" width="8.7109375" style="610" customWidth="1"/>
    <col min="3599" max="3599" width="10.42578125" style="610" customWidth="1"/>
    <col min="3600" max="3600" width="10.28515625" style="610" customWidth="1"/>
    <col min="3601" max="3840" width="11.42578125" style="610"/>
    <col min="3841" max="3841" width="7" style="610" customWidth="1"/>
    <col min="3842" max="3842" width="10.7109375" style="610" customWidth="1"/>
    <col min="3843" max="3843" width="10.5703125" style="610" customWidth="1"/>
    <col min="3844" max="3844" width="10.7109375" style="610" customWidth="1"/>
    <col min="3845" max="3845" width="10.28515625" style="610" customWidth="1"/>
    <col min="3846" max="3846" width="10.7109375" style="610" customWidth="1"/>
    <col min="3847" max="3847" width="9.42578125" style="610" customWidth="1"/>
    <col min="3848" max="3848" width="10.5703125" style="610" customWidth="1"/>
    <col min="3849" max="3849" width="13.7109375" style="610" customWidth="1"/>
    <col min="3850" max="3851" width="10.42578125" style="610" customWidth="1"/>
    <col min="3852" max="3852" width="10.28515625" style="610" customWidth="1"/>
    <col min="3853" max="3853" width="9.42578125" style="610" customWidth="1"/>
    <col min="3854" max="3854" width="8.7109375" style="610" customWidth="1"/>
    <col min="3855" max="3855" width="10.42578125" style="610" customWidth="1"/>
    <col min="3856" max="3856" width="10.28515625" style="610" customWidth="1"/>
    <col min="3857" max="4096" width="11.42578125" style="610"/>
    <col min="4097" max="4097" width="7" style="610" customWidth="1"/>
    <col min="4098" max="4098" width="10.7109375" style="610" customWidth="1"/>
    <col min="4099" max="4099" width="10.5703125" style="610" customWidth="1"/>
    <col min="4100" max="4100" width="10.7109375" style="610" customWidth="1"/>
    <col min="4101" max="4101" width="10.28515625" style="610" customWidth="1"/>
    <col min="4102" max="4102" width="10.7109375" style="610" customWidth="1"/>
    <col min="4103" max="4103" width="9.42578125" style="610" customWidth="1"/>
    <col min="4104" max="4104" width="10.5703125" style="610" customWidth="1"/>
    <col min="4105" max="4105" width="13.7109375" style="610" customWidth="1"/>
    <col min="4106" max="4107" width="10.42578125" style="610" customWidth="1"/>
    <col min="4108" max="4108" width="10.28515625" style="610" customWidth="1"/>
    <col min="4109" max="4109" width="9.42578125" style="610" customWidth="1"/>
    <col min="4110" max="4110" width="8.7109375" style="610" customWidth="1"/>
    <col min="4111" max="4111" width="10.42578125" style="610" customWidth="1"/>
    <col min="4112" max="4112" width="10.28515625" style="610" customWidth="1"/>
    <col min="4113" max="4352" width="11.42578125" style="610"/>
    <col min="4353" max="4353" width="7" style="610" customWidth="1"/>
    <col min="4354" max="4354" width="10.7109375" style="610" customWidth="1"/>
    <col min="4355" max="4355" width="10.5703125" style="610" customWidth="1"/>
    <col min="4356" max="4356" width="10.7109375" style="610" customWidth="1"/>
    <col min="4357" max="4357" width="10.28515625" style="610" customWidth="1"/>
    <col min="4358" max="4358" width="10.7109375" style="610" customWidth="1"/>
    <col min="4359" max="4359" width="9.42578125" style="610" customWidth="1"/>
    <col min="4360" max="4360" width="10.5703125" style="610" customWidth="1"/>
    <col min="4361" max="4361" width="13.7109375" style="610" customWidth="1"/>
    <col min="4362" max="4363" width="10.42578125" style="610" customWidth="1"/>
    <col min="4364" max="4364" width="10.28515625" style="610" customWidth="1"/>
    <col min="4365" max="4365" width="9.42578125" style="610" customWidth="1"/>
    <col min="4366" max="4366" width="8.7109375" style="610" customWidth="1"/>
    <col min="4367" max="4367" width="10.42578125" style="610" customWidth="1"/>
    <col min="4368" max="4368" width="10.28515625" style="610" customWidth="1"/>
    <col min="4369" max="4608" width="11.42578125" style="610"/>
    <col min="4609" max="4609" width="7" style="610" customWidth="1"/>
    <col min="4610" max="4610" width="10.7109375" style="610" customWidth="1"/>
    <col min="4611" max="4611" width="10.5703125" style="610" customWidth="1"/>
    <col min="4612" max="4612" width="10.7109375" style="610" customWidth="1"/>
    <col min="4613" max="4613" width="10.28515625" style="610" customWidth="1"/>
    <col min="4614" max="4614" width="10.7109375" style="610" customWidth="1"/>
    <col min="4615" max="4615" width="9.42578125" style="610" customWidth="1"/>
    <col min="4616" max="4616" width="10.5703125" style="610" customWidth="1"/>
    <col min="4617" max="4617" width="13.7109375" style="610" customWidth="1"/>
    <col min="4618" max="4619" width="10.42578125" style="610" customWidth="1"/>
    <col min="4620" max="4620" width="10.28515625" style="610" customWidth="1"/>
    <col min="4621" max="4621" width="9.42578125" style="610" customWidth="1"/>
    <col min="4622" max="4622" width="8.7109375" style="610" customWidth="1"/>
    <col min="4623" max="4623" width="10.42578125" style="610" customWidth="1"/>
    <col min="4624" max="4624" width="10.28515625" style="610" customWidth="1"/>
    <col min="4625" max="4864" width="11.42578125" style="610"/>
    <col min="4865" max="4865" width="7" style="610" customWidth="1"/>
    <col min="4866" max="4866" width="10.7109375" style="610" customWidth="1"/>
    <col min="4867" max="4867" width="10.5703125" style="610" customWidth="1"/>
    <col min="4868" max="4868" width="10.7109375" style="610" customWidth="1"/>
    <col min="4869" max="4869" width="10.28515625" style="610" customWidth="1"/>
    <col min="4870" max="4870" width="10.7109375" style="610" customWidth="1"/>
    <col min="4871" max="4871" width="9.42578125" style="610" customWidth="1"/>
    <col min="4872" max="4872" width="10.5703125" style="610" customWidth="1"/>
    <col min="4873" max="4873" width="13.7109375" style="610" customWidth="1"/>
    <col min="4874" max="4875" width="10.42578125" style="610" customWidth="1"/>
    <col min="4876" max="4876" width="10.28515625" style="610" customWidth="1"/>
    <col min="4877" max="4877" width="9.42578125" style="610" customWidth="1"/>
    <col min="4878" max="4878" width="8.7109375" style="610" customWidth="1"/>
    <col min="4879" max="4879" width="10.42578125" style="610" customWidth="1"/>
    <col min="4880" max="4880" width="10.28515625" style="610" customWidth="1"/>
    <col min="4881" max="5120" width="11.42578125" style="610"/>
    <col min="5121" max="5121" width="7" style="610" customWidth="1"/>
    <col min="5122" max="5122" width="10.7109375" style="610" customWidth="1"/>
    <col min="5123" max="5123" width="10.5703125" style="610" customWidth="1"/>
    <col min="5124" max="5124" width="10.7109375" style="610" customWidth="1"/>
    <col min="5125" max="5125" width="10.28515625" style="610" customWidth="1"/>
    <col min="5126" max="5126" width="10.7109375" style="610" customWidth="1"/>
    <col min="5127" max="5127" width="9.42578125" style="610" customWidth="1"/>
    <col min="5128" max="5128" width="10.5703125" style="610" customWidth="1"/>
    <col min="5129" max="5129" width="13.7109375" style="610" customWidth="1"/>
    <col min="5130" max="5131" width="10.42578125" style="610" customWidth="1"/>
    <col min="5132" max="5132" width="10.28515625" style="610" customWidth="1"/>
    <col min="5133" max="5133" width="9.42578125" style="610" customWidth="1"/>
    <col min="5134" max="5134" width="8.7109375" style="610" customWidth="1"/>
    <col min="5135" max="5135" width="10.42578125" style="610" customWidth="1"/>
    <col min="5136" max="5136" width="10.28515625" style="610" customWidth="1"/>
    <col min="5137" max="5376" width="11.42578125" style="610"/>
    <col min="5377" max="5377" width="7" style="610" customWidth="1"/>
    <col min="5378" max="5378" width="10.7109375" style="610" customWidth="1"/>
    <col min="5379" max="5379" width="10.5703125" style="610" customWidth="1"/>
    <col min="5380" max="5380" width="10.7109375" style="610" customWidth="1"/>
    <col min="5381" max="5381" width="10.28515625" style="610" customWidth="1"/>
    <col min="5382" max="5382" width="10.7109375" style="610" customWidth="1"/>
    <col min="5383" max="5383" width="9.42578125" style="610" customWidth="1"/>
    <col min="5384" max="5384" width="10.5703125" style="610" customWidth="1"/>
    <col min="5385" max="5385" width="13.7109375" style="610" customWidth="1"/>
    <col min="5386" max="5387" width="10.42578125" style="610" customWidth="1"/>
    <col min="5388" max="5388" width="10.28515625" style="610" customWidth="1"/>
    <col min="5389" max="5389" width="9.42578125" style="610" customWidth="1"/>
    <col min="5390" max="5390" width="8.7109375" style="610" customWidth="1"/>
    <col min="5391" max="5391" width="10.42578125" style="610" customWidth="1"/>
    <col min="5392" max="5392" width="10.28515625" style="610" customWidth="1"/>
    <col min="5393" max="5632" width="11.42578125" style="610"/>
    <col min="5633" max="5633" width="7" style="610" customWidth="1"/>
    <col min="5634" max="5634" width="10.7109375" style="610" customWidth="1"/>
    <col min="5635" max="5635" width="10.5703125" style="610" customWidth="1"/>
    <col min="5636" max="5636" width="10.7109375" style="610" customWidth="1"/>
    <col min="5637" max="5637" width="10.28515625" style="610" customWidth="1"/>
    <col min="5638" max="5638" width="10.7109375" style="610" customWidth="1"/>
    <col min="5639" max="5639" width="9.42578125" style="610" customWidth="1"/>
    <col min="5640" max="5640" width="10.5703125" style="610" customWidth="1"/>
    <col min="5641" max="5641" width="13.7109375" style="610" customWidth="1"/>
    <col min="5642" max="5643" width="10.42578125" style="610" customWidth="1"/>
    <col min="5644" max="5644" width="10.28515625" style="610" customWidth="1"/>
    <col min="5645" max="5645" width="9.42578125" style="610" customWidth="1"/>
    <col min="5646" max="5646" width="8.7109375" style="610" customWidth="1"/>
    <col min="5647" max="5647" width="10.42578125" style="610" customWidth="1"/>
    <col min="5648" max="5648" width="10.28515625" style="610" customWidth="1"/>
    <col min="5649" max="5888" width="11.42578125" style="610"/>
    <col min="5889" max="5889" width="7" style="610" customWidth="1"/>
    <col min="5890" max="5890" width="10.7109375" style="610" customWidth="1"/>
    <col min="5891" max="5891" width="10.5703125" style="610" customWidth="1"/>
    <col min="5892" max="5892" width="10.7109375" style="610" customWidth="1"/>
    <col min="5893" max="5893" width="10.28515625" style="610" customWidth="1"/>
    <col min="5894" max="5894" width="10.7109375" style="610" customWidth="1"/>
    <col min="5895" max="5895" width="9.42578125" style="610" customWidth="1"/>
    <col min="5896" max="5896" width="10.5703125" style="610" customWidth="1"/>
    <col min="5897" max="5897" width="13.7109375" style="610" customWidth="1"/>
    <col min="5898" max="5899" width="10.42578125" style="610" customWidth="1"/>
    <col min="5900" max="5900" width="10.28515625" style="610" customWidth="1"/>
    <col min="5901" max="5901" width="9.42578125" style="610" customWidth="1"/>
    <col min="5902" max="5902" width="8.7109375" style="610" customWidth="1"/>
    <col min="5903" max="5903" width="10.42578125" style="610" customWidth="1"/>
    <col min="5904" max="5904" width="10.28515625" style="610" customWidth="1"/>
    <col min="5905" max="6144" width="11.42578125" style="610"/>
    <col min="6145" max="6145" width="7" style="610" customWidth="1"/>
    <col min="6146" max="6146" width="10.7109375" style="610" customWidth="1"/>
    <col min="6147" max="6147" width="10.5703125" style="610" customWidth="1"/>
    <col min="6148" max="6148" width="10.7109375" style="610" customWidth="1"/>
    <col min="6149" max="6149" width="10.28515625" style="610" customWidth="1"/>
    <col min="6150" max="6150" width="10.7109375" style="610" customWidth="1"/>
    <col min="6151" max="6151" width="9.42578125" style="610" customWidth="1"/>
    <col min="6152" max="6152" width="10.5703125" style="610" customWidth="1"/>
    <col min="6153" max="6153" width="13.7109375" style="610" customWidth="1"/>
    <col min="6154" max="6155" width="10.42578125" style="610" customWidth="1"/>
    <col min="6156" max="6156" width="10.28515625" style="610" customWidth="1"/>
    <col min="6157" max="6157" width="9.42578125" style="610" customWidth="1"/>
    <col min="6158" max="6158" width="8.7109375" style="610" customWidth="1"/>
    <col min="6159" max="6159" width="10.42578125" style="610" customWidth="1"/>
    <col min="6160" max="6160" width="10.28515625" style="610" customWidth="1"/>
    <col min="6161" max="6400" width="11.42578125" style="610"/>
    <col min="6401" max="6401" width="7" style="610" customWidth="1"/>
    <col min="6402" max="6402" width="10.7109375" style="610" customWidth="1"/>
    <col min="6403" max="6403" width="10.5703125" style="610" customWidth="1"/>
    <col min="6404" max="6404" width="10.7109375" style="610" customWidth="1"/>
    <col min="6405" max="6405" width="10.28515625" style="610" customWidth="1"/>
    <col min="6406" max="6406" width="10.7109375" style="610" customWidth="1"/>
    <col min="6407" max="6407" width="9.42578125" style="610" customWidth="1"/>
    <col min="6408" max="6408" width="10.5703125" style="610" customWidth="1"/>
    <col min="6409" max="6409" width="13.7109375" style="610" customWidth="1"/>
    <col min="6410" max="6411" width="10.42578125" style="610" customWidth="1"/>
    <col min="6412" max="6412" width="10.28515625" style="610" customWidth="1"/>
    <col min="6413" max="6413" width="9.42578125" style="610" customWidth="1"/>
    <col min="6414" max="6414" width="8.7109375" style="610" customWidth="1"/>
    <col min="6415" max="6415" width="10.42578125" style="610" customWidth="1"/>
    <col min="6416" max="6416" width="10.28515625" style="610" customWidth="1"/>
    <col min="6417" max="6656" width="11.42578125" style="610"/>
    <col min="6657" max="6657" width="7" style="610" customWidth="1"/>
    <col min="6658" max="6658" width="10.7109375" style="610" customWidth="1"/>
    <col min="6659" max="6659" width="10.5703125" style="610" customWidth="1"/>
    <col min="6660" max="6660" width="10.7109375" style="610" customWidth="1"/>
    <col min="6661" max="6661" width="10.28515625" style="610" customWidth="1"/>
    <col min="6662" max="6662" width="10.7109375" style="610" customWidth="1"/>
    <col min="6663" max="6663" width="9.42578125" style="610" customWidth="1"/>
    <col min="6664" max="6664" width="10.5703125" style="610" customWidth="1"/>
    <col min="6665" max="6665" width="13.7109375" style="610" customWidth="1"/>
    <col min="6666" max="6667" width="10.42578125" style="610" customWidth="1"/>
    <col min="6668" max="6668" width="10.28515625" style="610" customWidth="1"/>
    <col min="6669" max="6669" width="9.42578125" style="610" customWidth="1"/>
    <col min="6670" max="6670" width="8.7109375" style="610" customWidth="1"/>
    <col min="6671" max="6671" width="10.42578125" style="610" customWidth="1"/>
    <col min="6672" max="6672" width="10.28515625" style="610" customWidth="1"/>
    <col min="6673" max="6912" width="11.42578125" style="610"/>
    <col min="6913" max="6913" width="7" style="610" customWidth="1"/>
    <col min="6914" max="6914" width="10.7109375" style="610" customWidth="1"/>
    <col min="6915" max="6915" width="10.5703125" style="610" customWidth="1"/>
    <col min="6916" max="6916" width="10.7109375" style="610" customWidth="1"/>
    <col min="6917" max="6917" width="10.28515625" style="610" customWidth="1"/>
    <col min="6918" max="6918" width="10.7109375" style="610" customWidth="1"/>
    <col min="6919" max="6919" width="9.42578125" style="610" customWidth="1"/>
    <col min="6920" max="6920" width="10.5703125" style="610" customWidth="1"/>
    <col min="6921" max="6921" width="13.7109375" style="610" customWidth="1"/>
    <col min="6922" max="6923" width="10.42578125" style="610" customWidth="1"/>
    <col min="6924" max="6924" width="10.28515625" style="610" customWidth="1"/>
    <col min="6925" max="6925" width="9.42578125" style="610" customWidth="1"/>
    <col min="6926" max="6926" width="8.7109375" style="610" customWidth="1"/>
    <col min="6927" max="6927" width="10.42578125" style="610" customWidth="1"/>
    <col min="6928" max="6928" width="10.28515625" style="610" customWidth="1"/>
    <col min="6929" max="7168" width="11.42578125" style="610"/>
    <col min="7169" max="7169" width="7" style="610" customWidth="1"/>
    <col min="7170" max="7170" width="10.7109375" style="610" customWidth="1"/>
    <col min="7171" max="7171" width="10.5703125" style="610" customWidth="1"/>
    <col min="7172" max="7172" width="10.7109375" style="610" customWidth="1"/>
    <col min="7173" max="7173" width="10.28515625" style="610" customWidth="1"/>
    <col min="7174" max="7174" width="10.7109375" style="610" customWidth="1"/>
    <col min="7175" max="7175" width="9.42578125" style="610" customWidth="1"/>
    <col min="7176" max="7176" width="10.5703125" style="610" customWidth="1"/>
    <col min="7177" max="7177" width="13.7109375" style="610" customWidth="1"/>
    <col min="7178" max="7179" width="10.42578125" style="610" customWidth="1"/>
    <col min="7180" max="7180" width="10.28515625" style="610" customWidth="1"/>
    <col min="7181" max="7181" width="9.42578125" style="610" customWidth="1"/>
    <col min="7182" max="7182" width="8.7109375" style="610" customWidth="1"/>
    <col min="7183" max="7183" width="10.42578125" style="610" customWidth="1"/>
    <col min="7184" max="7184" width="10.28515625" style="610" customWidth="1"/>
    <col min="7185" max="7424" width="11.42578125" style="610"/>
    <col min="7425" max="7425" width="7" style="610" customWidth="1"/>
    <col min="7426" max="7426" width="10.7109375" style="610" customWidth="1"/>
    <col min="7427" max="7427" width="10.5703125" style="610" customWidth="1"/>
    <col min="7428" max="7428" width="10.7109375" style="610" customWidth="1"/>
    <col min="7429" max="7429" width="10.28515625" style="610" customWidth="1"/>
    <col min="7430" max="7430" width="10.7109375" style="610" customWidth="1"/>
    <col min="7431" max="7431" width="9.42578125" style="610" customWidth="1"/>
    <col min="7432" max="7432" width="10.5703125" style="610" customWidth="1"/>
    <col min="7433" max="7433" width="13.7109375" style="610" customWidth="1"/>
    <col min="7434" max="7435" width="10.42578125" style="610" customWidth="1"/>
    <col min="7436" max="7436" width="10.28515625" style="610" customWidth="1"/>
    <col min="7437" max="7437" width="9.42578125" style="610" customWidth="1"/>
    <col min="7438" max="7438" width="8.7109375" style="610" customWidth="1"/>
    <col min="7439" max="7439" width="10.42578125" style="610" customWidth="1"/>
    <col min="7440" max="7440" width="10.28515625" style="610" customWidth="1"/>
    <col min="7441" max="7680" width="11.42578125" style="610"/>
    <col min="7681" max="7681" width="7" style="610" customWidth="1"/>
    <col min="7682" max="7682" width="10.7109375" style="610" customWidth="1"/>
    <col min="7683" max="7683" width="10.5703125" style="610" customWidth="1"/>
    <col min="7684" max="7684" width="10.7109375" style="610" customWidth="1"/>
    <col min="7685" max="7685" width="10.28515625" style="610" customWidth="1"/>
    <col min="7686" max="7686" width="10.7109375" style="610" customWidth="1"/>
    <col min="7687" max="7687" width="9.42578125" style="610" customWidth="1"/>
    <col min="7688" max="7688" width="10.5703125" style="610" customWidth="1"/>
    <col min="7689" max="7689" width="13.7109375" style="610" customWidth="1"/>
    <col min="7690" max="7691" width="10.42578125" style="610" customWidth="1"/>
    <col min="7692" max="7692" width="10.28515625" style="610" customWidth="1"/>
    <col min="7693" max="7693" width="9.42578125" style="610" customWidth="1"/>
    <col min="7694" max="7694" width="8.7109375" style="610" customWidth="1"/>
    <col min="7695" max="7695" width="10.42578125" style="610" customWidth="1"/>
    <col min="7696" max="7696" width="10.28515625" style="610" customWidth="1"/>
    <col min="7697" max="7936" width="11.42578125" style="610"/>
    <col min="7937" max="7937" width="7" style="610" customWidth="1"/>
    <col min="7938" max="7938" width="10.7109375" style="610" customWidth="1"/>
    <col min="7939" max="7939" width="10.5703125" style="610" customWidth="1"/>
    <col min="7940" max="7940" width="10.7109375" style="610" customWidth="1"/>
    <col min="7941" max="7941" width="10.28515625" style="610" customWidth="1"/>
    <col min="7942" max="7942" width="10.7109375" style="610" customWidth="1"/>
    <col min="7943" max="7943" width="9.42578125" style="610" customWidth="1"/>
    <col min="7944" max="7944" width="10.5703125" style="610" customWidth="1"/>
    <col min="7945" max="7945" width="13.7109375" style="610" customWidth="1"/>
    <col min="7946" max="7947" width="10.42578125" style="610" customWidth="1"/>
    <col min="7948" max="7948" width="10.28515625" style="610" customWidth="1"/>
    <col min="7949" max="7949" width="9.42578125" style="610" customWidth="1"/>
    <col min="7950" max="7950" width="8.7109375" style="610" customWidth="1"/>
    <col min="7951" max="7951" width="10.42578125" style="610" customWidth="1"/>
    <col min="7952" max="7952" width="10.28515625" style="610" customWidth="1"/>
    <col min="7953" max="8192" width="11.42578125" style="610"/>
    <col min="8193" max="8193" width="7" style="610" customWidth="1"/>
    <col min="8194" max="8194" width="10.7109375" style="610" customWidth="1"/>
    <col min="8195" max="8195" width="10.5703125" style="610" customWidth="1"/>
    <col min="8196" max="8196" width="10.7109375" style="610" customWidth="1"/>
    <col min="8197" max="8197" width="10.28515625" style="610" customWidth="1"/>
    <col min="8198" max="8198" width="10.7109375" style="610" customWidth="1"/>
    <col min="8199" max="8199" width="9.42578125" style="610" customWidth="1"/>
    <col min="8200" max="8200" width="10.5703125" style="610" customWidth="1"/>
    <col min="8201" max="8201" width="13.7109375" style="610" customWidth="1"/>
    <col min="8202" max="8203" width="10.42578125" style="610" customWidth="1"/>
    <col min="8204" max="8204" width="10.28515625" style="610" customWidth="1"/>
    <col min="8205" max="8205" width="9.42578125" style="610" customWidth="1"/>
    <col min="8206" max="8206" width="8.7109375" style="610" customWidth="1"/>
    <col min="8207" max="8207" width="10.42578125" style="610" customWidth="1"/>
    <col min="8208" max="8208" width="10.28515625" style="610" customWidth="1"/>
    <col min="8209" max="8448" width="11.42578125" style="610"/>
    <col min="8449" max="8449" width="7" style="610" customWidth="1"/>
    <col min="8450" max="8450" width="10.7109375" style="610" customWidth="1"/>
    <col min="8451" max="8451" width="10.5703125" style="610" customWidth="1"/>
    <col min="8452" max="8452" width="10.7109375" style="610" customWidth="1"/>
    <col min="8453" max="8453" width="10.28515625" style="610" customWidth="1"/>
    <col min="8454" max="8454" width="10.7109375" style="610" customWidth="1"/>
    <col min="8455" max="8455" width="9.42578125" style="610" customWidth="1"/>
    <col min="8456" max="8456" width="10.5703125" style="610" customWidth="1"/>
    <col min="8457" max="8457" width="13.7109375" style="610" customWidth="1"/>
    <col min="8458" max="8459" width="10.42578125" style="610" customWidth="1"/>
    <col min="8460" max="8460" width="10.28515625" style="610" customWidth="1"/>
    <col min="8461" max="8461" width="9.42578125" style="610" customWidth="1"/>
    <col min="8462" max="8462" width="8.7109375" style="610" customWidth="1"/>
    <col min="8463" max="8463" width="10.42578125" style="610" customWidth="1"/>
    <col min="8464" max="8464" width="10.28515625" style="610" customWidth="1"/>
    <col min="8465" max="8704" width="11.42578125" style="610"/>
    <col min="8705" max="8705" width="7" style="610" customWidth="1"/>
    <col min="8706" max="8706" width="10.7109375" style="610" customWidth="1"/>
    <col min="8707" max="8707" width="10.5703125" style="610" customWidth="1"/>
    <col min="8708" max="8708" width="10.7109375" style="610" customWidth="1"/>
    <col min="8709" max="8709" width="10.28515625" style="610" customWidth="1"/>
    <col min="8710" max="8710" width="10.7109375" style="610" customWidth="1"/>
    <col min="8711" max="8711" width="9.42578125" style="610" customWidth="1"/>
    <col min="8712" max="8712" width="10.5703125" style="610" customWidth="1"/>
    <col min="8713" max="8713" width="13.7109375" style="610" customWidth="1"/>
    <col min="8714" max="8715" width="10.42578125" style="610" customWidth="1"/>
    <col min="8716" max="8716" width="10.28515625" style="610" customWidth="1"/>
    <col min="8717" max="8717" width="9.42578125" style="610" customWidth="1"/>
    <col min="8718" max="8718" width="8.7109375" style="610" customWidth="1"/>
    <col min="8719" max="8719" width="10.42578125" style="610" customWidth="1"/>
    <col min="8720" max="8720" width="10.28515625" style="610" customWidth="1"/>
    <col min="8721" max="8960" width="11.42578125" style="610"/>
    <col min="8961" max="8961" width="7" style="610" customWidth="1"/>
    <col min="8962" max="8962" width="10.7109375" style="610" customWidth="1"/>
    <col min="8963" max="8963" width="10.5703125" style="610" customWidth="1"/>
    <col min="8964" max="8964" width="10.7109375" style="610" customWidth="1"/>
    <col min="8965" max="8965" width="10.28515625" style="610" customWidth="1"/>
    <col min="8966" max="8966" width="10.7109375" style="610" customWidth="1"/>
    <col min="8967" max="8967" width="9.42578125" style="610" customWidth="1"/>
    <col min="8968" max="8968" width="10.5703125" style="610" customWidth="1"/>
    <col min="8969" max="8969" width="13.7109375" style="610" customWidth="1"/>
    <col min="8970" max="8971" width="10.42578125" style="610" customWidth="1"/>
    <col min="8972" max="8972" width="10.28515625" style="610" customWidth="1"/>
    <col min="8973" max="8973" width="9.42578125" style="610" customWidth="1"/>
    <col min="8974" max="8974" width="8.7109375" style="610" customWidth="1"/>
    <col min="8975" max="8975" width="10.42578125" style="610" customWidth="1"/>
    <col min="8976" max="8976" width="10.28515625" style="610" customWidth="1"/>
    <col min="8977" max="9216" width="11.42578125" style="610"/>
    <col min="9217" max="9217" width="7" style="610" customWidth="1"/>
    <col min="9218" max="9218" width="10.7109375" style="610" customWidth="1"/>
    <col min="9219" max="9219" width="10.5703125" style="610" customWidth="1"/>
    <col min="9220" max="9220" width="10.7109375" style="610" customWidth="1"/>
    <col min="9221" max="9221" width="10.28515625" style="610" customWidth="1"/>
    <col min="9222" max="9222" width="10.7109375" style="610" customWidth="1"/>
    <col min="9223" max="9223" width="9.42578125" style="610" customWidth="1"/>
    <col min="9224" max="9224" width="10.5703125" style="610" customWidth="1"/>
    <col min="9225" max="9225" width="13.7109375" style="610" customWidth="1"/>
    <col min="9226" max="9227" width="10.42578125" style="610" customWidth="1"/>
    <col min="9228" max="9228" width="10.28515625" style="610" customWidth="1"/>
    <col min="9229" max="9229" width="9.42578125" style="610" customWidth="1"/>
    <col min="9230" max="9230" width="8.7109375" style="610" customWidth="1"/>
    <col min="9231" max="9231" width="10.42578125" style="610" customWidth="1"/>
    <col min="9232" max="9232" width="10.28515625" style="610" customWidth="1"/>
    <col min="9233" max="9472" width="11.42578125" style="610"/>
    <col min="9473" max="9473" width="7" style="610" customWidth="1"/>
    <col min="9474" max="9474" width="10.7109375" style="610" customWidth="1"/>
    <col min="9475" max="9475" width="10.5703125" style="610" customWidth="1"/>
    <col min="9476" max="9476" width="10.7109375" style="610" customWidth="1"/>
    <col min="9477" max="9477" width="10.28515625" style="610" customWidth="1"/>
    <col min="9478" max="9478" width="10.7109375" style="610" customWidth="1"/>
    <col min="9479" max="9479" width="9.42578125" style="610" customWidth="1"/>
    <col min="9480" max="9480" width="10.5703125" style="610" customWidth="1"/>
    <col min="9481" max="9481" width="13.7109375" style="610" customWidth="1"/>
    <col min="9482" max="9483" width="10.42578125" style="610" customWidth="1"/>
    <col min="9484" max="9484" width="10.28515625" style="610" customWidth="1"/>
    <col min="9485" max="9485" width="9.42578125" style="610" customWidth="1"/>
    <col min="9486" max="9486" width="8.7109375" style="610" customWidth="1"/>
    <col min="9487" max="9487" width="10.42578125" style="610" customWidth="1"/>
    <col min="9488" max="9488" width="10.28515625" style="610" customWidth="1"/>
    <col min="9489" max="9728" width="11.42578125" style="610"/>
    <col min="9729" max="9729" width="7" style="610" customWidth="1"/>
    <col min="9730" max="9730" width="10.7109375" style="610" customWidth="1"/>
    <col min="9731" max="9731" width="10.5703125" style="610" customWidth="1"/>
    <col min="9732" max="9732" width="10.7109375" style="610" customWidth="1"/>
    <col min="9733" max="9733" width="10.28515625" style="610" customWidth="1"/>
    <col min="9734" max="9734" width="10.7109375" style="610" customWidth="1"/>
    <col min="9735" max="9735" width="9.42578125" style="610" customWidth="1"/>
    <col min="9736" max="9736" width="10.5703125" style="610" customWidth="1"/>
    <col min="9737" max="9737" width="13.7109375" style="610" customWidth="1"/>
    <col min="9738" max="9739" width="10.42578125" style="610" customWidth="1"/>
    <col min="9740" max="9740" width="10.28515625" style="610" customWidth="1"/>
    <col min="9741" max="9741" width="9.42578125" style="610" customWidth="1"/>
    <col min="9742" max="9742" width="8.7109375" style="610" customWidth="1"/>
    <col min="9743" max="9743" width="10.42578125" style="610" customWidth="1"/>
    <col min="9744" max="9744" width="10.28515625" style="610" customWidth="1"/>
    <col min="9745" max="9984" width="11.42578125" style="610"/>
    <col min="9985" max="9985" width="7" style="610" customWidth="1"/>
    <col min="9986" max="9986" width="10.7109375" style="610" customWidth="1"/>
    <col min="9987" max="9987" width="10.5703125" style="610" customWidth="1"/>
    <col min="9988" max="9988" width="10.7109375" style="610" customWidth="1"/>
    <col min="9989" max="9989" width="10.28515625" style="610" customWidth="1"/>
    <col min="9990" max="9990" width="10.7109375" style="610" customWidth="1"/>
    <col min="9991" max="9991" width="9.42578125" style="610" customWidth="1"/>
    <col min="9992" max="9992" width="10.5703125" style="610" customWidth="1"/>
    <col min="9993" max="9993" width="13.7109375" style="610" customWidth="1"/>
    <col min="9994" max="9995" width="10.42578125" style="610" customWidth="1"/>
    <col min="9996" max="9996" width="10.28515625" style="610" customWidth="1"/>
    <col min="9997" max="9997" width="9.42578125" style="610" customWidth="1"/>
    <col min="9998" max="9998" width="8.7109375" style="610" customWidth="1"/>
    <col min="9999" max="9999" width="10.42578125" style="610" customWidth="1"/>
    <col min="10000" max="10000" width="10.28515625" style="610" customWidth="1"/>
    <col min="10001" max="10240" width="11.42578125" style="610"/>
    <col min="10241" max="10241" width="7" style="610" customWidth="1"/>
    <col min="10242" max="10242" width="10.7109375" style="610" customWidth="1"/>
    <col min="10243" max="10243" width="10.5703125" style="610" customWidth="1"/>
    <col min="10244" max="10244" width="10.7109375" style="610" customWidth="1"/>
    <col min="10245" max="10245" width="10.28515625" style="610" customWidth="1"/>
    <col min="10246" max="10246" width="10.7109375" style="610" customWidth="1"/>
    <col min="10247" max="10247" width="9.42578125" style="610" customWidth="1"/>
    <col min="10248" max="10248" width="10.5703125" style="610" customWidth="1"/>
    <col min="10249" max="10249" width="13.7109375" style="610" customWidth="1"/>
    <col min="10250" max="10251" width="10.42578125" style="610" customWidth="1"/>
    <col min="10252" max="10252" width="10.28515625" style="610" customWidth="1"/>
    <col min="10253" max="10253" width="9.42578125" style="610" customWidth="1"/>
    <col min="10254" max="10254" width="8.7109375" style="610" customWidth="1"/>
    <col min="10255" max="10255" width="10.42578125" style="610" customWidth="1"/>
    <col min="10256" max="10256" width="10.28515625" style="610" customWidth="1"/>
    <col min="10257" max="10496" width="11.42578125" style="610"/>
    <col min="10497" max="10497" width="7" style="610" customWidth="1"/>
    <col min="10498" max="10498" width="10.7109375" style="610" customWidth="1"/>
    <col min="10499" max="10499" width="10.5703125" style="610" customWidth="1"/>
    <col min="10500" max="10500" width="10.7109375" style="610" customWidth="1"/>
    <col min="10501" max="10501" width="10.28515625" style="610" customWidth="1"/>
    <col min="10502" max="10502" width="10.7109375" style="610" customWidth="1"/>
    <col min="10503" max="10503" width="9.42578125" style="610" customWidth="1"/>
    <col min="10504" max="10504" width="10.5703125" style="610" customWidth="1"/>
    <col min="10505" max="10505" width="13.7109375" style="610" customWidth="1"/>
    <col min="10506" max="10507" width="10.42578125" style="610" customWidth="1"/>
    <col min="10508" max="10508" width="10.28515625" style="610" customWidth="1"/>
    <col min="10509" max="10509" width="9.42578125" style="610" customWidth="1"/>
    <col min="10510" max="10510" width="8.7109375" style="610" customWidth="1"/>
    <col min="10511" max="10511" width="10.42578125" style="610" customWidth="1"/>
    <col min="10512" max="10512" width="10.28515625" style="610" customWidth="1"/>
    <col min="10513" max="10752" width="11.42578125" style="610"/>
    <col min="10753" max="10753" width="7" style="610" customWidth="1"/>
    <col min="10754" max="10754" width="10.7109375" style="610" customWidth="1"/>
    <col min="10755" max="10755" width="10.5703125" style="610" customWidth="1"/>
    <col min="10756" max="10756" width="10.7109375" style="610" customWidth="1"/>
    <col min="10757" max="10757" width="10.28515625" style="610" customWidth="1"/>
    <col min="10758" max="10758" width="10.7109375" style="610" customWidth="1"/>
    <col min="10759" max="10759" width="9.42578125" style="610" customWidth="1"/>
    <col min="10760" max="10760" width="10.5703125" style="610" customWidth="1"/>
    <col min="10761" max="10761" width="13.7109375" style="610" customWidth="1"/>
    <col min="10762" max="10763" width="10.42578125" style="610" customWidth="1"/>
    <col min="10764" max="10764" width="10.28515625" style="610" customWidth="1"/>
    <col min="10765" max="10765" width="9.42578125" style="610" customWidth="1"/>
    <col min="10766" max="10766" width="8.7109375" style="610" customWidth="1"/>
    <col min="10767" max="10767" width="10.42578125" style="610" customWidth="1"/>
    <col min="10768" max="10768" width="10.28515625" style="610" customWidth="1"/>
    <col min="10769" max="11008" width="11.42578125" style="610"/>
    <col min="11009" max="11009" width="7" style="610" customWidth="1"/>
    <col min="11010" max="11010" width="10.7109375" style="610" customWidth="1"/>
    <col min="11011" max="11011" width="10.5703125" style="610" customWidth="1"/>
    <col min="11012" max="11012" width="10.7109375" style="610" customWidth="1"/>
    <col min="11013" max="11013" width="10.28515625" style="610" customWidth="1"/>
    <col min="11014" max="11014" width="10.7109375" style="610" customWidth="1"/>
    <col min="11015" max="11015" width="9.42578125" style="610" customWidth="1"/>
    <col min="11016" max="11016" width="10.5703125" style="610" customWidth="1"/>
    <col min="11017" max="11017" width="13.7109375" style="610" customWidth="1"/>
    <col min="11018" max="11019" width="10.42578125" style="610" customWidth="1"/>
    <col min="11020" max="11020" width="10.28515625" style="610" customWidth="1"/>
    <col min="11021" max="11021" width="9.42578125" style="610" customWidth="1"/>
    <col min="11022" max="11022" width="8.7109375" style="610" customWidth="1"/>
    <col min="11023" max="11023" width="10.42578125" style="610" customWidth="1"/>
    <col min="11024" max="11024" width="10.28515625" style="610" customWidth="1"/>
    <col min="11025" max="11264" width="11.42578125" style="610"/>
    <col min="11265" max="11265" width="7" style="610" customWidth="1"/>
    <col min="11266" max="11266" width="10.7109375" style="610" customWidth="1"/>
    <col min="11267" max="11267" width="10.5703125" style="610" customWidth="1"/>
    <col min="11268" max="11268" width="10.7109375" style="610" customWidth="1"/>
    <col min="11269" max="11269" width="10.28515625" style="610" customWidth="1"/>
    <col min="11270" max="11270" width="10.7109375" style="610" customWidth="1"/>
    <col min="11271" max="11271" width="9.42578125" style="610" customWidth="1"/>
    <col min="11272" max="11272" width="10.5703125" style="610" customWidth="1"/>
    <col min="11273" max="11273" width="13.7109375" style="610" customWidth="1"/>
    <col min="11274" max="11275" width="10.42578125" style="610" customWidth="1"/>
    <col min="11276" max="11276" width="10.28515625" style="610" customWidth="1"/>
    <col min="11277" max="11277" width="9.42578125" style="610" customWidth="1"/>
    <col min="11278" max="11278" width="8.7109375" style="610" customWidth="1"/>
    <col min="11279" max="11279" width="10.42578125" style="610" customWidth="1"/>
    <col min="11280" max="11280" width="10.28515625" style="610" customWidth="1"/>
    <col min="11281" max="11520" width="11.42578125" style="610"/>
    <col min="11521" max="11521" width="7" style="610" customWidth="1"/>
    <col min="11522" max="11522" width="10.7109375" style="610" customWidth="1"/>
    <col min="11523" max="11523" width="10.5703125" style="610" customWidth="1"/>
    <col min="11524" max="11524" width="10.7109375" style="610" customWidth="1"/>
    <col min="11525" max="11525" width="10.28515625" style="610" customWidth="1"/>
    <col min="11526" max="11526" width="10.7109375" style="610" customWidth="1"/>
    <col min="11527" max="11527" width="9.42578125" style="610" customWidth="1"/>
    <col min="11528" max="11528" width="10.5703125" style="610" customWidth="1"/>
    <col min="11529" max="11529" width="13.7109375" style="610" customWidth="1"/>
    <col min="11530" max="11531" width="10.42578125" style="610" customWidth="1"/>
    <col min="11532" max="11532" width="10.28515625" style="610" customWidth="1"/>
    <col min="11533" max="11533" width="9.42578125" style="610" customWidth="1"/>
    <col min="11534" max="11534" width="8.7109375" style="610" customWidth="1"/>
    <col min="11535" max="11535" width="10.42578125" style="610" customWidth="1"/>
    <col min="11536" max="11536" width="10.28515625" style="610" customWidth="1"/>
    <col min="11537" max="11776" width="11.42578125" style="610"/>
    <col min="11777" max="11777" width="7" style="610" customWidth="1"/>
    <col min="11778" max="11778" width="10.7109375" style="610" customWidth="1"/>
    <col min="11779" max="11779" width="10.5703125" style="610" customWidth="1"/>
    <col min="11780" max="11780" width="10.7109375" style="610" customWidth="1"/>
    <col min="11781" max="11781" width="10.28515625" style="610" customWidth="1"/>
    <col min="11782" max="11782" width="10.7109375" style="610" customWidth="1"/>
    <col min="11783" max="11783" width="9.42578125" style="610" customWidth="1"/>
    <col min="11784" max="11784" width="10.5703125" style="610" customWidth="1"/>
    <col min="11785" max="11785" width="13.7109375" style="610" customWidth="1"/>
    <col min="11786" max="11787" width="10.42578125" style="610" customWidth="1"/>
    <col min="11788" max="11788" width="10.28515625" style="610" customWidth="1"/>
    <col min="11789" max="11789" width="9.42578125" style="610" customWidth="1"/>
    <col min="11790" max="11790" width="8.7109375" style="610" customWidth="1"/>
    <col min="11791" max="11791" width="10.42578125" style="610" customWidth="1"/>
    <col min="11792" max="11792" width="10.28515625" style="610" customWidth="1"/>
    <col min="11793" max="12032" width="11.42578125" style="610"/>
    <col min="12033" max="12033" width="7" style="610" customWidth="1"/>
    <col min="12034" max="12034" width="10.7109375" style="610" customWidth="1"/>
    <col min="12035" max="12035" width="10.5703125" style="610" customWidth="1"/>
    <col min="12036" max="12036" width="10.7109375" style="610" customWidth="1"/>
    <col min="12037" max="12037" width="10.28515625" style="610" customWidth="1"/>
    <col min="12038" max="12038" width="10.7109375" style="610" customWidth="1"/>
    <col min="12039" max="12039" width="9.42578125" style="610" customWidth="1"/>
    <col min="12040" max="12040" width="10.5703125" style="610" customWidth="1"/>
    <col min="12041" max="12041" width="13.7109375" style="610" customWidth="1"/>
    <col min="12042" max="12043" width="10.42578125" style="610" customWidth="1"/>
    <col min="12044" max="12044" width="10.28515625" style="610" customWidth="1"/>
    <col min="12045" max="12045" width="9.42578125" style="610" customWidth="1"/>
    <col min="12046" max="12046" width="8.7109375" style="610" customWidth="1"/>
    <col min="12047" max="12047" width="10.42578125" style="610" customWidth="1"/>
    <col min="12048" max="12048" width="10.28515625" style="610" customWidth="1"/>
    <col min="12049" max="12288" width="11.42578125" style="610"/>
    <col min="12289" max="12289" width="7" style="610" customWidth="1"/>
    <col min="12290" max="12290" width="10.7109375" style="610" customWidth="1"/>
    <col min="12291" max="12291" width="10.5703125" style="610" customWidth="1"/>
    <col min="12292" max="12292" width="10.7109375" style="610" customWidth="1"/>
    <col min="12293" max="12293" width="10.28515625" style="610" customWidth="1"/>
    <col min="12294" max="12294" width="10.7109375" style="610" customWidth="1"/>
    <col min="12295" max="12295" width="9.42578125" style="610" customWidth="1"/>
    <col min="12296" max="12296" width="10.5703125" style="610" customWidth="1"/>
    <col min="12297" max="12297" width="13.7109375" style="610" customWidth="1"/>
    <col min="12298" max="12299" width="10.42578125" style="610" customWidth="1"/>
    <col min="12300" max="12300" width="10.28515625" style="610" customWidth="1"/>
    <col min="12301" max="12301" width="9.42578125" style="610" customWidth="1"/>
    <col min="12302" max="12302" width="8.7109375" style="610" customWidth="1"/>
    <col min="12303" max="12303" width="10.42578125" style="610" customWidth="1"/>
    <col min="12304" max="12304" width="10.28515625" style="610" customWidth="1"/>
    <col min="12305" max="12544" width="11.42578125" style="610"/>
    <col min="12545" max="12545" width="7" style="610" customWidth="1"/>
    <col min="12546" max="12546" width="10.7109375" style="610" customWidth="1"/>
    <col min="12547" max="12547" width="10.5703125" style="610" customWidth="1"/>
    <col min="12548" max="12548" width="10.7109375" style="610" customWidth="1"/>
    <col min="12549" max="12549" width="10.28515625" style="610" customWidth="1"/>
    <col min="12550" max="12550" width="10.7109375" style="610" customWidth="1"/>
    <col min="12551" max="12551" width="9.42578125" style="610" customWidth="1"/>
    <col min="12552" max="12552" width="10.5703125" style="610" customWidth="1"/>
    <col min="12553" max="12553" width="13.7109375" style="610" customWidth="1"/>
    <col min="12554" max="12555" width="10.42578125" style="610" customWidth="1"/>
    <col min="12556" max="12556" width="10.28515625" style="610" customWidth="1"/>
    <col min="12557" max="12557" width="9.42578125" style="610" customWidth="1"/>
    <col min="12558" max="12558" width="8.7109375" style="610" customWidth="1"/>
    <col min="12559" max="12559" width="10.42578125" style="610" customWidth="1"/>
    <col min="12560" max="12560" width="10.28515625" style="610" customWidth="1"/>
    <col min="12561" max="12800" width="11.42578125" style="610"/>
    <col min="12801" max="12801" width="7" style="610" customWidth="1"/>
    <col min="12802" max="12802" width="10.7109375" style="610" customWidth="1"/>
    <col min="12803" max="12803" width="10.5703125" style="610" customWidth="1"/>
    <col min="12804" max="12804" width="10.7109375" style="610" customWidth="1"/>
    <col min="12805" max="12805" width="10.28515625" style="610" customWidth="1"/>
    <col min="12806" max="12806" width="10.7109375" style="610" customWidth="1"/>
    <col min="12807" max="12807" width="9.42578125" style="610" customWidth="1"/>
    <col min="12808" max="12808" width="10.5703125" style="610" customWidth="1"/>
    <col min="12809" max="12809" width="13.7109375" style="610" customWidth="1"/>
    <col min="12810" max="12811" width="10.42578125" style="610" customWidth="1"/>
    <col min="12812" max="12812" width="10.28515625" style="610" customWidth="1"/>
    <col min="12813" max="12813" width="9.42578125" style="610" customWidth="1"/>
    <col min="12814" max="12814" width="8.7109375" style="610" customWidth="1"/>
    <col min="12815" max="12815" width="10.42578125" style="610" customWidth="1"/>
    <col min="12816" max="12816" width="10.28515625" style="610" customWidth="1"/>
    <col min="12817" max="13056" width="11.42578125" style="610"/>
    <col min="13057" max="13057" width="7" style="610" customWidth="1"/>
    <col min="13058" max="13058" width="10.7109375" style="610" customWidth="1"/>
    <col min="13059" max="13059" width="10.5703125" style="610" customWidth="1"/>
    <col min="13060" max="13060" width="10.7109375" style="610" customWidth="1"/>
    <col min="13061" max="13061" width="10.28515625" style="610" customWidth="1"/>
    <col min="13062" max="13062" width="10.7109375" style="610" customWidth="1"/>
    <col min="13063" max="13063" width="9.42578125" style="610" customWidth="1"/>
    <col min="13064" max="13064" width="10.5703125" style="610" customWidth="1"/>
    <col min="13065" max="13065" width="13.7109375" style="610" customWidth="1"/>
    <col min="13066" max="13067" width="10.42578125" style="610" customWidth="1"/>
    <col min="13068" max="13068" width="10.28515625" style="610" customWidth="1"/>
    <col min="13069" max="13069" width="9.42578125" style="610" customWidth="1"/>
    <col min="13070" max="13070" width="8.7109375" style="610" customWidth="1"/>
    <col min="13071" max="13071" width="10.42578125" style="610" customWidth="1"/>
    <col min="13072" max="13072" width="10.28515625" style="610" customWidth="1"/>
    <col min="13073" max="13312" width="11.42578125" style="610"/>
    <col min="13313" max="13313" width="7" style="610" customWidth="1"/>
    <col min="13314" max="13314" width="10.7109375" style="610" customWidth="1"/>
    <col min="13315" max="13315" width="10.5703125" style="610" customWidth="1"/>
    <col min="13316" max="13316" width="10.7109375" style="610" customWidth="1"/>
    <col min="13317" max="13317" width="10.28515625" style="610" customWidth="1"/>
    <col min="13318" max="13318" width="10.7109375" style="610" customWidth="1"/>
    <col min="13319" max="13319" width="9.42578125" style="610" customWidth="1"/>
    <col min="13320" max="13320" width="10.5703125" style="610" customWidth="1"/>
    <col min="13321" max="13321" width="13.7109375" style="610" customWidth="1"/>
    <col min="13322" max="13323" width="10.42578125" style="610" customWidth="1"/>
    <col min="13324" max="13324" width="10.28515625" style="610" customWidth="1"/>
    <col min="13325" max="13325" width="9.42578125" style="610" customWidth="1"/>
    <col min="13326" max="13326" width="8.7109375" style="610" customWidth="1"/>
    <col min="13327" max="13327" width="10.42578125" style="610" customWidth="1"/>
    <col min="13328" max="13328" width="10.28515625" style="610" customWidth="1"/>
    <col min="13329" max="13568" width="11.42578125" style="610"/>
    <col min="13569" max="13569" width="7" style="610" customWidth="1"/>
    <col min="13570" max="13570" width="10.7109375" style="610" customWidth="1"/>
    <col min="13571" max="13571" width="10.5703125" style="610" customWidth="1"/>
    <col min="13572" max="13572" width="10.7109375" style="610" customWidth="1"/>
    <col min="13573" max="13573" width="10.28515625" style="610" customWidth="1"/>
    <col min="13574" max="13574" width="10.7109375" style="610" customWidth="1"/>
    <col min="13575" max="13575" width="9.42578125" style="610" customWidth="1"/>
    <col min="13576" max="13576" width="10.5703125" style="610" customWidth="1"/>
    <col min="13577" max="13577" width="13.7109375" style="610" customWidth="1"/>
    <col min="13578" max="13579" width="10.42578125" style="610" customWidth="1"/>
    <col min="13580" max="13580" width="10.28515625" style="610" customWidth="1"/>
    <col min="13581" max="13581" width="9.42578125" style="610" customWidth="1"/>
    <col min="13582" max="13582" width="8.7109375" style="610" customWidth="1"/>
    <col min="13583" max="13583" width="10.42578125" style="610" customWidth="1"/>
    <col min="13584" max="13584" width="10.28515625" style="610" customWidth="1"/>
    <col min="13585" max="13824" width="11.42578125" style="610"/>
    <col min="13825" max="13825" width="7" style="610" customWidth="1"/>
    <col min="13826" max="13826" width="10.7109375" style="610" customWidth="1"/>
    <col min="13827" max="13827" width="10.5703125" style="610" customWidth="1"/>
    <col min="13828" max="13828" width="10.7109375" style="610" customWidth="1"/>
    <col min="13829" max="13829" width="10.28515625" style="610" customWidth="1"/>
    <col min="13830" max="13830" width="10.7109375" style="610" customWidth="1"/>
    <col min="13831" max="13831" width="9.42578125" style="610" customWidth="1"/>
    <col min="13832" max="13832" width="10.5703125" style="610" customWidth="1"/>
    <col min="13833" max="13833" width="13.7109375" style="610" customWidth="1"/>
    <col min="13834" max="13835" width="10.42578125" style="610" customWidth="1"/>
    <col min="13836" max="13836" width="10.28515625" style="610" customWidth="1"/>
    <col min="13837" max="13837" width="9.42578125" style="610" customWidth="1"/>
    <col min="13838" max="13838" width="8.7109375" style="610" customWidth="1"/>
    <col min="13839" max="13839" width="10.42578125" style="610" customWidth="1"/>
    <col min="13840" max="13840" width="10.28515625" style="610" customWidth="1"/>
    <col min="13841" max="14080" width="11.42578125" style="610"/>
    <col min="14081" max="14081" width="7" style="610" customWidth="1"/>
    <col min="14082" max="14082" width="10.7109375" style="610" customWidth="1"/>
    <col min="14083" max="14083" width="10.5703125" style="610" customWidth="1"/>
    <col min="14084" max="14084" width="10.7109375" style="610" customWidth="1"/>
    <col min="14085" max="14085" width="10.28515625" style="610" customWidth="1"/>
    <col min="14086" max="14086" width="10.7109375" style="610" customWidth="1"/>
    <col min="14087" max="14087" width="9.42578125" style="610" customWidth="1"/>
    <col min="14088" max="14088" width="10.5703125" style="610" customWidth="1"/>
    <col min="14089" max="14089" width="13.7109375" style="610" customWidth="1"/>
    <col min="14090" max="14091" width="10.42578125" style="610" customWidth="1"/>
    <col min="14092" max="14092" width="10.28515625" style="610" customWidth="1"/>
    <col min="14093" max="14093" width="9.42578125" style="610" customWidth="1"/>
    <col min="14094" max="14094" width="8.7109375" style="610" customWidth="1"/>
    <col min="14095" max="14095" width="10.42578125" style="610" customWidth="1"/>
    <col min="14096" max="14096" width="10.28515625" style="610" customWidth="1"/>
    <col min="14097" max="14336" width="11.42578125" style="610"/>
    <col min="14337" max="14337" width="7" style="610" customWidth="1"/>
    <col min="14338" max="14338" width="10.7109375" style="610" customWidth="1"/>
    <col min="14339" max="14339" width="10.5703125" style="610" customWidth="1"/>
    <col min="14340" max="14340" width="10.7109375" style="610" customWidth="1"/>
    <col min="14341" max="14341" width="10.28515625" style="610" customWidth="1"/>
    <col min="14342" max="14342" width="10.7109375" style="610" customWidth="1"/>
    <col min="14343" max="14343" width="9.42578125" style="610" customWidth="1"/>
    <col min="14344" max="14344" width="10.5703125" style="610" customWidth="1"/>
    <col min="14345" max="14345" width="13.7109375" style="610" customWidth="1"/>
    <col min="14346" max="14347" width="10.42578125" style="610" customWidth="1"/>
    <col min="14348" max="14348" width="10.28515625" style="610" customWidth="1"/>
    <col min="14349" max="14349" width="9.42578125" style="610" customWidth="1"/>
    <col min="14350" max="14350" width="8.7109375" style="610" customWidth="1"/>
    <col min="14351" max="14351" width="10.42578125" style="610" customWidth="1"/>
    <col min="14352" max="14352" width="10.28515625" style="610" customWidth="1"/>
    <col min="14353" max="14592" width="11.42578125" style="610"/>
    <col min="14593" max="14593" width="7" style="610" customWidth="1"/>
    <col min="14594" max="14594" width="10.7109375" style="610" customWidth="1"/>
    <col min="14595" max="14595" width="10.5703125" style="610" customWidth="1"/>
    <col min="14596" max="14596" width="10.7109375" style="610" customWidth="1"/>
    <col min="14597" max="14597" width="10.28515625" style="610" customWidth="1"/>
    <col min="14598" max="14598" width="10.7109375" style="610" customWidth="1"/>
    <col min="14599" max="14599" width="9.42578125" style="610" customWidth="1"/>
    <col min="14600" max="14600" width="10.5703125" style="610" customWidth="1"/>
    <col min="14601" max="14601" width="13.7109375" style="610" customWidth="1"/>
    <col min="14602" max="14603" width="10.42578125" style="610" customWidth="1"/>
    <col min="14604" max="14604" width="10.28515625" style="610" customWidth="1"/>
    <col min="14605" max="14605" width="9.42578125" style="610" customWidth="1"/>
    <col min="14606" max="14606" width="8.7109375" style="610" customWidth="1"/>
    <col min="14607" max="14607" width="10.42578125" style="610" customWidth="1"/>
    <col min="14608" max="14608" width="10.28515625" style="610" customWidth="1"/>
    <col min="14609" max="14848" width="11.42578125" style="610"/>
    <col min="14849" max="14849" width="7" style="610" customWidth="1"/>
    <col min="14850" max="14850" width="10.7109375" style="610" customWidth="1"/>
    <col min="14851" max="14851" width="10.5703125" style="610" customWidth="1"/>
    <col min="14852" max="14852" width="10.7109375" style="610" customWidth="1"/>
    <col min="14853" max="14853" width="10.28515625" style="610" customWidth="1"/>
    <col min="14854" max="14854" width="10.7109375" style="610" customWidth="1"/>
    <col min="14855" max="14855" width="9.42578125" style="610" customWidth="1"/>
    <col min="14856" max="14856" width="10.5703125" style="610" customWidth="1"/>
    <col min="14857" max="14857" width="13.7109375" style="610" customWidth="1"/>
    <col min="14858" max="14859" width="10.42578125" style="610" customWidth="1"/>
    <col min="14860" max="14860" width="10.28515625" style="610" customWidth="1"/>
    <col min="14861" max="14861" width="9.42578125" style="610" customWidth="1"/>
    <col min="14862" max="14862" width="8.7109375" style="610" customWidth="1"/>
    <col min="14863" max="14863" width="10.42578125" style="610" customWidth="1"/>
    <col min="14864" max="14864" width="10.28515625" style="610" customWidth="1"/>
    <col min="14865" max="15104" width="11.42578125" style="610"/>
    <col min="15105" max="15105" width="7" style="610" customWidth="1"/>
    <col min="15106" max="15106" width="10.7109375" style="610" customWidth="1"/>
    <col min="15107" max="15107" width="10.5703125" style="610" customWidth="1"/>
    <col min="15108" max="15108" width="10.7109375" style="610" customWidth="1"/>
    <col min="15109" max="15109" width="10.28515625" style="610" customWidth="1"/>
    <col min="15110" max="15110" width="10.7109375" style="610" customWidth="1"/>
    <col min="15111" max="15111" width="9.42578125" style="610" customWidth="1"/>
    <col min="15112" max="15112" width="10.5703125" style="610" customWidth="1"/>
    <col min="15113" max="15113" width="13.7109375" style="610" customWidth="1"/>
    <col min="15114" max="15115" width="10.42578125" style="610" customWidth="1"/>
    <col min="15116" max="15116" width="10.28515625" style="610" customWidth="1"/>
    <col min="15117" max="15117" width="9.42578125" style="610" customWidth="1"/>
    <col min="15118" max="15118" width="8.7109375" style="610" customWidth="1"/>
    <col min="15119" max="15119" width="10.42578125" style="610" customWidth="1"/>
    <col min="15120" max="15120" width="10.28515625" style="610" customWidth="1"/>
    <col min="15121" max="15360" width="11.42578125" style="610"/>
    <col min="15361" max="15361" width="7" style="610" customWidth="1"/>
    <col min="15362" max="15362" width="10.7109375" style="610" customWidth="1"/>
    <col min="15363" max="15363" width="10.5703125" style="610" customWidth="1"/>
    <col min="15364" max="15364" width="10.7109375" style="610" customWidth="1"/>
    <col min="15365" max="15365" width="10.28515625" style="610" customWidth="1"/>
    <col min="15366" max="15366" width="10.7109375" style="610" customWidth="1"/>
    <col min="15367" max="15367" width="9.42578125" style="610" customWidth="1"/>
    <col min="15368" max="15368" width="10.5703125" style="610" customWidth="1"/>
    <col min="15369" max="15369" width="13.7109375" style="610" customWidth="1"/>
    <col min="15370" max="15371" width="10.42578125" style="610" customWidth="1"/>
    <col min="15372" max="15372" width="10.28515625" style="610" customWidth="1"/>
    <col min="15373" max="15373" width="9.42578125" style="610" customWidth="1"/>
    <col min="15374" max="15374" width="8.7109375" style="610" customWidth="1"/>
    <col min="15375" max="15375" width="10.42578125" style="610" customWidth="1"/>
    <col min="15376" max="15376" width="10.28515625" style="610" customWidth="1"/>
    <col min="15377" max="15616" width="11.42578125" style="610"/>
    <col min="15617" max="15617" width="7" style="610" customWidth="1"/>
    <col min="15618" max="15618" width="10.7109375" style="610" customWidth="1"/>
    <col min="15619" max="15619" width="10.5703125" style="610" customWidth="1"/>
    <col min="15620" max="15620" width="10.7109375" style="610" customWidth="1"/>
    <col min="15621" max="15621" width="10.28515625" style="610" customWidth="1"/>
    <col min="15622" max="15622" width="10.7109375" style="610" customWidth="1"/>
    <col min="15623" max="15623" width="9.42578125" style="610" customWidth="1"/>
    <col min="15624" max="15624" width="10.5703125" style="610" customWidth="1"/>
    <col min="15625" max="15625" width="13.7109375" style="610" customWidth="1"/>
    <col min="15626" max="15627" width="10.42578125" style="610" customWidth="1"/>
    <col min="15628" max="15628" width="10.28515625" style="610" customWidth="1"/>
    <col min="15629" max="15629" width="9.42578125" style="610" customWidth="1"/>
    <col min="15630" max="15630" width="8.7109375" style="610" customWidth="1"/>
    <col min="15631" max="15631" width="10.42578125" style="610" customWidth="1"/>
    <col min="15632" max="15632" width="10.28515625" style="610" customWidth="1"/>
    <col min="15633" max="15872" width="11.42578125" style="610"/>
    <col min="15873" max="15873" width="7" style="610" customWidth="1"/>
    <col min="15874" max="15874" width="10.7109375" style="610" customWidth="1"/>
    <col min="15875" max="15875" width="10.5703125" style="610" customWidth="1"/>
    <col min="15876" max="15876" width="10.7109375" style="610" customWidth="1"/>
    <col min="15877" max="15877" width="10.28515625" style="610" customWidth="1"/>
    <col min="15878" max="15878" width="10.7109375" style="610" customWidth="1"/>
    <col min="15879" max="15879" width="9.42578125" style="610" customWidth="1"/>
    <col min="15880" max="15880" width="10.5703125" style="610" customWidth="1"/>
    <col min="15881" max="15881" width="13.7109375" style="610" customWidth="1"/>
    <col min="15882" max="15883" width="10.42578125" style="610" customWidth="1"/>
    <col min="15884" max="15884" width="10.28515625" style="610" customWidth="1"/>
    <col min="15885" max="15885" width="9.42578125" style="610" customWidth="1"/>
    <col min="15886" max="15886" width="8.7109375" style="610" customWidth="1"/>
    <col min="15887" max="15887" width="10.42578125" style="610" customWidth="1"/>
    <col min="15888" max="15888" width="10.28515625" style="610" customWidth="1"/>
    <col min="15889" max="16128" width="11.42578125" style="610"/>
    <col min="16129" max="16129" width="7" style="610" customWidth="1"/>
    <col min="16130" max="16130" width="10.7109375" style="610" customWidth="1"/>
    <col min="16131" max="16131" width="10.5703125" style="610" customWidth="1"/>
    <col min="16132" max="16132" width="10.7109375" style="610" customWidth="1"/>
    <col min="16133" max="16133" width="10.28515625" style="610" customWidth="1"/>
    <col min="16134" max="16134" width="10.7109375" style="610" customWidth="1"/>
    <col min="16135" max="16135" width="9.42578125" style="610" customWidth="1"/>
    <col min="16136" max="16136" width="10.5703125" style="610" customWidth="1"/>
    <col min="16137" max="16137" width="13.7109375" style="610" customWidth="1"/>
    <col min="16138" max="16139" width="10.42578125" style="610" customWidth="1"/>
    <col min="16140" max="16140" width="10.28515625" style="610" customWidth="1"/>
    <col min="16141" max="16141" width="9.42578125" style="610" customWidth="1"/>
    <col min="16142" max="16142" width="8.7109375" style="610" customWidth="1"/>
    <col min="16143" max="16143" width="10.42578125" style="610" customWidth="1"/>
    <col min="16144" max="16144" width="10.28515625" style="610" customWidth="1"/>
    <col min="16145" max="16384" width="11.42578125" style="610"/>
  </cols>
  <sheetData>
    <row r="1" spans="1:21" ht="15" customHeight="1" x14ac:dyDescent="0.2">
      <c r="A1" s="766" t="s">
        <v>1751</v>
      </c>
      <c r="B1" s="766"/>
      <c r="C1" s="766"/>
      <c r="D1" s="766"/>
      <c r="E1" s="766"/>
      <c r="F1" s="766"/>
      <c r="G1" s="766"/>
      <c r="H1" s="766"/>
      <c r="I1" s="766"/>
      <c r="J1" s="766"/>
      <c r="K1" s="766"/>
      <c r="L1" s="766"/>
      <c r="M1" s="766"/>
      <c r="N1" s="766"/>
      <c r="O1" s="766"/>
      <c r="P1" s="766"/>
    </row>
    <row r="2" spans="1:21" ht="15" customHeight="1" x14ac:dyDescent="0.2">
      <c r="A2" s="766" t="s">
        <v>1752</v>
      </c>
      <c r="B2" s="766"/>
      <c r="C2" s="766"/>
      <c r="D2" s="766"/>
      <c r="E2" s="766"/>
      <c r="F2" s="766" t="s">
        <v>1753</v>
      </c>
      <c r="G2" s="766"/>
      <c r="H2" s="766"/>
      <c r="I2" s="766"/>
      <c r="J2" s="766"/>
      <c r="K2" s="766"/>
      <c r="L2" s="766"/>
      <c r="M2" s="766"/>
      <c r="N2" s="766"/>
      <c r="O2" s="766"/>
      <c r="P2" s="766"/>
    </row>
    <row r="3" spans="1:21" ht="15" customHeight="1" x14ac:dyDescent="0.2">
      <c r="E3" s="611"/>
    </row>
    <row r="4" spans="1:21" ht="15" customHeight="1" x14ac:dyDescent="0.25">
      <c r="A4" s="767" t="s">
        <v>1754</v>
      </c>
      <c r="B4" s="767"/>
      <c r="C4" s="767"/>
      <c r="D4" s="767"/>
      <c r="E4" s="767"/>
      <c r="F4" s="611"/>
      <c r="K4" s="611"/>
      <c r="N4" s="611" t="s">
        <v>1755</v>
      </c>
      <c r="O4" s="612">
        <f>IF(HorasAmortizaciónEquipoCamión=0,0,ROUND(Valor_CamiónSolo*PorcentajeEquipoAmortizarCamión/HorasAmortizaciónEquipoCamión,3))</f>
        <v>0</v>
      </c>
    </row>
    <row r="5" spans="1:21" ht="15" customHeight="1" x14ac:dyDescent="0.2">
      <c r="A5" s="613"/>
      <c r="B5" s="613"/>
      <c r="C5" s="613"/>
      <c r="D5" s="613"/>
      <c r="E5" s="613"/>
      <c r="F5" s="611"/>
      <c r="K5" s="611"/>
      <c r="O5" s="614"/>
    </row>
    <row r="6" spans="1:21" ht="15" customHeight="1" x14ac:dyDescent="0.2">
      <c r="A6" s="682"/>
      <c r="B6" s="682"/>
      <c r="C6" s="682"/>
      <c r="D6" s="682"/>
      <c r="E6" s="682"/>
      <c r="F6" s="611"/>
      <c r="K6" s="611"/>
      <c r="O6" s="614"/>
      <c r="Q6" s="613"/>
      <c r="R6" s="613"/>
      <c r="S6" s="613"/>
      <c r="T6" s="613"/>
      <c r="U6" s="613"/>
    </row>
    <row r="7" spans="1:21" ht="15" customHeight="1" x14ac:dyDescent="0.2">
      <c r="A7" s="773" t="s">
        <v>1756</v>
      </c>
      <c r="B7" s="774"/>
      <c r="C7" s="774"/>
      <c r="D7" s="775"/>
      <c r="E7" s="660"/>
      <c r="F7" s="611"/>
      <c r="G7" s="615"/>
      <c r="H7" s="613"/>
      <c r="I7" s="768"/>
      <c r="J7" s="616"/>
      <c r="K7" s="617"/>
      <c r="N7" s="611" t="s">
        <v>1757</v>
      </c>
      <c r="O7" s="648">
        <f>ROUND(Valor_CamiónSolo*E10/4000,3)</f>
        <v>0</v>
      </c>
      <c r="Q7" s="615"/>
      <c r="R7" s="618"/>
      <c r="S7" s="769"/>
      <c r="T7" s="619"/>
      <c r="U7" s="616"/>
    </row>
    <row r="8" spans="1:21" ht="15" customHeight="1" x14ac:dyDescent="0.2">
      <c r="A8" s="773" t="s">
        <v>1758</v>
      </c>
      <c r="B8" s="774"/>
      <c r="C8" s="774"/>
      <c r="D8" s="775"/>
      <c r="E8" s="661"/>
      <c r="F8" s="611"/>
      <c r="G8" s="770"/>
      <c r="H8" s="770"/>
      <c r="I8" s="768"/>
      <c r="K8" s="611"/>
      <c r="O8" s="614"/>
      <c r="Q8" s="770"/>
      <c r="R8" s="770"/>
      <c r="S8" s="769"/>
      <c r="T8" s="613"/>
      <c r="U8" s="613"/>
    </row>
    <row r="9" spans="1:21" ht="15" customHeight="1" x14ac:dyDescent="0.2">
      <c r="A9" s="773" t="s">
        <v>1759</v>
      </c>
      <c r="B9" s="774"/>
      <c r="C9" s="774"/>
      <c r="D9" s="775"/>
      <c r="E9" s="662"/>
      <c r="F9" s="611"/>
      <c r="K9" s="611"/>
      <c r="O9" s="614"/>
    </row>
    <row r="10" spans="1:21" ht="15" customHeight="1" x14ac:dyDescent="0.2">
      <c r="A10" s="773" t="s">
        <v>1760</v>
      </c>
      <c r="B10" s="774"/>
      <c r="C10" s="774"/>
      <c r="D10" s="775"/>
      <c r="E10" s="662"/>
      <c r="F10" s="611"/>
      <c r="K10" s="611"/>
      <c r="N10" s="611" t="s">
        <v>1761</v>
      </c>
      <c r="O10" s="612">
        <f>ROUND(O4*Porcentaje_Reparaciones_Repuestos,3)</f>
        <v>0</v>
      </c>
      <c r="Q10" s="613"/>
      <c r="R10" s="613"/>
      <c r="S10" s="613"/>
      <c r="T10" s="613"/>
      <c r="U10" s="613"/>
    </row>
    <row r="11" spans="1:21" ht="15" customHeight="1" x14ac:dyDescent="0.2">
      <c r="A11" s="773" t="s">
        <v>1762</v>
      </c>
      <c r="B11" s="774"/>
      <c r="C11" s="774"/>
      <c r="D11" s="775"/>
      <c r="E11" s="662"/>
      <c r="F11" s="611"/>
      <c r="K11" s="611"/>
      <c r="O11" s="614"/>
      <c r="Q11" s="613"/>
      <c r="R11" s="613"/>
      <c r="S11" s="613"/>
      <c r="T11" s="613"/>
      <c r="U11" s="613"/>
    </row>
    <row r="12" spans="1:21" ht="15" customHeight="1" x14ac:dyDescent="0.2">
      <c r="A12" s="773" t="s">
        <v>1763</v>
      </c>
      <c r="B12" s="774"/>
      <c r="C12" s="774"/>
      <c r="D12" s="775"/>
      <c r="E12" s="662"/>
      <c r="F12" s="611"/>
      <c r="K12" s="611"/>
      <c r="O12" s="614"/>
      <c r="Q12" s="613"/>
      <c r="R12" s="613"/>
      <c r="S12" s="613"/>
      <c r="T12" s="613"/>
      <c r="U12" s="613"/>
    </row>
    <row r="13" spans="1:21" ht="15" customHeight="1" x14ac:dyDescent="0.2">
      <c r="A13" s="773" t="s">
        <v>1764</v>
      </c>
      <c r="B13" s="774"/>
      <c r="C13" s="774"/>
      <c r="D13" s="775"/>
      <c r="E13" s="661"/>
      <c r="F13" s="611"/>
      <c r="G13" s="613"/>
      <c r="H13" s="613"/>
      <c r="I13" s="613"/>
      <c r="J13" s="613"/>
      <c r="K13" s="620"/>
      <c r="N13" s="611" t="s">
        <v>1765</v>
      </c>
      <c r="O13" s="612">
        <f>ROUND(Tiempo_lavado_en_horas*Mano_Obra_Lavado*Cantidad_lavado_al_mes*12/2000,3)</f>
        <v>0</v>
      </c>
      <c r="Q13" s="613"/>
      <c r="R13" s="613"/>
      <c r="S13" s="613"/>
      <c r="T13" s="613"/>
      <c r="U13" s="613"/>
    </row>
    <row r="14" spans="1:21" ht="15" customHeight="1" x14ac:dyDescent="0.2">
      <c r="A14" s="773" t="s">
        <v>1766</v>
      </c>
      <c r="B14" s="774"/>
      <c r="C14" s="774"/>
      <c r="D14" s="775"/>
      <c r="E14" s="663"/>
      <c r="F14" s="611"/>
      <c r="G14" s="613"/>
      <c r="H14" s="613"/>
      <c r="I14" s="613"/>
      <c r="J14" s="613"/>
      <c r="K14" s="620"/>
      <c r="O14" s="614"/>
      <c r="Q14" s="613"/>
      <c r="R14" s="613"/>
      <c r="S14" s="613"/>
      <c r="T14" s="613"/>
      <c r="U14" s="613"/>
    </row>
    <row r="15" spans="1:21" ht="15" customHeight="1" x14ac:dyDescent="0.2">
      <c r="A15" s="773" t="s">
        <v>1767</v>
      </c>
      <c r="B15" s="774"/>
      <c r="C15" s="774"/>
      <c r="D15" s="775"/>
      <c r="E15" s="664"/>
      <c r="F15" s="611"/>
      <c r="G15" s="615"/>
      <c r="H15" s="613"/>
      <c r="I15" s="769"/>
      <c r="J15" s="616"/>
      <c r="K15" s="621"/>
      <c r="O15" s="614"/>
      <c r="Q15" s="622"/>
      <c r="R15" s="623"/>
      <c r="S15" s="769"/>
      <c r="T15" s="619"/>
      <c r="U15" s="624"/>
    </row>
    <row r="16" spans="1:21" ht="15" customHeight="1" x14ac:dyDescent="0.2">
      <c r="A16" s="773" t="s">
        <v>1768</v>
      </c>
      <c r="B16" s="774"/>
      <c r="C16" s="774"/>
      <c r="D16" s="775"/>
      <c r="E16" s="665"/>
      <c r="F16" s="611"/>
      <c r="G16" s="770"/>
      <c r="H16" s="770"/>
      <c r="I16" s="769"/>
      <c r="J16" s="613"/>
      <c r="K16" s="620"/>
      <c r="N16" s="611" t="s">
        <v>1769</v>
      </c>
      <c r="O16" s="612">
        <f>ROUND(Valor_CamiónSolo*PorSegurosPatentesImpustoCamión/2000,3)</f>
        <v>0</v>
      </c>
      <c r="Q16" s="771"/>
      <c r="R16" s="771"/>
      <c r="S16" s="769"/>
      <c r="T16" s="613"/>
      <c r="U16" s="613"/>
    </row>
    <row r="17" spans="1:21" ht="15" customHeight="1" x14ac:dyDescent="0.2">
      <c r="A17" s="773" t="s">
        <v>1770</v>
      </c>
      <c r="B17" s="774"/>
      <c r="C17" s="774"/>
      <c r="D17" s="775"/>
      <c r="E17" s="666"/>
      <c r="F17" s="611"/>
      <c r="K17" s="611"/>
      <c r="O17" s="614"/>
    </row>
    <row r="18" spans="1:21" ht="15" customHeight="1" x14ac:dyDescent="0.2">
      <c r="A18" s="773" t="s">
        <v>1771</v>
      </c>
      <c r="B18" s="774"/>
      <c r="C18" s="774"/>
      <c r="D18" s="775"/>
      <c r="E18" s="667"/>
      <c r="F18" s="611"/>
      <c r="K18" s="611"/>
      <c r="O18" s="614"/>
    </row>
    <row r="19" spans="1:21" ht="15" customHeight="1" x14ac:dyDescent="0.2">
      <c r="A19" s="773" t="s">
        <v>1772</v>
      </c>
      <c r="B19" s="774"/>
      <c r="C19" s="774"/>
      <c r="D19" s="775"/>
      <c r="E19" s="668"/>
      <c r="F19" s="611"/>
      <c r="G19" s="615"/>
      <c r="H19" s="613"/>
      <c r="I19" s="613"/>
      <c r="J19" s="616"/>
      <c r="K19" s="621"/>
      <c r="N19" s="611" t="s">
        <v>1773</v>
      </c>
      <c r="O19" s="612">
        <f>IF(V_Ul_cámara_cubiertas_CamiónSolo=0,0,ROUND(Cantidad_camaras_cubiertas*Valor_cámara_cubiertas_CamiónSolo/V_Ul_cámara_cubiertas_CamiónSolo,3))</f>
        <v>0</v>
      </c>
      <c r="Q19" s="625"/>
      <c r="R19" s="626"/>
      <c r="S19" s="627"/>
      <c r="T19" s="628"/>
      <c r="U19" s="629"/>
    </row>
    <row r="20" spans="1:21" ht="15" customHeight="1" x14ac:dyDescent="0.2">
      <c r="A20" s="773" t="s">
        <v>1774</v>
      </c>
      <c r="B20" s="774"/>
      <c r="C20" s="774"/>
      <c r="D20" s="775"/>
      <c r="E20" s="662"/>
      <c r="F20" s="611"/>
      <c r="G20" s="770"/>
      <c r="H20" s="770"/>
      <c r="I20" s="613"/>
      <c r="J20" s="613"/>
      <c r="K20" s="620"/>
      <c r="O20" s="614"/>
    </row>
    <row r="21" spans="1:21" ht="15" customHeight="1" x14ac:dyDescent="0.2">
      <c r="A21" s="773" t="s">
        <v>1825</v>
      </c>
      <c r="B21" s="774"/>
      <c r="C21" s="774"/>
      <c r="D21" s="775" t="s">
        <v>1775</v>
      </c>
      <c r="E21" s="669"/>
      <c r="G21" s="781"/>
      <c r="H21" s="781"/>
      <c r="I21" s="781"/>
      <c r="K21" s="611"/>
      <c r="O21" s="614"/>
    </row>
    <row r="22" spans="1:21" ht="15" customHeight="1" x14ac:dyDescent="0.2">
      <c r="A22" s="773" t="s">
        <v>1826</v>
      </c>
      <c r="B22" s="774"/>
      <c r="C22" s="774"/>
      <c r="D22" s="775" t="s">
        <v>1776</v>
      </c>
      <c r="E22" s="670"/>
      <c r="G22" s="613"/>
      <c r="H22" s="613"/>
      <c r="I22" s="613"/>
      <c r="J22" s="613"/>
      <c r="K22" s="620"/>
      <c r="N22" s="611" t="s">
        <v>1777</v>
      </c>
      <c r="O22" s="612">
        <f>ROUND(Consumo_gasoil_CamiónSolo_porkm*Costo_gasoil*(1+Porcentaje_Lubricantes),3)</f>
        <v>0</v>
      </c>
    </row>
    <row r="23" spans="1:21" ht="15" customHeight="1" x14ac:dyDescent="0.25">
      <c r="A23" s="683"/>
      <c r="B23" s="683"/>
      <c r="C23" s="683"/>
      <c r="D23" s="683"/>
      <c r="E23" s="683"/>
      <c r="G23" s="630"/>
      <c r="H23" s="631"/>
      <c r="I23" s="632"/>
      <c r="J23" s="633"/>
      <c r="K23" s="621"/>
    </row>
    <row r="24" spans="1:21" ht="15" customHeight="1" x14ac:dyDescent="0.2">
      <c r="A24" s="613"/>
      <c r="B24" s="613"/>
      <c r="C24" s="613"/>
      <c r="D24" s="613"/>
      <c r="E24" s="613"/>
      <c r="F24" s="613"/>
      <c r="G24" s="613"/>
      <c r="H24" s="613"/>
      <c r="I24" s="613"/>
      <c r="J24" s="613"/>
      <c r="K24" s="613"/>
      <c r="L24" s="613"/>
      <c r="M24" s="613"/>
      <c r="N24" s="613"/>
      <c r="O24" s="613"/>
      <c r="P24" s="613"/>
    </row>
    <row r="25" spans="1:21" ht="15" customHeight="1" x14ac:dyDescent="0.2">
      <c r="A25" s="777" t="s">
        <v>1778</v>
      </c>
      <c r="B25" s="777"/>
      <c r="C25" s="777"/>
      <c r="D25" s="777"/>
      <c r="E25" s="777"/>
      <c r="F25" s="777"/>
      <c r="G25" s="777"/>
      <c r="H25" s="778" t="s">
        <v>1779</v>
      </c>
      <c r="I25" s="778"/>
      <c r="J25" s="778"/>
      <c r="K25" s="778"/>
      <c r="L25" s="778"/>
      <c r="M25" s="778"/>
      <c r="N25" s="778"/>
      <c r="O25" s="778"/>
      <c r="P25" s="779" t="s">
        <v>1780</v>
      </c>
    </row>
    <row r="26" spans="1:21" ht="15" customHeight="1" x14ac:dyDescent="0.2">
      <c r="A26" s="634" t="s">
        <v>1781</v>
      </c>
      <c r="B26" s="634" t="s">
        <v>1782</v>
      </c>
      <c r="C26" s="634" t="s">
        <v>1783</v>
      </c>
      <c r="D26" s="634" t="s">
        <v>1784</v>
      </c>
      <c r="E26" s="634" t="s">
        <v>1785</v>
      </c>
      <c r="F26" s="634" t="s">
        <v>1040</v>
      </c>
      <c r="G26" s="634" t="s">
        <v>1786</v>
      </c>
      <c r="H26" s="780" t="s">
        <v>1711</v>
      </c>
      <c r="I26" s="780" t="s">
        <v>1787</v>
      </c>
      <c r="J26" s="634" t="s">
        <v>1788</v>
      </c>
      <c r="K26" s="634" t="s">
        <v>1789</v>
      </c>
      <c r="L26" s="634" t="s">
        <v>1790</v>
      </c>
      <c r="M26" s="634" t="s">
        <v>1791</v>
      </c>
      <c r="N26" s="634" t="s">
        <v>1792</v>
      </c>
      <c r="O26" s="635" t="s">
        <v>1793</v>
      </c>
      <c r="P26" s="779"/>
    </row>
    <row r="27" spans="1:21" ht="15" customHeight="1" x14ac:dyDescent="0.2">
      <c r="A27" s="634" t="s">
        <v>1794</v>
      </c>
      <c r="B27" s="634" t="s">
        <v>1795</v>
      </c>
      <c r="C27" s="634" t="s">
        <v>1796</v>
      </c>
      <c r="D27" s="634" t="s">
        <v>1797</v>
      </c>
      <c r="E27" s="634" t="s">
        <v>1798</v>
      </c>
      <c r="F27" s="634" t="s">
        <v>1799</v>
      </c>
      <c r="G27" s="634" t="s">
        <v>1800</v>
      </c>
      <c r="H27" s="780"/>
      <c r="I27" s="780"/>
      <c r="J27" s="634" t="s">
        <v>1801</v>
      </c>
      <c r="K27" s="634" t="s">
        <v>1802</v>
      </c>
      <c r="L27" s="634" t="s">
        <v>1803</v>
      </c>
      <c r="M27" s="634" t="s">
        <v>1804</v>
      </c>
      <c r="N27" s="634" t="s">
        <v>1805</v>
      </c>
      <c r="O27" s="635" t="s">
        <v>1806</v>
      </c>
      <c r="P27" s="779"/>
    </row>
    <row r="28" spans="1:21" ht="15" customHeight="1" x14ac:dyDescent="0.2">
      <c r="A28" s="776" t="s">
        <v>1807</v>
      </c>
      <c r="B28" s="776" t="s">
        <v>1808</v>
      </c>
      <c r="C28" s="776" t="s">
        <v>1809</v>
      </c>
      <c r="D28" s="776" t="s">
        <v>1810</v>
      </c>
      <c r="E28" s="776" t="s">
        <v>1811</v>
      </c>
      <c r="F28" s="776" t="s">
        <v>1812</v>
      </c>
      <c r="G28" s="776" t="s">
        <v>1813</v>
      </c>
      <c r="H28" s="776" t="s">
        <v>1814</v>
      </c>
      <c r="I28" s="776" t="s">
        <v>1815</v>
      </c>
      <c r="J28" s="776" t="s">
        <v>1816</v>
      </c>
      <c r="K28" s="776" t="s">
        <v>1817</v>
      </c>
      <c r="L28" s="776" t="s">
        <v>1818</v>
      </c>
      <c r="M28" s="776" t="s">
        <v>1819</v>
      </c>
      <c r="N28" s="776" t="s">
        <v>1820</v>
      </c>
      <c r="O28" s="776" t="s">
        <v>1821</v>
      </c>
      <c r="P28" s="772" t="s">
        <v>1822</v>
      </c>
    </row>
    <row r="29" spans="1:21" ht="15" customHeight="1" x14ac:dyDescent="0.2">
      <c r="A29" s="776"/>
      <c r="B29" s="776"/>
      <c r="C29" s="776"/>
      <c r="D29" s="776"/>
      <c r="E29" s="776"/>
      <c r="F29" s="776"/>
      <c r="G29" s="776"/>
      <c r="H29" s="776"/>
      <c r="I29" s="776"/>
      <c r="J29" s="776"/>
      <c r="K29" s="776"/>
      <c r="L29" s="776"/>
      <c r="M29" s="776"/>
      <c r="N29" s="776"/>
      <c r="O29" s="776"/>
      <c r="P29" s="772"/>
    </row>
    <row r="30" spans="1:21" ht="15" customHeight="1" x14ac:dyDescent="0.2">
      <c r="A30" s="636">
        <v>1</v>
      </c>
      <c r="B30" s="637"/>
      <c r="C30" s="638">
        <f>IF(B30=0,0,(2*A30*60)/B30)</f>
        <v>0</v>
      </c>
      <c r="D30" s="639"/>
      <c r="E30" s="638">
        <f t="shared" ref="E30:E64" si="0">+C30+D30</f>
        <v>0</v>
      </c>
      <c r="F30" s="640"/>
      <c r="G30" s="641">
        <f t="shared" ref="G30:G64" si="1">+A30*2</f>
        <v>2</v>
      </c>
      <c r="H30" s="642">
        <f t="shared" ref="H30:H64" si="2">A*(E30/60)</f>
        <v>0</v>
      </c>
      <c r="I30" s="642">
        <f t="shared" ref="I30:I38" si="3">B*(E30/60)</f>
        <v>0</v>
      </c>
      <c r="J30" s="642">
        <f t="shared" ref="J30:J38" si="4">C_*(C30/60)</f>
        <v>0</v>
      </c>
      <c r="K30" s="642">
        <f t="shared" ref="K30:K38" si="5">D*(E30/60)</f>
        <v>0</v>
      </c>
      <c r="L30" s="642">
        <f t="shared" ref="L30:L38" si="6">E*(E30/60)</f>
        <v>0</v>
      </c>
      <c r="M30" s="642">
        <f t="shared" ref="M30:M38" si="7">+G30*F_</f>
        <v>0</v>
      </c>
      <c r="N30" s="642">
        <f t="shared" ref="N30:N38" si="8">Mano_Obra_Lavado*(E30/60)</f>
        <v>0</v>
      </c>
      <c r="O30" s="642">
        <f t="shared" ref="O30:O38" si="9">+G30*G</f>
        <v>0</v>
      </c>
      <c r="P30" s="643">
        <f>IF(F30=0,0,ROUND(SUM(H30:O30)/F30,3))</f>
        <v>0</v>
      </c>
      <c r="R30" s="644"/>
    </row>
    <row r="31" spans="1:21" ht="15" customHeight="1" x14ac:dyDescent="0.2">
      <c r="A31" s="636">
        <v>1.5</v>
      </c>
      <c r="B31" s="637"/>
      <c r="C31" s="638">
        <f t="shared" ref="C31:C64" si="10">IF(B31=0,0,(2*A31*60)/B31)</f>
        <v>0</v>
      </c>
      <c r="D31" s="639"/>
      <c r="E31" s="638">
        <f t="shared" si="0"/>
        <v>0</v>
      </c>
      <c r="F31" s="640"/>
      <c r="G31" s="641">
        <f t="shared" si="1"/>
        <v>3</v>
      </c>
      <c r="H31" s="642">
        <f t="shared" si="2"/>
        <v>0</v>
      </c>
      <c r="I31" s="642">
        <f t="shared" si="3"/>
        <v>0</v>
      </c>
      <c r="J31" s="642">
        <f t="shared" si="4"/>
        <v>0</v>
      </c>
      <c r="K31" s="642">
        <f t="shared" si="5"/>
        <v>0</v>
      </c>
      <c r="L31" s="642">
        <f t="shared" si="6"/>
        <v>0</v>
      </c>
      <c r="M31" s="642">
        <f t="shared" si="7"/>
        <v>0</v>
      </c>
      <c r="N31" s="642">
        <f t="shared" si="8"/>
        <v>0</v>
      </c>
      <c r="O31" s="642">
        <f t="shared" si="9"/>
        <v>0</v>
      </c>
      <c r="P31" s="643">
        <f t="shared" ref="P31:P64" si="11">IF(F31=0,0,ROUND(SUM(H31:O31)/F31,3))</f>
        <v>0</v>
      </c>
      <c r="R31" s="644"/>
    </row>
    <row r="32" spans="1:21" ht="15" customHeight="1" x14ac:dyDescent="0.2">
      <c r="A32" s="636">
        <v>2</v>
      </c>
      <c r="B32" s="637"/>
      <c r="C32" s="638">
        <f t="shared" si="10"/>
        <v>0</v>
      </c>
      <c r="D32" s="639"/>
      <c r="E32" s="638">
        <f t="shared" si="0"/>
        <v>0</v>
      </c>
      <c r="F32" s="640"/>
      <c r="G32" s="641">
        <f t="shared" si="1"/>
        <v>4</v>
      </c>
      <c r="H32" s="642">
        <f t="shared" si="2"/>
        <v>0</v>
      </c>
      <c r="I32" s="642">
        <f t="shared" si="3"/>
        <v>0</v>
      </c>
      <c r="J32" s="642">
        <f t="shared" si="4"/>
        <v>0</v>
      </c>
      <c r="K32" s="642">
        <f t="shared" si="5"/>
        <v>0</v>
      </c>
      <c r="L32" s="642">
        <f t="shared" si="6"/>
        <v>0</v>
      </c>
      <c r="M32" s="642">
        <f t="shared" si="7"/>
        <v>0</v>
      </c>
      <c r="N32" s="642">
        <f t="shared" si="8"/>
        <v>0</v>
      </c>
      <c r="O32" s="642">
        <f t="shared" si="9"/>
        <v>0</v>
      </c>
      <c r="P32" s="643">
        <f t="shared" si="11"/>
        <v>0</v>
      </c>
      <c r="R32" s="644"/>
    </row>
    <row r="33" spans="1:18" ht="15" customHeight="1" x14ac:dyDescent="0.2">
      <c r="A33" s="636">
        <v>2.5</v>
      </c>
      <c r="B33" s="637"/>
      <c r="C33" s="638">
        <f t="shared" si="10"/>
        <v>0</v>
      </c>
      <c r="D33" s="639"/>
      <c r="E33" s="638">
        <f t="shared" si="0"/>
        <v>0</v>
      </c>
      <c r="F33" s="640"/>
      <c r="G33" s="641">
        <f t="shared" si="1"/>
        <v>5</v>
      </c>
      <c r="H33" s="642">
        <f t="shared" si="2"/>
        <v>0</v>
      </c>
      <c r="I33" s="642">
        <f t="shared" si="3"/>
        <v>0</v>
      </c>
      <c r="J33" s="642">
        <f t="shared" si="4"/>
        <v>0</v>
      </c>
      <c r="K33" s="642">
        <f t="shared" si="5"/>
        <v>0</v>
      </c>
      <c r="L33" s="642">
        <f t="shared" si="6"/>
        <v>0</v>
      </c>
      <c r="M33" s="642">
        <f t="shared" si="7"/>
        <v>0</v>
      </c>
      <c r="N33" s="642">
        <f t="shared" si="8"/>
        <v>0</v>
      </c>
      <c r="O33" s="642">
        <f t="shared" si="9"/>
        <v>0</v>
      </c>
      <c r="P33" s="643">
        <f t="shared" si="11"/>
        <v>0</v>
      </c>
      <c r="R33" s="644"/>
    </row>
    <row r="34" spans="1:18" ht="15" customHeight="1" x14ac:dyDescent="0.2">
      <c r="A34" s="636">
        <v>3</v>
      </c>
      <c r="B34" s="637"/>
      <c r="C34" s="638">
        <f t="shared" si="10"/>
        <v>0</v>
      </c>
      <c r="D34" s="639"/>
      <c r="E34" s="638">
        <f t="shared" si="0"/>
        <v>0</v>
      </c>
      <c r="F34" s="640"/>
      <c r="G34" s="641">
        <f t="shared" si="1"/>
        <v>6</v>
      </c>
      <c r="H34" s="642">
        <f t="shared" si="2"/>
        <v>0</v>
      </c>
      <c r="I34" s="642">
        <f t="shared" si="3"/>
        <v>0</v>
      </c>
      <c r="J34" s="642">
        <f t="shared" si="4"/>
        <v>0</v>
      </c>
      <c r="K34" s="642">
        <f t="shared" si="5"/>
        <v>0</v>
      </c>
      <c r="L34" s="642">
        <f t="shared" si="6"/>
        <v>0</v>
      </c>
      <c r="M34" s="642">
        <f t="shared" si="7"/>
        <v>0</v>
      </c>
      <c r="N34" s="642">
        <f t="shared" si="8"/>
        <v>0</v>
      </c>
      <c r="O34" s="642">
        <f t="shared" si="9"/>
        <v>0</v>
      </c>
      <c r="P34" s="643">
        <f t="shared" si="11"/>
        <v>0</v>
      </c>
      <c r="R34" s="644"/>
    </row>
    <row r="35" spans="1:18" ht="15" customHeight="1" x14ac:dyDescent="0.2">
      <c r="A35" s="636">
        <v>3.5</v>
      </c>
      <c r="B35" s="637"/>
      <c r="C35" s="638">
        <f t="shared" si="10"/>
        <v>0</v>
      </c>
      <c r="D35" s="639"/>
      <c r="E35" s="638">
        <f t="shared" si="0"/>
        <v>0</v>
      </c>
      <c r="F35" s="640"/>
      <c r="G35" s="641">
        <f t="shared" si="1"/>
        <v>7</v>
      </c>
      <c r="H35" s="642">
        <f t="shared" si="2"/>
        <v>0</v>
      </c>
      <c r="I35" s="642">
        <f t="shared" si="3"/>
        <v>0</v>
      </c>
      <c r="J35" s="642">
        <f t="shared" si="4"/>
        <v>0</v>
      </c>
      <c r="K35" s="642">
        <f t="shared" si="5"/>
        <v>0</v>
      </c>
      <c r="L35" s="642">
        <f t="shared" si="6"/>
        <v>0</v>
      </c>
      <c r="M35" s="642">
        <f t="shared" si="7"/>
        <v>0</v>
      </c>
      <c r="N35" s="642">
        <f t="shared" si="8"/>
        <v>0</v>
      </c>
      <c r="O35" s="642">
        <f t="shared" si="9"/>
        <v>0</v>
      </c>
      <c r="P35" s="643">
        <f t="shared" si="11"/>
        <v>0</v>
      </c>
      <c r="R35" s="644"/>
    </row>
    <row r="36" spans="1:18" ht="15" customHeight="1" x14ac:dyDescent="0.2">
      <c r="A36" s="636">
        <v>4</v>
      </c>
      <c r="B36" s="637"/>
      <c r="C36" s="638">
        <f t="shared" si="10"/>
        <v>0</v>
      </c>
      <c r="D36" s="639"/>
      <c r="E36" s="638">
        <f t="shared" si="0"/>
        <v>0</v>
      </c>
      <c r="F36" s="640"/>
      <c r="G36" s="641">
        <f t="shared" si="1"/>
        <v>8</v>
      </c>
      <c r="H36" s="642">
        <f t="shared" si="2"/>
        <v>0</v>
      </c>
      <c r="I36" s="642">
        <f t="shared" si="3"/>
        <v>0</v>
      </c>
      <c r="J36" s="642">
        <f t="shared" si="4"/>
        <v>0</v>
      </c>
      <c r="K36" s="642">
        <f t="shared" si="5"/>
        <v>0</v>
      </c>
      <c r="L36" s="642">
        <f t="shared" si="6"/>
        <v>0</v>
      </c>
      <c r="M36" s="642">
        <f t="shared" si="7"/>
        <v>0</v>
      </c>
      <c r="N36" s="642">
        <f t="shared" si="8"/>
        <v>0</v>
      </c>
      <c r="O36" s="642">
        <f t="shared" si="9"/>
        <v>0</v>
      </c>
      <c r="P36" s="643">
        <f t="shared" si="11"/>
        <v>0</v>
      </c>
      <c r="R36" s="644"/>
    </row>
    <row r="37" spans="1:18" ht="15" customHeight="1" x14ac:dyDescent="0.2">
      <c r="A37" s="636">
        <v>4.5</v>
      </c>
      <c r="B37" s="637"/>
      <c r="C37" s="638">
        <f t="shared" si="10"/>
        <v>0</v>
      </c>
      <c r="D37" s="639"/>
      <c r="E37" s="638">
        <f t="shared" si="0"/>
        <v>0</v>
      </c>
      <c r="F37" s="640"/>
      <c r="G37" s="641">
        <f t="shared" si="1"/>
        <v>9</v>
      </c>
      <c r="H37" s="642">
        <f t="shared" si="2"/>
        <v>0</v>
      </c>
      <c r="I37" s="642">
        <f t="shared" si="3"/>
        <v>0</v>
      </c>
      <c r="J37" s="642">
        <f t="shared" si="4"/>
        <v>0</v>
      </c>
      <c r="K37" s="642">
        <f t="shared" si="5"/>
        <v>0</v>
      </c>
      <c r="L37" s="642">
        <f t="shared" si="6"/>
        <v>0</v>
      </c>
      <c r="M37" s="642">
        <f t="shared" si="7"/>
        <v>0</v>
      </c>
      <c r="N37" s="642">
        <f t="shared" si="8"/>
        <v>0</v>
      </c>
      <c r="O37" s="642">
        <f t="shared" si="9"/>
        <v>0</v>
      </c>
      <c r="P37" s="643">
        <f t="shared" si="11"/>
        <v>0</v>
      </c>
      <c r="R37" s="644"/>
    </row>
    <row r="38" spans="1:18" ht="15" customHeight="1" x14ac:dyDescent="0.2">
      <c r="A38" s="636">
        <v>5</v>
      </c>
      <c r="B38" s="637"/>
      <c r="C38" s="638">
        <f t="shared" si="10"/>
        <v>0</v>
      </c>
      <c r="D38" s="639"/>
      <c r="E38" s="638">
        <f t="shared" si="0"/>
        <v>0</v>
      </c>
      <c r="F38" s="640"/>
      <c r="G38" s="641">
        <f t="shared" si="1"/>
        <v>10</v>
      </c>
      <c r="H38" s="642">
        <f t="shared" si="2"/>
        <v>0</v>
      </c>
      <c r="I38" s="642">
        <f t="shared" si="3"/>
        <v>0</v>
      </c>
      <c r="J38" s="642">
        <f t="shared" si="4"/>
        <v>0</v>
      </c>
      <c r="K38" s="642">
        <f t="shared" si="5"/>
        <v>0</v>
      </c>
      <c r="L38" s="642">
        <f t="shared" si="6"/>
        <v>0</v>
      </c>
      <c r="M38" s="642">
        <f t="shared" si="7"/>
        <v>0</v>
      </c>
      <c r="N38" s="642">
        <f t="shared" si="8"/>
        <v>0</v>
      </c>
      <c r="O38" s="642">
        <f t="shared" si="9"/>
        <v>0</v>
      </c>
      <c r="P38" s="643">
        <f t="shared" si="11"/>
        <v>0</v>
      </c>
      <c r="R38" s="644"/>
    </row>
    <row r="39" spans="1:18" ht="15" customHeight="1" x14ac:dyDescent="0.2">
      <c r="A39" s="636">
        <v>6</v>
      </c>
      <c r="B39" s="637"/>
      <c r="C39" s="638">
        <f t="shared" si="10"/>
        <v>0</v>
      </c>
      <c r="D39" s="639"/>
      <c r="E39" s="638">
        <f t="shared" si="0"/>
        <v>0</v>
      </c>
      <c r="F39" s="640"/>
      <c r="G39" s="641">
        <f t="shared" si="1"/>
        <v>12</v>
      </c>
      <c r="H39" s="642">
        <f t="shared" si="2"/>
        <v>0</v>
      </c>
      <c r="I39" s="642">
        <f t="shared" ref="I39:I64" si="12">B*(E39/60)</f>
        <v>0</v>
      </c>
      <c r="J39" s="642">
        <f t="shared" ref="J39:J64" si="13">C_*(C39/60)</f>
        <v>0</v>
      </c>
      <c r="K39" s="642">
        <f t="shared" ref="K39:K64" si="14">D*(E39/60)</f>
        <v>0</v>
      </c>
      <c r="L39" s="642">
        <f t="shared" ref="L39:L64" si="15">E*(E39/60)</f>
        <v>0</v>
      </c>
      <c r="M39" s="642">
        <f t="shared" ref="M39:M64" si="16">+G39*F_</f>
        <v>0</v>
      </c>
      <c r="N39" s="642">
        <f t="shared" ref="N39:N64" si="17">Mano_Obra_Lavado*(E39/60)</f>
        <v>0</v>
      </c>
      <c r="O39" s="642">
        <f t="shared" ref="O39:O64" si="18">+G39*G</f>
        <v>0</v>
      </c>
      <c r="P39" s="643">
        <f t="shared" si="11"/>
        <v>0</v>
      </c>
      <c r="R39" s="644"/>
    </row>
    <row r="40" spans="1:18" ht="15" customHeight="1" x14ac:dyDescent="0.2">
      <c r="A40" s="636">
        <v>7</v>
      </c>
      <c r="B40" s="637"/>
      <c r="C40" s="638">
        <f t="shared" si="10"/>
        <v>0</v>
      </c>
      <c r="D40" s="639"/>
      <c r="E40" s="638">
        <f t="shared" si="0"/>
        <v>0</v>
      </c>
      <c r="F40" s="640"/>
      <c r="G40" s="641">
        <f t="shared" si="1"/>
        <v>14</v>
      </c>
      <c r="H40" s="642">
        <f t="shared" si="2"/>
        <v>0</v>
      </c>
      <c r="I40" s="642">
        <f t="shared" si="12"/>
        <v>0</v>
      </c>
      <c r="J40" s="642">
        <f t="shared" si="13"/>
        <v>0</v>
      </c>
      <c r="K40" s="642">
        <f t="shared" si="14"/>
        <v>0</v>
      </c>
      <c r="L40" s="642">
        <f t="shared" si="15"/>
        <v>0</v>
      </c>
      <c r="M40" s="642">
        <f t="shared" si="16"/>
        <v>0</v>
      </c>
      <c r="N40" s="642">
        <f t="shared" si="17"/>
        <v>0</v>
      </c>
      <c r="O40" s="642">
        <f t="shared" si="18"/>
        <v>0</v>
      </c>
      <c r="P40" s="643">
        <f t="shared" si="11"/>
        <v>0</v>
      </c>
      <c r="R40" s="644"/>
    </row>
    <row r="41" spans="1:18" ht="15" customHeight="1" x14ac:dyDescent="0.2">
      <c r="A41" s="636">
        <v>8</v>
      </c>
      <c r="B41" s="637"/>
      <c r="C41" s="638">
        <f t="shared" si="10"/>
        <v>0</v>
      </c>
      <c r="D41" s="639"/>
      <c r="E41" s="638">
        <f t="shared" si="0"/>
        <v>0</v>
      </c>
      <c r="F41" s="640"/>
      <c r="G41" s="641">
        <f t="shared" si="1"/>
        <v>16</v>
      </c>
      <c r="H41" s="642">
        <f t="shared" si="2"/>
        <v>0</v>
      </c>
      <c r="I41" s="642">
        <f t="shared" si="12"/>
        <v>0</v>
      </c>
      <c r="J41" s="642">
        <f t="shared" si="13"/>
        <v>0</v>
      </c>
      <c r="K41" s="642">
        <f t="shared" si="14"/>
        <v>0</v>
      </c>
      <c r="L41" s="642">
        <f t="shared" si="15"/>
        <v>0</v>
      </c>
      <c r="M41" s="642">
        <f t="shared" si="16"/>
        <v>0</v>
      </c>
      <c r="N41" s="642">
        <f t="shared" si="17"/>
        <v>0</v>
      </c>
      <c r="O41" s="642">
        <f t="shared" si="18"/>
        <v>0</v>
      </c>
      <c r="P41" s="643">
        <f t="shared" si="11"/>
        <v>0</v>
      </c>
      <c r="R41" s="644"/>
    </row>
    <row r="42" spans="1:18" ht="15" customHeight="1" x14ac:dyDescent="0.2">
      <c r="A42" s="636">
        <v>9</v>
      </c>
      <c r="B42" s="637"/>
      <c r="C42" s="638">
        <f t="shared" si="10"/>
        <v>0</v>
      </c>
      <c r="D42" s="639"/>
      <c r="E42" s="638">
        <f t="shared" si="0"/>
        <v>0</v>
      </c>
      <c r="F42" s="640"/>
      <c r="G42" s="641">
        <f t="shared" si="1"/>
        <v>18</v>
      </c>
      <c r="H42" s="642">
        <f t="shared" si="2"/>
        <v>0</v>
      </c>
      <c r="I42" s="642">
        <f t="shared" si="12"/>
        <v>0</v>
      </c>
      <c r="J42" s="642">
        <f t="shared" si="13"/>
        <v>0</v>
      </c>
      <c r="K42" s="642">
        <f t="shared" si="14"/>
        <v>0</v>
      </c>
      <c r="L42" s="642">
        <f t="shared" si="15"/>
        <v>0</v>
      </c>
      <c r="M42" s="642">
        <f t="shared" si="16"/>
        <v>0</v>
      </c>
      <c r="N42" s="642">
        <f t="shared" si="17"/>
        <v>0</v>
      </c>
      <c r="O42" s="642">
        <f t="shared" si="18"/>
        <v>0</v>
      </c>
      <c r="P42" s="643">
        <f t="shared" si="11"/>
        <v>0</v>
      </c>
      <c r="R42" s="644"/>
    </row>
    <row r="43" spans="1:18" ht="15" customHeight="1" x14ac:dyDescent="0.2">
      <c r="A43" s="636">
        <v>10</v>
      </c>
      <c r="B43" s="637"/>
      <c r="C43" s="638">
        <f t="shared" si="10"/>
        <v>0</v>
      </c>
      <c r="D43" s="639"/>
      <c r="E43" s="638">
        <f t="shared" si="0"/>
        <v>0</v>
      </c>
      <c r="F43" s="640"/>
      <c r="G43" s="641">
        <f t="shared" si="1"/>
        <v>20</v>
      </c>
      <c r="H43" s="642">
        <f t="shared" si="2"/>
        <v>0</v>
      </c>
      <c r="I43" s="642">
        <f t="shared" si="12"/>
        <v>0</v>
      </c>
      <c r="J43" s="642">
        <f t="shared" si="13"/>
        <v>0</v>
      </c>
      <c r="K43" s="642">
        <f t="shared" si="14"/>
        <v>0</v>
      </c>
      <c r="L43" s="642">
        <f t="shared" si="15"/>
        <v>0</v>
      </c>
      <c r="M43" s="642">
        <f t="shared" si="16"/>
        <v>0</v>
      </c>
      <c r="N43" s="642">
        <f t="shared" si="17"/>
        <v>0</v>
      </c>
      <c r="O43" s="642">
        <f t="shared" si="18"/>
        <v>0</v>
      </c>
      <c r="P43" s="643">
        <f t="shared" si="11"/>
        <v>0</v>
      </c>
      <c r="R43" s="644"/>
    </row>
    <row r="44" spans="1:18" ht="15" customHeight="1" x14ac:dyDescent="0.2">
      <c r="A44" s="636">
        <v>12</v>
      </c>
      <c r="B44" s="637"/>
      <c r="C44" s="638">
        <f t="shared" si="10"/>
        <v>0</v>
      </c>
      <c r="D44" s="639"/>
      <c r="E44" s="638">
        <f t="shared" si="0"/>
        <v>0</v>
      </c>
      <c r="F44" s="640"/>
      <c r="G44" s="641">
        <f t="shared" si="1"/>
        <v>24</v>
      </c>
      <c r="H44" s="642">
        <f t="shared" si="2"/>
        <v>0</v>
      </c>
      <c r="I44" s="642">
        <f t="shared" si="12"/>
        <v>0</v>
      </c>
      <c r="J44" s="642">
        <f t="shared" si="13"/>
        <v>0</v>
      </c>
      <c r="K44" s="642">
        <f t="shared" si="14"/>
        <v>0</v>
      </c>
      <c r="L44" s="642">
        <f t="shared" si="15"/>
        <v>0</v>
      </c>
      <c r="M44" s="642">
        <f t="shared" si="16"/>
        <v>0</v>
      </c>
      <c r="N44" s="642">
        <f t="shared" si="17"/>
        <v>0</v>
      </c>
      <c r="O44" s="642">
        <f t="shared" si="18"/>
        <v>0</v>
      </c>
      <c r="P44" s="643">
        <f t="shared" si="11"/>
        <v>0</v>
      </c>
      <c r="R44" s="644"/>
    </row>
    <row r="45" spans="1:18" ht="15" customHeight="1" x14ac:dyDescent="0.2">
      <c r="A45" s="636">
        <v>15</v>
      </c>
      <c r="B45" s="637"/>
      <c r="C45" s="638">
        <f t="shared" si="10"/>
        <v>0</v>
      </c>
      <c r="D45" s="639"/>
      <c r="E45" s="638">
        <f t="shared" si="0"/>
        <v>0</v>
      </c>
      <c r="F45" s="640"/>
      <c r="G45" s="641">
        <f t="shared" si="1"/>
        <v>30</v>
      </c>
      <c r="H45" s="642">
        <f t="shared" si="2"/>
        <v>0</v>
      </c>
      <c r="I45" s="642">
        <f t="shared" si="12"/>
        <v>0</v>
      </c>
      <c r="J45" s="642">
        <f t="shared" si="13"/>
        <v>0</v>
      </c>
      <c r="K45" s="642">
        <f t="shared" si="14"/>
        <v>0</v>
      </c>
      <c r="L45" s="642">
        <f t="shared" si="15"/>
        <v>0</v>
      </c>
      <c r="M45" s="642">
        <f t="shared" si="16"/>
        <v>0</v>
      </c>
      <c r="N45" s="642">
        <f t="shared" si="17"/>
        <v>0</v>
      </c>
      <c r="O45" s="642">
        <f t="shared" si="18"/>
        <v>0</v>
      </c>
      <c r="P45" s="643">
        <f t="shared" si="11"/>
        <v>0</v>
      </c>
      <c r="R45" s="644"/>
    </row>
    <row r="46" spans="1:18" ht="15" customHeight="1" x14ac:dyDescent="0.2">
      <c r="A46" s="636">
        <v>17</v>
      </c>
      <c r="B46" s="637"/>
      <c r="C46" s="638">
        <f t="shared" si="10"/>
        <v>0</v>
      </c>
      <c r="D46" s="639"/>
      <c r="E46" s="638">
        <f t="shared" si="0"/>
        <v>0</v>
      </c>
      <c r="F46" s="640"/>
      <c r="G46" s="641">
        <f t="shared" si="1"/>
        <v>34</v>
      </c>
      <c r="H46" s="642">
        <f t="shared" si="2"/>
        <v>0</v>
      </c>
      <c r="I46" s="642">
        <f t="shared" si="12"/>
        <v>0</v>
      </c>
      <c r="J46" s="642">
        <f t="shared" si="13"/>
        <v>0</v>
      </c>
      <c r="K46" s="642">
        <f t="shared" si="14"/>
        <v>0</v>
      </c>
      <c r="L46" s="642">
        <f t="shared" si="15"/>
        <v>0</v>
      </c>
      <c r="M46" s="642">
        <f t="shared" si="16"/>
        <v>0</v>
      </c>
      <c r="N46" s="642">
        <f t="shared" si="17"/>
        <v>0</v>
      </c>
      <c r="O46" s="642">
        <f t="shared" si="18"/>
        <v>0</v>
      </c>
      <c r="P46" s="643">
        <f t="shared" si="11"/>
        <v>0</v>
      </c>
      <c r="R46" s="644"/>
    </row>
    <row r="47" spans="1:18" ht="15" customHeight="1" x14ac:dyDescent="0.2">
      <c r="A47" s="636">
        <v>19</v>
      </c>
      <c r="B47" s="637"/>
      <c r="C47" s="638">
        <f t="shared" si="10"/>
        <v>0</v>
      </c>
      <c r="D47" s="639"/>
      <c r="E47" s="638">
        <f t="shared" si="0"/>
        <v>0</v>
      </c>
      <c r="F47" s="640"/>
      <c r="G47" s="641">
        <f t="shared" si="1"/>
        <v>38</v>
      </c>
      <c r="H47" s="642">
        <f t="shared" si="2"/>
        <v>0</v>
      </c>
      <c r="I47" s="642">
        <f t="shared" si="12"/>
        <v>0</v>
      </c>
      <c r="J47" s="642">
        <f t="shared" si="13"/>
        <v>0</v>
      </c>
      <c r="K47" s="642">
        <f t="shared" si="14"/>
        <v>0</v>
      </c>
      <c r="L47" s="642">
        <f t="shared" si="15"/>
        <v>0</v>
      </c>
      <c r="M47" s="642">
        <f t="shared" si="16"/>
        <v>0</v>
      </c>
      <c r="N47" s="642">
        <f t="shared" si="17"/>
        <v>0</v>
      </c>
      <c r="O47" s="642">
        <f t="shared" si="18"/>
        <v>0</v>
      </c>
      <c r="P47" s="643">
        <f t="shared" si="11"/>
        <v>0</v>
      </c>
      <c r="R47" s="644"/>
    </row>
    <row r="48" spans="1:18" ht="15" customHeight="1" x14ac:dyDescent="0.2">
      <c r="A48" s="636">
        <v>20</v>
      </c>
      <c r="B48" s="637"/>
      <c r="C48" s="638">
        <f t="shared" si="10"/>
        <v>0</v>
      </c>
      <c r="D48" s="639"/>
      <c r="E48" s="638">
        <f t="shared" si="0"/>
        <v>0</v>
      </c>
      <c r="F48" s="640"/>
      <c r="G48" s="641">
        <f t="shared" si="1"/>
        <v>40</v>
      </c>
      <c r="H48" s="642">
        <f t="shared" si="2"/>
        <v>0</v>
      </c>
      <c r="I48" s="642">
        <f t="shared" si="12"/>
        <v>0</v>
      </c>
      <c r="J48" s="642">
        <f t="shared" si="13"/>
        <v>0</v>
      </c>
      <c r="K48" s="642">
        <f t="shared" si="14"/>
        <v>0</v>
      </c>
      <c r="L48" s="642">
        <f t="shared" si="15"/>
        <v>0</v>
      </c>
      <c r="M48" s="642">
        <f t="shared" si="16"/>
        <v>0</v>
      </c>
      <c r="N48" s="642">
        <f t="shared" si="17"/>
        <v>0</v>
      </c>
      <c r="O48" s="642">
        <f t="shared" si="18"/>
        <v>0</v>
      </c>
      <c r="P48" s="643">
        <f t="shared" si="11"/>
        <v>0</v>
      </c>
      <c r="R48" s="644"/>
    </row>
    <row r="49" spans="1:18" ht="15" customHeight="1" x14ac:dyDescent="0.2">
      <c r="A49" s="636">
        <v>25</v>
      </c>
      <c r="B49" s="637"/>
      <c r="C49" s="638">
        <f t="shared" si="10"/>
        <v>0</v>
      </c>
      <c r="D49" s="639"/>
      <c r="E49" s="638">
        <f t="shared" si="0"/>
        <v>0</v>
      </c>
      <c r="F49" s="640"/>
      <c r="G49" s="641">
        <f t="shared" si="1"/>
        <v>50</v>
      </c>
      <c r="H49" s="642">
        <f t="shared" si="2"/>
        <v>0</v>
      </c>
      <c r="I49" s="642">
        <f t="shared" si="12"/>
        <v>0</v>
      </c>
      <c r="J49" s="642">
        <f t="shared" si="13"/>
        <v>0</v>
      </c>
      <c r="K49" s="642">
        <f t="shared" si="14"/>
        <v>0</v>
      </c>
      <c r="L49" s="642">
        <f t="shared" si="15"/>
        <v>0</v>
      </c>
      <c r="M49" s="642">
        <f t="shared" si="16"/>
        <v>0</v>
      </c>
      <c r="N49" s="642">
        <f t="shared" si="17"/>
        <v>0</v>
      </c>
      <c r="O49" s="642">
        <f t="shared" si="18"/>
        <v>0</v>
      </c>
      <c r="P49" s="643">
        <f t="shared" si="11"/>
        <v>0</v>
      </c>
      <c r="R49" s="644"/>
    </row>
    <row r="50" spans="1:18" ht="15" customHeight="1" x14ac:dyDescent="0.2">
      <c r="A50" s="636">
        <v>30</v>
      </c>
      <c r="B50" s="637"/>
      <c r="C50" s="638">
        <f t="shared" si="10"/>
        <v>0</v>
      </c>
      <c r="D50" s="639"/>
      <c r="E50" s="638">
        <f t="shared" si="0"/>
        <v>0</v>
      </c>
      <c r="F50" s="640"/>
      <c r="G50" s="641">
        <f t="shared" si="1"/>
        <v>60</v>
      </c>
      <c r="H50" s="642">
        <f t="shared" si="2"/>
        <v>0</v>
      </c>
      <c r="I50" s="642">
        <f t="shared" si="12"/>
        <v>0</v>
      </c>
      <c r="J50" s="642">
        <f t="shared" si="13"/>
        <v>0</v>
      </c>
      <c r="K50" s="642">
        <f t="shared" si="14"/>
        <v>0</v>
      </c>
      <c r="L50" s="642">
        <f t="shared" si="15"/>
        <v>0</v>
      </c>
      <c r="M50" s="642">
        <f t="shared" si="16"/>
        <v>0</v>
      </c>
      <c r="N50" s="642">
        <f t="shared" si="17"/>
        <v>0</v>
      </c>
      <c r="O50" s="642">
        <f t="shared" si="18"/>
        <v>0</v>
      </c>
      <c r="P50" s="643">
        <f t="shared" si="11"/>
        <v>0</v>
      </c>
      <c r="R50" s="644"/>
    </row>
    <row r="51" spans="1:18" ht="15" customHeight="1" x14ac:dyDescent="0.2">
      <c r="A51" s="636">
        <v>35</v>
      </c>
      <c r="B51" s="637"/>
      <c r="C51" s="638">
        <f t="shared" si="10"/>
        <v>0</v>
      </c>
      <c r="D51" s="639"/>
      <c r="E51" s="638">
        <f t="shared" si="0"/>
        <v>0</v>
      </c>
      <c r="F51" s="640"/>
      <c r="G51" s="641">
        <f t="shared" si="1"/>
        <v>70</v>
      </c>
      <c r="H51" s="642">
        <f t="shared" si="2"/>
        <v>0</v>
      </c>
      <c r="I51" s="642">
        <f t="shared" si="12"/>
        <v>0</v>
      </c>
      <c r="J51" s="642">
        <f t="shared" si="13"/>
        <v>0</v>
      </c>
      <c r="K51" s="642">
        <f t="shared" si="14"/>
        <v>0</v>
      </c>
      <c r="L51" s="642">
        <f t="shared" si="15"/>
        <v>0</v>
      </c>
      <c r="M51" s="642">
        <f t="shared" si="16"/>
        <v>0</v>
      </c>
      <c r="N51" s="642">
        <f t="shared" si="17"/>
        <v>0</v>
      </c>
      <c r="O51" s="642">
        <f t="shared" si="18"/>
        <v>0</v>
      </c>
      <c r="P51" s="643">
        <f t="shared" si="11"/>
        <v>0</v>
      </c>
      <c r="R51" s="644"/>
    </row>
    <row r="52" spans="1:18" ht="15" customHeight="1" x14ac:dyDescent="0.2">
      <c r="A52" s="636">
        <v>40</v>
      </c>
      <c r="B52" s="637"/>
      <c r="C52" s="638">
        <f t="shared" si="10"/>
        <v>0</v>
      </c>
      <c r="D52" s="639"/>
      <c r="E52" s="638">
        <f t="shared" si="0"/>
        <v>0</v>
      </c>
      <c r="F52" s="640"/>
      <c r="G52" s="641">
        <f t="shared" si="1"/>
        <v>80</v>
      </c>
      <c r="H52" s="642">
        <f t="shared" si="2"/>
        <v>0</v>
      </c>
      <c r="I52" s="642">
        <f t="shared" si="12"/>
        <v>0</v>
      </c>
      <c r="J52" s="642">
        <f t="shared" si="13"/>
        <v>0</v>
      </c>
      <c r="K52" s="642">
        <f t="shared" si="14"/>
        <v>0</v>
      </c>
      <c r="L52" s="642">
        <f t="shared" si="15"/>
        <v>0</v>
      </c>
      <c r="M52" s="642">
        <f t="shared" si="16"/>
        <v>0</v>
      </c>
      <c r="N52" s="642">
        <f t="shared" si="17"/>
        <v>0</v>
      </c>
      <c r="O52" s="642">
        <f t="shared" si="18"/>
        <v>0</v>
      </c>
      <c r="P52" s="643">
        <f t="shared" si="11"/>
        <v>0</v>
      </c>
      <c r="R52" s="644"/>
    </row>
    <row r="53" spans="1:18" ht="15" customHeight="1" x14ac:dyDescent="0.2">
      <c r="A53" s="636">
        <v>45</v>
      </c>
      <c r="B53" s="637"/>
      <c r="C53" s="638">
        <f t="shared" si="10"/>
        <v>0</v>
      </c>
      <c r="D53" s="639"/>
      <c r="E53" s="638">
        <f t="shared" si="0"/>
        <v>0</v>
      </c>
      <c r="F53" s="640"/>
      <c r="G53" s="641">
        <f t="shared" si="1"/>
        <v>90</v>
      </c>
      <c r="H53" s="642">
        <f t="shared" si="2"/>
        <v>0</v>
      </c>
      <c r="I53" s="642">
        <f t="shared" si="12"/>
        <v>0</v>
      </c>
      <c r="J53" s="642">
        <f t="shared" si="13"/>
        <v>0</v>
      </c>
      <c r="K53" s="642">
        <f t="shared" si="14"/>
        <v>0</v>
      </c>
      <c r="L53" s="642">
        <f t="shared" si="15"/>
        <v>0</v>
      </c>
      <c r="M53" s="642">
        <f t="shared" si="16"/>
        <v>0</v>
      </c>
      <c r="N53" s="642">
        <f t="shared" si="17"/>
        <v>0</v>
      </c>
      <c r="O53" s="642">
        <f t="shared" si="18"/>
        <v>0</v>
      </c>
      <c r="P53" s="643">
        <f t="shared" si="11"/>
        <v>0</v>
      </c>
      <c r="R53" s="644"/>
    </row>
    <row r="54" spans="1:18" ht="15" customHeight="1" x14ac:dyDescent="0.2">
      <c r="A54" s="636">
        <v>50</v>
      </c>
      <c r="B54" s="637"/>
      <c r="C54" s="638">
        <f t="shared" si="10"/>
        <v>0</v>
      </c>
      <c r="D54" s="639"/>
      <c r="E54" s="638">
        <f t="shared" si="0"/>
        <v>0</v>
      </c>
      <c r="F54" s="640"/>
      <c r="G54" s="641">
        <f t="shared" si="1"/>
        <v>100</v>
      </c>
      <c r="H54" s="642">
        <f t="shared" si="2"/>
        <v>0</v>
      </c>
      <c r="I54" s="642">
        <f t="shared" si="12"/>
        <v>0</v>
      </c>
      <c r="J54" s="642">
        <f t="shared" si="13"/>
        <v>0</v>
      </c>
      <c r="K54" s="642">
        <f t="shared" si="14"/>
        <v>0</v>
      </c>
      <c r="L54" s="642">
        <f t="shared" si="15"/>
        <v>0</v>
      </c>
      <c r="M54" s="642">
        <f t="shared" si="16"/>
        <v>0</v>
      </c>
      <c r="N54" s="642">
        <f t="shared" si="17"/>
        <v>0</v>
      </c>
      <c r="O54" s="642">
        <f t="shared" si="18"/>
        <v>0</v>
      </c>
      <c r="P54" s="643">
        <f t="shared" si="11"/>
        <v>0</v>
      </c>
      <c r="R54" s="644"/>
    </row>
    <row r="55" spans="1:18" ht="15" customHeight="1" x14ac:dyDescent="0.2">
      <c r="A55" s="636">
        <v>55</v>
      </c>
      <c r="B55" s="637"/>
      <c r="C55" s="638">
        <f t="shared" si="10"/>
        <v>0</v>
      </c>
      <c r="D55" s="639"/>
      <c r="E55" s="638">
        <f t="shared" si="0"/>
        <v>0</v>
      </c>
      <c r="F55" s="640"/>
      <c r="G55" s="641">
        <f t="shared" si="1"/>
        <v>110</v>
      </c>
      <c r="H55" s="642">
        <f t="shared" si="2"/>
        <v>0</v>
      </c>
      <c r="I55" s="642">
        <f t="shared" si="12"/>
        <v>0</v>
      </c>
      <c r="J55" s="642">
        <f t="shared" si="13"/>
        <v>0</v>
      </c>
      <c r="K55" s="642">
        <f t="shared" si="14"/>
        <v>0</v>
      </c>
      <c r="L55" s="642">
        <f t="shared" si="15"/>
        <v>0</v>
      </c>
      <c r="M55" s="642">
        <f t="shared" si="16"/>
        <v>0</v>
      </c>
      <c r="N55" s="642">
        <f t="shared" si="17"/>
        <v>0</v>
      </c>
      <c r="O55" s="642">
        <f t="shared" si="18"/>
        <v>0</v>
      </c>
      <c r="P55" s="643">
        <f t="shared" si="11"/>
        <v>0</v>
      </c>
      <c r="R55" s="644"/>
    </row>
    <row r="56" spans="1:18" ht="15" customHeight="1" x14ac:dyDescent="0.2">
      <c r="A56" s="636">
        <v>60</v>
      </c>
      <c r="B56" s="637"/>
      <c r="C56" s="638">
        <f t="shared" si="10"/>
        <v>0</v>
      </c>
      <c r="D56" s="639"/>
      <c r="E56" s="638">
        <f t="shared" si="0"/>
        <v>0</v>
      </c>
      <c r="F56" s="640"/>
      <c r="G56" s="641">
        <f t="shared" si="1"/>
        <v>120</v>
      </c>
      <c r="H56" s="642">
        <f t="shared" si="2"/>
        <v>0</v>
      </c>
      <c r="I56" s="642">
        <f t="shared" si="12"/>
        <v>0</v>
      </c>
      <c r="J56" s="642">
        <f t="shared" si="13"/>
        <v>0</v>
      </c>
      <c r="K56" s="642">
        <f t="shared" si="14"/>
        <v>0</v>
      </c>
      <c r="L56" s="642">
        <f t="shared" si="15"/>
        <v>0</v>
      </c>
      <c r="M56" s="642">
        <f t="shared" si="16"/>
        <v>0</v>
      </c>
      <c r="N56" s="642">
        <f t="shared" si="17"/>
        <v>0</v>
      </c>
      <c r="O56" s="642">
        <f t="shared" si="18"/>
        <v>0</v>
      </c>
      <c r="P56" s="643">
        <f t="shared" si="11"/>
        <v>0</v>
      </c>
      <c r="R56" s="644"/>
    </row>
    <row r="57" spans="1:18" ht="15" customHeight="1" x14ac:dyDescent="0.2">
      <c r="A57" s="636">
        <v>65</v>
      </c>
      <c r="B57" s="637"/>
      <c r="C57" s="638">
        <f t="shared" si="10"/>
        <v>0</v>
      </c>
      <c r="D57" s="639"/>
      <c r="E57" s="638">
        <f t="shared" si="0"/>
        <v>0</v>
      </c>
      <c r="F57" s="640"/>
      <c r="G57" s="641">
        <f t="shared" si="1"/>
        <v>130</v>
      </c>
      <c r="H57" s="642">
        <f t="shared" si="2"/>
        <v>0</v>
      </c>
      <c r="I57" s="642">
        <f t="shared" si="12"/>
        <v>0</v>
      </c>
      <c r="J57" s="642">
        <f t="shared" si="13"/>
        <v>0</v>
      </c>
      <c r="K57" s="642">
        <f t="shared" si="14"/>
        <v>0</v>
      </c>
      <c r="L57" s="642">
        <f t="shared" si="15"/>
        <v>0</v>
      </c>
      <c r="M57" s="642">
        <f t="shared" si="16"/>
        <v>0</v>
      </c>
      <c r="N57" s="642">
        <f t="shared" si="17"/>
        <v>0</v>
      </c>
      <c r="O57" s="642">
        <f t="shared" si="18"/>
        <v>0</v>
      </c>
      <c r="P57" s="643">
        <f t="shared" si="11"/>
        <v>0</v>
      </c>
      <c r="R57" s="644"/>
    </row>
    <row r="58" spans="1:18" ht="15" customHeight="1" x14ac:dyDescent="0.2">
      <c r="A58" s="636">
        <v>70</v>
      </c>
      <c r="B58" s="637"/>
      <c r="C58" s="638">
        <f t="shared" si="10"/>
        <v>0</v>
      </c>
      <c r="D58" s="639"/>
      <c r="E58" s="638">
        <f t="shared" si="0"/>
        <v>0</v>
      </c>
      <c r="F58" s="640"/>
      <c r="G58" s="641">
        <f t="shared" si="1"/>
        <v>140</v>
      </c>
      <c r="H58" s="642">
        <f t="shared" si="2"/>
        <v>0</v>
      </c>
      <c r="I58" s="642">
        <f t="shared" si="12"/>
        <v>0</v>
      </c>
      <c r="J58" s="642">
        <f t="shared" si="13"/>
        <v>0</v>
      </c>
      <c r="K58" s="642">
        <f t="shared" si="14"/>
        <v>0</v>
      </c>
      <c r="L58" s="642">
        <f t="shared" si="15"/>
        <v>0</v>
      </c>
      <c r="M58" s="642">
        <f t="shared" si="16"/>
        <v>0</v>
      </c>
      <c r="N58" s="642">
        <f t="shared" si="17"/>
        <v>0</v>
      </c>
      <c r="O58" s="642">
        <f t="shared" si="18"/>
        <v>0</v>
      </c>
      <c r="P58" s="643">
        <f t="shared" si="11"/>
        <v>0</v>
      </c>
      <c r="R58" s="644"/>
    </row>
    <row r="59" spans="1:18" ht="15" customHeight="1" x14ac:dyDescent="0.2">
      <c r="A59" s="636">
        <v>75</v>
      </c>
      <c r="B59" s="637"/>
      <c r="C59" s="638">
        <f t="shared" si="10"/>
        <v>0</v>
      </c>
      <c r="D59" s="639"/>
      <c r="E59" s="638">
        <f t="shared" si="0"/>
        <v>0</v>
      </c>
      <c r="F59" s="640"/>
      <c r="G59" s="641">
        <f t="shared" si="1"/>
        <v>150</v>
      </c>
      <c r="H59" s="642">
        <f t="shared" si="2"/>
        <v>0</v>
      </c>
      <c r="I59" s="642">
        <f t="shared" si="12"/>
        <v>0</v>
      </c>
      <c r="J59" s="642">
        <f t="shared" si="13"/>
        <v>0</v>
      </c>
      <c r="K59" s="642">
        <f t="shared" si="14"/>
        <v>0</v>
      </c>
      <c r="L59" s="642">
        <f t="shared" si="15"/>
        <v>0</v>
      </c>
      <c r="M59" s="642">
        <f t="shared" si="16"/>
        <v>0</v>
      </c>
      <c r="N59" s="642">
        <f t="shared" si="17"/>
        <v>0</v>
      </c>
      <c r="O59" s="642">
        <f t="shared" si="18"/>
        <v>0</v>
      </c>
      <c r="P59" s="643">
        <f t="shared" si="11"/>
        <v>0</v>
      </c>
      <c r="R59" s="644"/>
    </row>
    <row r="60" spans="1:18" ht="15" customHeight="1" x14ac:dyDescent="0.2">
      <c r="A60" s="636">
        <v>80</v>
      </c>
      <c r="B60" s="637"/>
      <c r="C60" s="638">
        <f t="shared" si="10"/>
        <v>0</v>
      </c>
      <c r="D60" s="639"/>
      <c r="E60" s="638">
        <f t="shared" si="0"/>
        <v>0</v>
      </c>
      <c r="F60" s="640"/>
      <c r="G60" s="641">
        <f t="shared" si="1"/>
        <v>160</v>
      </c>
      <c r="H60" s="642">
        <f t="shared" si="2"/>
        <v>0</v>
      </c>
      <c r="I60" s="642">
        <f t="shared" si="12"/>
        <v>0</v>
      </c>
      <c r="J60" s="642">
        <f t="shared" si="13"/>
        <v>0</v>
      </c>
      <c r="K60" s="642">
        <f t="shared" si="14"/>
        <v>0</v>
      </c>
      <c r="L60" s="642">
        <f t="shared" si="15"/>
        <v>0</v>
      </c>
      <c r="M60" s="642">
        <f t="shared" si="16"/>
        <v>0</v>
      </c>
      <c r="N60" s="642">
        <f t="shared" si="17"/>
        <v>0</v>
      </c>
      <c r="O60" s="642">
        <f t="shared" si="18"/>
        <v>0</v>
      </c>
      <c r="P60" s="643">
        <f t="shared" si="11"/>
        <v>0</v>
      </c>
      <c r="R60" s="644"/>
    </row>
    <row r="61" spans="1:18" ht="15" customHeight="1" x14ac:dyDescent="0.2">
      <c r="A61" s="636">
        <v>85</v>
      </c>
      <c r="B61" s="637"/>
      <c r="C61" s="638">
        <f t="shared" si="10"/>
        <v>0</v>
      </c>
      <c r="D61" s="639"/>
      <c r="E61" s="638">
        <f t="shared" si="0"/>
        <v>0</v>
      </c>
      <c r="F61" s="640"/>
      <c r="G61" s="641">
        <f t="shared" si="1"/>
        <v>170</v>
      </c>
      <c r="H61" s="642">
        <f t="shared" si="2"/>
        <v>0</v>
      </c>
      <c r="I61" s="642">
        <f t="shared" si="12"/>
        <v>0</v>
      </c>
      <c r="J61" s="642">
        <f t="shared" si="13"/>
        <v>0</v>
      </c>
      <c r="K61" s="642">
        <f t="shared" si="14"/>
        <v>0</v>
      </c>
      <c r="L61" s="642">
        <f t="shared" si="15"/>
        <v>0</v>
      </c>
      <c r="M61" s="642">
        <f t="shared" si="16"/>
        <v>0</v>
      </c>
      <c r="N61" s="642">
        <f t="shared" si="17"/>
        <v>0</v>
      </c>
      <c r="O61" s="642">
        <f t="shared" si="18"/>
        <v>0</v>
      </c>
      <c r="P61" s="643">
        <f t="shared" si="11"/>
        <v>0</v>
      </c>
      <c r="R61" s="644"/>
    </row>
    <row r="62" spans="1:18" ht="15" customHeight="1" x14ac:dyDescent="0.2">
      <c r="A62" s="636">
        <v>90</v>
      </c>
      <c r="B62" s="637"/>
      <c r="C62" s="638">
        <f t="shared" si="10"/>
        <v>0</v>
      </c>
      <c r="D62" s="639"/>
      <c r="E62" s="638">
        <f t="shared" si="0"/>
        <v>0</v>
      </c>
      <c r="F62" s="640"/>
      <c r="G62" s="641">
        <f t="shared" si="1"/>
        <v>180</v>
      </c>
      <c r="H62" s="642">
        <f t="shared" si="2"/>
        <v>0</v>
      </c>
      <c r="I62" s="642">
        <f t="shared" si="12"/>
        <v>0</v>
      </c>
      <c r="J62" s="642">
        <f t="shared" si="13"/>
        <v>0</v>
      </c>
      <c r="K62" s="642">
        <f t="shared" si="14"/>
        <v>0</v>
      </c>
      <c r="L62" s="642">
        <f t="shared" si="15"/>
        <v>0</v>
      </c>
      <c r="M62" s="642">
        <f t="shared" si="16"/>
        <v>0</v>
      </c>
      <c r="N62" s="642">
        <f t="shared" si="17"/>
        <v>0</v>
      </c>
      <c r="O62" s="642">
        <f t="shared" si="18"/>
        <v>0</v>
      </c>
      <c r="P62" s="643">
        <f t="shared" si="11"/>
        <v>0</v>
      </c>
      <c r="R62" s="644"/>
    </row>
    <row r="63" spans="1:18" ht="15" customHeight="1" x14ac:dyDescent="0.2">
      <c r="A63" s="636">
        <v>95</v>
      </c>
      <c r="B63" s="637"/>
      <c r="C63" s="638">
        <f t="shared" si="10"/>
        <v>0</v>
      </c>
      <c r="D63" s="639"/>
      <c r="E63" s="638">
        <f t="shared" si="0"/>
        <v>0</v>
      </c>
      <c r="F63" s="640"/>
      <c r="G63" s="641">
        <f t="shared" si="1"/>
        <v>190</v>
      </c>
      <c r="H63" s="642">
        <f t="shared" si="2"/>
        <v>0</v>
      </c>
      <c r="I63" s="642">
        <f t="shared" si="12"/>
        <v>0</v>
      </c>
      <c r="J63" s="642">
        <f t="shared" si="13"/>
        <v>0</v>
      </c>
      <c r="K63" s="642">
        <f t="shared" si="14"/>
        <v>0</v>
      </c>
      <c r="L63" s="642">
        <f t="shared" si="15"/>
        <v>0</v>
      </c>
      <c r="M63" s="642">
        <f t="shared" si="16"/>
        <v>0</v>
      </c>
      <c r="N63" s="642">
        <f t="shared" si="17"/>
        <v>0</v>
      </c>
      <c r="O63" s="642">
        <f t="shared" si="18"/>
        <v>0</v>
      </c>
      <c r="P63" s="643">
        <f t="shared" si="11"/>
        <v>0</v>
      </c>
      <c r="R63" s="644"/>
    </row>
    <row r="64" spans="1:18" ht="15" customHeight="1" x14ac:dyDescent="0.2">
      <c r="A64" s="636">
        <v>100</v>
      </c>
      <c r="B64" s="637"/>
      <c r="C64" s="638">
        <f t="shared" si="10"/>
        <v>0</v>
      </c>
      <c r="D64" s="639"/>
      <c r="E64" s="638">
        <f t="shared" si="0"/>
        <v>0</v>
      </c>
      <c r="F64" s="640"/>
      <c r="G64" s="641">
        <f t="shared" si="1"/>
        <v>200</v>
      </c>
      <c r="H64" s="642">
        <f t="shared" si="2"/>
        <v>0</v>
      </c>
      <c r="I64" s="642">
        <f t="shared" si="12"/>
        <v>0</v>
      </c>
      <c r="J64" s="642">
        <f t="shared" si="13"/>
        <v>0</v>
      </c>
      <c r="K64" s="642">
        <f t="shared" si="14"/>
        <v>0</v>
      </c>
      <c r="L64" s="642">
        <f t="shared" si="15"/>
        <v>0</v>
      </c>
      <c r="M64" s="642">
        <f t="shared" si="16"/>
        <v>0</v>
      </c>
      <c r="N64" s="642">
        <f t="shared" si="17"/>
        <v>0</v>
      </c>
      <c r="O64" s="642">
        <f t="shared" si="18"/>
        <v>0</v>
      </c>
      <c r="P64" s="643">
        <f t="shared" si="11"/>
        <v>0</v>
      </c>
      <c r="R64" s="64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10" customWidth="1"/>
    <col min="2" max="4" width="10.7109375" style="610" customWidth="1"/>
    <col min="5" max="5" width="13.85546875" style="610" bestFit="1" customWidth="1"/>
    <col min="6" max="6" width="10.7109375" style="610" customWidth="1"/>
    <col min="7" max="7" width="9.42578125" style="610" customWidth="1"/>
    <col min="8" max="8" width="10.5703125" style="610" customWidth="1"/>
    <col min="9" max="9" width="13.7109375" style="610" customWidth="1"/>
    <col min="10" max="11" width="10.42578125" style="610" customWidth="1"/>
    <col min="12" max="12" width="10.28515625" style="610" customWidth="1"/>
    <col min="13" max="13" width="9.42578125" style="610" customWidth="1"/>
    <col min="14" max="14" width="8.7109375" style="610" customWidth="1"/>
    <col min="15" max="15" width="13.28515625" style="610" bestFit="1" customWidth="1"/>
    <col min="16" max="16" width="10.28515625" style="610" customWidth="1"/>
    <col min="17" max="256" width="11.42578125" style="610"/>
    <col min="257" max="257" width="7" style="610" customWidth="1"/>
    <col min="258" max="258" width="10.7109375" style="610" customWidth="1"/>
    <col min="259" max="259" width="10.5703125" style="610" customWidth="1"/>
    <col min="260" max="260" width="10.7109375" style="610" customWidth="1"/>
    <col min="261" max="261" width="10.28515625" style="610" customWidth="1"/>
    <col min="262" max="262" width="10.7109375" style="610" customWidth="1"/>
    <col min="263" max="263" width="9.42578125" style="610" customWidth="1"/>
    <col min="264" max="264" width="10.5703125" style="610" customWidth="1"/>
    <col min="265" max="265" width="13.7109375" style="610" customWidth="1"/>
    <col min="266" max="267" width="10.42578125" style="610" customWidth="1"/>
    <col min="268" max="268" width="10.28515625" style="610" customWidth="1"/>
    <col min="269" max="269" width="9.42578125" style="610" customWidth="1"/>
    <col min="270" max="270" width="8.7109375" style="610" customWidth="1"/>
    <col min="271" max="271" width="10.42578125" style="610" customWidth="1"/>
    <col min="272" max="272" width="10.28515625" style="610" customWidth="1"/>
    <col min="273" max="512" width="11.42578125" style="610"/>
    <col min="513" max="513" width="7" style="610" customWidth="1"/>
    <col min="514" max="514" width="10.7109375" style="610" customWidth="1"/>
    <col min="515" max="515" width="10.5703125" style="610" customWidth="1"/>
    <col min="516" max="516" width="10.7109375" style="610" customWidth="1"/>
    <col min="517" max="517" width="10.28515625" style="610" customWidth="1"/>
    <col min="518" max="518" width="10.7109375" style="610" customWidth="1"/>
    <col min="519" max="519" width="9.42578125" style="610" customWidth="1"/>
    <col min="520" max="520" width="10.5703125" style="610" customWidth="1"/>
    <col min="521" max="521" width="13.7109375" style="610" customWidth="1"/>
    <col min="522" max="523" width="10.42578125" style="610" customWidth="1"/>
    <col min="524" max="524" width="10.28515625" style="610" customWidth="1"/>
    <col min="525" max="525" width="9.42578125" style="610" customWidth="1"/>
    <col min="526" max="526" width="8.7109375" style="610" customWidth="1"/>
    <col min="527" max="527" width="10.42578125" style="610" customWidth="1"/>
    <col min="528" max="528" width="10.28515625" style="610" customWidth="1"/>
    <col min="529" max="768" width="11.42578125" style="610"/>
    <col min="769" max="769" width="7" style="610" customWidth="1"/>
    <col min="770" max="770" width="10.7109375" style="610" customWidth="1"/>
    <col min="771" max="771" width="10.5703125" style="610" customWidth="1"/>
    <col min="772" max="772" width="10.7109375" style="610" customWidth="1"/>
    <col min="773" max="773" width="10.28515625" style="610" customWidth="1"/>
    <col min="774" max="774" width="10.7109375" style="610" customWidth="1"/>
    <col min="775" max="775" width="9.42578125" style="610" customWidth="1"/>
    <col min="776" max="776" width="10.5703125" style="610" customWidth="1"/>
    <col min="777" max="777" width="13.7109375" style="610" customWidth="1"/>
    <col min="778" max="779" width="10.42578125" style="610" customWidth="1"/>
    <col min="780" max="780" width="10.28515625" style="610" customWidth="1"/>
    <col min="781" max="781" width="9.42578125" style="610" customWidth="1"/>
    <col min="782" max="782" width="8.7109375" style="610" customWidth="1"/>
    <col min="783" max="783" width="10.42578125" style="610" customWidth="1"/>
    <col min="784" max="784" width="10.28515625" style="610" customWidth="1"/>
    <col min="785" max="1024" width="11.42578125" style="610"/>
    <col min="1025" max="1025" width="7" style="610" customWidth="1"/>
    <col min="1026" max="1026" width="10.7109375" style="610" customWidth="1"/>
    <col min="1027" max="1027" width="10.5703125" style="610" customWidth="1"/>
    <col min="1028" max="1028" width="10.7109375" style="610" customWidth="1"/>
    <col min="1029" max="1029" width="10.28515625" style="610" customWidth="1"/>
    <col min="1030" max="1030" width="10.7109375" style="610" customWidth="1"/>
    <col min="1031" max="1031" width="9.42578125" style="610" customWidth="1"/>
    <col min="1032" max="1032" width="10.5703125" style="610" customWidth="1"/>
    <col min="1033" max="1033" width="13.7109375" style="610" customWidth="1"/>
    <col min="1034" max="1035" width="10.42578125" style="610" customWidth="1"/>
    <col min="1036" max="1036" width="10.28515625" style="610" customWidth="1"/>
    <col min="1037" max="1037" width="9.42578125" style="610" customWidth="1"/>
    <col min="1038" max="1038" width="8.7109375" style="610" customWidth="1"/>
    <col min="1039" max="1039" width="10.42578125" style="610" customWidth="1"/>
    <col min="1040" max="1040" width="10.28515625" style="610" customWidth="1"/>
    <col min="1041" max="1280" width="11.42578125" style="610"/>
    <col min="1281" max="1281" width="7" style="610" customWidth="1"/>
    <col min="1282" max="1282" width="10.7109375" style="610" customWidth="1"/>
    <col min="1283" max="1283" width="10.5703125" style="610" customWidth="1"/>
    <col min="1284" max="1284" width="10.7109375" style="610" customWidth="1"/>
    <col min="1285" max="1285" width="10.28515625" style="610" customWidth="1"/>
    <col min="1286" max="1286" width="10.7109375" style="610" customWidth="1"/>
    <col min="1287" max="1287" width="9.42578125" style="610" customWidth="1"/>
    <col min="1288" max="1288" width="10.5703125" style="610" customWidth="1"/>
    <col min="1289" max="1289" width="13.7109375" style="610" customWidth="1"/>
    <col min="1290" max="1291" width="10.42578125" style="610" customWidth="1"/>
    <col min="1292" max="1292" width="10.28515625" style="610" customWidth="1"/>
    <col min="1293" max="1293" width="9.42578125" style="610" customWidth="1"/>
    <col min="1294" max="1294" width="8.7109375" style="610" customWidth="1"/>
    <col min="1295" max="1295" width="10.42578125" style="610" customWidth="1"/>
    <col min="1296" max="1296" width="10.28515625" style="610" customWidth="1"/>
    <col min="1297" max="1536" width="11.42578125" style="610"/>
    <col min="1537" max="1537" width="7" style="610" customWidth="1"/>
    <col min="1538" max="1538" width="10.7109375" style="610" customWidth="1"/>
    <col min="1539" max="1539" width="10.5703125" style="610" customWidth="1"/>
    <col min="1540" max="1540" width="10.7109375" style="610" customWidth="1"/>
    <col min="1541" max="1541" width="10.28515625" style="610" customWidth="1"/>
    <col min="1542" max="1542" width="10.7109375" style="610" customWidth="1"/>
    <col min="1543" max="1543" width="9.42578125" style="610" customWidth="1"/>
    <col min="1544" max="1544" width="10.5703125" style="610" customWidth="1"/>
    <col min="1545" max="1545" width="13.7109375" style="610" customWidth="1"/>
    <col min="1546" max="1547" width="10.42578125" style="610" customWidth="1"/>
    <col min="1548" max="1548" width="10.28515625" style="610" customWidth="1"/>
    <col min="1549" max="1549" width="9.42578125" style="610" customWidth="1"/>
    <col min="1550" max="1550" width="8.7109375" style="610" customWidth="1"/>
    <col min="1551" max="1551" width="10.42578125" style="610" customWidth="1"/>
    <col min="1552" max="1552" width="10.28515625" style="610" customWidth="1"/>
    <col min="1553" max="1792" width="11.42578125" style="610"/>
    <col min="1793" max="1793" width="7" style="610" customWidth="1"/>
    <col min="1794" max="1794" width="10.7109375" style="610" customWidth="1"/>
    <col min="1795" max="1795" width="10.5703125" style="610" customWidth="1"/>
    <col min="1796" max="1796" width="10.7109375" style="610" customWidth="1"/>
    <col min="1797" max="1797" width="10.28515625" style="610" customWidth="1"/>
    <col min="1798" max="1798" width="10.7109375" style="610" customWidth="1"/>
    <col min="1799" max="1799" width="9.42578125" style="610" customWidth="1"/>
    <col min="1800" max="1800" width="10.5703125" style="610" customWidth="1"/>
    <col min="1801" max="1801" width="13.7109375" style="610" customWidth="1"/>
    <col min="1802" max="1803" width="10.42578125" style="610" customWidth="1"/>
    <col min="1804" max="1804" width="10.28515625" style="610" customWidth="1"/>
    <col min="1805" max="1805" width="9.42578125" style="610" customWidth="1"/>
    <col min="1806" max="1806" width="8.7109375" style="610" customWidth="1"/>
    <col min="1807" max="1807" width="10.42578125" style="610" customWidth="1"/>
    <col min="1808" max="1808" width="10.28515625" style="610" customWidth="1"/>
    <col min="1809" max="2048" width="11.42578125" style="610"/>
    <col min="2049" max="2049" width="7" style="610" customWidth="1"/>
    <col min="2050" max="2050" width="10.7109375" style="610" customWidth="1"/>
    <col min="2051" max="2051" width="10.5703125" style="610" customWidth="1"/>
    <col min="2052" max="2052" width="10.7109375" style="610" customWidth="1"/>
    <col min="2053" max="2053" width="10.28515625" style="610" customWidth="1"/>
    <col min="2054" max="2054" width="10.7109375" style="610" customWidth="1"/>
    <col min="2055" max="2055" width="9.42578125" style="610" customWidth="1"/>
    <col min="2056" max="2056" width="10.5703125" style="610" customWidth="1"/>
    <col min="2057" max="2057" width="13.7109375" style="610" customWidth="1"/>
    <col min="2058" max="2059" width="10.42578125" style="610" customWidth="1"/>
    <col min="2060" max="2060" width="10.28515625" style="610" customWidth="1"/>
    <col min="2061" max="2061" width="9.42578125" style="610" customWidth="1"/>
    <col min="2062" max="2062" width="8.7109375" style="610" customWidth="1"/>
    <col min="2063" max="2063" width="10.42578125" style="610" customWidth="1"/>
    <col min="2064" max="2064" width="10.28515625" style="610" customWidth="1"/>
    <col min="2065" max="2304" width="11.42578125" style="610"/>
    <col min="2305" max="2305" width="7" style="610" customWidth="1"/>
    <col min="2306" max="2306" width="10.7109375" style="610" customWidth="1"/>
    <col min="2307" max="2307" width="10.5703125" style="610" customWidth="1"/>
    <col min="2308" max="2308" width="10.7109375" style="610" customWidth="1"/>
    <col min="2309" max="2309" width="10.28515625" style="610" customWidth="1"/>
    <col min="2310" max="2310" width="10.7109375" style="610" customWidth="1"/>
    <col min="2311" max="2311" width="9.42578125" style="610" customWidth="1"/>
    <col min="2312" max="2312" width="10.5703125" style="610" customWidth="1"/>
    <col min="2313" max="2313" width="13.7109375" style="610" customWidth="1"/>
    <col min="2314" max="2315" width="10.42578125" style="610" customWidth="1"/>
    <col min="2316" max="2316" width="10.28515625" style="610" customWidth="1"/>
    <col min="2317" max="2317" width="9.42578125" style="610" customWidth="1"/>
    <col min="2318" max="2318" width="8.7109375" style="610" customWidth="1"/>
    <col min="2319" max="2319" width="10.42578125" style="610" customWidth="1"/>
    <col min="2320" max="2320" width="10.28515625" style="610" customWidth="1"/>
    <col min="2321" max="2560" width="11.42578125" style="610"/>
    <col min="2561" max="2561" width="7" style="610" customWidth="1"/>
    <col min="2562" max="2562" width="10.7109375" style="610" customWidth="1"/>
    <col min="2563" max="2563" width="10.5703125" style="610" customWidth="1"/>
    <col min="2564" max="2564" width="10.7109375" style="610" customWidth="1"/>
    <col min="2565" max="2565" width="10.28515625" style="610" customWidth="1"/>
    <col min="2566" max="2566" width="10.7109375" style="610" customWidth="1"/>
    <col min="2567" max="2567" width="9.42578125" style="610" customWidth="1"/>
    <col min="2568" max="2568" width="10.5703125" style="610" customWidth="1"/>
    <col min="2569" max="2569" width="13.7109375" style="610" customWidth="1"/>
    <col min="2570" max="2571" width="10.42578125" style="610" customWidth="1"/>
    <col min="2572" max="2572" width="10.28515625" style="610" customWidth="1"/>
    <col min="2573" max="2573" width="9.42578125" style="610" customWidth="1"/>
    <col min="2574" max="2574" width="8.7109375" style="610" customWidth="1"/>
    <col min="2575" max="2575" width="10.42578125" style="610" customWidth="1"/>
    <col min="2576" max="2576" width="10.28515625" style="610" customWidth="1"/>
    <col min="2577" max="2816" width="11.42578125" style="610"/>
    <col min="2817" max="2817" width="7" style="610" customWidth="1"/>
    <col min="2818" max="2818" width="10.7109375" style="610" customWidth="1"/>
    <col min="2819" max="2819" width="10.5703125" style="610" customWidth="1"/>
    <col min="2820" max="2820" width="10.7109375" style="610" customWidth="1"/>
    <col min="2821" max="2821" width="10.28515625" style="610" customWidth="1"/>
    <col min="2822" max="2822" width="10.7109375" style="610" customWidth="1"/>
    <col min="2823" max="2823" width="9.42578125" style="610" customWidth="1"/>
    <col min="2824" max="2824" width="10.5703125" style="610" customWidth="1"/>
    <col min="2825" max="2825" width="13.7109375" style="610" customWidth="1"/>
    <col min="2826" max="2827" width="10.42578125" style="610" customWidth="1"/>
    <col min="2828" max="2828" width="10.28515625" style="610" customWidth="1"/>
    <col min="2829" max="2829" width="9.42578125" style="610" customWidth="1"/>
    <col min="2830" max="2830" width="8.7109375" style="610" customWidth="1"/>
    <col min="2831" max="2831" width="10.42578125" style="610" customWidth="1"/>
    <col min="2832" max="2832" width="10.28515625" style="610" customWidth="1"/>
    <col min="2833" max="3072" width="11.42578125" style="610"/>
    <col min="3073" max="3073" width="7" style="610" customWidth="1"/>
    <col min="3074" max="3074" width="10.7109375" style="610" customWidth="1"/>
    <col min="3075" max="3075" width="10.5703125" style="610" customWidth="1"/>
    <col min="3076" max="3076" width="10.7109375" style="610" customWidth="1"/>
    <col min="3077" max="3077" width="10.28515625" style="610" customWidth="1"/>
    <col min="3078" max="3078" width="10.7109375" style="610" customWidth="1"/>
    <col min="3079" max="3079" width="9.42578125" style="610" customWidth="1"/>
    <col min="3080" max="3080" width="10.5703125" style="610" customWidth="1"/>
    <col min="3081" max="3081" width="13.7109375" style="610" customWidth="1"/>
    <col min="3082" max="3083" width="10.42578125" style="610" customWidth="1"/>
    <col min="3084" max="3084" width="10.28515625" style="610" customWidth="1"/>
    <col min="3085" max="3085" width="9.42578125" style="610" customWidth="1"/>
    <col min="3086" max="3086" width="8.7109375" style="610" customWidth="1"/>
    <col min="3087" max="3087" width="10.42578125" style="610" customWidth="1"/>
    <col min="3088" max="3088" width="10.28515625" style="610" customWidth="1"/>
    <col min="3089" max="3328" width="11.42578125" style="610"/>
    <col min="3329" max="3329" width="7" style="610" customWidth="1"/>
    <col min="3330" max="3330" width="10.7109375" style="610" customWidth="1"/>
    <col min="3331" max="3331" width="10.5703125" style="610" customWidth="1"/>
    <col min="3332" max="3332" width="10.7109375" style="610" customWidth="1"/>
    <col min="3333" max="3333" width="10.28515625" style="610" customWidth="1"/>
    <col min="3334" max="3334" width="10.7109375" style="610" customWidth="1"/>
    <col min="3335" max="3335" width="9.42578125" style="610" customWidth="1"/>
    <col min="3336" max="3336" width="10.5703125" style="610" customWidth="1"/>
    <col min="3337" max="3337" width="13.7109375" style="610" customWidth="1"/>
    <col min="3338" max="3339" width="10.42578125" style="610" customWidth="1"/>
    <col min="3340" max="3340" width="10.28515625" style="610" customWidth="1"/>
    <col min="3341" max="3341" width="9.42578125" style="610" customWidth="1"/>
    <col min="3342" max="3342" width="8.7109375" style="610" customWidth="1"/>
    <col min="3343" max="3343" width="10.42578125" style="610" customWidth="1"/>
    <col min="3344" max="3344" width="10.28515625" style="610" customWidth="1"/>
    <col min="3345" max="3584" width="11.42578125" style="610"/>
    <col min="3585" max="3585" width="7" style="610" customWidth="1"/>
    <col min="3586" max="3586" width="10.7109375" style="610" customWidth="1"/>
    <col min="3587" max="3587" width="10.5703125" style="610" customWidth="1"/>
    <col min="3588" max="3588" width="10.7109375" style="610" customWidth="1"/>
    <col min="3589" max="3589" width="10.28515625" style="610" customWidth="1"/>
    <col min="3590" max="3590" width="10.7109375" style="610" customWidth="1"/>
    <col min="3591" max="3591" width="9.42578125" style="610" customWidth="1"/>
    <col min="3592" max="3592" width="10.5703125" style="610" customWidth="1"/>
    <col min="3593" max="3593" width="13.7109375" style="610" customWidth="1"/>
    <col min="3594" max="3595" width="10.42578125" style="610" customWidth="1"/>
    <col min="3596" max="3596" width="10.28515625" style="610" customWidth="1"/>
    <col min="3597" max="3597" width="9.42578125" style="610" customWidth="1"/>
    <col min="3598" max="3598" width="8.7109375" style="610" customWidth="1"/>
    <col min="3599" max="3599" width="10.42578125" style="610" customWidth="1"/>
    <col min="3600" max="3600" width="10.28515625" style="610" customWidth="1"/>
    <col min="3601" max="3840" width="11.42578125" style="610"/>
    <col min="3841" max="3841" width="7" style="610" customWidth="1"/>
    <col min="3842" max="3842" width="10.7109375" style="610" customWidth="1"/>
    <col min="3843" max="3843" width="10.5703125" style="610" customWidth="1"/>
    <col min="3844" max="3844" width="10.7109375" style="610" customWidth="1"/>
    <col min="3845" max="3845" width="10.28515625" style="610" customWidth="1"/>
    <col min="3846" max="3846" width="10.7109375" style="610" customWidth="1"/>
    <col min="3847" max="3847" width="9.42578125" style="610" customWidth="1"/>
    <col min="3848" max="3848" width="10.5703125" style="610" customWidth="1"/>
    <col min="3849" max="3849" width="13.7109375" style="610" customWidth="1"/>
    <col min="3850" max="3851" width="10.42578125" style="610" customWidth="1"/>
    <col min="3852" max="3852" width="10.28515625" style="610" customWidth="1"/>
    <col min="3853" max="3853" width="9.42578125" style="610" customWidth="1"/>
    <col min="3854" max="3854" width="8.7109375" style="610" customWidth="1"/>
    <col min="3855" max="3855" width="10.42578125" style="610" customWidth="1"/>
    <col min="3856" max="3856" width="10.28515625" style="610" customWidth="1"/>
    <col min="3857" max="4096" width="11.42578125" style="610"/>
    <col min="4097" max="4097" width="7" style="610" customWidth="1"/>
    <col min="4098" max="4098" width="10.7109375" style="610" customWidth="1"/>
    <col min="4099" max="4099" width="10.5703125" style="610" customWidth="1"/>
    <col min="4100" max="4100" width="10.7109375" style="610" customWidth="1"/>
    <col min="4101" max="4101" width="10.28515625" style="610" customWidth="1"/>
    <col min="4102" max="4102" width="10.7109375" style="610" customWidth="1"/>
    <col min="4103" max="4103" width="9.42578125" style="610" customWidth="1"/>
    <col min="4104" max="4104" width="10.5703125" style="610" customWidth="1"/>
    <col min="4105" max="4105" width="13.7109375" style="610" customWidth="1"/>
    <col min="4106" max="4107" width="10.42578125" style="610" customWidth="1"/>
    <col min="4108" max="4108" width="10.28515625" style="610" customWidth="1"/>
    <col min="4109" max="4109" width="9.42578125" style="610" customWidth="1"/>
    <col min="4110" max="4110" width="8.7109375" style="610" customWidth="1"/>
    <col min="4111" max="4111" width="10.42578125" style="610" customWidth="1"/>
    <col min="4112" max="4112" width="10.28515625" style="610" customWidth="1"/>
    <col min="4113" max="4352" width="11.42578125" style="610"/>
    <col min="4353" max="4353" width="7" style="610" customWidth="1"/>
    <col min="4354" max="4354" width="10.7109375" style="610" customWidth="1"/>
    <col min="4355" max="4355" width="10.5703125" style="610" customWidth="1"/>
    <col min="4356" max="4356" width="10.7109375" style="610" customWidth="1"/>
    <col min="4357" max="4357" width="10.28515625" style="610" customWidth="1"/>
    <col min="4358" max="4358" width="10.7109375" style="610" customWidth="1"/>
    <col min="4359" max="4359" width="9.42578125" style="610" customWidth="1"/>
    <col min="4360" max="4360" width="10.5703125" style="610" customWidth="1"/>
    <col min="4361" max="4361" width="13.7109375" style="610" customWidth="1"/>
    <col min="4362" max="4363" width="10.42578125" style="610" customWidth="1"/>
    <col min="4364" max="4364" width="10.28515625" style="610" customWidth="1"/>
    <col min="4365" max="4365" width="9.42578125" style="610" customWidth="1"/>
    <col min="4366" max="4366" width="8.7109375" style="610" customWidth="1"/>
    <col min="4367" max="4367" width="10.42578125" style="610" customWidth="1"/>
    <col min="4368" max="4368" width="10.28515625" style="610" customWidth="1"/>
    <col min="4369" max="4608" width="11.42578125" style="610"/>
    <col min="4609" max="4609" width="7" style="610" customWidth="1"/>
    <col min="4610" max="4610" width="10.7109375" style="610" customWidth="1"/>
    <col min="4611" max="4611" width="10.5703125" style="610" customWidth="1"/>
    <col min="4612" max="4612" width="10.7109375" style="610" customWidth="1"/>
    <col min="4613" max="4613" width="10.28515625" style="610" customWidth="1"/>
    <col min="4614" max="4614" width="10.7109375" style="610" customWidth="1"/>
    <col min="4615" max="4615" width="9.42578125" style="610" customWidth="1"/>
    <col min="4616" max="4616" width="10.5703125" style="610" customWidth="1"/>
    <col min="4617" max="4617" width="13.7109375" style="610" customWidth="1"/>
    <col min="4618" max="4619" width="10.42578125" style="610" customWidth="1"/>
    <col min="4620" max="4620" width="10.28515625" style="610" customWidth="1"/>
    <col min="4621" max="4621" width="9.42578125" style="610" customWidth="1"/>
    <col min="4622" max="4622" width="8.7109375" style="610" customWidth="1"/>
    <col min="4623" max="4623" width="10.42578125" style="610" customWidth="1"/>
    <col min="4624" max="4624" width="10.28515625" style="610" customWidth="1"/>
    <col min="4625" max="4864" width="11.42578125" style="610"/>
    <col min="4865" max="4865" width="7" style="610" customWidth="1"/>
    <col min="4866" max="4866" width="10.7109375" style="610" customWidth="1"/>
    <col min="4867" max="4867" width="10.5703125" style="610" customWidth="1"/>
    <col min="4868" max="4868" width="10.7109375" style="610" customWidth="1"/>
    <col min="4869" max="4869" width="10.28515625" style="610" customWidth="1"/>
    <col min="4870" max="4870" width="10.7109375" style="610" customWidth="1"/>
    <col min="4871" max="4871" width="9.42578125" style="610" customWidth="1"/>
    <col min="4872" max="4872" width="10.5703125" style="610" customWidth="1"/>
    <col min="4873" max="4873" width="13.7109375" style="610" customWidth="1"/>
    <col min="4874" max="4875" width="10.42578125" style="610" customWidth="1"/>
    <col min="4876" max="4876" width="10.28515625" style="610" customWidth="1"/>
    <col min="4877" max="4877" width="9.42578125" style="610" customWidth="1"/>
    <col min="4878" max="4878" width="8.7109375" style="610" customWidth="1"/>
    <col min="4879" max="4879" width="10.42578125" style="610" customWidth="1"/>
    <col min="4880" max="4880" width="10.28515625" style="610" customWidth="1"/>
    <col min="4881" max="5120" width="11.42578125" style="610"/>
    <col min="5121" max="5121" width="7" style="610" customWidth="1"/>
    <col min="5122" max="5122" width="10.7109375" style="610" customWidth="1"/>
    <col min="5123" max="5123" width="10.5703125" style="610" customWidth="1"/>
    <col min="5124" max="5124" width="10.7109375" style="610" customWidth="1"/>
    <col min="5125" max="5125" width="10.28515625" style="610" customWidth="1"/>
    <col min="5126" max="5126" width="10.7109375" style="610" customWidth="1"/>
    <col min="5127" max="5127" width="9.42578125" style="610" customWidth="1"/>
    <col min="5128" max="5128" width="10.5703125" style="610" customWidth="1"/>
    <col min="5129" max="5129" width="13.7109375" style="610" customWidth="1"/>
    <col min="5130" max="5131" width="10.42578125" style="610" customWidth="1"/>
    <col min="5132" max="5132" width="10.28515625" style="610" customWidth="1"/>
    <col min="5133" max="5133" width="9.42578125" style="610" customWidth="1"/>
    <col min="5134" max="5134" width="8.7109375" style="610" customWidth="1"/>
    <col min="5135" max="5135" width="10.42578125" style="610" customWidth="1"/>
    <col min="5136" max="5136" width="10.28515625" style="610" customWidth="1"/>
    <col min="5137" max="5376" width="11.42578125" style="610"/>
    <col min="5377" max="5377" width="7" style="610" customWidth="1"/>
    <col min="5378" max="5378" width="10.7109375" style="610" customWidth="1"/>
    <col min="5379" max="5379" width="10.5703125" style="610" customWidth="1"/>
    <col min="5380" max="5380" width="10.7109375" style="610" customWidth="1"/>
    <col min="5381" max="5381" width="10.28515625" style="610" customWidth="1"/>
    <col min="5382" max="5382" width="10.7109375" style="610" customWidth="1"/>
    <col min="5383" max="5383" width="9.42578125" style="610" customWidth="1"/>
    <col min="5384" max="5384" width="10.5703125" style="610" customWidth="1"/>
    <col min="5385" max="5385" width="13.7109375" style="610" customWidth="1"/>
    <col min="5386" max="5387" width="10.42578125" style="610" customWidth="1"/>
    <col min="5388" max="5388" width="10.28515625" style="610" customWidth="1"/>
    <col min="5389" max="5389" width="9.42578125" style="610" customWidth="1"/>
    <col min="5390" max="5390" width="8.7109375" style="610" customWidth="1"/>
    <col min="5391" max="5391" width="10.42578125" style="610" customWidth="1"/>
    <col min="5392" max="5392" width="10.28515625" style="610" customWidth="1"/>
    <col min="5393" max="5632" width="11.42578125" style="610"/>
    <col min="5633" max="5633" width="7" style="610" customWidth="1"/>
    <col min="5634" max="5634" width="10.7109375" style="610" customWidth="1"/>
    <col min="5635" max="5635" width="10.5703125" style="610" customWidth="1"/>
    <col min="5636" max="5636" width="10.7109375" style="610" customWidth="1"/>
    <col min="5637" max="5637" width="10.28515625" style="610" customWidth="1"/>
    <col min="5638" max="5638" width="10.7109375" style="610" customWidth="1"/>
    <col min="5639" max="5639" width="9.42578125" style="610" customWidth="1"/>
    <col min="5640" max="5640" width="10.5703125" style="610" customWidth="1"/>
    <col min="5641" max="5641" width="13.7109375" style="610" customWidth="1"/>
    <col min="5642" max="5643" width="10.42578125" style="610" customWidth="1"/>
    <col min="5644" max="5644" width="10.28515625" style="610" customWidth="1"/>
    <col min="5645" max="5645" width="9.42578125" style="610" customWidth="1"/>
    <col min="5646" max="5646" width="8.7109375" style="610" customWidth="1"/>
    <col min="5647" max="5647" width="10.42578125" style="610" customWidth="1"/>
    <col min="5648" max="5648" width="10.28515625" style="610" customWidth="1"/>
    <col min="5649" max="5888" width="11.42578125" style="610"/>
    <col min="5889" max="5889" width="7" style="610" customWidth="1"/>
    <col min="5890" max="5890" width="10.7109375" style="610" customWidth="1"/>
    <col min="5891" max="5891" width="10.5703125" style="610" customWidth="1"/>
    <col min="5892" max="5892" width="10.7109375" style="610" customWidth="1"/>
    <col min="5893" max="5893" width="10.28515625" style="610" customWidth="1"/>
    <col min="5894" max="5894" width="10.7109375" style="610" customWidth="1"/>
    <col min="5895" max="5895" width="9.42578125" style="610" customWidth="1"/>
    <col min="5896" max="5896" width="10.5703125" style="610" customWidth="1"/>
    <col min="5897" max="5897" width="13.7109375" style="610" customWidth="1"/>
    <col min="5898" max="5899" width="10.42578125" style="610" customWidth="1"/>
    <col min="5900" max="5900" width="10.28515625" style="610" customWidth="1"/>
    <col min="5901" max="5901" width="9.42578125" style="610" customWidth="1"/>
    <col min="5902" max="5902" width="8.7109375" style="610" customWidth="1"/>
    <col min="5903" max="5903" width="10.42578125" style="610" customWidth="1"/>
    <col min="5904" max="5904" width="10.28515625" style="610" customWidth="1"/>
    <col min="5905" max="6144" width="11.42578125" style="610"/>
    <col min="6145" max="6145" width="7" style="610" customWidth="1"/>
    <col min="6146" max="6146" width="10.7109375" style="610" customWidth="1"/>
    <col min="6147" max="6147" width="10.5703125" style="610" customWidth="1"/>
    <col min="6148" max="6148" width="10.7109375" style="610" customWidth="1"/>
    <col min="6149" max="6149" width="10.28515625" style="610" customWidth="1"/>
    <col min="6150" max="6150" width="10.7109375" style="610" customWidth="1"/>
    <col min="6151" max="6151" width="9.42578125" style="610" customWidth="1"/>
    <col min="6152" max="6152" width="10.5703125" style="610" customWidth="1"/>
    <col min="6153" max="6153" width="13.7109375" style="610" customWidth="1"/>
    <col min="6154" max="6155" width="10.42578125" style="610" customWidth="1"/>
    <col min="6156" max="6156" width="10.28515625" style="610" customWidth="1"/>
    <col min="6157" max="6157" width="9.42578125" style="610" customWidth="1"/>
    <col min="6158" max="6158" width="8.7109375" style="610" customWidth="1"/>
    <col min="6159" max="6159" width="10.42578125" style="610" customWidth="1"/>
    <col min="6160" max="6160" width="10.28515625" style="610" customWidth="1"/>
    <col min="6161" max="6400" width="11.42578125" style="610"/>
    <col min="6401" max="6401" width="7" style="610" customWidth="1"/>
    <col min="6402" max="6402" width="10.7109375" style="610" customWidth="1"/>
    <col min="6403" max="6403" width="10.5703125" style="610" customWidth="1"/>
    <col min="6404" max="6404" width="10.7109375" style="610" customWidth="1"/>
    <col min="6405" max="6405" width="10.28515625" style="610" customWidth="1"/>
    <col min="6406" max="6406" width="10.7109375" style="610" customWidth="1"/>
    <col min="6407" max="6407" width="9.42578125" style="610" customWidth="1"/>
    <col min="6408" max="6408" width="10.5703125" style="610" customWidth="1"/>
    <col min="6409" max="6409" width="13.7109375" style="610" customWidth="1"/>
    <col min="6410" max="6411" width="10.42578125" style="610" customWidth="1"/>
    <col min="6412" max="6412" width="10.28515625" style="610" customWidth="1"/>
    <col min="6413" max="6413" width="9.42578125" style="610" customWidth="1"/>
    <col min="6414" max="6414" width="8.7109375" style="610" customWidth="1"/>
    <col min="6415" max="6415" width="10.42578125" style="610" customWidth="1"/>
    <col min="6416" max="6416" width="10.28515625" style="610" customWidth="1"/>
    <col min="6417" max="6656" width="11.42578125" style="610"/>
    <col min="6657" max="6657" width="7" style="610" customWidth="1"/>
    <col min="6658" max="6658" width="10.7109375" style="610" customWidth="1"/>
    <col min="6659" max="6659" width="10.5703125" style="610" customWidth="1"/>
    <col min="6660" max="6660" width="10.7109375" style="610" customWidth="1"/>
    <col min="6661" max="6661" width="10.28515625" style="610" customWidth="1"/>
    <col min="6662" max="6662" width="10.7109375" style="610" customWidth="1"/>
    <col min="6663" max="6663" width="9.42578125" style="610" customWidth="1"/>
    <col min="6664" max="6664" width="10.5703125" style="610" customWidth="1"/>
    <col min="6665" max="6665" width="13.7109375" style="610" customWidth="1"/>
    <col min="6666" max="6667" width="10.42578125" style="610" customWidth="1"/>
    <col min="6668" max="6668" width="10.28515625" style="610" customWidth="1"/>
    <col min="6669" max="6669" width="9.42578125" style="610" customWidth="1"/>
    <col min="6670" max="6670" width="8.7109375" style="610" customWidth="1"/>
    <col min="6671" max="6671" width="10.42578125" style="610" customWidth="1"/>
    <col min="6672" max="6672" width="10.28515625" style="610" customWidth="1"/>
    <col min="6673" max="6912" width="11.42578125" style="610"/>
    <col min="6913" max="6913" width="7" style="610" customWidth="1"/>
    <col min="6914" max="6914" width="10.7109375" style="610" customWidth="1"/>
    <col min="6915" max="6915" width="10.5703125" style="610" customWidth="1"/>
    <col min="6916" max="6916" width="10.7109375" style="610" customWidth="1"/>
    <col min="6917" max="6917" width="10.28515625" style="610" customWidth="1"/>
    <col min="6918" max="6918" width="10.7109375" style="610" customWidth="1"/>
    <col min="6919" max="6919" width="9.42578125" style="610" customWidth="1"/>
    <col min="6920" max="6920" width="10.5703125" style="610" customWidth="1"/>
    <col min="6921" max="6921" width="13.7109375" style="610" customWidth="1"/>
    <col min="6922" max="6923" width="10.42578125" style="610" customWidth="1"/>
    <col min="6924" max="6924" width="10.28515625" style="610" customWidth="1"/>
    <col min="6925" max="6925" width="9.42578125" style="610" customWidth="1"/>
    <col min="6926" max="6926" width="8.7109375" style="610" customWidth="1"/>
    <col min="6927" max="6927" width="10.42578125" style="610" customWidth="1"/>
    <col min="6928" max="6928" width="10.28515625" style="610" customWidth="1"/>
    <col min="6929" max="7168" width="11.42578125" style="610"/>
    <col min="7169" max="7169" width="7" style="610" customWidth="1"/>
    <col min="7170" max="7170" width="10.7109375" style="610" customWidth="1"/>
    <col min="7171" max="7171" width="10.5703125" style="610" customWidth="1"/>
    <col min="7172" max="7172" width="10.7109375" style="610" customWidth="1"/>
    <col min="7173" max="7173" width="10.28515625" style="610" customWidth="1"/>
    <col min="7174" max="7174" width="10.7109375" style="610" customWidth="1"/>
    <col min="7175" max="7175" width="9.42578125" style="610" customWidth="1"/>
    <col min="7176" max="7176" width="10.5703125" style="610" customWidth="1"/>
    <col min="7177" max="7177" width="13.7109375" style="610" customWidth="1"/>
    <col min="7178" max="7179" width="10.42578125" style="610" customWidth="1"/>
    <col min="7180" max="7180" width="10.28515625" style="610" customWidth="1"/>
    <col min="7181" max="7181" width="9.42578125" style="610" customWidth="1"/>
    <col min="7182" max="7182" width="8.7109375" style="610" customWidth="1"/>
    <col min="7183" max="7183" width="10.42578125" style="610" customWidth="1"/>
    <col min="7184" max="7184" width="10.28515625" style="610" customWidth="1"/>
    <col min="7185" max="7424" width="11.42578125" style="610"/>
    <col min="7425" max="7425" width="7" style="610" customWidth="1"/>
    <col min="7426" max="7426" width="10.7109375" style="610" customWidth="1"/>
    <col min="7427" max="7427" width="10.5703125" style="610" customWidth="1"/>
    <col min="7428" max="7428" width="10.7109375" style="610" customWidth="1"/>
    <col min="7429" max="7429" width="10.28515625" style="610" customWidth="1"/>
    <col min="7430" max="7430" width="10.7109375" style="610" customWidth="1"/>
    <col min="7431" max="7431" width="9.42578125" style="610" customWidth="1"/>
    <col min="7432" max="7432" width="10.5703125" style="610" customWidth="1"/>
    <col min="7433" max="7433" width="13.7109375" style="610" customWidth="1"/>
    <col min="7434" max="7435" width="10.42578125" style="610" customWidth="1"/>
    <col min="7436" max="7436" width="10.28515625" style="610" customWidth="1"/>
    <col min="7437" max="7437" width="9.42578125" style="610" customWidth="1"/>
    <col min="7438" max="7438" width="8.7109375" style="610" customWidth="1"/>
    <col min="7439" max="7439" width="10.42578125" style="610" customWidth="1"/>
    <col min="7440" max="7440" width="10.28515625" style="610" customWidth="1"/>
    <col min="7441" max="7680" width="11.42578125" style="610"/>
    <col min="7681" max="7681" width="7" style="610" customWidth="1"/>
    <col min="7682" max="7682" width="10.7109375" style="610" customWidth="1"/>
    <col min="7683" max="7683" width="10.5703125" style="610" customWidth="1"/>
    <col min="7684" max="7684" width="10.7109375" style="610" customWidth="1"/>
    <col min="7685" max="7685" width="10.28515625" style="610" customWidth="1"/>
    <col min="7686" max="7686" width="10.7109375" style="610" customWidth="1"/>
    <col min="7687" max="7687" width="9.42578125" style="610" customWidth="1"/>
    <col min="7688" max="7688" width="10.5703125" style="610" customWidth="1"/>
    <col min="7689" max="7689" width="13.7109375" style="610" customWidth="1"/>
    <col min="7690" max="7691" width="10.42578125" style="610" customWidth="1"/>
    <col min="7692" max="7692" width="10.28515625" style="610" customWidth="1"/>
    <col min="7693" max="7693" width="9.42578125" style="610" customWidth="1"/>
    <col min="7694" max="7694" width="8.7109375" style="610" customWidth="1"/>
    <col min="7695" max="7695" width="10.42578125" style="610" customWidth="1"/>
    <col min="7696" max="7696" width="10.28515625" style="610" customWidth="1"/>
    <col min="7697" max="7936" width="11.42578125" style="610"/>
    <col min="7937" max="7937" width="7" style="610" customWidth="1"/>
    <col min="7938" max="7938" width="10.7109375" style="610" customWidth="1"/>
    <col min="7939" max="7939" width="10.5703125" style="610" customWidth="1"/>
    <col min="7940" max="7940" width="10.7109375" style="610" customWidth="1"/>
    <col min="7941" max="7941" width="10.28515625" style="610" customWidth="1"/>
    <col min="7942" max="7942" width="10.7109375" style="610" customWidth="1"/>
    <col min="7943" max="7943" width="9.42578125" style="610" customWidth="1"/>
    <col min="7944" max="7944" width="10.5703125" style="610" customWidth="1"/>
    <col min="7945" max="7945" width="13.7109375" style="610" customWidth="1"/>
    <col min="7946" max="7947" width="10.42578125" style="610" customWidth="1"/>
    <col min="7948" max="7948" width="10.28515625" style="610" customWidth="1"/>
    <col min="7949" max="7949" width="9.42578125" style="610" customWidth="1"/>
    <col min="7950" max="7950" width="8.7109375" style="610" customWidth="1"/>
    <col min="7951" max="7951" width="10.42578125" style="610" customWidth="1"/>
    <col min="7952" max="7952" width="10.28515625" style="610" customWidth="1"/>
    <col min="7953" max="8192" width="11.42578125" style="610"/>
    <col min="8193" max="8193" width="7" style="610" customWidth="1"/>
    <col min="8194" max="8194" width="10.7109375" style="610" customWidth="1"/>
    <col min="8195" max="8195" width="10.5703125" style="610" customWidth="1"/>
    <col min="8196" max="8196" width="10.7109375" style="610" customWidth="1"/>
    <col min="8197" max="8197" width="10.28515625" style="610" customWidth="1"/>
    <col min="8198" max="8198" width="10.7109375" style="610" customWidth="1"/>
    <col min="8199" max="8199" width="9.42578125" style="610" customWidth="1"/>
    <col min="8200" max="8200" width="10.5703125" style="610" customWidth="1"/>
    <col min="8201" max="8201" width="13.7109375" style="610" customWidth="1"/>
    <col min="8202" max="8203" width="10.42578125" style="610" customWidth="1"/>
    <col min="8204" max="8204" width="10.28515625" style="610" customWidth="1"/>
    <col min="8205" max="8205" width="9.42578125" style="610" customWidth="1"/>
    <col min="8206" max="8206" width="8.7109375" style="610" customWidth="1"/>
    <col min="8207" max="8207" width="10.42578125" style="610" customWidth="1"/>
    <col min="8208" max="8208" width="10.28515625" style="610" customWidth="1"/>
    <col min="8209" max="8448" width="11.42578125" style="610"/>
    <col min="8449" max="8449" width="7" style="610" customWidth="1"/>
    <col min="8450" max="8450" width="10.7109375" style="610" customWidth="1"/>
    <col min="8451" max="8451" width="10.5703125" style="610" customWidth="1"/>
    <col min="8452" max="8452" width="10.7109375" style="610" customWidth="1"/>
    <col min="8453" max="8453" width="10.28515625" style="610" customWidth="1"/>
    <col min="8454" max="8454" width="10.7109375" style="610" customWidth="1"/>
    <col min="8455" max="8455" width="9.42578125" style="610" customWidth="1"/>
    <col min="8456" max="8456" width="10.5703125" style="610" customWidth="1"/>
    <col min="8457" max="8457" width="13.7109375" style="610" customWidth="1"/>
    <col min="8458" max="8459" width="10.42578125" style="610" customWidth="1"/>
    <col min="8460" max="8460" width="10.28515625" style="610" customWidth="1"/>
    <col min="8461" max="8461" width="9.42578125" style="610" customWidth="1"/>
    <col min="8462" max="8462" width="8.7109375" style="610" customWidth="1"/>
    <col min="8463" max="8463" width="10.42578125" style="610" customWidth="1"/>
    <col min="8464" max="8464" width="10.28515625" style="610" customWidth="1"/>
    <col min="8465" max="8704" width="11.42578125" style="610"/>
    <col min="8705" max="8705" width="7" style="610" customWidth="1"/>
    <col min="8706" max="8706" width="10.7109375" style="610" customWidth="1"/>
    <col min="8707" max="8707" width="10.5703125" style="610" customWidth="1"/>
    <col min="8708" max="8708" width="10.7109375" style="610" customWidth="1"/>
    <col min="8709" max="8709" width="10.28515625" style="610" customWidth="1"/>
    <col min="8710" max="8710" width="10.7109375" style="610" customWidth="1"/>
    <col min="8711" max="8711" width="9.42578125" style="610" customWidth="1"/>
    <col min="8712" max="8712" width="10.5703125" style="610" customWidth="1"/>
    <col min="8713" max="8713" width="13.7109375" style="610" customWidth="1"/>
    <col min="8714" max="8715" width="10.42578125" style="610" customWidth="1"/>
    <col min="8716" max="8716" width="10.28515625" style="610" customWidth="1"/>
    <col min="8717" max="8717" width="9.42578125" style="610" customWidth="1"/>
    <col min="8718" max="8718" width="8.7109375" style="610" customWidth="1"/>
    <col min="8719" max="8719" width="10.42578125" style="610" customWidth="1"/>
    <col min="8720" max="8720" width="10.28515625" style="610" customWidth="1"/>
    <col min="8721" max="8960" width="11.42578125" style="610"/>
    <col min="8961" max="8961" width="7" style="610" customWidth="1"/>
    <col min="8962" max="8962" width="10.7109375" style="610" customWidth="1"/>
    <col min="8963" max="8963" width="10.5703125" style="610" customWidth="1"/>
    <col min="8964" max="8964" width="10.7109375" style="610" customWidth="1"/>
    <col min="8965" max="8965" width="10.28515625" style="610" customWidth="1"/>
    <col min="8966" max="8966" width="10.7109375" style="610" customWidth="1"/>
    <col min="8967" max="8967" width="9.42578125" style="610" customWidth="1"/>
    <col min="8968" max="8968" width="10.5703125" style="610" customWidth="1"/>
    <col min="8969" max="8969" width="13.7109375" style="610" customWidth="1"/>
    <col min="8970" max="8971" width="10.42578125" style="610" customWidth="1"/>
    <col min="8972" max="8972" width="10.28515625" style="610" customWidth="1"/>
    <col min="8973" max="8973" width="9.42578125" style="610" customWidth="1"/>
    <col min="8974" max="8974" width="8.7109375" style="610" customWidth="1"/>
    <col min="8975" max="8975" width="10.42578125" style="610" customWidth="1"/>
    <col min="8976" max="8976" width="10.28515625" style="610" customWidth="1"/>
    <col min="8977" max="9216" width="11.42578125" style="610"/>
    <col min="9217" max="9217" width="7" style="610" customWidth="1"/>
    <col min="9218" max="9218" width="10.7109375" style="610" customWidth="1"/>
    <col min="9219" max="9219" width="10.5703125" style="610" customWidth="1"/>
    <col min="9220" max="9220" width="10.7109375" style="610" customWidth="1"/>
    <col min="9221" max="9221" width="10.28515625" style="610" customWidth="1"/>
    <col min="9222" max="9222" width="10.7109375" style="610" customWidth="1"/>
    <col min="9223" max="9223" width="9.42578125" style="610" customWidth="1"/>
    <col min="9224" max="9224" width="10.5703125" style="610" customWidth="1"/>
    <col min="9225" max="9225" width="13.7109375" style="610" customWidth="1"/>
    <col min="9226" max="9227" width="10.42578125" style="610" customWidth="1"/>
    <col min="9228" max="9228" width="10.28515625" style="610" customWidth="1"/>
    <col min="9229" max="9229" width="9.42578125" style="610" customWidth="1"/>
    <col min="9230" max="9230" width="8.7109375" style="610" customWidth="1"/>
    <col min="9231" max="9231" width="10.42578125" style="610" customWidth="1"/>
    <col min="9232" max="9232" width="10.28515625" style="610" customWidth="1"/>
    <col min="9233" max="9472" width="11.42578125" style="610"/>
    <col min="9473" max="9473" width="7" style="610" customWidth="1"/>
    <col min="9474" max="9474" width="10.7109375" style="610" customWidth="1"/>
    <col min="9475" max="9475" width="10.5703125" style="610" customWidth="1"/>
    <col min="9476" max="9476" width="10.7109375" style="610" customWidth="1"/>
    <col min="9477" max="9477" width="10.28515625" style="610" customWidth="1"/>
    <col min="9478" max="9478" width="10.7109375" style="610" customWidth="1"/>
    <col min="9479" max="9479" width="9.42578125" style="610" customWidth="1"/>
    <col min="9480" max="9480" width="10.5703125" style="610" customWidth="1"/>
    <col min="9481" max="9481" width="13.7109375" style="610" customWidth="1"/>
    <col min="9482" max="9483" width="10.42578125" style="610" customWidth="1"/>
    <col min="9484" max="9484" width="10.28515625" style="610" customWidth="1"/>
    <col min="9485" max="9485" width="9.42578125" style="610" customWidth="1"/>
    <col min="9486" max="9486" width="8.7109375" style="610" customWidth="1"/>
    <col min="9487" max="9487" width="10.42578125" style="610" customWidth="1"/>
    <col min="9488" max="9488" width="10.28515625" style="610" customWidth="1"/>
    <col min="9489" max="9728" width="11.42578125" style="610"/>
    <col min="9729" max="9729" width="7" style="610" customWidth="1"/>
    <col min="9730" max="9730" width="10.7109375" style="610" customWidth="1"/>
    <col min="9731" max="9731" width="10.5703125" style="610" customWidth="1"/>
    <col min="9732" max="9732" width="10.7109375" style="610" customWidth="1"/>
    <col min="9733" max="9733" width="10.28515625" style="610" customWidth="1"/>
    <col min="9734" max="9734" width="10.7109375" style="610" customWidth="1"/>
    <col min="9735" max="9735" width="9.42578125" style="610" customWidth="1"/>
    <col min="9736" max="9736" width="10.5703125" style="610" customWidth="1"/>
    <col min="9737" max="9737" width="13.7109375" style="610" customWidth="1"/>
    <col min="9738" max="9739" width="10.42578125" style="610" customWidth="1"/>
    <col min="9740" max="9740" width="10.28515625" style="610" customWidth="1"/>
    <col min="9741" max="9741" width="9.42578125" style="610" customWidth="1"/>
    <col min="9742" max="9742" width="8.7109375" style="610" customWidth="1"/>
    <col min="9743" max="9743" width="10.42578125" style="610" customWidth="1"/>
    <col min="9744" max="9744" width="10.28515625" style="610" customWidth="1"/>
    <col min="9745" max="9984" width="11.42578125" style="610"/>
    <col min="9985" max="9985" width="7" style="610" customWidth="1"/>
    <col min="9986" max="9986" width="10.7109375" style="610" customWidth="1"/>
    <col min="9987" max="9987" width="10.5703125" style="610" customWidth="1"/>
    <col min="9988" max="9988" width="10.7109375" style="610" customWidth="1"/>
    <col min="9989" max="9989" width="10.28515625" style="610" customWidth="1"/>
    <col min="9990" max="9990" width="10.7109375" style="610" customWidth="1"/>
    <col min="9991" max="9991" width="9.42578125" style="610" customWidth="1"/>
    <col min="9992" max="9992" width="10.5703125" style="610" customWidth="1"/>
    <col min="9993" max="9993" width="13.7109375" style="610" customWidth="1"/>
    <col min="9994" max="9995" width="10.42578125" style="610" customWidth="1"/>
    <col min="9996" max="9996" width="10.28515625" style="610" customWidth="1"/>
    <col min="9997" max="9997" width="9.42578125" style="610" customWidth="1"/>
    <col min="9998" max="9998" width="8.7109375" style="610" customWidth="1"/>
    <col min="9999" max="9999" width="10.42578125" style="610" customWidth="1"/>
    <col min="10000" max="10000" width="10.28515625" style="610" customWidth="1"/>
    <col min="10001" max="10240" width="11.42578125" style="610"/>
    <col min="10241" max="10241" width="7" style="610" customWidth="1"/>
    <col min="10242" max="10242" width="10.7109375" style="610" customWidth="1"/>
    <col min="10243" max="10243" width="10.5703125" style="610" customWidth="1"/>
    <col min="10244" max="10244" width="10.7109375" style="610" customWidth="1"/>
    <col min="10245" max="10245" width="10.28515625" style="610" customWidth="1"/>
    <col min="10246" max="10246" width="10.7109375" style="610" customWidth="1"/>
    <col min="10247" max="10247" width="9.42578125" style="610" customWidth="1"/>
    <col min="10248" max="10248" width="10.5703125" style="610" customWidth="1"/>
    <col min="10249" max="10249" width="13.7109375" style="610" customWidth="1"/>
    <col min="10250" max="10251" width="10.42578125" style="610" customWidth="1"/>
    <col min="10252" max="10252" width="10.28515625" style="610" customWidth="1"/>
    <col min="10253" max="10253" width="9.42578125" style="610" customWidth="1"/>
    <col min="10254" max="10254" width="8.7109375" style="610" customWidth="1"/>
    <col min="10255" max="10255" width="10.42578125" style="610" customWidth="1"/>
    <col min="10256" max="10256" width="10.28515625" style="610" customWidth="1"/>
    <col min="10257" max="10496" width="11.42578125" style="610"/>
    <col min="10497" max="10497" width="7" style="610" customWidth="1"/>
    <col min="10498" max="10498" width="10.7109375" style="610" customWidth="1"/>
    <col min="10499" max="10499" width="10.5703125" style="610" customWidth="1"/>
    <col min="10500" max="10500" width="10.7109375" style="610" customWidth="1"/>
    <col min="10501" max="10501" width="10.28515625" style="610" customWidth="1"/>
    <col min="10502" max="10502" width="10.7109375" style="610" customWidth="1"/>
    <col min="10503" max="10503" width="9.42578125" style="610" customWidth="1"/>
    <col min="10504" max="10504" width="10.5703125" style="610" customWidth="1"/>
    <col min="10505" max="10505" width="13.7109375" style="610" customWidth="1"/>
    <col min="10506" max="10507" width="10.42578125" style="610" customWidth="1"/>
    <col min="10508" max="10508" width="10.28515625" style="610" customWidth="1"/>
    <col min="10509" max="10509" width="9.42578125" style="610" customWidth="1"/>
    <col min="10510" max="10510" width="8.7109375" style="610" customWidth="1"/>
    <col min="10511" max="10511" width="10.42578125" style="610" customWidth="1"/>
    <col min="10512" max="10512" width="10.28515625" style="610" customWidth="1"/>
    <col min="10513" max="10752" width="11.42578125" style="610"/>
    <col min="10753" max="10753" width="7" style="610" customWidth="1"/>
    <col min="10754" max="10754" width="10.7109375" style="610" customWidth="1"/>
    <col min="10755" max="10755" width="10.5703125" style="610" customWidth="1"/>
    <col min="10756" max="10756" width="10.7109375" style="610" customWidth="1"/>
    <col min="10757" max="10757" width="10.28515625" style="610" customWidth="1"/>
    <col min="10758" max="10758" width="10.7109375" style="610" customWidth="1"/>
    <col min="10759" max="10759" width="9.42578125" style="610" customWidth="1"/>
    <col min="10760" max="10760" width="10.5703125" style="610" customWidth="1"/>
    <col min="10761" max="10761" width="13.7109375" style="610" customWidth="1"/>
    <col min="10762" max="10763" width="10.42578125" style="610" customWidth="1"/>
    <col min="10764" max="10764" width="10.28515625" style="610" customWidth="1"/>
    <col min="10765" max="10765" width="9.42578125" style="610" customWidth="1"/>
    <col min="10766" max="10766" width="8.7109375" style="610" customWidth="1"/>
    <col min="10767" max="10767" width="10.42578125" style="610" customWidth="1"/>
    <col min="10768" max="10768" width="10.28515625" style="610" customWidth="1"/>
    <col min="10769" max="11008" width="11.42578125" style="610"/>
    <col min="11009" max="11009" width="7" style="610" customWidth="1"/>
    <col min="11010" max="11010" width="10.7109375" style="610" customWidth="1"/>
    <col min="11011" max="11011" width="10.5703125" style="610" customWidth="1"/>
    <col min="11012" max="11012" width="10.7109375" style="610" customWidth="1"/>
    <col min="11013" max="11013" width="10.28515625" style="610" customWidth="1"/>
    <col min="11014" max="11014" width="10.7109375" style="610" customWidth="1"/>
    <col min="11015" max="11015" width="9.42578125" style="610" customWidth="1"/>
    <col min="11016" max="11016" width="10.5703125" style="610" customWidth="1"/>
    <col min="11017" max="11017" width="13.7109375" style="610" customWidth="1"/>
    <col min="11018" max="11019" width="10.42578125" style="610" customWidth="1"/>
    <col min="11020" max="11020" width="10.28515625" style="610" customWidth="1"/>
    <col min="11021" max="11021" width="9.42578125" style="610" customWidth="1"/>
    <col min="11022" max="11022" width="8.7109375" style="610" customWidth="1"/>
    <col min="11023" max="11023" width="10.42578125" style="610" customWidth="1"/>
    <col min="11024" max="11024" width="10.28515625" style="610" customWidth="1"/>
    <col min="11025" max="11264" width="11.42578125" style="610"/>
    <col min="11265" max="11265" width="7" style="610" customWidth="1"/>
    <col min="11266" max="11266" width="10.7109375" style="610" customWidth="1"/>
    <col min="11267" max="11267" width="10.5703125" style="610" customWidth="1"/>
    <col min="11268" max="11268" width="10.7109375" style="610" customWidth="1"/>
    <col min="11269" max="11269" width="10.28515625" style="610" customWidth="1"/>
    <col min="11270" max="11270" width="10.7109375" style="610" customWidth="1"/>
    <col min="11271" max="11271" width="9.42578125" style="610" customWidth="1"/>
    <col min="11272" max="11272" width="10.5703125" style="610" customWidth="1"/>
    <col min="11273" max="11273" width="13.7109375" style="610" customWidth="1"/>
    <col min="11274" max="11275" width="10.42578125" style="610" customWidth="1"/>
    <col min="11276" max="11276" width="10.28515625" style="610" customWidth="1"/>
    <col min="11277" max="11277" width="9.42578125" style="610" customWidth="1"/>
    <col min="11278" max="11278" width="8.7109375" style="610" customWidth="1"/>
    <col min="11279" max="11279" width="10.42578125" style="610" customWidth="1"/>
    <col min="11280" max="11280" width="10.28515625" style="610" customWidth="1"/>
    <col min="11281" max="11520" width="11.42578125" style="610"/>
    <col min="11521" max="11521" width="7" style="610" customWidth="1"/>
    <col min="11522" max="11522" width="10.7109375" style="610" customWidth="1"/>
    <col min="11523" max="11523" width="10.5703125" style="610" customWidth="1"/>
    <col min="11524" max="11524" width="10.7109375" style="610" customWidth="1"/>
    <col min="11525" max="11525" width="10.28515625" style="610" customWidth="1"/>
    <col min="11526" max="11526" width="10.7109375" style="610" customWidth="1"/>
    <col min="11527" max="11527" width="9.42578125" style="610" customWidth="1"/>
    <col min="11528" max="11528" width="10.5703125" style="610" customWidth="1"/>
    <col min="11529" max="11529" width="13.7109375" style="610" customWidth="1"/>
    <col min="11530" max="11531" width="10.42578125" style="610" customWidth="1"/>
    <col min="11532" max="11532" width="10.28515625" style="610" customWidth="1"/>
    <col min="11533" max="11533" width="9.42578125" style="610" customWidth="1"/>
    <col min="11534" max="11534" width="8.7109375" style="610" customWidth="1"/>
    <col min="11535" max="11535" width="10.42578125" style="610" customWidth="1"/>
    <col min="11536" max="11536" width="10.28515625" style="610" customWidth="1"/>
    <col min="11537" max="11776" width="11.42578125" style="610"/>
    <col min="11777" max="11777" width="7" style="610" customWidth="1"/>
    <col min="11778" max="11778" width="10.7109375" style="610" customWidth="1"/>
    <col min="11779" max="11779" width="10.5703125" style="610" customWidth="1"/>
    <col min="11780" max="11780" width="10.7109375" style="610" customWidth="1"/>
    <col min="11781" max="11781" width="10.28515625" style="610" customWidth="1"/>
    <col min="11782" max="11782" width="10.7109375" style="610" customWidth="1"/>
    <col min="11783" max="11783" width="9.42578125" style="610" customWidth="1"/>
    <col min="11784" max="11784" width="10.5703125" style="610" customWidth="1"/>
    <col min="11785" max="11785" width="13.7109375" style="610" customWidth="1"/>
    <col min="11786" max="11787" width="10.42578125" style="610" customWidth="1"/>
    <col min="11788" max="11788" width="10.28515625" style="610" customWidth="1"/>
    <col min="11789" max="11789" width="9.42578125" style="610" customWidth="1"/>
    <col min="11790" max="11790" width="8.7109375" style="610" customWidth="1"/>
    <col min="11791" max="11791" width="10.42578125" style="610" customWidth="1"/>
    <col min="11792" max="11792" width="10.28515625" style="610" customWidth="1"/>
    <col min="11793" max="12032" width="11.42578125" style="610"/>
    <col min="12033" max="12033" width="7" style="610" customWidth="1"/>
    <col min="12034" max="12034" width="10.7109375" style="610" customWidth="1"/>
    <col min="12035" max="12035" width="10.5703125" style="610" customWidth="1"/>
    <col min="12036" max="12036" width="10.7109375" style="610" customWidth="1"/>
    <col min="12037" max="12037" width="10.28515625" style="610" customWidth="1"/>
    <col min="12038" max="12038" width="10.7109375" style="610" customWidth="1"/>
    <col min="12039" max="12039" width="9.42578125" style="610" customWidth="1"/>
    <col min="12040" max="12040" width="10.5703125" style="610" customWidth="1"/>
    <col min="12041" max="12041" width="13.7109375" style="610" customWidth="1"/>
    <col min="12042" max="12043" width="10.42578125" style="610" customWidth="1"/>
    <col min="12044" max="12044" width="10.28515625" style="610" customWidth="1"/>
    <col min="12045" max="12045" width="9.42578125" style="610" customWidth="1"/>
    <col min="12046" max="12046" width="8.7109375" style="610" customWidth="1"/>
    <col min="12047" max="12047" width="10.42578125" style="610" customWidth="1"/>
    <col min="12048" max="12048" width="10.28515625" style="610" customWidth="1"/>
    <col min="12049" max="12288" width="11.42578125" style="610"/>
    <col min="12289" max="12289" width="7" style="610" customWidth="1"/>
    <col min="12290" max="12290" width="10.7109375" style="610" customWidth="1"/>
    <col min="12291" max="12291" width="10.5703125" style="610" customWidth="1"/>
    <col min="12292" max="12292" width="10.7109375" style="610" customWidth="1"/>
    <col min="12293" max="12293" width="10.28515625" style="610" customWidth="1"/>
    <col min="12294" max="12294" width="10.7109375" style="610" customWidth="1"/>
    <col min="12295" max="12295" width="9.42578125" style="610" customWidth="1"/>
    <col min="12296" max="12296" width="10.5703125" style="610" customWidth="1"/>
    <col min="12297" max="12297" width="13.7109375" style="610" customWidth="1"/>
    <col min="12298" max="12299" width="10.42578125" style="610" customWidth="1"/>
    <col min="12300" max="12300" width="10.28515625" style="610" customWidth="1"/>
    <col min="12301" max="12301" width="9.42578125" style="610" customWidth="1"/>
    <col min="12302" max="12302" width="8.7109375" style="610" customWidth="1"/>
    <col min="12303" max="12303" width="10.42578125" style="610" customWidth="1"/>
    <col min="12304" max="12304" width="10.28515625" style="610" customWidth="1"/>
    <col min="12305" max="12544" width="11.42578125" style="610"/>
    <col min="12545" max="12545" width="7" style="610" customWidth="1"/>
    <col min="12546" max="12546" width="10.7109375" style="610" customWidth="1"/>
    <col min="12547" max="12547" width="10.5703125" style="610" customWidth="1"/>
    <col min="12548" max="12548" width="10.7109375" style="610" customWidth="1"/>
    <col min="12549" max="12549" width="10.28515625" style="610" customWidth="1"/>
    <col min="12550" max="12550" width="10.7109375" style="610" customWidth="1"/>
    <col min="12551" max="12551" width="9.42578125" style="610" customWidth="1"/>
    <col min="12552" max="12552" width="10.5703125" style="610" customWidth="1"/>
    <col min="12553" max="12553" width="13.7109375" style="610" customWidth="1"/>
    <col min="12554" max="12555" width="10.42578125" style="610" customWidth="1"/>
    <col min="12556" max="12556" width="10.28515625" style="610" customWidth="1"/>
    <col min="12557" max="12557" width="9.42578125" style="610" customWidth="1"/>
    <col min="12558" max="12558" width="8.7109375" style="610" customWidth="1"/>
    <col min="12559" max="12559" width="10.42578125" style="610" customWidth="1"/>
    <col min="12560" max="12560" width="10.28515625" style="610" customWidth="1"/>
    <col min="12561" max="12800" width="11.42578125" style="610"/>
    <col min="12801" max="12801" width="7" style="610" customWidth="1"/>
    <col min="12802" max="12802" width="10.7109375" style="610" customWidth="1"/>
    <col min="12803" max="12803" width="10.5703125" style="610" customWidth="1"/>
    <col min="12804" max="12804" width="10.7109375" style="610" customWidth="1"/>
    <col min="12805" max="12805" width="10.28515625" style="610" customWidth="1"/>
    <col min="12806" max="12806" width="10.7109375" style="610" customWidth="1"/>
    <col min="12807" max="12807" width="9.42578125" style="610" customWidth="1"/>
    <col min="12808" max="12808" width="10.5703125" style="610" customWidth="1"/>
    <col min="12809" max="12809" width="13.7109375" style="610" customWidth="1"/>
    <col min="12810" max="12811" width="10.42578125" style="610" customWidth="1"/>
    <col min="12812" max="12812" width="10.28515625" style="610" customWidth="1"/>
    <col min="12813" max="12813" width="9.42578125" style="610" customWidth="1"/>
    <col min="12814" max="12814" width="8.7109375" style="610" customWidth="1"/>
    <col min="12815" max="12815" width="10.42578125" style="610" customWidth="1"/>
    <col min="12816" max="12816" width="10.28515625" style="610" customWidth="1"/>
    <col min="12817" max="13056" width="11.42578125" style="610"/>
    <col min="13057" max="13057" width="7" style="610" customWidth="1"/>
    <col min="13058" max="13058" width="10.7109375" style="610" customWidth="1"/>
    <col min="13059" max="13059" width="10.5703125" style="610" customWidth="1"/>
    <col min="13060" max="13060" width="10.7109375" style="610" customWidth="1"/>
    <col min="13061" max="13061" width="10.28515625" style="610" customWidth="1"/>
    <col min="13062" max="13062" width="10.7109375" style="610" customWidth="1"/>
    <col min="13063" max="13063" width="9.42578125" style="610" customWidth="1"/>
    <col min="13064" max="13064" width="10.5703125" style="610" customWidth="1"/>
    <col min="13065" max="13065" width="13.7109375" style="610" customWidth="1"/>
    <col min="13066" max="13067" width="10.42578125" style="610" customWidth="1"/>
    <col min="13068" max="13068" width="10.28515625" style="610" customWidth="1"/>
    <col min="13069" max="13069" width="9.42578125" style="610" customWidth="1"/>
    <col min="13070" max="13070" width="8.7109375" style="610" customWidth="1"/>
    <col min="13071" max="13071" width="10.42578125" style="610" customWidth="1"/>
    <col min="13072" max="13072" width="10.28515625" style="610" customWidth="1"/>
    <col min="13073" max="13312" width="11.42578125" style="610"/>
    <col min="13313" max="13313" width="7" style="610" customWidth="1"/>
    <col min="13314" max="13314" width="10.7109375" style="610" customWidth="1"/>
    <col min="13315" max="13315" width="10.5703125" style="610" customWidth="1"/>
    <col min="13316" max="13316" width="10.7109375" style="610" customWidth="1"/>
    <col min="13317" max="13317" width="10.28515625" style="610" customWidth="1"/>
    <col min="13318" max="13318" width="10.7109375" style="610" customWidth="1"/>
    <col min="13319" max="13319" width="9.42578125" style="610" customWidth="1"/>
    <col min="13320" max="13320" width="10.5703125" style="610" customWidth="1"/>
    <col min="13321" max="13321" width="13.7109375" style="610" customWidth="1"/>
    <col min="13322" max="13323" width="10.42578125" style="610" customWidth="1"/>
    <col min="13324" max="13324" width="10.28515625" style="610" customWidth="1"/>
    <col min="13325" max="13325" width="9.42578125" style="610" customWidth="1"/>
    <col min="13326" max="13326" width="8.7109375" style="610" customWidth="1"/>
    <col min="13327" max="13327" width="10.42578125" style="610" customWidth="1"/>
    <col min="13328" max="13328" width="10.28515625" style="610" customWidth="1"/>
    <col min="13329" max="13568" width="11.42578125" style="610"/>
    <col min="13569" max="13569" width="7" style="610" customWidth="1"/>
    <col min="13570" max="13570" width="10.7109375" style="610" customWidth="1"/>
    <col min="13571" max="13571" width="10.5703125" style="610" customWidth="1"/>
    <col min="13572" max="13572" width="10.7109375" style="610" customWidth="1"/>
    <col min="13573" max="13573" width="10.28515625" style="610" customWidth="1"/>
    <col min="13574" max="13574" width="10.7109375" style="610" customWidth="1"/>
    <col min="13575" max="13575" width="9.42578125" style="610" customWidth="1"/>
    <col min="13576" max="13576" width="10.5703125" style="610" customWidth="1"/>
    <col min="13577" max="13577" width="13.7109375" style="610" customWidth="1"/>
    <col min="13578" max="13579" width="10.42578125" style="610" customWidth="1"/>
    <col min="13580" max="13580" width="10.28515625" style="610" customWidth="1"/>
    <col min="13581" max="13581" width="9.42578125" style="610" customWidth="1"/>
    <col min="13582" max="13582" width="8.7109375" style="610" customWidth="1"/>
    <col min="13583" max="13583" width="10.42578125" style="610" customWidth="1"/>
    <col min="13584" max="13584" width="10.28515625" style="610" customWidth="1"/>
    <col min="13585" max="13824" width="11.42578125" style="610"/>
    <col min="13825" max="13825" width="7" style="610" customWidth="1"/>
    <col min="13826" max="13826" width="10.7109375" style="610" customWidth="1"/>
    <col min="13827" max="13827" width="10.5703125" style="610" customWidth="1"/>
    <col min="13828" max="13828" width="10.7109375" style="610" customWidth="1"/>
    <col min="13829" max="13829" width="10.28515625" style="610" customWidth="1"/>
    <col min="13830" max="13830" width="10.7109375" style="610" customWidth="1"/>
    <col min="13831" max="13831" width="9.42578125" style="610" customWidth="1"/>
    <col min="13832" max="13832" width="10.5703125" style="610" customWidth="1"/>
    <col min="13833" max="13833" width="13.7109375" style="610" customWidth="1"/>
    <col min="13834" max="13835" width="10.42578125" style="610" customWidth="1"/>
    <col min="13836" max="13836" width="10.28515625" style="610" customWidth="1"/>
    <col min="13837" max="13837" width="9.42578125" style="610" customWidth="1"/>
    <col min="13838" max="13838" width="8.7109375" style="610" customWidth="1"/>
    <col min="13839" max="13839" width="10.42578125" style="610" customWidth="1"/>
    <col min="13840" max="13840" width="10.28515625" style="610" customWidth="1"/>
    <col min="13841" max="14080" width="11.42578125" style="610"/>
    <col min="14081" max="14081" width="7" style="610" customWidth="1"/>
    <col min="14082" max="14082" width="10.7109375" style="610" customWidth="1"/>
    <col min="14083" max="14083" width="10.5703125" style="610" customWidth="1"/>
    <col min="14084" max="14084" width="10.7109375" style="610" customWidth="1"/>
    <col min="14085" max="14085" width="10.28515625" style="610" customWidth="1"/>
    <col min="14086" max="14086" width="10.7109375" style="610" customWidth="1"/>
    <col min="14087" max="14087" width="9.42578125" style="610" customWidth="1"/>
    <col min="14088" max="14088" width="10.5703125" style="610" customWidth="1"/>
    <col min="14089" max="14089" width="13.7109375" style="610" customWidth="1"/>
    <col min="14090" max="14091" width="10.42578125" style="610" customWidth="1"/>
    <col min="14092" max="14092" width="10.28515625" style="610" customWidth="1"/>
    <col min="14093" max="14093" width="9.42578125" style="610" customWidth="1"/>
    <col min="14094" max="14094" width="8.7109375" style="610" customWidth="1"/>
    <col min="14095" max="14095" width="10.42578125" style="610" customWidth="1"/>
    <col min="14096" max="14096" width="10.28515625" style="610" customWidth="1"/>
    <col min="14097" max="14336" width="11.42578125" style="610"/>
    <col min="14337" max="14337" width="7" style="610" customWidth="1"/>
    <col min="14338" max="14338" width="10.7109375" style="610" customWidth="1"/>
    <col min="14339" max="14339" width="10.5703125" style="610" customWidth="1"/>
    <col min="14340" max="14340" width="10.7109375" style="610" customWidth="1"/>
    <col min="14341" max="14341" width="10.28515625" style="610" customWidth="1"/>
    <col min="14342" max="14342" width="10.7109375" style="610" customWidth="1"/>
    <col min="14343" max="14343" width="9.42578125" style="610" customWidth="1"/>
    <col min="14344" max="14344" width="10.5703125" style="610" customWidth="1"/>
    <col min="14345" max="14345" width="13.7109375" style="610" customWidth="1"/>
    <col min="14346" max="14347" width="10.42578125" style="610" customWidth="1"/>
    <col min="14348" max="14348" width="10.28515625" style="610" customWidth="1"/>
    <col min="14349" max="14349" width="9.42578125" style="610" customWidth="1"/>
    <col min="14350" max="14350" width="8.7109375" style="610" customWidth="1"/>
    <col min="14351" max="14351" width="10.42578125" style="610" customWidth="1"/>
    <col min="14352" max="14352" width="10.28515625" style="610" customWidth="1"/>
    <col min="14353" max="14592" width="11.42578125" style="610"/>
    <col min="14593" max="14593" width="7" style="610" customWidth="1"/>
    <col min="14594" max="14594" width="10.7109375" style="610" customWidth="1"/>
    <col min="14595" max="14595" width="10.5703125" style="610" customWidth="1"/>
    <col min="14596" max="14596" width="10.7109375" style="610" customWidth="1"/>
    <col min="14597" max="14597" width="10.28515625" style="610" customWidth="1"/>
    <col min="14598" max="14598" width="10.7109375" style="610" customWidth="1"/>
    <col min="14599" max="14599" width="9.42578125" style="610" customWidth="1"/>
    <col min="14600" max="14600" width="10.5703125" style="610" customWidth="1"/>
    <col min="14601" max="14601" width="13.7109375" style="610" customWidth="1"/>
    <col min="14602" max="14603" width="10.42578125" style="610" customWidth="1"/>
    <col min="14604" max="14604" width="10.28515625" style="610" customWidth="1"/>
    <col min="14605" max="14605" width="9.42578125" style="610" customWidth="1"/>
    <col min="14606" max="14606" width="8.7109375" style="610" customWidth="1"/>
    <col min="14607" max="14607" width="10.42578125" style="610" customWidth="1"/>
    <col min="14608" max="14608" width="10.28515625" style="610" customWidth="1"/>
    <col min="14609" max="14848" width="11.42578125" style="610"/>
    <col min="14849" max="14849" width="7" style="610" customWidth="1"/>
    <col min="14850" max="14850" width="10.7109375" style="610" customWidth="1"/>
    <col min="14851" max="14851" width="10.5703125" style="610" customWidth="1"/>
    <col min="14852" max="14852" width="10.7109375" style="610" customWidth="1"/>
    <col min="14853" max="14853" width="10.28515625" style="610" customWidth="1"/>
    <col min="14854" max="14854" width="10.7109375" style="610" customWidth="1"/>
    <col min="14855" max="14855" width="9.42578125" style="610" customWidth="1"/>
    <col min="14856" max="14856" width="10.5703125" style="610" customWidth="1"/>
    <col min="14857" max="14857" width="13.7109375" style="610" customWidth="1"/>
    <col min="14858" max="14859" width="10.42578125" style="610" customWidth="1"/>
    <col min="14860" max="14860" width="10.28515625" style="610" customWidth="1"/>
    <col min="14861" max="14861" width="9.42578125" style="610" customWidth="1"/>
    <col min="14862" max="14862" width="8.7109375" style="610" customWidth="1"/>
    <col min="14863" max="14863" width="10.42578125" style="610" customWidth="1"/>
    <col min="14864" max="14864" width="10.28515625" style="610" customWidth="1"/>
    <col min="14865" max="15104" width="11.42578125" style="610"/>
    <col min="15105" max="15105" width="7" style="610" customWidth="1"/>
    <col min="15106" max="15106" width="10.7109375" style="610" customWidth="1"/>
    <col min="15107" max="15107" width="10.5703125" style="610" customWidth="1"/>
    <col min="15108" max="15108" width="10.7109375" style="610" customWidth="1"/>
    <col min="15109" max="15109" width="10.28515625" style="610" customWidth="1"/>
    <col min="15110" max="15110" width="10.7109375" style="610" customWidth="1"/>
    <col min="15111" max="15111" width="9.42578125" style="610" customWidth="1"/>
    <col min="15112" max="15112" width="10.5703125" style="610" customWidth="1"/>
    <col min="15113" max="15113" width="13.7109375" style="610" customWidth="1"/>
    <col min="15114" max="15115" width="10.42578125" style="610" customWidth="1"/>
    <col min="15116" max="15116" width="10.28515625" style="610" customWidth="1"/>
    <col min="15117" max="15117" width="9.42578125" style="610" customWidth="1"/>
    <col min="15118" max="15118" width="8.7109375" style="610" customWidth="1"/>
    <col min="15119" max="15119" width="10.42578125" style="610" customWidth="1"/>
    <col min="15120" max="15120" width="10.28515625" style="610" customWidth="1"/>
    <col min="15121" max="15360" width="11.42578125" style="610"/>
    <col min="15361" max="15361" width="7" style="610" customWidth="1"/>
    <col min="15362" max="15362" width="10.7109375" style="610" customWidth="1"/>
    <col min="15363" max="15363" width="10.5703125" style="610" customWidth="1"/>
    <col min="15364" max="15364" width="10.7109375" style="610" customWidth="1"/>
    <col min="15365" max="15365" width="10.28515625" style="610" customWidth="1"/>
    <col min="15366" max="15366" width="10.7109375" style="610" customWidth="1"/>
    <col min="15367" max="15367" width="9.42578125" style="610" customWidth="1"/>
    <col min="15368" max="15368" width="10.5703125" style="610" customWidth="1"/>
    <col min="15369" max="15369" width="13.7109375" style="610" customWidth="1"/>
    <col min="15370" max="15371" width="10.42578125" style="610" customWidth="1"/>
    <col min="15372" max="15372" width="10.28515625" style="610" customWidth="1"/>
    <col min="15373" max="15373" width="9.42578125" style="610" customWidth="1"/>
    <col min="15374" max="15374" width="8.7109375" style="610" customWidth="1"/>
    <col min="15375" max="15375" width="10.42578125" style="610" customWidth="1"/>
    <col min="15376" max="15376" width="10.28515625" style="610" customWidth="1"/>
    <col min="15377" max="15616" width="11.42578125" style="610"/>
    <col min="15617" max="15617" width="7" style="610" customWidth="1"/>
    <col min="15618" max="15618" width="10.7109375" style="610" customWidth="1"/>
    <col min="15619" max="15619" width="10.5703125" style="610" customWidth="1"/>
    <col min="15620" max="15620" width="10.7109375" style="610" customWidth="1"/>
    <col min="15621" max="15621" width="10.28515625" style="610" customWidth="1"/>
    <col min="15622" max="15622" width="10.7109375" style="610" customWidth="1"/>
    <col min="15623" max="15623" width="9.42578125" style="610" customWidth="1"/>
    <col min="15624" max="15624" width="10.5703125" style="610" customWidth="1"/>
    <col min="15625" max="15625" width="13.7109375" style="610" customWidth="1"/>
    <col min="15626" max="15627" width="10.42578125" style="610" customWidth="1"/>
    <col min="15628" max="15628" width="10.28515625" style="610" customWidth="1"/>
    <col min="15629" max="15629" width="9.42578125" style="610" customWidth="1"/>
    <col min="15630" max="15630" width="8.7109375" style="610" customWidth="1"/>
    <col min="15631" max="15631" width="10.42578125" style="610" customWidth="1"/>
    <col min="15632" max="15632" width="10.28515625" style="610" customWidth="1"/>
    <col min="15633" max="15872" width="11.42578125" style="610"/>
    <col min="15873" max="15873" width="7" style="610" customWidth="1"/>
    <col min="15874" max="15874" width="10.7109375" style="610" customWidth="1"/>
    <col min="15875" max="15875" width="10.5703125" style="610" customWidth="1"/>
    <col min="15876" max="15876" width="10.7109375" style="610" customWidth="1"/>
    <col min="15877" max="15877" width="10.28515625" style="610" customWidth="1"/>
    <col min="15878" max="15878" width="10.7109375" style="610" customWidth="1"/>
    <col min="15879" max="15879" width="9.42578125" style="610" customWidth="1"/>
    <col min="15880" max="15880" width="10.5703125" style="610" customWidth="1"/>
    <col min="15881" max="15881" width="13.7109375" style="610" customWidth="1"/>
    <col min="15882" max="15883" width="10.42578125" style="610" customWidth="1"/>
    <col min="15884" max="15884" width="10.28515625" style="610" customWidth="1"/>
    <col min="15885" max="15885" width="9.42578125" style="610" customWidth="1"/>
    <col min="15886" max="15886" width="8.7109375" style="610" customWidth="1"/>
    <col min="15887" max="15887" width="10.42578125" style="610" customWidth="1"/>
    <col min="15888" max="15888" width="10.28515625" style="610" customWidth="1"/>
    <col min="15889" max="16128" width="11.42578125" style="610"/>
    <col min="16129" max="16129" width="7" style="610" customWidth="1"/>
    <col min="16130" max="16130" width="10.7109375" style="610" customWidth="1"/>
    <col min="16131" max="16131" width="10.5703125" style="610" customWidth="1"/>
    <col min="16132" max="16132" width="10.7109375" style="610" customWidth="1"/>
    <col min="16133" max="16133" width="10.28515625" style="610" customWidth="1"/>
    <col min="16134" max="16134" width="10.7109375" style="610" customWidth="1"/>
    <col min="16135" max="16135" width="9.42578125" style="610" customWidth="1"/>
    <col min="16136" max="16136" width="10.5703125" style="610" customWidth="1"/>
    <col min="16137" max="16137" width="13.7109375" style="610" customWidth="1"/>
    <col min="16138" max="16139" width="10.42578125" style="610" customWidth="1"/>
    <col min="16140" max="16140" width="10.28515625" style="610" customWidth="1"/>
    <col min="16141" max="16141" width="9.42578125" style="610" customWidth="1"/>
    <col min="16142" max="16142" width="8.7109375" style="610" customWidth="1"/>
    <col min="16143" max="16143" width="10.42578125" style="610" customWidth="1"/>
    <col min="16144" max="16144" width="10.28515625" style="610" customWidth="1"/>
    <col min="16145" max="16384" width="11.42578125" style="610"/>
  </cols>
  <sheetData>
    <row r="1" spans="1:21" ht="15" customHeight="1" x14ac:dyDescent="0.2">
      <c r="A1" s="766" t="s">
        <v>1751</v>
      </c>
      <c r="B1" s="766"/>
      <c r="C1" s="766"/>
      <c r="D1" s="766"/>
      <c r="E1" s="766"/>
      <c r="F1" s="766"/>
      <c r="G1" s="766"/>
      <c r="H1" s="766"/>
      <c r="I1" s="766"/>
      <c r="J1" s="766"/>
      <c r="K1" s="766"/>
      <c r="L1" s="766"/>
      <c r="M1" s="766"/>
      <c r="N1" s="766"/>
      <c r="O1" s="766"/>
      <c r="P1" s="766"/>
    </row>
    <row r="2" spans="1:21" ht="15" customHeight="1" x14ac:dyDescent="0.2">
      <c r="A2" s="766" t="s">
        <v>1823</v>
      </c>
      <c r="B2" s="766"/>
      <c r="C2" s="766"/>
      <c r="D2" s="766"/>
      <c r="E2" s="766"/>
      <c r="F2" s="766" t="s">
        <v>1753</v>
      </c>
      <c r="G2" s="766"/>
      <c r="H2" s="766"/>
      <c r="I2" s="766"/>
      <c r="J2" s="766"/>
      <c r="K2" s="766"/>
      <c r="L2" s="766"/>
      <c r="M2" s="766"/>
      <c r="N2" s="766"/>
      <c r="O2" s="766"/>
      <c r="P2" s="766"/>
    </row>
    <row r="3" spans="1:21" ht="15" customHeight="1" x14ac:dyDescent="0.2">
      <c r="E3" s="611"/>
    </row>
    <row r="4" spans="1:21" ht="15" customHeight="1" x14ac:dyDescent="0.25">
      <c r="A4" s="767" t="s">
        <v>1754</v>
      </c>
      <c r="B4" s="767"/>
      <c r="C4" s="767"/>
      <c r="D4" s="767"/>
      <c r="E4" s="767"/>
      <c r="F4" s="611"/>
      <c r="K4" s="611"/>
      <c r="N4" s="611" t="s">
        <v>1755</v>
      </c>
      <c r="O4" s="612">
        <f>IF(HorasAmortizaciónEquipoCamión=0,0,ROUND(Valor_CamiónAcoplado*PorcentajeEquipoAmortizarCamión/HorasAmortizaciónEquipoCamión,3))</f>
        <v>0</v>
      </c>
    </row>
    <row r="5" spans="1:21" ht="15" customHeight="1" x14ac:dyDescent="0.2">
      <c r="A5" s="613"/>
      <c r="B5" s="613"/>
      <c r="C5" s="613"/>
      <c r="D5" s="613"/>
      <c r="E5" s="613"/>
      <c r="F5" s="611"/>
      <c r="K5" s="611"/>
      <c r="O5" s="614"/>
    </row>
    <row r="6" spans="1:21" ht="15" customHeight="1" x14ac:dyDescent="0.2">
      <c r="A6" s="682"/>
      <c r="B6" s="682"/>
      <c r="C6" s="682"/>
      <c r="D6" s="682"/>
      <c r="E6" s="682"/>
      <c r="F6" s="611"/>
      <c r="K6" s="611"/>
      <c r="O6" s="614"/>
      <c r="Q6" s="613"/>
      <c r="R6" s="613"/>
      <c r="S6" s="613"/>
      <c r="T6" s="613"/>
      <c r="U6" s="613"/>
    </row>
    <row r="7" spans="1:21" ht="15" customHeight="1" x14ac:dyDescent="0.2">
      <c r="A7" s="782" t="s">
        <v>1756</v>
      </c>
      <c r="B7" s="782"/>
      <c r="C7" s="782"/>
      <c r="D7" s="782"/>
      <c r="E7" s="671"/>
      <c r="F7" s="611"/>
      <c r="G7" s="615"/>
      <c r="H7" s="613"/>
      <c r="I7" s="768"/>
      <c r="J7" s="616"/>
      <c r="K7" s="617"/>
      <c r="N7" s="611" t="s">
        <v>1757</v>
      </c>
      <c r="O7" s="612">
        <f>ROUND(Valor_CamiónAcoplado*E10/4000,3)</f>
        <v>0</v>
      </c>
      <c r="Q7" s="615"/>
      <c r="R7" s="618"/>
      <c r="S7" s="769"/>
      <c r="T7" s="619"/>
      <c r="U7" s="616"/>
    </row>
    <row r="8" spans="1:21" ht="15" customHeight="1" x14ac:dyDescent="0.2">
      <c r="A8" s="782" t="s">
        <v>1758</v>
      </c>
      <c r="B8" s="782"/>
      <c r="C8" s="782"/>
      <c r="D8" s="782"/>
      <c r="E8" s="672"/>
      <c r="F8" s="611"/>
      <c r="G8" s="770"/>
      <c r="H8" s="770"/>
      <c r="I8" s="768"/>
      <c r="K8" s="611"/>
      <c r="O8" s="614"/>
      <c r="Q8" s="770"/>
      <c r="R8" s="770"/>
      <c r="S8" s="769"/>
      <c r="T8" s="613"/>
      <c r="U8" s="613"/>
    </row>
    <row r="9" spans="1:21" ht="15" customHeight="1" x14ac:dyDescent="0.2">
      <c r="A9" s="782" t="s">
        <v>1759</v>
      </c>
      <c r="B9" s="782"/>
      <c r="C9" s="782"/>
      <c r="D9" s="782"/>
      <c r="E9" s="673"/>
      <c r="F9" s="611"/>
      <c r="K9" s="611"/>
      <c r="O9" s="614"/>
    </row>
    <row r="10" spans="1:21" ht="15" customHeight="1" x14ac:dyDescent="0.2">
      <c r="A10" s="782" t="s">
        <v>1760</v>
      </c>
      <c r="B10" s="782"/>
      <c r="C10" s="782"/>
      <c r="D10" s="782"/>
      <c r="E10" s="673"/>
      <c r="F10" s="611"/>
      <c r="K10" s="611"/>
      <c r="N10" s="611" t="s">
        <v>1761</v>
      </c>
      <c r="O10" s="612">
        <f>ROUND(O4*Porcentaje_Reparaciones_Repuestos,3)</f>
        <v>0</v>
      </c>
      <c r="Q10" s="613"/>
      <c r="R10" s="613"/>
      <c r="S10" s="613"/>
      <c r="T10" s="613"/>
      <c r="U10" s="613"/>
    </row>
    <row r="11" spans="1:21" ht="15" customHeight="1" x14ac:dyDescent="0.2">
      <c r="A11" s="782" t="s">
        <v>1762</v>
      </c>
      <c r="B11" s="782"/>
      <c r="C11" s="782"/>
      <c r="D11" s="782"/>
      <c r="E11" s="673"/>
      <c r="F11" s="611"/>
      <c r="K11" s="611"/>
      <c r="O11" s="614"/>
      <c r="Q11" s="613"/>
      <c r="R11" s="613"/>
      <c r="S11" s="613"/>
      <c r="T11" s="613"/>
      <c r="U11" s="613"/>
    </row>
    <row r="12" spans="1:21" ht="15" customHeight="1" x14ac:dyDescent="0.2">
      <c r="A12" s="782" t="s">
        <v>1763</v>
      </c>
      <c r="B12" s="782"/>
      <c r="C12" s="782"/>
      <c r="D12" s="782"/>
      <c r="E12" s="673"/>
      <c r="F12" s="611"/>
      <c r="K12" s="611"/>
      <c r="O12" s="614"/>
      <c r="Q12" s="613"/>
      <c r="R12" s="613"/>
      <c r="S12" s="613"/>
      <c r="T12" s="613"/>
      <c r="U12" s="613"/>
    </row>
    <row r="13" spans="1:21" ht="15" customHeight="1" x14ac:dyDescent="0.2">
      <c r="A13" s="782" t="s">
        <v>1764</v>
      </c>
      <c r="B13" s="782"/>
      <c r="C13" s="782"/>
      <c r="D13" s="782"/>
      <c r="E13" s="672"/>
      <c r="F13" s="611"/>
      <c r="G13" s="613"/>
      <c r="H13" s="613"/>
      <c r="I13" s="613"/>
      <c r="J13" s="613"/>
      <c r="K13" s="620"/>
      <c r="N13" s="611" t="s">
        <v>1765</v>
      </c>
      <c r="O13" s="612">
        <f>ROUND(Tiempo_lavado_en_horas*Mano_Obra_Lavado*Cantidad_lavado_al_mes*12/2000,3)</f>
        <v>0</v>
      </c>
      <c r="Q13" s="613"/>
      <c r="R13" s="613"/>
      <c r="S13" s="613"/>
      <c r="T13" s="613"/>
      <c r="U13" s="613"/>
    </row>
    <row r="14" spans="1:21" ht="15" customHeight="1" x14ac:dyDescent="0.2">
      <c r="A14" s="782" t="s">
        <v>1766</v>
      </c>
      <c r="B14" s="782"/>
      <c r="C14" s="782"/>
      <c r="D14" s="782"/>
      <c r="E14" s="674"/>
      <c r="F14" s="611"/>
      <c r="G14" s="613"/>
      <c r="H14" s="613"/>
      <c r="I14" s="613"/>
      <c r="J14" s="613"/>
      <c r="K14" s="620"/>
      <c r="O14" s="614"/>
      <c r="Q14" s="613"/>
      <c r="R14" s="613"/>
      <c r="S14" s="613"/>
      <c r="T14" s="613"/>
      <c r="U14" s="613"/>
    </row>
    <row r="15" spans="1:21" ht="15" customHeight="1" x14ac:dyDescent="0.2">
      <c r="A15" s="782" t="s">
        <v>1767</v>
      </c>
      <c r="B15" s="782"/>
      <c r="C15" s="782"/>
      <c r="D15" s="782"/>
      <c r="E15" s="675"/>
      <c r="F15" s="611"/>
      <c r="G15" s="615"/>
      <c r="H15" s="613"/>
      <c r="I15" s="769"/>
      <c r="J15" s="616"/>
      <c r="K15" s="621"/>
      <c r="O15" s="614"/>
      <c r="Q15" s="622"/>
      <c r="R15" s="623"/>
      <c r="S15" s="769"/>
      <c r="T15" s="619"/>
      <c r="U15" s="624"/>
    </row>
    <row r="16" spans="1:21" ht="15" customHeight="1" x14ac:dyDescent="0.2">
      <c r="A16" s="782" t="s">
        <v>1768</v>
      </c>
      <c r="B16" s="782"/>
      <c r="C16" s="782"/>
      <c r="D16" s="782"/>
      <c r="E16" s="676"/>
      <c r="F16" s="611"/>
      <c r="G16" s="770"/>
      <c r="H16" s="770"/>
      <c r="I16" s="769"/>
      <c r="J16" s="613"/>
      <c r="K16" s="620"/>
      <c r="N16" s="611" t="s">
        <v>1769</v>
      </c>
      <c r="O16" s="612">
        <f>ROUND(Valor_CamiónAcoplado*PorSegurosPatentesImpustoCamión/2000,3)</f>
        <v>0</v>
      </c>
      <c r="Q16" s="771"/>
      <c r="R16" s="771"/>
      <c r="S16" s="769"/>
      <c r="T16" s="613"/>
      <c r="U16" s="613"/>
    </row>
    <row r="17" spans="1:21" ht="15" customHeight="1" x14ac:dyDescent="0.2">
      <c r="A17" s="782" t="s">
        <v>1770</v>
      </c>
      <c r="B17" s="782"/>
      <c r="C17" s="782"/>
      <c r="D17" s="782"/>
      <c r="E17" s="677"/>
      <c r="F17" s="611"/>
      <c r="K17" s="611"/>
      <c r="O17" s="614"/>
    </row>
    <row r="18" spans="1:21" ht="15" customHeight="1" x14ac:dyDescent="0.2">
      <c r="A18" s="782" t="s">
        <v>1771</v>
      </c>
      <c r="B18" s="782"/>
      <c r="C18" s="782"/>
      <c r="D18" s="782"/>
      <c r="E18" s="678"/>
      <c r="F18" s="611"/>
      <c r="K18" s="611"/>
      <c r="O18" s="614"/>
    </row>
    <row r="19" spans="1:21" ht="15" customHeight="1" x14ac:dyDescent="0.2">
      <c r="A19" s="782" t="s">
        <v>1772</v>
      </c>
      <c r="B19" s="782"/>
      <c r="C19" s="782"/>
      <c r="D19" s="782"/>
      <c r="E19" s="679"/>
      <c r="F19" s="611"/>
      <c r="G19" s="615"/>
      <c r="H19" s="613"/>
      <c r="I19" s="613"/>
      <c r="J19" s="616"/>
      <c r="K19" s="621"/>
      <c r="N19" s="611" t="s">
        <v>1773</v>
      </c>
      <c r="O19" s="612">
        <f>IF(V_U_cámara_cubiertas_CamiónAcoplado=0,0,ROUND(Cantidad_camaras_cubiertas*Valor_cámara_cubiertas_CamiónAcoplado/V_U_cámara_cubiertas_CamiónAcoplado,3))</f>
        <v>0</v>
      </c>
      <c r="Q19" s="625"/>
      <c r="R19" s="626"/>
      <c r="S19" s="627"/>
      <c r="T19" s="628"/>
      <c r="U19" s="629"/>
    </row>
    <row r="20" spans="1:21" ht="15" customHeight="1" x14ac:dyDescent="0.2">
      <c r="A20" s="782" t="s">
        <v>1774</v>
      </c>
      <c r="B20" s="782"/>
      <c r="C20" s="782"/>
      <c r="D20" s="782"/>
      <c r="E20" s="673"/>
      <c r="F20" s="611"/>
      <c r="G20" s="770"/>
      <c r="H20" s="770"/>
      <c r="I20" s="613"/>
      <c r="J20" s="613"/>
      <c r="K20" s="620"/>
      <c r="O20" s="614"/>
    </row>
    <row r="21" spans="1:21" ht="15" customHeight="1" x14ac:dyDescent="0.2">
      <c r="A21" s="782" t="s">
        <v>1825</v>
      </c>
      <c r="B21" s="782"/>
      <c r="C21" s="782"/>
      <c r="D21" s="782" t="s">
        <v>1775</v>
      </c>
      <c r="E21" s="680"/>
      <c r="G21" s="781"/>
      <c r="H21" s="781"/>
      <c r="I21" s="781"/>
      <c r="K21" s="611"/>
      <c r="O21" s="614"/>
    </row>
    <row r="22" spans="1:21" ht="15" customHeight="1" x14ac:dyDescent="0.2">
      <c r="A22" s="782" t="s">
        <v>1826</v>
      </c>
      <c r="B22" s="782"/>
      <c r="C22" s="782"/>
      <c r="D22" s="782" t="s">
        <v>1776</v>
      </c>
      <c r="E22" s="681"/>
      <c r="G22" s="613"/>
      <c r="H22" s="613"/>
      <c r="I22" s="613"/>
      <c r="J22" s="613"/>
      <c r="K22" s="620"/>
      <c r="N22" s="611" t="s">
        <v>1777</v>
      </c>
      <c r="O22" s="612">
        <f>ROUND(Consumo_gasoil_CamiónAcoplado_porkm*Costo_gasoil*(1+Porcentaje_Lubricantes),3)</f>
        <v>0</v>
      </c>
    </row>
    <row r="23" spans="1:21" ht="15" customHeight="1" x14ac:dyDescent="0.25">
      <c r="A23" s="683"/>
      <c r="B23" s="683"/>
      <c r="C23" s="683"/>
      <c r="D23" s="683"/>
      <c r="E23" s="683"/>
      <c r="G23" s="630"/>
      <c r="H23" s="631"/>
      <c r="I23" s="632"/>
      <c r="J23" s="633"/>
      <c r="K23" s="621"/>
    </row>
    <row r="24" spans="1:21" s="613" customFormat="1" ht="15" customHeight="1" x14ac:dyDescent="0.2"/>
    <row r="25" spans="1:21" ht="15" customHeight="1" x14ac:dyDescent="0.2">
      <c r="A25" s="777" t="s">
        <v>1778</v>
      </c>
      <c r="B25" s="777"/>
      <c r="C25" s="777"/>
      <c r="D25" s="777"/>
      <c r="E25" s="777"/>
      <c r="F25" s="777"/>
      <c r="G25" s="777"/>
      <c r="H25" s="778" t="s">
        <v>1779</v>
      </c>
      <c r="I25" s="778"/>
      <c r="J25" s="778"/>
      <c r="K25" s="778"/>
      <c r="L25" s="778"/>
      <c r="M25" s="778"/>
      <c r="N25" s="778"/>
      <c r="O25" s="778"/>
      <c r="P25" s="779" t="s">
        <v>1780</v>
      </c>
    </row>
    <row r="26" spans="1:21" ht="15" customHeight="1" x14ac:dyDescent="0.2">
      <c r="A26" s="634" t="s">
        <v>1781</v>
      </c>
      <c r="B26" s="634" t="s">
        <v>1782</v>
      </c>
      <c r="C26" s="634" t="s">
        <v>1783</v>
      </c>
      <c r="D26" s="634" t="s">
        <v>1784</v>
      </c>
      <c r="E26" s="634" t="s">
        <v>1785</v>
      </c>
      <c r="F26" s="634" t="s">
        <v>1040</v>
      </c>
      <c r="G26" s="634" t="s">
        <v>1786</v>
      </c>
      <c r="H26" s="780" t="s">
        <v>1711</v>
      </c>
      <c r="I26" s="780" t="s">
        <v>1787</v>
      </c>
      <c r="J26" s="634" t="s">
        <v>1788</v>
      </c>
      <c r="K26" s="634" t="s">
        <v>1789</v>
      </c>
      <c r="L26" s="634" t="s">
        <v>1790</v>
      </c>
      <c r="M26" s="634" t="s">
        <v>1791</v>
      </c>
      <c r="N26" s="634" t="s">
        <v>1792</v>
      </c>
      <c r="O26" s="635" t="s">
        <v>1824</v>
      </c>
      <c r="P26" s="779"/>
    </row>
    <row r="27" spans="1:21" ht="15" customHeight="1" x14ac:dyDescent="0.2">
      <c r="A27" s="634" t="s">
        <v>1794</v>
      </c>
      <c r="B27" s="634" t="s">
        <v>1795</v>
      </c>
      <c r="C27" s="634" t="s">
        <v>1796</v>
      </c>
      <c r="D27" s="634" t="s">
        <v>1797</v>
      </c>
      <c r="E27" s="634" t="s">
        <v>1798</v>
      </c>
      <c r="F27" s="634" t="s">
        <v>1799</v>
      </c>
      <c r="G27" s="634" t="s">
        <v>1800</v>
      </c>
      <c r="H27" s="780"/>
      <c r="I27" s="780"/>
      <c r="J27" s="634" t="s">
        <v>1801</v>
      </c>
      <c r="K27" s="634" t="s">
        <v>1802</v>
      </c>
      <c r="L27" s="634" t="s">
        <v>1803</v>
      </c>
      <c r="M27" s="634" t="s">
        <v>1804</v>
      </c>
      <c r="N27" s="634" t="s">
        <v>1805</v>
      </c>
      <c r="O27" s="635" t="s">
        <v>1806</v>
      </c>
      <c r="P27" s="779"/>
    </row>
    <row r="28" spans="1:21" ht="15" customHeight="1" x14ac:dyDescent="0.2">
      <c r="A28" s="776" t="s">
        <v>1807</v>
      </c>
      <c r="B28" s="776" t="s">
        <v>1808</v>
      </c>
      <c r="C28" s="776" t="s">
        <v>1809</v>
      </c>
      <c r="D28" s="776" t="s">
        <v>1810</v>
      </c>
      <c r="E28" s="776" t="s">
        <v>1811</v>
      </c>
      <c r="F28" s="776" t="s">
        <v>1812</v>
      </c>
      <c r="G28" s="776" t="s">
        <v>1813</v>
      </c>
      <c r="H28" s="776" t="s">
        <v>1814</v>
      </c>
      <c r="I28" s="776" t="s">
        <v>1815</v>
      </c>
      <c r="J28" s="776" t="s">
        <v>1816</v>
      </c>
      <c r="K28" s="776" t="s">
        <v>1817</v>
      </c>
      <c r="L28" s="776" t="s">
        <v>1818</v>
      </c>
      <c r="M28" s="776" t="s">
        <v>1819</v>
      </c>
      <c r="N28" s="776" t="s">
        <v>1820</v>
      </c>
      <c r="O28" s="776" t="s">
        <v>1821</v>
      </c>
      <c r="P28" s="772" t="s">
        <v>1822</v>
      </c>
    </row>
    <row r="29" spans="1:21" ht="15" customHeight="1" x14ac:dyDescent="0.2">
      <c r="A29" s="776"/>
      <c r="B29" s="776"/>
      <c r="C29" s="776"/>
      <c r="D29" s="776"/>
      <c r="E29" s="776"/>
      <c r="F29" s="776"/>
      <c r="G29" s="776"/>
      <c r="H29" s="776"/>
      <c r="I29" s="776"/>
      <c r="J29" s="776"/>
      <c r="K29" s="776"/>
      <c r="L29" s="776"/>
      <c r="M29" s="776"/>
      <c r="N29" s="776"/>
      <c r="O29" s="776"/>
      <c r="P29" s="772"/>
    </row>
    <row r="30" spans="1:21" ht="15" customHeight="1" x14ac:dyDescent="0.2">
      <c r="A30" s="636">
        <v>55</v>
      </c>
      <c r="B30" s="645"/>
      <c r="C30" s="638">
        <f>IF(B30=0,0,(2*A30*60)/B30)</f>
        <v>0</v>
      </c>
      <c r="D30" s="638"/>
      <c r="E30" s="638">
        <f t="shared" ref="E30:E64" si="0">+C30+D30</f>
        <v>0</v>
      </c>
      <c r="F30" s="646">
        <f>A30*$E$21</f>
        <v>0</v>
      </c>
      <c r="G30" s="641">
        <f t="shared" ref="G30:G64" si="1">+A30*2</f>
        <v>110</v>
      </c>
      <c r="H30" s="642">
        <f>'Transp. Camión con Acoplado'!A*(E30/60)</f>
        <v>0</v>
      </c>
      <c r="I30" s="642">
        <f>'Transp. Camión con Acoplado'!B*(E30/60)</f>
        <v>0</v>
      </c>
      <c r="J30" s="642">
        <f>'Transp. Camión con Acoplado'!C_*(C30/60)</f>
        <v>0</v>
      </c>
      <c r="K30" s="642">
        <f>'Transp. Camión con Acoplado'!D*(E30/60)</f>
        <v>0</v>
      </c>
      <c r="L30" s="642">
        <f>'Transp. Camión con Acoplado'!E*(E30/60)</f>
        <v>0</v>
      </c>
      <c r="M30" s="642">
        <f>'Transp. Camión con Acoplado'!F_*G30</f>
        <v>0</v>
      </c>
      <c r="N30" s="642">
        <f t="shared" ref="N30:N64" si="2">Mano_Obra_Lavado*(E30/60)</f>
        <v>0</v>
      </c>
      <c r="O30" s="642">
        <f>+G30*'Transp. Camión con Acoplado'!G</f>
        <v>0</v>
      </c>
      <c r="P30" s="643">
        <f>IF(F30=0,0,ROUND(SUM(H30:O30)/F30,3))</f>
        <v>0</v>
      </c>
      <c r="R30" s="644"/>
    </row>
    <row r="31" spans="1:21" ht="15" customHeight="1" x14ac:dyDescent="0.2">
      <c r="A31" s="636">
        <v>60</v>
      </c>
      <c r="B31" s="645"/>
      <c r="C31" s="638">
        <f t="shared" ref="C31:C64" si="3">IF(B31=0,0,(2*A31*60)/B31)</f>
        <v>0</v>
      </c>
      <c r="D31" s="638"/>
      <c r="E31" s="638">
        <f t="shared" si="0"/>
        <v>0</v>
      </c>
      <c r="F31" s="646">
        <f t="shared" ref="F31:F64" si="4">A31*$E$21</f>
        <v>0</v>
      </c>
      <c r="G31" s="641">
        <f t="shared" si="1"/>
        <v>120</v>
      </c>
      <c r="H31" s="642">
        <f>'Transp. Camión con Acoplado'!A*(E31/60)</f>
        <v>0</v>
      </c>
      <c r="I31" s="642">
        <f>'Transp. Camión con Acoplado'!B*(E31/60)</f>
        <v>0</v>
      </c>
      <c r="J31" s="642">
        <f>'Transp. Camión con Acoplado'!C_*(C31/60)</f>
        <v>0</v>
      </c>
      <c r="K31" s="642">
        <f>'Transp. Camión con Acoplado'!D*(E31/60)</f>
        <v>0</v>
      </c>
      <c r="L31" s="642">
        <f>'Transp. Camión con Acoplado'!E*(E31/60)</f>
        <v>0</v>
      </c>
      <c r="M31" s="642">
        <f>'Transp. Camión con Acoplado'!F_*G31</f>
        <v>0</v>
      </c>
      <c r="N31" s="642">
        <f t="shared" si="2"/>
        <v>0</v>
      </c>
      <c r="O31" s="642">
        <f>+G31*'Transp. Camión con Acoplado'!G</f>
        <v>0</v>
      </c>
      <c r="P31" s="643">
        <f t="shared" ref="P31:P64" si="5">IF(F31=0,0,ROUND(SUM(H31:O31)/F31,3))</f>
        <v>0</v>
      </c>
      <c r="R31" s="644"/>
    </row>
    <row r="32" spans="1:21" ht="15" customHeight="1" x14ac:dyDescent="0.2">
      <c r="A32" s="636">
        <v>65</v>
      </c>
      <c r="B32" s="645"/>
      <c r="C32" s="638">
        <f t="shared" si="3"/>
        <v>0</v>
      </c>
      <c r="D32" s="638"/>
      <c r="E32" s="638">
        <f t="shared" si="0"/>
        <v>0</v>
      </c>
      <c r="F32" s="646">
        <f t="shared" si="4"/>
        <v>0</v>
      </c>
      <c r="G32" s="641">
        <f t="shared" si="1"/>
        <v>130</v>
      </c>
      <c r="H32" s="642">
        <f>'Transp. Camión con Acoplado'!A*(E32/60)</f>
        <v>0</v>
      </c>
      <c r="I32" s="642">
        <f>'Transp. Camión con Acoplado'!B*(E32/60)</f>
        <v>0</v>
      </c>
      <c r="J32" s="642">
        <f>'Transp. Camión con Acoplado'!C_*(C32/60)</f>
        <v>0</v>
      </c>
      <c r="K32" s="642">
        <f>'Transp. Camión con Acoplado'!D*(E32/60)</f>
        <v>0</v>
      </c>
      <c r="L32" s="642">
        <f>'Transp. Camión con Acoplado'!E*(E32/60)</f>
        <v>0</v>
      </c>
      <c r="M32" s="642">
        <f>'Transp. Camión con Acoplado'!F_*G32</f>
        <v>0</v>
      </c>
      <c r="N32" s="642">
        <f t="shared" si="2"/>
        <v>0</v>
      </c>
      <c r="O32" s="642">
        <f>+G32*'Transp. Camión con Acoplado'!G</f>
        <v>0</v>
      </c>
      <c r="P32" s="643">
        <f t="shared" si="5"/>
        <v>0</v>
      </c>
      <c r="R32" s="644"/>
    </row>
    <row r="33" spans="1:18" ht="15" customHeight="1" x14ac:dyDescent="0.2">
      <c r="A33" s="636">
        <v>70</v>
      </c>
      <c r="B33" s="645"/>
      <c r="C33" s="638">
        <f t="shared" si="3"/>
        <v>0</v>
      </c>
      <c r="D33" s="638"/>
      <c r="E33" s="638">
        <f t="shared" si="0"/>
        <v>0</v>
      </c>
      <c r="F33" s="646">
        <f t="shared" si="4"/>
        <v>0</v>
      </c>
      <c r="G33" s="641">
        <f t="shared" si="1"/>
        <v>140</v>
      </c>
      <c r="H33" s="642">
        <f>'Transp. Camión con Acoplado'!A*(E33/60)</f>
        <v>0</v>
      </c>
      <c r="I33" s="642">
        <f>'Transp. Camión con Acoplado'!B*(E33/60)</f>
        <v>0</v>
      </c>
      <c r="J33" s="642">
        <f>'Transp. Camión con Acoplado'!C_*(C33/60)</f>
        <v>0</v>
      </c>
      <c r="K33" s="642">
        <f>'Transp. Camión con Acoplado'!D*(E33/60)</f>
        <v>0</v>
      </c>
      <c r="L33" s="642">
        <f>'Transp. Camión con Acoplado'!E*(E33/60)</f>
        <v>0</v>
      </c>
      <c r="M33" s="642">
        <f>'Transp. Camión con Acoplado'!F_*G33</f>
        <v>0</v>
      </c>
      <c r="N33" s="642">
        <f t="shared" si="2"/>
        <v>0</v>
      </c>
      <c r="O33" s="642">
        <f>+G33*'Transp. Camión con Acoplado'!G</f>
        <v>0</v>
      </c>
      <c r="P33" s="643">
        <f t="shared" si="5"/>
        <v>0</v>
      </c>
      <c r="R33" s="644"/>
    </row>
    <row r="34" spans="1:18" ht="15" customHeight="1" x14ac:dyDescent="0.2">
      <c r="A34" s="636">
        <v>75</v>
      </c>
      <c r="B34" s="645"/>
      <c r="C34" s="638">
        <f t="shared" si="3"/>
        <v>0</v>
      </c>
      <c r="D34" s="638"/>
      <c r="E34" s="638">
        <f t="shared" si="0"/>
        <v>0</v>
      </c>
      <c r="F34" s="646">
        <f t="shared" si="4"/>
        <v>0</v>
      </c>
      <c r="G34" s="641">
        <f t="shared" si="1"/>
        <v>150</v>
      </c>
      <c r="H34" s="642">
        <f>'Transp. Camión con Acoplado'!A*(E34/60)</f>
        <v>0</v>
      </c>
      <c r="I34" s="642">
        <f>'Transp. Camión con Acoplado'!B*(E34/60)</f>
        <v>0</v>
      </c>
      <c r="J34" s="642">
        <f>'Transp. Camión con Acoplado'!C_*(C34/60)</f>
        <v>0</v>
      </c>
      <c r="K34" s="642">
        <f>'Transp. Camión con Acoplado'!D*(E34/60)</f>
        <v>0</v>
      </c>
      <c r="L34" s="642">
        <f>'Transp. Camión con Acoplado'!E*(E34/60)</f>
        <v>0</v>
      </c>
      <c r="M34" s="642">
        <f>'Transp. Camión con Acoplado'!F_*G34</f>
        <v>0</v>
      </c>
      <c r="N34" s="642">
        <f t="shared" si="2"/>
        <v>0</v>
      </c>
      <c r="O34" s="642">
        <f>+G34*'Transp. Camión con Acoplado'!G</f>
        <v>0</v>
      </c>
      <c r="P34" s="643">
        <f t="shared" si="5"/>
        <v>0</v>
      </c>
      <c r="R34" s="644"/>
    </row>
    <row r="35" spans="1:18" ht="15" customHeight="1" x14ac:dyDescent="0.2">
      <c r="A35" s="636">
        <v>80</v>
      </c>
      <c r="B35" s="645"/>
      <c r="C35" s="638">
        <f t="shared" si="3"/>
        <v>0</v>
      </c>
      <c r="D35" s="638"/>
      <c r="E35" s="638">
        <f t="shared" si="0"/>
        <v>0</v>
      </c>
      <c r="F35" s="646">
        <f t="shared" si="4"/>
        <v>0</v>
      </c>
      <c r="G35" s="641">
        <f t="shared" si="1"/>
        <v>160</v>
      </c>
      <c r="H35" s="642">
        <f>'Transp. Camión con Acoplado'!A*(E35/60)</f>
        <v>0</v>
      </c>
      <c r="I35" s="642">
        <f>'Transp. Camión con Acoplado'!B*(E35/60)</f>
        <v>0</v>
      </c>
      <c r="J35" s="642">
        <f>'Transp. Camión con Acoplado'!C_*(C35/60)</f>
        <v>0</v>
      </c>
      <c r="K35" s="642">
        <f>'Transp. Camión con Acoplado'!D*(E35/60)</f>
        <v>0</v>
      </c>
      <c r="L35" s="642">
        <f>'Transp. Camión con Acoplado'!E*(E35/60)</f>
        <v>0</v>
      </c>
      <c r="M35" s="642">
        <f>'Transp. Camión con Acoplado'!F_*G35</f>
        <v>0</v>
      </c>
      <c r="N35" s="642">
        <f t="shared" si="2"/>
        <v>0</v>
      </c>
      <c r="O35" s="642">
        <f>+G35*'Transp. Camión con Acoplado'!G</f>
        <v>0</v>
      </c>
      <c r="P35" s="643">
        <f t="shared" si="5"/>
        <v>0</v>
      </c>
      <c r="R35" s="644"/>
    </row>
    <row r="36" spans="1:18" ht="15" customHeight="1" x14ac:dyDescent="0.2">
      <c r="A36" s="636">
        <v>85</v>
      </c>
      <c r="B36" s="645"/>
      <c r="C36" s="638">
        <f t="shared" si="3"/>
        <v>0</v>
      </c>
      <c r="D36" s="638"/>
      <c r="E36" s="638">
        <f t="shared" si="0"/>
        <v>0</v>
      </c>
      <c r="F36" s="646">
        <f t="shared" si="4"/>
        <v>0</v>
      </c>
      <c r="G36" s="641">
        <f t="shared" si="1"/>
        <v>170</v>
      </c>
      <c r="H36" s="642">
        <f>'Transp. Camión con Acoplado'!A*(E36/60)</f>
        <v>0</v>
      </c>
      <c r="I36" s="642">
        <f>'Transp. Camión con Acoplado'!B*(E36/60)</f>
        <v>0</v>
      </c>
      <c r="J36" s="642">
        <f>'Transp. Camión con Acoplado'!C_*(C36/60)</f>
        <v>0</v>
      </c>
      <c r="K36" s="642">
        <f>'Transp. Camión con Acoplado'!D*(E36/60)</f>
        <v>0</v>
      </c>
      <c r="L36" s="642">
        <f>'Transp. Camión con Acoplado'!E*(E36/60)</f>
        <v>0</v>
      </c>
      <c r="M36" s="642">
        <f>'Transp. Camión con Acoplado'!F_*G36</f>
        <v>0</v>
      </c>
      <c r="N36" s="642">
        <f t="shared" si="2"/>
        <v>0</v>
      </c>
      <c r="O36" s="642">
        <f>+G36*'Transp. Camión con Acoplado'!G</f>
        <v>0</v>
      </c>
      <c r="P36" s="643">
        <f t="shared" si="5"/>
        <v>0</v>
      </c>
      <c r="R36" s="644"/>
    </row>
    <row r="37" spans="1:18" ht="15" customHeight="1" x14ac:dyDescent="0.2">
      <c r="A37" s="636">
        <v>90</v>
      </c>
      <c r="B37" s="645"/>
      <c r="C37" s="638">
        <f t="shared" si="3"/>
        <v>0</v>
      </c>
      <c r="D37" s="638"/>
      <c r="E37" s="638">
        <f t="shared" si="0"/>
        <v>0</v>
      </c>
      <c r="F37" s="646">
        <f t="shared" si="4"/>
        <v>0</v>
      </c>
      <c r="G37" s="641">
        <f t="shared" si="1"/>
        <v>180</v>
      </c>
      <c r="H37" s="642">
        <f>'Transp. Camión con Acoplado'!A*(E37/60)</f>
        <v>0</v>
      </c>
      <c r="I37" s="642">
        <f>'Transp. Camión con Acoplado'!B*(E37/60)</f>
        <v>0</v>
      </c>
      <c r="J37" s="642">
        <f>'Transp. Camión con Acoplado'!C_*(C37/60)</f>
        <v>0</v>
      </c>
      <c r="K37" s="642">
        <f>'Transp. Camión con Acoplado'!D*(E37/60)</f>
        <v>0</v>
      </c>
      <c r="L37" s="642">
        <f>'Transp. Camión con Acoplado'!E*(E37/60)</f>
        <v>0</v>
      </c>
      <c r="M37" s="642">
        <f>'Transp. Camión con Acoplado'!F_*G37</f>
        <v>0</v>
      </c>
      <c r="N37" s="642">
        <f t="shared" si="2"/>
        <v>0</v>
      </c>
      <c r="O37" s="642">
        <f>+G37*'Transp. Camión con Acoplado'!G</f>
        <v>0</v>
      </c>
      <c r="P37" s="643">
        <f t="shared" si="5"/>
        <v>0</v>
      </c>
      <c r="R37" s="644"/>
    </row>
    <row r="38" spans="1:18" ht="15" customHeight="1" x14ac:dyDescent="0.2">
      <c r="A38" s="636">
        <v>95</v>
      </c>
      <c r="B38" s="645"/>
      <c r="C38" s="638">
        <f t="shared" si="3"/>
        <v>0</v>
      </c>
      <c r="D38" s="638"/>
      <c r="E38" s="638">
        <f t="shared" si="0"/>
        <v>0</v>
      </c>
      <c r="F38" s="646">
        <f t="shared" si="4"/>
        <v>0</v>
      </c>
      <c r="G38" s="641">
        <f t="shared" si="1"/>
        <v>190</v>
      </c>
      <c r="H38" s="642">
        <f>'Transp. Camión con Acoplado'!A*(E38/60)</f>
        <v>0</v>
      </c>
      <c r="I38" s="642">
        <f>'Transp. Camión con Acoplado'!B*(E38/60)</f>
        <v>0</v>
      </c>
      <c r="J38" s="642">
        <f>'Transp. Camión con Acoplado'!C_*(C38/60)</f>
        <v>0</v>
      </c>
      <c r="K38" s="642">
        <f>'Transp. Camión con Acoplado'!D*(E38/60)</f>
        <v>0</v>
      </c>
      <c r="L38" s="642">
        <f>'Transp. Camión con Acoplado'!E*(E38/60)</f>
        <v>0</v>
      </c>
      <c r="M38" s="642">
        <f>'Transp. Camión con Acoplado'!F_*G38</f>
        <v>0</v>
      </c>
      <c r="N38" s="642">
        <f t="shared" si="2"/>
        <v>0</v>
      </c>
      <c r="O38" s="642">
        <f>+G38*'Transp. Camión con Acoplado'!G</f>
        <v>0</v>
      </c>
      <c r="P38" s="643">
        <f t="shared" si="5"/>
        <v>0</v>
      </c>
      <c r="R38" s="644"/>
    </row>
    <row r="39" spans="1:18" ht="15" customHeight="1" x14ac:dyDescent="0.2">
      <c r="A39" s="636">
        <v>100</v>
      </c>
      <c r="B39" s="645"/>
      <c r="C39" s="638">
        <f t="shared" si="3"/>
        <v>0</v>
      </c>
      <c r="D39" s="638"/>
      <c r="E39" s="638">
        <f t="shared" si="0"/>
        <v>0</v>
      </c>
      <c r="F39" s="646">
        <f t="shared" si="4"/>
        <v>0</v>
      </c>
      <c r="G39" s="641">
        <f t="shared" si="1"/>
        <v>200</v>
      </c>
      <c r="H39" s="642">
        <f>'Transp. Camión con Acoplado'!A*(E39/60)</f>
        <v>0</v>
      </c>
      <c r="I39" s="642">
        <f>'Transp. Camión con Acoplado'!B*(E39/60)</f>
        <v>0</v>
      </c>
      <c r="J39" s="642">
        <f>'Transp. Camión con Acoplado'!C_*(C39/60)</f>
        <v>0</v>
      </c>
      <c r="K39" s="642">
        <f>'Transp. Camión con Acoplado'!D*(E39/60)</f>
        <v>0</v>
      </c>
      <c r="L39" s="642">
        <f>'Transp. Camión con Acoplado'!E*(E39/60)</f>
        <v>0</v>
      </c>
      <c r="M39" s="642">
        <f>'Transp. Camión con Acoplado'!F_*G39</f>
        <v>0</v>
      </c>
      <c r="N39" s="642">
        <f t="shared" si="2"/>
        <v>0</v>
      </c>
      <c r="O39" s="642">
        <f>+G39*'Transp. Camión con Acoplado'!G</f>
        <v>0</v>
      </c>
      <c r="P39" s="643">
        <f t="shared" si="5"/>
        <v>0</v>
      </c>
      <c r="R39" s="644"/>
    </row>
    <row r="40" spans="1:18" ht="15" customHeight="1" x14ac:dyDescent="0.2">
      <c r="A40" s="636">
        <v>105</v>
      </c>
      <c r="B40" s="645"/>
      <c r="C40" s="638">
        <f t="shared" si="3"/>
        <v>0</v>
      </c>
      <c r="D40" s="638"/>
      <c r="E40" s="638">
        <f t="shared" si="0"/>
        <v>0</v>
      </c>
      <c r="F40" s="646">
        <f t="shared" si="4"/>
        <v>0</v>
      </c>
      <c r="G40" s="641">
        <f t="shared" si="1"/>
        <v>210</v>
      </c>
      <c r="H40" s="642">
        <f>'Transp. Camión con Acoplado'!A*(E40/60)</f>
        <v>0</v>
      </c>
      <c r="I40" s="642">
        <f>'Transp. Camión con Acoplado'!B*(E40/60)</f>
        <v>0</v>
      </c>
      <c r="J40" s="642">
        <f>'Transp. Camión con Acoplado'!C_*(C40/60)</f>
        <v>0</v>
      </c>
      <c r="K40" s="642">
        <f>'Transp. Camión con Acoplado'!D*(E40/60)</f>
        <v>0</v>
      </c>
      <c r="L40" s="642">
        <f>'Transp. Camión con Acoplado'!E*(E40/60)</f>
        <v>0</v>
      </c>
      <c r="M40" s="642">
        <f>'Transp. Camión con Acoplado'!F_*G40</f>
        <v>0</v>
      </c>
      <c r="N40" s="642">
        <f t="shared" si="2"/>
        <v>0</v>
      </c>
      <c r="O40" s="642">
        <f>+G40*'Transp. Camión con Acoplado'!G</f>
        <v>0</v>
      </c>
      <c r="P40" s="643">
        <f t="shared" si="5"/>
        <v>0</v>
      </c>
      <c r="R40" s="644"/>
    </row>
    <row r="41" spans="1:18" ht="15" customHeight="1" x14ac:dyDescent="0.2">
      <c r="A41" s="636">
        <v>110</v>
      </c>
      <c r="B41" s="645"/>
      <c r="C41" s="638">
        <f t="shared" si="3"/>
        <v>0</v>
      </c>
      <c r="D41" s="638"/>
      <c r="E41" s="638">
        <f t="shared" si="0"/>
        <v>0</v>
      </c>
      <c r="F41" s="646">
        <f t="shared" si="4"/>
        <v>0</v>
      </c>
      <c r="G41" s="641">
        <f t="shared" si="1"/>
        <v>220</v>
      </c>
      <c r="H41" s="642">
        <f>'Transp. Camión con Acoplado'!A*(E41/60)</f>
        <v>0</v>
      </c>
      <c r="I41" s="642">
        <f>'Transp. Camión con Acoplado'!B*(E41/60)</f>
        <v>0</v>
      </c>
      <c r="J41" s="642">
        <f>'Transp. Camión con Acoplado'!C_*(C41/60)</f>
        <v>0</v>
      </c>
      <c r="K41" s="642">
        <f>'Transp. Camión con Acoplado'!D*(E41/60)</f>
        <v>0</v>
      </c>
      <c r="L41" s="642">
        <f>'Transp. Camión con Acoplado'!E*(E41/60)</f>
        <v>0</v>
      </c>
      <c r="M41" s="642">
        <f>'Transp. Camión con Acoplado'!F_*G41</f>
        <v>0</v>
      </c>
      <c r="N41" s="642">
        <f t="shared" si="2"/>
        <v>0</v>
      </c>
      <c r="O41" s="642">
        <f>+G41*'Transp. Camión con Acoplado'!G</f>
        <v>0</v>
      </c>
      <c r="P41" s="643">
        <f t="shared" si="5"/>
        <v>0</v>
      </c>
      <c r="R41" s="644"/>
    </row>
    <row r="42" spans="1:18" ht="15" customHeight="1" x14ac:dyDescent="0.2">
      <c r="A42" s="636">
        <v>120</v>
      </c>
      <c r="B42" s="645"/>
      <c r="C42" s="638">
        <f t="shared" si="3"/>
        <v>0</v>
      </c>
      <c r="D42" s="638"/>
      <c r="E42" s="638">
        <f t="shared" si="0"/>
        <v>0</v>
      </c>
      <c r="F42" s="646">
        <f t="shared" si="4"/>
        <v>0</v>
      </c>
      <c r="G42" s="641">
        <f t="shared" si="1"/>
        <v>240</v>
      </c>
      <c r="H42" s="642">
        <f>'Transp. Camión con Acoplado'!A*(E42/60)</f>
        <v>0</v>
      </c>
      <c r="I42" s="642">
        <f>'Transp. Camión con Acoplado'!B*(E42/60)</f>
        <v>0</v>
      </c>
      <c r="J42" s="642">
        <f>'Transp. Camión con Acoplado'!C_*(C42/60)</f>
        <v>0</v>
      </c>
      <c r="K42" s="642">
        <f>'Transp. Camión con Acoplado'!D*(E42/60)</f>
        <v>0</v>
      </c>
      <c r="L42" s="642">
        <f>'Transp. Camión con Acoplado'!E*(E42/60)</f>
        <v>0</v>
      </c>
      <c r="M42" s="642">
        <f>'Transp. Camión con Acoplado'!F_*G42</f>
        <v>0</v>
      </c>
      <c r="N42" s="642">
        <f t="shared" si="2"/>
        <v>0</v>
      </c>
      <c r="O42" s="642">
        <f>+G42*'Transp. Camión con Acoplado'!G</f>
        <v>0</v>
      </c>
      <c r="P42" s="643">
        <f t="shared" si="5"/>
        <v>0</v>
      </c>
      <c r="R42" s="644"/>
    </row>
    <row r="43" spans="1:18" ht="15" customHeight="1" x14ac:dyDescent="0.2">
      <c r="A43" s="636">
        <v>130</v>
      </c>
      <c r="B43" s="645"/>
      <c r="C43" s="638">
        <f t="shared" si="3"/>
        <v>0</v>
      </c>
      <c r="D43" s="638"/>
      <c r="E43" s="638">
        <f t="shared" si="0"/>
        <v>0</v>
      </c>
      <c r="F43" s="646">
        <f t="shared" si="4"/>
        <v>0</v>
      </c>
      <c r="G43" s="641">
        <f t="shared" si="1"/>
        <v>260</v>
      </c>
      <c r="H43" s="642">
        <f>'Transp. Camión con Acoplado'!A*(E43/60)</f>
        <v>0</v>
      </c>
      <c r="I43" s="642">
        <f>'Transp. Camión con Acoplado'!B*(E43/60)</f>
        <v>0</v>
      </c>
      <c r="J43" s="642">
        <f>'Transp. Camión con Acoplado'!C_*(C43/60)</f>
        <v>0</v>
      </c>
      <c r="K43" s="642">
        <f>'Transp. Camión con Acoplado'!D*(E43/60)</f>
        <v>0</v>
      </c>
      <c r="L43" s="642">
        <f>'Transp. Camión con Acoplado'!E*(E43/60)</f>
        <v>0</v>
      </c>
      <c r="M43" s="642">
        <f>'Transp. Camión con Acoplado'!F_*G43</f>
        <v>0</v>
      </c>
      <c r="N43" s="642">
        <f t="shared" si="2"/>
        <v>0</v>
      </c>
      <c r="O43" s="642">
        <f>+G43*'Transp. Camión con Acoplado'!G</f>
        <v>0</v>
      </c>
      <c r="P43" s="643">
        <f t="shared" si="5"/>
        <v>0</v>
      </c>
      <c r="R43" s="644"/>
    </row>
    <row r="44" spans="1:18" ht="15" customHeight="1" x14ac:dyDescent="0.2">
      <c r="A44" s="636">
        <v>140</v>
      </c>
      <c r="B44" s="645"/>
      <c r="C44" s="638">
        <f t="shared" si="3"/>
        <v>0</v>
      </c>
      <c r="D44" s="638"/>
      <c r="E44" s="638">
        <f t="shared" si="0"/>
        <v>0</v>
      </c>
      <c r="F44" s="646">
        <f t="shared" si="4"/>
        <v>0</v>
      </c>
      <c r="G44" s="641">
        <f t="shared" si="1"/>
        <v>280</v>
      </c>
      <c r="H44" s="642">
        <f>'Transp. Camión con Acoplado'!A*(E44/60)</f>
        <v>0</v>
      </c>
      <c r="I44" s="642">
        <f>'Transp. Camión con Acoplado'!B*(E44/60)</f>
        <v>0</v>
      </c>
      <c r="J44" s="642">
        <f>'Transp. Camión con Acoplado'!C_*(C44/60)</f>
        <v>0</v>
      </c>
      <c r="K44" s="642">
        <f>'Transp. Camión con Acoplado'!D*(E44/60)</f>
        <v>0</v>
      </c>
      <c r="L44" s="642">
        <f>'Transp. Camión con Acoplado'!E*(E44/60)</f>
        <v>0</v>
      </c>
      <c r="M44" s="642">
        <f>'Transp. Camión con Acoplado'!F_*G44</f>
        <v>0</v>
      </c>
      <c r="N44" s="642">
        <f t="shared" si="2"/>
        <v>0</v>
      </c>
      <c r="O44" s="642">
        <f>+G44*'Transp. Camión con Acoplado'!G</f>
        <v>0</v>
      </c>
      <c r="P44" s="643">
        <f t="shared" si="5"/>
        <v>0</v>
      </c>
      <c r="R44" s="644"/>
    </row>
    <row r="45" spans="1:18" ht="15" customHeight="1" x14ac:dyDescent="0.2">
      <c r="A45" s="636">
        <v>150</v>
      </c>
      <c r="B45" s="645"/>
      <c r="C45" s="638">
        <f t="shared" si="3"/>
        <v>0</v>
      </c>
      <c r="D45" s="638"/>
      <c r="E45" s="638">
        <f t="shared" si="0"/>
        <v>0</v>
      </c>
      <c r="F45" s="646">
        <f t="shared" si="4"/>
        <v>0</v>
      </c>
      <c r="G45" s="641">
        <f t="shared" si="1"/>
        <v>300</v>
      </c>
      <c r="H45" s="642">
        <f>'Transp. Camión con Acoplado'!A*(E45/60)</f>
        <v>0</v>
      </c>
      <c r="I45" s="642">
        <f>'Transp. Camión con Acoplado'!B*(E45/60)</f>
        <v>0</v>
      </c>
      <c r="J45" s="642">
        <f>'Transp. Camión con Acoplado'!C_*(C45/60)</f>
        <v>0</v>
      </c>
      <c r="K45" s="642">
        <f>'Transp. Camión con Acoplado'!D*(E45/60)</f>
        <v>0</v>
      </c>
      <c r="L45" s="642">
        <f>'Transp. Camión con Acoplado'!E*(E45/60)</f>
        <v>0</v>
      </c>
      <c r="M45" s="642">
        <f>'Transp. Camión con Acoplado'!F_*G45</f>
        <v>0</v>
      </c>
      <c r="N45" s="642">
        <f t="shared" si="2"/>
        <v>0</v>
      </c>
      <c r="O45" s="642">
        <f>+G45*'Transp. Camión con Acoplado'!G</f>
        <v>0</v>
      </c>
      <c r="P45" s="643">
        <f t="shared" si="5"/>
        <v>0</v>
      </c>
      <c r="R45" s="644"/>
    </row>
    <row r="46" spans="1:18" ht="15" customHeight="1" x14ac:dyDescent="0.2">
      <c r="A46" s="636">
        <v>160</v>
      </c>
      <c r="B46" s="645"/>
      <c r="C46" s="638">
        <f t="shared" si="3"/>
        <v>0</v>
      </c>
      <c r="D46" s="638"/>
      <c r="E46" s="638">
        <f t="shared" si="0"/>
        <v>0</v>
      </c>
      <c r="F46" s="646">
        <f t="shared" si="4"/>
        <v>0</v>
      </c>
      <c r="G46" s="641">
        <f t="shared" si="1"/>
        <v>320</v>
      </c>
      <c r="H46" s="642">
        <f>'Transp. Camión con Acoplado'!A*(E46/60)</f>
        <v>0</v>
      </c>
      <c r="I46" s="642">
        <f>'Transp. Camión con Acoplado'!B*(E46/60)</f>
        <v>0</v>
      </c>
      <c r="J46" s="642">
        <f>'Transp. Camión con Acoplado'!C_*(C46/60)</f>
        <v>0</v>
      </c>
      <c r="K46" s="642">
        <f>'Transp. Camión con Acoplado'!D*(E46/60)</f>
        <v>0</v>
      </c>
      <c r="L46" s="642">
        <f>'Transp. Camión con Acoplado'!E*(E46/60)</f>
        <v>0</v>
      </c>
      <c r="M46" s="642">
        <f>'Transp. Camión con Acoplado'!F_*G46</f>
        <v>0</v>
      </c>
      <c r="N46" s="642">
        <f t="shared" si="2"/>
        <v>0</v>
      </c>
      <c r="O46" s="642">
        <f>+G46*'Transp. Camión con Acoplado'!G</f>
        <v>0</v>
      </c>
      <c r="P46" s="643">
        <f t="shared" si="5"/>
        <v>0</v>
      </c>
      <c r="R46" s="644"/>
    </row>
    <row r="47" spans="1:18" ht="15" customHeight="1" x14ac:dyDescent="0.2">
      <c r="A47" s="636">
        <v>170</v>
      </c>
      <c r="B47" s="645"/>
      <c r="C47" s="638">
        <f t="shared" si="3"/>
        <v>0</v>
      </c>
      <c r="D47" s="638"/>
      <c r="E47" s="638">
        <f t="shared" si="0"/>
        <v>0</v>
      </c>
      <c r="F47" s="646">
        <f t="shared" si="4"/>
        <v>0</v>
      </c>
      <c r="G47" s="641">
        <f t="shared" si="1"/>
        <v>340</v>
      </c>
      <c r="H47" s="642">
        <f>'Transp. Camión con Acoplado'!A*(E47/60)</f>
        <v>0</v>
      </c>
      <c r="I47" s="642">
        <f>'Transp. Camión con Acoplado'!B*(E47/60)</f>
        <v>0</v>
      </c>
      <c r="J47" s="642">
        <f>'Transp. Camión con Acoplado'!C_*(C47/60)</f>
        <v>0</v>
      </c>
      <c r="K47" s="642">
        <f>'Transp. Camión con Acoplado'!D*(E47/60)</f>
        <v>0</v>
      </c>
      <c r="L47" s="642">
        <f>'Transp. Camión con Acoplado'!E*(E47/60)</f>
        <v>0</v>
      </c>
      <c r="M47" s="642">
        <f>'Transp. Camión con Acoplado'!F_*G47</f>
        <v>0</v>
      </c>
      <c r="N47" s="642">
        <f t="shared" si="2"/>
        <v>0</v>
      </c>
      <c r="O47" s="642">
        <f>+G47*'Transp. Camión con Acoplado'!G</f>
        <v>0</v>
      </c>
      <c r="P47" s="643">
        <f t="shared" si="5"/>
        <v>0</v>
      </c>
      <c r="R47" s="644"/>
    </row>
    <row r="48" spans="1:18" ht="15" customHeight="1" x14ac:dyDescent="0.2">
      <c r="A48" s="636">
        <v>180</v>
      </c>
      <c r="B48" s="645"/>
      <c r="C48" s="638">
        <f t="shared" si="3"/>
        <v>0</v>
      </c>
      <c r="D48" s="638"/>
      <c r="E48" s="638">
        <f t="shared" si="0"/>
        <v>0</v>
      </c>
      <c r="F48" s="646">
        <f t="shared" si="4"/>
        <v>0</v>
      </c>
      <c r="G48" s="641">
        <f t="shared" si="1"/>
        <v>360</v>
      </c>
      <c r="H48" s="642">
        <f>'Transp. Camión con Acoplado'!A*(E48/60)</f>
        <v>0</v>
      </c>
      <c r="I48" s="642">
        <f>'Transp. Camión con Acoplado'!B*(E48/60)</f>
        <v>0</v>
      </c>
      <c r="J48" s="642">
        <f>'Transp. Camión con Acoplado'!C_*(C48/60)</f>
        <v>0</v>
      </c>
      <c r="K48" s="642">
        <f>'Transp. Camión con Acoplado'!D*(E48/60)</f>
        <v>0</v>
      </c>
      <c r="L48" s="642">
        <f>'Transp. Camión con Acoplado'!E*(E48/60)</f>
        <v>0</v>
      </c>
      <c r="M48" s="642">
        <f>'Transp. Camión con Acoplado'!F_*G48</f>
        <v>0</v>
      </c>
      <c r="N48" s="642">
        <f t="shared" si="2"/>
        <v>0</v>
      </c>
      <c r="O48" s="642">
        <f>+G48*'Transp. Camión con Acoplado'!G</f>
        <v>0</v>
      </c>
      <c r="P48" s="643">
        <f t="shared" si="5"/>
        <v>0</v>
      </c>
      <c r="R48" s="644"/>
    </row>
    <row r="49" spans="1:18" ht="15" customHeight="1" x14ac:dyDescent="0.2">
      <c r="A49" s="636">
        <v>200</v>
      </c>
      <c r="B49" s="645"/>
      <c r="C49" s="638">
        <f t="shared" si="3"/>
        <v>0</v>
      </c>
      <c r="D49" s="638"/>
      <c r="E49" s="638">
        <f t="shared" si="0"/>
        <v>0</v>
      </c>
      <c r="F49" s="646">
        <f t="shared" si="4"/>
        <v>0</v>
      </c>
      <c r="G49" s="641">
        <f t="shared" si="1"/>
        <v>400</v>
      </c>
      <c r="H49" s="642">
        <f>'Transp. Camión con Acoplado'!A*(E49/60)</f>
        <v>0</v>
      </c>
      <c r="I49" s="642">
        <f>'Transp. Camión con Acoplado'!B*(E49/60)</f>
        <v>0</v>
      </c>
      <c r="J49" s="642">
        <f>'Transp. Camión con Acoplado'!C_*(C49/60)</f>
        <v>0</v>
      </c>
      <c r="K49" s="642">
        <f>'Transp. Camión con Acoplado'!D*(E49/60)</f>
        <v>0</v>
      </c>
      <c r="L49" s="642">
        <f>'Transp. Camión con Acoplado'!E*(E49/60)</f>
        <v>0</v>
      </c>
      <c r="M49" s="642">
        <f>'Transp. Camión con Acoplado'!F_*G49</f>
        <v>0</v>
      </c>
      <c r="N49" s="642">
        <f t="shared" si="2"/>
        <v>0</v>
      </c>
      <c r="O49" s="642">
        <f>+G49*'Transp. Camión con Acoplado'!G</f>
        <v>0</v>
      </c>
      <c r="P49" s="643">
        <f t="shared" si="5"/>
        <v>0</v>
      </c>
      <c r="R49" s="644"/>
    </row>
    <row r="50" spans="1:18" ht="15" customHeight="1" x14ac:dyDescent="0.2">
      <c r="A50" s="636">
        <v>225</v>
      </c>
      <c r="B50" s="645"/>
      <c r="C50" s="638">
        <f t="shared" si="3"/>
        <v>0</v>
      </c>
      <c r="D50" s="638"/>
      <c r="E50" s="638">
        <f t="shared" si="0"/>
        <v>0</v>
      </c>
      <c r="F50" s="646">
        <f t="shared" si="4"/>
        <v>0</v>
      </c>
      <c r="G50" s="641">
        <f t="shared" si="1"/>
        <v>450</v>
      </c>
      <c r="H50" s="642">
        <f>'Transp. Camión con Acoplado'!A*(E50/60)</f>
        <v>0</v>
      </c>
      <c r="I50" s="642">
        <f>'Transp. Camión con Acoplado'!B*(E50/60)</f>
        <v>0</v>
      </c>
      <c r="J50" s="642">
        <f>'Transp. Camión con Acoplado'!C_*(C50/60)</f>
        <v>0</v>
      </c>
      <c r="K50" s="642">
        <f>'Transp. Camión con Acoplado'!D*(E50/60)</f>
        <v>0</v>
      </c>
      <c r="L50" s="642">
        <f>'Transp. Camión con Acoplado'!E*(E50/60)</f>
        <v>0</v>
      </c>
      <c r="M50" s="642">
        <f>'Transp. Camión con Acoplado'!F_*G50</f>
        <v>0</v>
      </c>
      <c r="N50" s="642">
        <f t="shared" si="2"/>
        <v>0</v>
      </c>
      <c r="O50" s="642">
        <f>+G50*'Transp. Camión con Acoplado'!G</f>
        <v>0</v>
      </c>
      <c r="P50" s="643">
        <f t="shared" si="5"/>
        <v>0</v>
      </c>
      <c r="R50" s="644"/>
    </row>
    <row r="51" spans="1:18" ht="15" customHeight="1" x14ac:dyDescent="0.2">
      <c r="A51" s="636">
        <v>250</v>
      </c>
      <c r="B51" s="645"/>
      <c r="C51" s="638">
        <f t="shared" si="3"/>
        <v>0</v>
      </c>
      <c r="D51" s="638"/>
      <c r="E51" s="638">
        <f t="shared" si="0"/>
        <v>0</v>
      </c>
      <c r="F51" s="646">
        <f t="shared" si="4"/>
        <v>0</v>
      </c>
      <c r="G51" s="641">
        <f t="shared" si="1"/>
        <v>500</v>
      </c>
      <c r="H51" s="642">
        <f>'Transp. Camión con Acoplado'!A*(E51/60)</f>
        <v>0</v>
      </c>
      <c r="I51" s="642">
        <f>'Transp. Camión con Acoplado'!B*(E51/60)</f>
        <v>0</v>
      </c>
      <c r="J51" s="642">
        <f>'Transp. Camión con Acoplado'!C_*(C51/60)</f>
        <v>0</v>
      </c>
      <c r="K51" s="642">
        <f>'Transp. Camión con Acoplado'!D*(E51/60)</f>
        <v>0</v>
      </c>
      <c r="L51" s="642">
        <f>'Transp. Camión con Acoplado'!E*(E51/60)</f>
        <v>0</v>
      </c>
      <c r="M51" s="642">
        <f>'Transp. Camión con Acoplado'!F_*G51</f>
        <v>0</v>
      </c>
      <c r="N51" s="642">
        <f t="shared" si="2"/>
        <v>0</v>
      </c>
      <c r="O51" s="642">
        <f>+G51*'Transp. Camión con Acoplado'!G</f>
        <v>0</v>
      </c>
      <c r="P51" s="643">
        <f t="shared" si="5"/>
        <v>0</v>
      </c>
      <c r="R51" s="644"/>
    </row>
    <row r="52" spans="1:18" ht="15" customHeight="1" x14ac:dyDescent="0.2">
      <c r="A52" s="636">
        <v>275</v>
      </c>
      <c r="B52" s="645"/>
      <c r="C52" s="638">
        <f t="shared" si="3"/>
        <v>0</v>
      </c>
      <c r="D52" s="638"/>
      <c r="E52" s="638">
        <f t="shared" si="0"/>
        <v>0</v>
      </c>
      <c r="F52" s="646">
        <f t="shared" si="4"/>
        <v>0</v>
      </c>
      <c r="G52" s="641">
        <f t="shared" si="1"/>
        <v>550</v>
      </c>
      <c r="H52" s="642">
        <f>'Transp. Camión con Acoplado'!A*(E52/60)</f>
        <v>0</v>
      </c>
      <c r="I52" s="642">
        <f>'Transp. Camión con Acoplado'!B*(E52/60)</f>
        <v>0</v>
      </c>
      <c r="J52" s="642">
        <f>'Transp. Camión con Acoplado'!C_*(C52/60)</f>
        <v>0</v>
      </c>
      <c r="K52" s="642">
        <f>'Transp. Camión con Acoplado'!D*(E52/60)</f>
        <v>0</v>
      </c>
      <c r="L52" s="642">
        <f>'Transp. Camión con Acoplado'!E*(E52/60)</f>
        <v>0</v>
      </c>
      <c r="M52" s="642">
        <f>'Transp. Camión con Acoplado'!F_*G52</f>
        <v>0</v>
      </c>
      <c r="N52" s="642">
        <f t="shared" si="2"/>
        <v>0</v>
      </c>
      <c r="O52" s="642">
        <f>+G52*'Transp. Camión con Acoplado'!G</f>
        <v>0</v>
      </c>
      <c r="P52" s="643">
        <f t="shared" si="5"/>
        <v>0</v>
      </c>
      <c r="R52" s="644"/>
    </row>
    <row r="53" spans="1:18" ht="15" customHeight="1" x14ac:dyDescent="0.2">
      <c r="A53" s="636">
        <v>300</v>
      </c>
      <c r="B53" s="645"/>
      <c r="C53" s="638">
        <f t="shared" si="3"/>
        <v>0</v>
      </c>
      <c r="D53" s="638"/>
      <c r="E53" s="638">
        <f t="shared" si="0"/>
        <v>0</v>
      </c>
      <c r="F53" s="646">
        <f t="shared" si="4"/>
        <v>0</v>
      </c>
      <c r="G53" s="641">
        <f t="shared" si="1"/>
        <v>600</v>
      </c>
      <c r="H53" s="642">
        <f>'Transp. Camión con Acoplado'!A*(E53/60)</f>
        <v>0</v>
      </c>
      <c r="I53" s="642">
        <f>'Transp. Camión con Acoplado'!B*(E53/60)</f>
        <v>0</v>
      </c>
      <c r="J53" s="642">
        <f>'Transp. Camión con Acoplado'!C_*(C53/60)</f>
        <v>0</v>
      </c>
      <c r="K53" s="642">
        <f>'Transp. Camión con Acoplado'!D*(E53/60)</f>
        <v>0</v>
      </c>
      <c r="L53" s="642">
        <f>'Transp. Camión con Acoplado'!E*(E53/60)</f>
        <v>0</v>
      </c>
      <c r="M53" s="642">
        <f>'Transp. Camión con Acoplado'!F_*G53</f>
        <v>0</v>
      </c>
      <c r="N53" s="642">
        <f t="shared" si="2"/>
        <v>0</v>
      </c>
      <c r="O53" s="642">
        <f>+G53*'Transp. Camión con Acoplado'!G</f>
        <v>0</v>
      </c>
      <c r="P53" s="643">
        <f t="shared" si="5"/>
        <v>0</v>
      </c>
      <c r="R53" s="644"/>
    </row>
    <row r="54" spans="1:18" ht="15" customHeight="1" x14ac:dyDescent="0.2">
      <c r="A54" s="636">
        <v>325</v>
      </c>
      <c r="B54" s="645"/>
      <c r="C54" s="638">
        <f t="shared" si="3"/>
        <v>0</v>
      </c>
      <c r="D54" s="638"/>
      <c r="E54" s="638">
        <f t="shared" si="0"/>
        <v>0</v>
      </c>
      <c r="F54" s="646">
        <f t="shared" si="4"/>
        <v>0</v>
      </c>
      <c r="G54" s="641">
        <f t="shared" si="1"/>
        <v>650</v>
      </c>
      <c r="H54" s="642">
        <f>'Transp. Camión con Acoplado'!A*(E54/60)</f>
        <v>0</v>
      </c>
      <c r="I54" s="642">
        <f>'Transp. Camión con Acoplado'!B*(E54/60)</f>
        <v>0</v>
      </c>
      <c r="J54" s="642">
        <f>'Transp. Camión con Acoplado'!C_*(C54/60)</f>
        <v>0</v>
      </c>
      <c r="K54" s="642">
        <f>'Transp. Camión con Acoplado'!D*(E54/60)</f>
        <v>0</v>
      </c>
      <c r="L54" s="642">
        <f>'Transp. Camión con Acoplado'!E*(E54/60)</f>
        <v>0</v>
      </c>
      <c r="M54" s="642">
        <f>'Transp. Camión con Acoplado'!F_*G54</f>
        <v>0</v>
      </c>
      <c r="N54" s="642">
        <f t="shared" si="2"/>
        <v>0</v>
      </c>
      <c r="O54" s="642">
        <f>+G54*'Transp. Camión con Acoplado'!G</f>
        <v>0</v>
      </c>
      <c r="P54" s="643">
        <f t="shared" si="5"/>
        <v>0</v>
      </c>
      <c r="R54" s="644"/>
    </row>
    <row r="55" spans="1:18" ht="15" customHeight="1" x14ac:dyDescent="0.2">
      <c r="A55" s="636">
        <v>350</v>
      </c>
      <c r="B55" s="645"/>
      <c r="C55" s="638">
        <f t="shared" si="3"/>
        <v>0</v>
      </c>
      <c r="D55" s="638"/>
      <c r="E55" s="638">
        <f t="shared" si="0"/>
        <v>0</v>
      </c>
      <c r="F55" s="646">
        <f t="shared" si="4"/>
        <v>0</v>
      </c>
      <c r="G55" s="641">
        <f t="shared" si="1"/>
        <v>700</v>
      </c>
      <c r="H55" s="642">
        <f>'Transp. Camión con Acoplado'!A*(E55/60)</f>
        <v>0</v>
      </c>
      <c r="I55" s="642">
        <f>'Transp. Camión con Acoplado'!B*(E55/60)</f>
        <v>0</v>
      </c>
      <c r="J55" s="642">
        <f>'Transp. Camión con Acoplado'!C_*(C55/60)</f>
        <v>0</v>
      </c>
      <c r="K55" s="642">
        <f>'Transp. Camión con Acoplado'!D*(E55/60)</f>
        <v>0</v>
      </c>
      <c r="L55" s="642">
        <f>'Transp. Camión con Acoplado'!E*(E55/60)</f>
        <v>0</v>
      </c>
      <c r="M55" s="642">
        <f>'Transp. Camión con Acoplado'!F_*G55</f>
        <v>0</v>
      </c>
      <c r="N55" s="642">
        <f t="shared" si="2"/>
        <v>0</v>
      </c>
      <c r="O55" s="642">
        <f>+G55*'Transp. Camión con Acoplado'!G</f>
        <v>0</v>
      </c>
      <c r="P55" s="643">
        <f t="shared" si="5"/>
        <v>0</v>
      </c>
      <c r="R55" s="644"/>
    </row>
    <row r="56" spans="1:18" ht="15" customHeight="1" x14ac:dyDescent="0.2">
      <c r="A56" s="636">
        <v>375</v>
      </c>
      <c r="B56" s="645"/>
      <c r="C56" s="638">
        <f t="shared" si="3"/>
        <v>0</v>
      </c>
      <c r="D56" s="638"/>
      <c r="E56" s="638">
        <f t="shared" si="0"/>
        <v>0</v>
      </c>
      <c r="F56" s="646">
        <f t="shared" si="4"/>
        <v>0</v>
      </c>
      <c r="G56" s="641">
        <f t="shared" si="1"/>
        <v>750</v>
      </c>
      <c r="H56" s="642">
        <f>'Transp. Camión con Acoplado'!A*(E56/60)</f>
        <v>0</v>
      </c>
      <c r="I56" s="642">
        <f>'Transp. Camión con Acoplado'!B*(E56/60)</f>
        <v>0</v>
      </c>
      <c r="J56" s="642">
        <f>'Transp. Camión con Acoplado'!C_*(C56/60)</f>
        <v>0</v>
      </c>
      <c r="K56" s="642">
        <f>'Transp. Camión con Acoplado'!D*(E56/60)</f>
        <v>0</v>
      </c>
      <c r="L56" s="642">
        <f>'Transp. Camión con Acoplado'!E*(E56/60)</f>
        <v>0</v>
      </c>
      <c r="M56" s="642">
        <f>'Transp. Camión con Acoplado'!F_*G56</f>
        <v>0</v>
      </c>
      <c r="N56" s="642">
        <f t="shared" si="2"/>
        <v>0</v>
      </c>
      <c r="O56" s="642">
        <f>+G56*'Transp. Camión con Acoplado'!G</f>
        <v>0</v>
      </c>
      <c r="P56" s="643">
        <f t="shared" si="5"/>
        <v>0</v>
      </c>
      <c r="R56" s="644"/>
    </row>
    <row r="57" spans="1:18" ht="15" customHeight="1" x14ac:dyDescent="0.2">
      <c r="A57" s="636">
        <v>400</v>
      </c>
      <c r="B57" s="645"/>
      <c r="C57" s="638">
        <f t="shared" si="3"/>
        <v>0</v>
      </c>
      <c r="D57" s="638"/>
      <c r="E57" s="638">
        <f t="shared" si="0"/>
        <v>0</v>
      </c>
      <c r="F57" s="646">
        <f t="shared" si="4"/>
        <v>0</v>
      </c>
      <c r="G57" s="641">
        <f t="shared" si="1"/>
        <v>800</v>
      </c>
      <c r="H57" s="642">
        <f>'Transp. Camión con Acoplado'!A*(E57/60)</f>
        <v>0</v>
      </c>
      <c r="I57" s="642">
        <f>'Transp. Camión con Acoplado'!B*(E57/60)</f>
        <v>0</v>
      </c>
      <c r="J57" s="642">
        <f>'Transp. Camión con Acoplado'!C_*(C57/60)</f>
        <v>0</v>
      </c>
      <c r="K57" s="642">
        <f>'Transp. Camión con Acoplado'!D*(E57/60)</f>
        <v>0</v>
      </c>
      <c r="L57" s="642">
        <f>'Transp. Camión con Acoplado'!E*(E57/60)</f>
        <v>0</v>
      </c>
      <c r="M57" s="642">
        <f>'Transp. Camión con Acoplado'!F_*G57</f>
        <v>0</v>
      </c>
      <c r="N57" s="642">
        <f t="shared" si="2"/>
        <v>0</v>
      </c>
      <c r="O57" s="642">
        <f>+G57*'Transp. Camión con Acoplado'!G</f>
        <v>0</v>
      </c>
      <c r="P57" s="643">
        <f t="shared" si="5"/>
        <v>0</v>
      </c>
      <c r="R57" s="644"/>
    </row>
    <row r="58" spans="1:18" ht="15" customHeight="1" x14ac:dyDescent="0.2">
      <c r="A58" s="636">
        <v>425</v>
      </c>
      <c r="B58" s="645"/>
      <c r="C58" s="638">
        <f t="shared" si="3"/>
        <v>0</v>
      </c>
      <c r="D58" s="638"/>
      <c r="E58" s="638">
        <f t="shared" si="0"/>
        <v>0</v>
      </c>
      <c r="F58" s="646">
        <f t="shared" si="4"/>
        <v>0</v>
      </c>
      <c r="G58" s="641">
        <f t="shared" si="1"/>
        <v>850</v>
      </c>
      <c r="H58" s="642">
        <f>'Transp. Camión con Acoplado'!A*(E58/60)</f>
        <v>0</v>
      </c>
      <c r="I58" s="642">
        <f>'Transp. Camión con Acoplado'!B*(E58/60)</f>
        <v>0</v>
      </c>
      <c r="J58" s="642">
        <f>'Transp. Camión con Acoplado'!C_*(C58/60)</f>
        <v>0</v>
      </c>
      <c r="K58" s="642">
        <f>'Transp. Camión con Acoplado'!D*(E58/60)</f>
        <v>0</v>
      </c>
      <c r="L58" s="642">
        <f>'Transp. Camión con Acoplado'!E*(E58/60)</f>
        <v>0</v>
      </c>
      <c r="M58" s="642">
        <f>'Transp. Camión con Acoplado'!F_*G58</f>
        <v>0</v>
      </c>
      <c r="N58" s="642">
        <f t="shared" si="2"/>
        <v>0</v>
      </c>
      <c r="O58" s="642">
        <f>+G58*'Transp. Camión con Acoplado'!G</f>
        <v>0</v>
      </c>
      <c r="P58" s="643">
        <f t="shared" si="5"/>
        <v>0</v>
      </c>
      <c r="R58" s="644"/>
    </row>
    <row r="59" spans="1:18" ht="15" customHeight="1" x14ac:dyDescent="0.2">
      <c r="A59" s="636">
        <v>450</v>
      </c>
      <c r="B59" s="645"/>
      <c r="C59" s="638">
        <f t="shared" si="3"/>
        <v>0</v>
      </c>
      <c r="D59" s="638"/>
      <c r="E59" s="638">
        <f t="shared" si="0"/>
        <v>0</v>
      </c>
      <c r="F59" s="646">
        <f t="shared" si="4"/>
        <v>0</v>
      </c>
      <c r="G59" s="641">
        <f t="shared" si="1"/>
        <v>900</v>
      </c>
      <c r="H59" s="642">
        <f>'Transp. Camión con Acoplado'!A*(E59/60)</f>
        <v>0</v>
      </c>
      <c r="I59" s="642">
        <f>'Transp. Camión con Acoplado'!B*(E59/60)</f>
        <v>0</v>
      </c>
      <c r="J59" s="642">
        <f>'Transp. Camión con Acoplado'!C_*(C59/60)</f>
        <v>0</v>
      </c>
      <c r="K59" s="642">
        <f>'Transp. Camión con Acoplado'!D*(E59/60)</f>
        <v>0</v>
      </c>
      <c r="L59" s="642">
        <f>'Transp. Camión con Acoplado'!E*(E59/60)</f>
        <v>0</v>
      </c>
      <c r="M59" s="642">
        <f>'Transp. Camión con Acoplado'!F_*G59</f>
        <v>0</v>
      </c>
      <c r="N59" s="642">
        <f t="shared" si="2"/>
        <v>0</v>
      </c>
      <c r="O59" s="642">
        <f>+G59*'Transp. Camión con Acoplado'!G</f>
        <v>0</v>
      </c>
      <c r="P59" s="643">
        <f t="shared" si="5"/>
        <v>0</v>
      </c>
      <c r="R59" s="644"/>
    </row>
    <row r="60" spans="1:18" ht="15" customHeight="1" x14ac:dyDescent="0.2">
      <c r="A60" s="636">
        <v>475</v>
      </c>
      <c r="B60" s="645"/>
      <c r="C60" s="638">
        <f t="shared" si="3"/>
        <v>0</v>
      </c>
      <c r="D60" s="638"/>
      <c r="E60" s="638">
        <f t="shared" si="0"/>
        <v>0</v>
      </c>
      <c r="F60" s="646">
        <f t="shared" si="4"/>
        <v>0</v>
      </c>
      <c r="G60" s="641">
        <f t="shared" si="1"/>
        <v>950</v>
      </c>
      <c r="H60" s="642">
        <f>'Transp. Camión con Acoplado'!A*(E60/60)</f>
        <v>0</v>
      </c>
      <c r="I60" s="642">
        <f>'Transp. Camión con Acoplado'!B*(E60/60)</f>
        <v>0</v>
      </c>
      <c r="J60" s="642">
        <f>'Transp. Camión con Acoplado'!C_*(C60/60)</f>
        <v>0</v>
      </c>
      <c r="K60" s="642">
        <f>'Transp. Camión con Acoplado'!D*(E60/60)</f>
        <v>0</v>
      </c>
      <c r="L60" s="642">
        <f>'Transp. Camión con Acoplado'!E*(E60/60)</f>
        <v>0</v>
      </c>
      <c r="M60" s="642">
        <f>'Transp. Camión con Acoplado'!F_*G60</f>
        <v>0</v>
      </c>
      <c r="N60" s="642">
        <f t="shared" si="2"/>
        <v>0</v>
      </c>
      <c r="O60" s="642">
        <f>+G60*'Transp. Camión con Acoplado'!G</f>
        <v>0</v>
      </c>
      <c r="P60" s="643">
        <f t="shared" si="5"/>
        <v>0</v>
      </c>
      <c r="R60" s="644"/>
    </row>
    <row r="61" spans="1:18" ht="15" customHeight="1" x14ac:dyDescent="0.2">
      <c r="A61" s="636">
        <v>500</v>
      </c>
      <c r="B61" s="645"/>
      <c r="C61" s="638">
        <f t="shared" si="3"/>
        <v>0</v>
      </c>
      <c r="D61" s="638"/>
      <c r="E61" s="638">
        <f t="shared" si="0"/>
        <v>0</v>
      </c>
      <c r="F61" s="646">
        <f t="shared" si="4"/>
        <v>0</v>
      </c>
      <c r="G61" s="641">
        <f t="shared" si="1"/>
        <v>1000</v>
      </c>
      <c r="H61" s="642">
        <f>'Transp. Camión con Acoplado'!A*(E61/60)</f>
        <v>0</v>
      </c>
      <c r="I61" s="642">
        <f>'Transp. Camión con Acoplado'!B*(E61/60)</f>
        <v>0</v>
      </c>
      <c r="J61" s="642">
        <f>'Transp. Camión con Acoplado'!C_*(C61/60)</f>
        <v>0</v>
      </c>
      <c r="K61" s="642">
        <f>'Transp. Camión con Acoplado'!D*(E61/60)</f>
        <v>0</v>
      </c>
      <c r="L61" s="642">
        <f>'Transp. Camión con Acoplado'!E*(E61/60)</f>
        <v>0</v>
      </c>
      <c r="M61" s="642">
        <f>'Transp. Camión con Acoplado'!F_*G61</f>
        <v>0</v>
      </c>
      <c r="N61" s="642">
        <f t="shared" si="2"/>
        <v>0</v>
      </c>
      <c r="O61" s="642">
        <f>+G61*'Transp. Camión con Acoplado'!G</f>
        <v>0</v>
      </c>
      <c r="P61" s="643">
        <f t="shared" si="5"/>
        <v>0</v>
      </c>
      <c r="R61" s="644"/>
    </row>
    <row r="62" spans="1:18" ht="15" customHeight="1" x14ac:dyDescent="0.2">
      <c r="A62" s="636">
        <v>600</v>
      </c>
      <c r="B62" s="645"/>
      <c r="C62" s="638">
        <f t="shared" si="3"/>
        <v>0</v>
      </c>
      <c r="D62" s="638"/>
      <c r="E62" s="638">
        <f t="shared" si="0"/>
        <v>0</v>
      </c>
      <c r="F62" s="646">
        <f t="shared" si="4"/>
        <v>0</v>
      </c>
      <c r="G62" s="641">
        <f t="shared" si="1"/>
        <v>1200</v>
      </c>
      <c r="H62" s="642">
        <f>'Transp. Camión con Acoplado'!A*(E62/60)</f>
        <v>0</v>
      </c>
      <c r="I62" s="642">
        <f>'Transp. Camión con Acoplado'!B*(E62/60)</f>
        <v>0</v>
      </c>
      <c r="J62" s="642">
        <f>'Transp. Camión con Acoplado'!C_*(C62/60)</f>
        <v>0</v>
      </c>
      <c r="K62" s="642">
        <f>'Transp. Camión con Acoplado'!D*(E62/60)</f>
        <v>0</v>
      </c>
      <c r="L62" s="642">
        <f>'Transp. Camión con Acoplado'!E*(E62/60)</f>
        <v>0</v>
      </c>
      <c r="M62" s="642">
        <f>'Transp. Camión con Acoplado'!F_*G62</f>
        <v>0</v>
      </c>
      <c r="N62" s="642">
        <f t="shared" si="2"/>
        <v>0</v>
      </c>
      <c r="O62" s="642">
        <f>+G62*'Transp. Camión con Acoplado'!G</f>
        <v>0</v>
      </c>
      <c r="P62" s="643">
        <f t="shared" si="5"/>
        <v>0</v>
      </c>
      <c r="R62" s="644"/>
    </row>
    <row r="63" spans="1:18" ht="15" customHeight="1" x14ac:dyDescent="0.2">
      <c r="A63" s="636">
        <v>800</v>
      </c>
      <c r="B63" s="645"/>
      <c r="C63" s="638">
        <f t="shared" si="3"/>
        <v>0</v>
      </c>
      <c r="D63" s="638"/>
      <c r="E63" s="638">
        <f t="shared" si="0"/>
        <v>0</v>
      </c>
      <c r="F63" s="646">
        <f t="shared" si="4"/>
        <v>0</v>
      </c>
      <c r="G63" s="641">
        <f t="shared" si="1"/>
        <v>1600</v>
      </c>
      <c r="H63" s="642">
        <f>'Transp. Camión con Acoplado'!A*(E63/60)</f>
        <v>0</v>
      </c>
      <c r="I63" s="642">
        <f>'Transp. Camión con Acoplado'!B*(E63/60)</f>
        <v>0</v>
      </c>
      <c r="J63" s="642">
        <f>'Transp. Camión con Acoplado'!C_*(C63/60)</f>
        <v>0</v>
      </c>
      <c r="K63" s="642">
        <f>'Transp. Camión con Acoplado'!D*(E63/60)</f>
        <v>0</v>
      </c>
      <c r="L63" s="642">
        <f>'Transp. Camión con Acoplado'!E*(E63/60)</f>
        <v>0</v>
      </c>
      <c r="M63" s="642">
        <f>'Transp. Camión con Acoplado'!F_*G63</f>
        <v>0</v>
      </c>
      <c r="N63" s="642">
        <f t="shared" si="2"/>
        <v>0</v>
      </c>
      <c r="O63" s="642">
        <f>+G63*'Transp. Camión con Acoplado'!G</f>
        <v>0</v>
      </c>
      <c r="P63" s="643">
        <f t="shared" si="5"/>
        <v>0</v>
      </c>
      <c r="R63" s="644"/>
    </row>
    <row r="64" spans="1:18" ht="15" customHeight="1" x14ac:dyDescent="0.2">
      <c r="A64" s="636">
        <v>1000</v>
      </c>
      <c r="B64" s="645"/>
      <c r="C64" s="638">
        <f t="shared" si="3"/>
        <v>0</v>
      </c>
      <c r="D64" s="638"/>
      <c r="E64" s="638">
        <f t="shared" si="0"/>
        <v>0</v>
      </c>
      <c r="F64" s="646">
        <f t="shared" si="4"/>
        <v>0</v>
      </c>
      <c r="G64" s="641">
        <f t="shared" si="1"/>
        <v>2000</v>
      </c>
      <c r="H64" s="642">
        <f>'Transp. Camión con Acoplado'!A*(E64/60)</f>
        <v>0</v>
      </c>
      <c r="I64" s="642">
        <f>'Transp. Camión con Acoplado'!B*(E64/60)</f>
        <v>0</v>
      </c>
      <c r="J64" s="642">
        <f>'Transp. Camión con Acoplado'!C_*(C64/60)</f>
        <v>0</v>
      </c>
      <c r="K64" s="642">
        <f>'Transp. Camión con Acoplado'!D*(E64/60)</f>
        <v>0</v>
      </c>
      <c r="L64" s="642">
        <f>'Transp. Camión con Acoplado'!E*(E64/60)</f>
        <v>0</v>
      </c>
      <c r="M64" s="642">
        <f>'Transp. Camión con Acoplado'!F_*G64</f>
        <v>0</v>
      </c>
      <c r="N64" s="642">
        <f t="shared" si="2"/>
        <v>0</v>
      </c>
      <c r="O64" s="642">
        <f>+G64*'Transp. Camión con Acoplado'!G</f>
        <v>0</v>
      </c>
      <c r="P64" s="643">
        <f t="shared" si="5"/>
        <v>0</v>
      </c>
      <c r="R64" s="647"/>
    </row>
    <row r="65" spans="13:16" ht="15" customHeight="1" x14ac:dyDescent="0.2">
      <c r="M65" s="783"/>
      <c r="N65" s="783"/>
      <c r="O65" s="783"/>
      <c r="P65" s="783"/>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2578125" defaultRowHeight="12.75" x14ac:dyDescent="0.2"/>
  <cols>
    <col min="1" max="1" width="8.28515625" style="685" customWidth="1"/>
    <col min="2" max="2" width="22.42578125" style="685" customWidth="1"/>
    <col min="3" max="3" width="15.85546875" style="685" customWidth="1"/>
    <col min="4" max="9" width="13.85546875" style="685" customWidth="1"/>
    <col min="10" max="10" width="16.7109375" style="685" customWidth="1"/>
    <col min="11" max="11" width="13.85546875" style="685" customWidth="1"/>
    <col min="12" max="12" width="15.140625" style="685" customWidth="1"/>
    <col min="13" max="16384" width="11.42578125" style="685"/>
  </cols>
  <sheetData>
    <row r="1" spans="1:12" x14ac:dyDescent="0.2">
      <c r="A1" s="684" t="s">
        <v>1859</v>
      </c>
    </row>
    <row r="3" spans="1:12" s="687" customFormat="1" ht="38.25" x14ac:dyDescent="0.2">
      <c r="A3" s="686" t="s">
        <v>1860</v>
      </c>
      <c r="B3" s="686" t="s">
        <v>1861</v>
      </c>
      <c r="C3" s="686" t="s">
        <v>1862</v>
      </c>
      <c r="D3" s="686" t="s">
        <v>1863</v>
      </c>
      <c r="E3" s="686" t="s">
        <v>1864</v>
      </c>
      <c r="F3" s="686" t="s">
        <v>1865</v>
      </c>
      <c r="G3" s="686" t="s">
        <v>1866</v>
      </c>
      <c r="H3" s="686" t="s">
        <v>1867</v>
      </c>
      <c r="I3" s="686" t="s">
        <v>1868</v>
      </c>
      <c r="J3" s="686" t="s">
        <v>1869</v>
      </c>
      <c r="K3" s="686" t="s">
        <v>1870</v>
      </c>
      <c r="L3" s="686" t="s">
        <v>1871</v>
      </c>
    </row>
    <row r="4" spans="1:12" x14ac:dyDescent="0.2">
      <c r="A4" s="688"/>
      <c r="B4" s="688"/>
      <c r="C4" s="688"/>
      <c r="D4" s="689"/>
      <c r="E4" s="690"/>
      <c r="F4" s="688"/>
      <c r="G4" s="688"/>
      <c r="H4" s="688"/>
      <c r="I4" s="688"/>
      <c r="J4" s="688"/>
      <c r="K4" s="688"/>
      <c r="L4" s="691"/>
    </row>
    <row r="5" spans="1:12" x14ac:dyDescent="0.2">
      <c r="A5" s="688"/>
      <c r="B5" s="688"/>
      <c r="C5" s="688"/>
      <c r="D5" s="689"/>
      <c r="E5" s="690"/>
      <c r="F5" s="688"/>
      <c r="G5" s="688"/>
      <c r="H5" s="688"/>
      <c r="I5" s="688"/>
      <c r="J5" s="688"/>
      <c r="K5" s="688"/>
      <c r="L5" s="691"/>
    </row>
    <row r="6" spans="1:12" x14ac:dyDescent="0.2">
      <c r="A6" s="688"/>
      <c r="B6" s="688"/>
      <c r="C6" s="688"/>
      <c r="D6" s="689"/>
      <c r="E6" s="690"/>
      <c r="F6" s="688"/>
      <c r="G6" s="688"/>
      <c r="H6" s="688"/>
      <c r="I6" s="688"/>
      <c r="J6" s="688"/>
      <c r="K6" s="688"/>
      <c r="L6" s="691"/>
    </row>
    <row r="11" spans="1:12" x14ac:dyDescent="0.2">
      <c r="A11" s="684" t="s">
        <v>1872</v>
      </c>
    </row>
    <row r="13" spans="1:12" ht="38.25" x14ac:dyDescent="0.2">
      <c r="A13" s="686" t="s">
        <v>1860</v>
      </c>
      <c r="B13" s="686" t="s">
        <v>1861</v>
      </c>
      <c r="C13" s="686" t="s">
        <v>1862</v>
      </c>
      <c r="D13" s="686" t="s">
        <v>1863</v>
      </c>
      <c r="E13" s="686" t="s">
        <v>1864</v>
      </c>
      <c r="F13" s="686" t="s">
        <v>1865</v>
      </c>
      <c r="G13" s="686" t="s">
        <v>1866</v>
      </c>
      <c r="H13" s="686" t="s">
        <v>1867</v>
      </c>
      <c r="I13" s="686" t="s">
        <v>1868</v>
      </c>
      <c r="J13" s="686" t="s">
        <v>1869</v>
      </c>
      <c r="K13" s="686" t="s">
        <v>1870</v>
      </c>
      <c r="L13" s="686" t="s">
        <v>1871</v>
      </c>
    </row>
    <row r="14" spans="1:12" x14ac:dyDescent="0.2">
      <c r="A14" s="688"/>
      <c r="B14" s="688"/>
      <c r="C14" s="688"/>
      <c r="D14" s="689"/>
      <c r="E14" s="690"/>
      <c r="F14" s="688"/>
      <c r="G14" s="688"/>
      <c r="H14" s="688"/>
      <c r="I14" s="688"/>
      <c r="J14" s="688"/>
      <c r="K14" s="688"/>
      <c r="L14" s="691"/>
    </row>
    <row r="15" spans="1:12" x14ac:dyDescent="0.2">
      <c r="A15" s="688"/>
      <c r="B15" s="688"/>
      <c r="C15" s="688"/>
      <c r="D15" s="689"/>
      <c r="E15" s="690"/>
      <c r="F15" s="688"/>
      <c r="G15" s="688"/>
      <c r="H15" s="688"/>
      <c r="I15" s="688"/>
      <c r="J15" s="688"/>
      <c r="K15" s="688"/>
      <c r="L15" s="691"/>
    </row>
    <row r="16" spans="1:12" x14ac:dyDescent="0.2">
      <c r="A16" s="688"/>
      <c r="B16" s="688"/>
      <c r="C16" s="688"/>
      <c r="D16" s="689"/>
      <c r="E16" s="690"/>
      <c r="F16" s="688"/>
      <c r="G16" s="688"/>
      <c r="H16" s="688"/>
      <c r="I16" s="688"/>
      <c r="J16" s="688"/>
      <c r="K16" s="688"/>
      <c r="L16" s="69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5" t="s">
        <v>349</v>
      </c>
      <c r="B3" s="19" t="s">
        <v>44</v>
      </c>
      <c r="C3" s="20"/>
      <c r="D3" s="20"/>
      <c r="E3" s="785" t="s">
        <v>45</v>
      </c>
      <c r="F3" s="20"/>
      <c r="G3" s="20"/>
    </row>
    <row r="4" spans="1:7" x14ac:dyDescent="0.2">
      <c r="A4" s="785"/>
      <c r="B4" s="19" t="s">
        <v>46</v>
      </c>
      <c r="C4" s="20"/>
      <c r="D4" s="20"/>
      <c r="E4" s="785"/>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5" t="s">
        <v>349</v>
      </c>
      <c r="B225" s="784" t="s">
        <v>44</v>
      </c>
      <c r="C225" s="784"/>
      <c r="D225" s="784"/>
      <c r="E225" s="785" t="s">
        <v>45</v>
      </c>
    </row>
    <row r="226" spans="1:5" ht="12" customHeight="1" x14ac:dyDescent="0.2">
      <c r="A226" s="785"/>
      <c r="B226" s="784" t="s">
        <v>46</v>
      </c>
      <c r="C226" s="784"/>
      <c r="D226" s="784"/>
      <c r="E226" s="785"/>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5" t="s">
        <v>349</v>
      </c>
      <c r="B237" s="784" t="s">
        <v>44</v>
      </c>
      <c r="C237" s="784"/>
      <c r="D237" s="784"/>
      <c r="E237" s="784" t="s">
        <v>333</v>
      </c>
    </row>
    <row r="238" spans="1:5" x14ac:dyDescent="0.2">
      <c r="A238" s="785"/>
      <c r="B238" s="785"/>
      <c r="C238" s="785"/>
      <c r="D238" s="785"/>
      <c r="E238" s="784"/>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5" t="s">
        <v>349</v>
      </c>
      <c r="B264" s="784" t="s">
        <v>44</v>
      </c>
      <c r="C264" s="784"/>
      <c r="D264" s="784"/>
      <c r="E264" s="784" t="s">
        <v>333</v>
      </c>
      <c r="F264" s="44"/>
      <c r="G264" s="44"/>
    </row>
    <row r="265" spans="1:7" x14ac:dyDescent="0.2">
      <c r="A265" s="785"/>
      <c r="B265" s="785"/>
      <c r="C265" s="785"/>
      <c r="D265" s="785"/>
      <c r="E265" s="784"/>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5" t="s">
        <v>349</v>
      </c>
      <c r="B273" s="784" t="s">
        <v>44</v>
      </c>
      <c r="C273" s="784"/>
      <c r="D273" s="784"/>
      <c r="E273" s="784" t="s">
        <v>351</v>
      </c>
    </row>
    <row r="274" spans="1:5" x14ac:dyDescent="0.2">
      <c r="A274" s="785"/>
      <c r="B274" s="784" t="s">
        <v>46</v>
      </c>
      <c r="C274" s="784"/>
      <c r="D274" s="784"/>
      <c r="E274" s="784"/>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5" t="s">
        <v>349</v>
      </c>
      <c r="B288" s="784" t="s">
        <v>44</v>
      </c>
      <c r="C288" s="784"/>
      <c r="D288" s="784"/>
      <c r="E288" s="784" t="s">
        <v>361</v>
      </c>
    </row>
    <row r="289" spans="1:7" x14ac:dyDescent="0.2">
      <c r="A289" s="785"/>
      <c r="B289" s="784" t="s">
        <v>46</v>
      </c>
      <c r="C289" s="784"/>
      <c r="D289" s="784"/>
      <c r="E289" s="784"/>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5" t="s">
        <v>349</v>
      </c>
      <c r="B303" s="784" t="s">
        <v>44</v>
      </c>
      <c r="C303" s="784"/>
      <c r="D303" s="784"/>
      <c r="E303" s="785" t="s">
        <v>45</v>
      </c>
    </row>
    <row r="304" spans="1:7" x14ac:dyDescent="0.2">
      <c r="A304" s="785"/>
      <c r="B304" s="784" t="s">
        <v>46</v>
      </c>
      <c r="C304" s="784"/>
      <c r="D304" s="784"/>
      <c r="E304" s="785"/>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5" t="s">
        <v>349</v>
      </c>
      <c r="B450" s="784" t="s">
        <v>511</v>
      </c>
      <c r="C450" s="784"/>
      <c r="D450" s="784"/>
      <c r="E450" s="785" t="s">
        <v>45</v>
      </c>
    </row>
    <row r="451" spans="1:5" ht="12" customHeight="1" x14ac:dyDescent="0.2">
      <c r="A451" s="785"/>
      <c r="B451" s="784" t="s">
        <v>512</v>
      </c>
      <c r="C451" s="784"/>
      <c r="D451" s="784"/>
      <c r="E451" s="785"/>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4" t="s">
        <v>263</v>
      </c>
      <c r="C487" s="46"/>
      <c r="D487" s="46"/>
      <c r="E487" s="784" t="s">
        <v>264</v>
      </c>
      <c r="F487" s="784" t="s">
        <v>265</v>
      </c>
      <c r="G487" s="784" t="s">
        <v>266</v>
      </c>
    </row>
    <row r="488" spans="1:7" x14ac:dyDescent="0.2">
      <c r="A488" s="46"/>
      <c r="B488" s="784"/>
      <c r="C488" s="46"/>
      <c r="D488" s="46"/>
      <c r="E488" s="784"/>
      <c r="F488" s="784" t="s">
        <v>267</v>
      </c>
      <c r="G488" s="784"/>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4" t="s">
        <v>263</v>
      </c>
      <c r="C511" s="46"/>
      <c r="D511" s="46"/>
      <c r="E511" s="784" t="s">
        <v>264</v>
      </c>
      <c r="F511" s="784" t="s">
        <v>265</v>
      </c>
      <c r="G511" s="784" t="s">
        <v>266</v>
      </c>
    </row>
    <row r="512" spans="1:7" x14ac:dyDescent="0.2">
      <c r="A512" s="46"/>
      <c r="B512" s="784"/>
      <c r="C512" s="46"/>
      <c r="D512" s="46"/>
      <c r="E512" s="784"/>
      <c r="F512" s="784" t="s">
        <v>267</v>
      </c>
      <c r="G512" s="784"/>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5" t="s">
        <v>349</v>
      </c>
      <c r="B530" s="784" t="s">
        <v>44</v>
      </c>
      <c r="C530" s="784"/>
      <c r="D530" s="784"/>
      <c r="E530" s="785" t="s">
        <v>45</v>
      </c>
    </row>
    <row r="531" spans="1:5" x14ac:dyDescent="0.2">
      <c r="A531" s="785"/>
      <c r="B531" s="784" t="s">
        <v>46</v>
      </c>
      <c r="C531" s="784"/>
      <c r="D531" s="784"/>
      <c r="E531" s="785"/>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2"/>
    <col min="2" max="2" width="23" style="552" bestFit="1" customWidth="1"/>
    <col min="3" max="3" width="61.7109375" style="552" customWidth="1"/>
    <col min="4" max="4" width="17.28515625" style="552" bestFit="1" customWidth="1"/>
    <col min="5" max="16384" width="11.42578125" style="94"/>
  </cols>
  <sheetData>
    <row r="1" spans="1:19" x14ac:dyDescent="0.2">
      <c r="A1" s="369"/>
      <c r="B1" s="370" t="s">
        <v>1056</v>
      </c>
      <c r="C1" s="371" t="s">
        <v>1057</v>
      </c>
      <c r="D1" s="372"/>
      <c r="G1" s="373"/>
      <c r="H1" s="374" t="s">
        <v>1056</v>
      </c>
      <c r="I1" s="375" t="s">
        <v>1057</v>
      </c>
      <c r="J1" s="373"/>
      <c r="K1" s="373"/>
      <c r="L1" s="373"/>
      <c r="M1" s="373"/>
      <c r="N1" s="373"/>
      <c r="O1" s="376"/>
      <c r="P1" s="373"/>
      <c r="Q1" s="373"/>
      <c r="R1" s="373"/>
      <c r="S1" s="373"/>
    </row>
    <row r="2" spans="1:19" ht="15.75" thickBot="1" x14ac:dyDescent="0.25">
      <c r="A2" s="369"/>
      <c r="B2" s="370"/>
      <c r="C2" s="371"/>
      <c r="D2" s="372"/>
      <c r="G2" s="373"/>
      <c r="H2" s="377"/>
      <c r="I2" s="378"/>
      <c r="J2" s="373"/>
      <c r="K2" s="373"/>
      <c r="L2" s="373"/>
      <c r="M2" s="373"/>
      <c r="N2" s="373"/>
      <c r="O2" s="376"/>
      <c r="P2" s="373"/>
      <c r="Q2" s="373"/>
      <c r="R2" s="373"/>
      <c r="S2" s="373"/>
    </row>
    <row r="3" spans="1:19" x14ac:dyDescent="0.2">
      <c r="A3" s="379">
        <v>1</v>
      </c>
      <c r="B3" s="380" t="s">
        <v>1058</v>
      </c>
      <c r="C3" s="381" t="s">
        <v>1059</v>
      </c>
      <c r="D3" s="372"/>
      <c r="G3" s="373"/>
      <c r="H3" s="382">
        <v>1</v>
      </c>
      <c r="I3" s="383"/>
      <c r="J3" s="384"/>
      <c r="K3" s="385" t="s">
        <v>1059</v>
      </c>
      <c r="L3" s="386"/>
      <c r="M3" s="386"/>
      <c r="N3" s="386"/>
      <c r="O3" s="387"/>
      <c r="P3" s="373"/>
      <c r="Q3" s="388">
        <f>H3</f>
        <v>1</v>
      </c>
      <c r="R3" s="378" t="str">
        <f>CONCATENATE("II-",TEXT(Q3,"0000"))</f>
        <v>II-0001</v>
      </c>
      <c r="S3" s="389" t="str">
        <f>K3</f>
        <v xml:space="preserve"> ACERO EN BARRA COLOCADO</v>
      </c>
    </row>
    <row r="4" spans="1:19" x14ac:dyDescent="0.2">
      <c r="A4" s="379"/>
      <c r="B4" s="380"/>
      <c r="C4" s="381"/>
      <c r="D4" s="372"/>
      <c r="G4" s="373"/>
      <c r="H4" s="390"/>
      <c r="I4" s="391" t="s">
        <v>1060</v>
      </c>
      <c r="J4" s="392"/>
      <c r="K4" s="393" t="s">
        <v>1061</v>
      </c>
      <c r="L4" s="394"/>
      <c r="M4" s="394"/>
      <c r="N4" s="394"/>
      <c r="O4" s="395"/>
      <c r="P4" s="373"/>
      <c r="Q4" s="373"/>
      <c r="R4" s="373"/>
      <c r="S4" s="373"/>
    </row>
    <row r="5" spans="1:19" x14ac:dyDescent="0.2">
      <c r="A5" s="379">
        <v>1</v>
      </c>
      <c r="B5" s="380" t="s">
        <v>1062</v>
      </c>
      <c r="C5" s="381" t="s">
        <v>1063</v>
      </c>
      <c r="D5" s="396" t="s">
        <v>1064</v>
      </c>
      <c r="G5" s="373"/>
      <c r="H5" s="390"/>
      <c r="I5" s="397"/>
      <c r="J5" s="398">
        <v>1</v>
      </c>
      <c r="K5" s="399"/>
      <c r="L5" s="400" t="s">
        <v>1065</v>
      </c>
      <c r="M5" s="399"/>
      <c r="N5" s="399"/>
      <c r="O5" s="401" t="s">
        <v>1064</v>
      </c>
      <c r="P5" s="373"/>
      <c r="Q5" s="388">
        <v>1</v>
      </c>
      <c r="R5" s="380" t="str">
        <f>CONCATENATE($R$3,".",TEXT(Q5,"0000"))</f>
        <v>II-0001.0001</v>
      </c>
      <c r="S5" s="373" t="str">
        <f t="shared" ref="S5:S12" si="0">CONCATENATE($E$4," ",L5)</f>
        <v xml:space="preserve"> Ø4</v>
      </c>
    </row>
    <row r="6" spans="1:19" x14ac:dyDescent="0.2">
      <c r="A6" s="379">
        <v>2</v>
      </c>
      <c r="B6" s="372" t="s">
        <v>1066</v>
      </c>
      <c r="C6" s="381" t="s">
        <v>1067</v>
      </c>
      <c r="D6" s="396" t="s">
        <v>1064</v>
      </c>
      <c r="G6" s="373"/>
      <c r="H6" s="390"/>
      <c r="I6" s="397"/>
      <c r="J6" s="398">
        <v>2</v>
      </c>
      <c r="K6" s="399"/>
      <c r="L6" s="400" t="s">
        <v>1068</v>
      </c>
      <c r="M6" s="399"/>
      <c r="N6" s="399"/>
      <c r="O6" s="401" t="s">
        <v>1064</v>
      </c>
      <c r="P6" s="373"/>
      <c r="Q6" s="388">
        <v>2</v>
      </c>
      <c r="R6" s="380" t="str">
        <f t="shared" ref="R6:R30" si="1">CONCATENATE($R$3,".",TEXT(Q6,"0000"))</f>
        <v>II-0001.0002</v>
      </c>
      <c r="S6" s="373" t="str">
        <f t="shared" si="0"/>
        <v xml:space="preserve"> Ø6</v>
      </c>
    </row>
    <row r="7" spans="1:19" x14ac:dyDescent="0.2">
      <c r="A7" s="379">
        <v>3</v>
      </c>
      <c r="B7" s="372" t="s">
        <v>1069</v>
      </c>
      <c r="C7" s="381" t="s">
        <v>1070</v>
      </c>
      <c r="D7" s="396" t="s">
        <v>1064</v>
      </c>
      <c r="G7" s="373"/>
      <c r="H7" s="390"/>
      <c r="I7" s="397"/>
      <c r="J7" s="398">
        <v>3</v>
      </c>
      <c r="K7" s="399"/>
      <c r="L7" s="400" t="s">
        <v>1071</v>
      </c>
      <c r="M7" s="399"/>
      <c r="N7" s="399"/>
      <c r="O7" s="401" t="s">
        <v>1064</v>
      </c>
      <c r="P7" s="373"/>
      <c r="Q7" s="388">
        <v>3</v>
      </c>
      <c r="R7" s="380" t="str">
        <f t="shared" si="1"/>
        <v>II-0001.0003</v>
      </c>
      <c r="S7" s="373" t="str">
        <f t="shared" si="0"/>
        <v xml:space="preserve"> Ø8</v>
      </c>
    </row>
    <row r="8" spans="1:19" x14ac:dyDescent="0.2">
      <c r="A8" s="379">
        <v>4</v>
      </c>
      <c r="B8" s="402" t="s">
        <v>1072</v>
      </c>
      <c r="C8" s="403" t="s">
        <v>1073</v>
      </c>
      <c r="D8" s="396" t="s">
        <v>1064</v>
      </c>
      <c r="G8" s="373"/>
      <c r="H8" s="390"/>
      <c r="I8" s="397"/>
      <c r="J8" s="398">
        <v>4</v>
      </c>
      <c r="K8" s="399"/>
      <c r="L8" s="400" t="s">
        <v>1074</v>
      </c>
      <c r="M8" s="399"/>
      <c r="N8" s="399"/>
      <c r="O8" s="401" t="s">
        <v>1064</v>
      </c>
      <c r="P8" s="373"/>
      <c r="Q8" s="388">
        <v>4</v>
      </c>
      <c r="R8" s="380" t="str">
        <f t="shared" si="1"/>
        <v>II-0001.0004</v>
      </c>
      <c r="S8" s="373" t="str">
        <f t="shared" si="0"/>
        <v xml:space="preserve"> Ø10</v>
      </c>
    </row>
    <row r="9" spans="1:19" x14ac:dyDescent="0.2">
      <c r="A9" s="379">
        <v>5</v>
      </c>
      <c r="B9" s="380" t="s">
        <v>1075</v>
      </c>
      <c r="C9" s="381" t="s">
        <v>1076</v>
      </c>
      <c r="D9" s="396" t="s">
        <v>1064</v>
      </c>
      <c r="G9" s="373"/>
      <c r="H9" s="390"/>
      <c r="I9" s="397"/>
      <c r="J9" s="398">
        <v>5</v>
      </c>
      <c r="K9" s="399"/>
      <c r="L9" s="400" t="s">
        <v>1077</v>
      </c>
      <c r="M9" s="399"/>
      <c r="N9" s="399"/>
      <c r="O9" s="401" t="s">
        <v>1064</v>
      </c>
      <c r="P9" s="373"/>
      <c r="Q9" s="388">
        <v>5</v>
      </c>
      <c r="R9" s="380" t="str">
        <f t="shared" si="1"/>
        <v>II-0001.0005</v>
      </c>
      <c r="S9" s="373" t="str">
        <f t="shared" si="0"/>
        <v xml:space="preserve"> Ø12</v>
      </c>
    </row>
    <row r="10" spans="1:19" x14ac:dyDescent="0.2">
      <c r="A10" s="379">
        <v>6</v>
      </c>
      <c r="B10" s="380" t="s">
        <v>1078</v>
      </c>
      <c r="C10" s="381" t="s">
        <v>1079</v>
      </c>
      <c r="D10" s="396" t="s">
        <v>1064</v>
      </c>
      <c r="G10" s="373"/>
      <c r="H10" s="390"/>
      <c r="I10" s="397"/>
      <c r="J10" s="398">
        <v>6</v>
      </c>
      <c r="K10" s="399"/>
      <c r="L10" s="400" t="s">
        <v>1080</v>
      </c>
      <c r="M10" s="399"/>
      <c r="N10" s="399"/>
      <c r="O10" s="401" t="s">
        <v>1064</v>
      </c>
      <c r="P10" s="373"/>
      <c r="Q10" s="388">
        <v>6</v>
      </c>
      <c r="R10" s="380" t="str">
        <f t="shared" si="1"/>
        <v>II-0001.0006</v>
      </c>
      <c r="S10" s="373" t="str">
        <f t="shared" si="0"/>
        <v xml:space="preserve"> Ø16</v>
      </c>
    </row>
    <row r="11" spans="1:19" x14ac:dyDescent="0.2">
      <c r="A11" s="379">
        <v>7</v>
      </c>
      <c r="B11" s="380" t="s">
        <v>1081</v>
      </c>
      <c r="C11" s="381" t="s">
        <v>1082</v>
      </c>
      <c r="D11" s="396" t="s">
        <v>1064</v>
      </c>
      <c r="G11" s="373"/>
      <c r="H11" s="390"/>
      <c r="I11" s="397"/>
      <c r="J11" s="398">
        <v>7</v>
      </c>
      <c r="K11" s="399"/>
      <c r="L11" s="400" t="s">
        <v>1083</v>
      </c>
      <c r="M11" s="399"/>
      <c r="N11" s="399"/>
      <c r="O11" s="401" t="s">
        <v>1064</v>
      </c>
      <c r="P11" s="373"/>
      <c r="Q11" s="388">
        <v>7</v>
      </c>
      <c r="R11" s="380" t="str">
        <f t="shared" si="1"/>
        <v>II-0001.0007</v>
      </c>
      <c r="S11" s="373" t="str">
        <f t="shared" si="0"/>
        <v xml:space="preserve"> Ø18</v>
      </c>
    </row>
    <row r="12" spans="1:19" x14ac:dyDescent="0.2">
      <c r="A12" s="379">
        <v>8</v>
      </c>
      <c r="B12" s="372" t="s">
        <v>1084</v>
      </c>
      <c r="C12" s="381" t="s">
        <v>1085</v>
      </c>
      <c r="D12" s="396" t="s">
        <v>1064</v>
      </c>
      <c r="G12" s="373"/>
      <c r="H12" s="390"/>
      <c r="I12" s="397"/>
      <c r="J12" s="404">
        <v>8</v>
      </c>
      <c r="K12" s="405"/>
      <c r="L12" s="406" t="s">
        <v>1086</v>
      </c>
      <c r="M12" s="405"/>
      <c r="N12" s="405"/>
      <c r="O12" s="407" t="s">
        <v>1064</v>
      </c>
      <c r="P12" s="373"/>
      <c r="Q12" s="388">
        <v>8</v>
      </c>
      <c r="R12" s="380" t="str">
        <f t="shared" si="1"/>
        <v>II-0001.0008</v>
      </c>
      <c r="S12" s="373" t="str">
        <f t="shared" si="0"/>
        <v xml:space="preserve"> Ø20</v>
      </c>
    </row>
    <row r="13" spans="1:19" x14ac:dyDescent="0.2">
      <c r="A13" s="379"/>
      <c r="B13" s="372"/>
      <c r="C13" s="381"/>
      <c r="D13" s="396"/>
      <c r="G13" s="373"/>
      <c r="H13" s="390"/>
      <c r="I13" s="391" t="s">
        <v>1087</v>
      </c>
      <c r="J13" s="397"/>
      <c r="K13" s="408" t="s">
        <v>1088</v>
      </c>
      <c r="L13" s="394"/>
      <c r="M13" s="394"/>
      <c r="N13" s="394"/>
      <c r="O13" s="395"/>
      <c r="P13" s="373"/>
      <c r="Q13" s="373"/>
      <c r="R13" s="373"/>
      <c r="S13" s="373"/>
    </row>
    <row r="14" spans="1:19" x14ac:dyDescent="0.2">
      <c r="A14" s="379">
        <v>20</v>
      </c>
      <c r="B14" s="402" t="s">
        <v>1089</v>
      </c>
      <c r="C14" s="403" t="s">
        <v>1063</v>
      </c>
      <c r="D14" s="396" t="s">
        <v>1064</v>
      </c>
      <c r="G14" s="373"/>
      <c r="H14" s="390"/>
      <c r="I14" s="397"/>
      <c r="J14" s="398">
        <v>1</v>
      </c>
      <c r="K14" s="399"/>
      <c r="L14" s="400" t="s">
        <v>1065</v>
      </c>
      <c r="M14" s="399"/>
      <c r="N14" s="399"/>
      <c r="O14" s="401" t="s">
        <v>1064</v>
      </c>
      <c r="P14" s="373"/>
      <c r="Q14" s="388">
        <v>20</v>
      </c>
      <c r="R14" s="380" t="str">
        <f t="shared" si="1"/>
        <v>II-0001.0020</v>
      </c>
      <c r="S14" s="373" t="str">
        <f t="shared" ref="S14:S21" si="2">CONCATENATE($E$13," ",L14)</f>
        <v xml:space="preserve"> Ø4</v>
      </c>
    </row>
    <row r="15" spans="1:19" x14ac:dyDescent="0.2">
      <c r="A15" s="379">
        <v>21</v>
      </c>
      <c r="B15" s="380" t="s">
        <v>1090</v>
      </c>
      <c r="C15" s="381" t="s">
        <v>1067</v>
      </c>
      <c r="D15" s="396" t="s">
        <v>1064</v>
      </c>
      <c r="G15" s="373"/>
      <c r="H15" s="390"/>
      <c r="I15" s="397"/>
      <c r="J15" s="398">
        <v>2</v>
      </c>
      <c r="K15" s="399"/>
      <c r="L15" s="400" t="s">
        <v>1068</v>
      </c>
      <c r="M15" s="399"/>
      <c r="N15" s="399"/>
      <c r="O15" s="401" t="s">
        <v>1064</v>
      </c>
      <c r="P15" s="373"/>
      <c r="Q15" s="388">
        <v>21</v>
      </c>
      <c r="R15" s="380" t="str">
        <f t="shared" si="1"/>
        <v>II-0001.0021</v>
      </c>
      <c r="S15" s="373" t="str">
        <f t="shared" si="2"/>
        <v xml:space="preserve"> Ø6</v>
      </c>
    </row>
    <row r="16" spans="1:19" x14ac:dyDescent="0.2">
      <c r="A16" s="379">
        <v>22</v>
      </c>
      <c r="B16" s="380" t="s">
        <v>1091</v>
      </c>
      <c r="C16" s="381" t="s">
        <v>1070</v>
      </c>
      <c r="D16" s="396" t="s">
        <v>1064</v>
      </c>
      <c r="G16" s="373"/>
      <c r="H16" s="390"/>
      <c r="I16" s="397"/>
      <c r="J16" s="398">
        <v>3</v>
      </c>
      <c r="K16" s="399"/>
      <c r="L16" s="400" t="s">
        <v>1071</v>
      </c>
      <c r="M16" s="399"/>
      <c r="N16" s="399"/>
      <c r="O16" s="401" t="s">
        <v>1064</v>
      </c>
      <c r="P16" s="373"/>
      <c r="Q16" s="388">
        <v>22</v>
      </c>
      <c r="R16" s="380" t="str">
        <f t="shared" si="1"/>
        <v>II-0001.0022</v>
      </c>
      <c r="S16" s="373" t="str">
        <f t="shared" si="2"/>
        <v xml:space="preserve"> Ø8</v>
      </c>
    </row>
    <row r="17" spans="1:19" x14ac:dyDescent="0.2">
      <c r="A17" s="379">
        <v>23</v>
      </c>
      <c r="B17" s="380" t="s">
        <v>1092</v>
      </c>
      <c r="C17" s="381" t="s">
        <v>1073</v>
      </c>
      <c r="D17" s="396" t="s">
        <v>1064</v>
      </c>
      <c r="G17" s="373"/>
      <c r="H17" s="390"/>
      <c r="I17" s="397"/>
      <c r="J17" s="398">
        <v>4</v>
      </c>
      <c r="K17" s="399"/>
      <c r="L17" s="400" t="s">
        <v>1074</v>
      </c>
      <c r="M17" s="399"/>
      <c r="N17" s="399"/>
      <c r="O17" s="401" t="s">
        <v>1064</v>
      </c>
      <c r="P17" s="373"/>
      <c r="Q17" s="388">
        <v>23</v>
      </c>
      <c r="R17" s="380" t="str">
        <f t="shared" si="1"/>
        <v>II-0001.0023</v>
      </c>
      <c r="S17" s="373" t="str">
        <f t="shared" si="2"/>
        <v xml:space="preserve"> Ø10</v>
      </c>
    </row>
    <row r="18" spans="1:19" x14ac:dyDescent="0.2">
      <c r="A18" s="379">
        <v>24</v>
      </c>
      <c r="B18" s="380" t="s">
        <v>1093</v>
      </c>
      <c r="C18" s="381" t="s">
        <v>1076</v>
      </c>
      <c r="D18" s="396" t="s">
        <v>1064</v>
      </c>
      <c r="G18" s="373"/>
      <c r="H18" s="390"/>
      <c r="I18" s="397"/>
      <c r="J18" s="398">
        <v>5</v>
      </c>
      <c r="K18" s="399"/>
      <c r="L18" s="400" t="s">
        <v>1077</v>
      </c>
      <c r="M18" s="399"/>
      <c r="N18" s="399"/>
      <c r="O18" s="401" t="s">
        <v>1064</v>
      </c>
      <c r="P18" s="373"/>
      <c r="Q18" s="388">
        <v>24</v>
      </c>
      <c r="R18" s="380" t="str">
        <f t="shared" si="1"/>
        <v>II-0001.0024</v>
      </c>
      <c r="S18" s="373" t="str">
        <f t="shared" si="2"/>
        <v xml:space="preserve"> Ø12</v>
      </c>
    </row>
    <row r="19" spans="1:19" x14ac:dyDescent="0.2">
      <c r="A19" s="379">
        <v>25</v>
      </c>
      <c r="B19" s="372" t="s">
        <v>1094</v>
      </c>
      <c r="C19" s="381" t="s">
        <v>1079</v>
      </c>
      <c r="D19" s="396" t="s">
        <v>1064</v>
      </c>
      <c r="G19" s="373"/>
      <c r="H19" s="390"/>
      <c r="I19" s="397"/>
      <c r="J19" s="398">
        <v>6</v>
      </c>
      <c r="K19" s="399"/>
      <c r="L19" s="400" t="s">
        <v>1080</v>
      </c>
      <c r="M19" s="399"/>
      <c r="N19" s="399"/>
      <c r="O19" s="401" t="s">
        <v>1064</v>
      </c>
      <c r="P19" s="373"/>
      <c r="Q19" s="388">
        <v>25</v>
      </c>
      <c r="R19" s="380" t="str">
        <f t="shared" si="1"/>
        <v>II-0001.0025</v>
      </c>
      <c r="S19" s="373" t="str">
        <f t="shared" si="2"/>
        <v xml:space="preserve"> Ø16</v>
      </c>
    </row>
    <row r="20" spans="1:19" x14ac:dyDescent="0.2">
      <c r="A20" s="379">
        <v>26</v>
      </c>
      <c r="B20" s="372" t="s">
        <v>1095</v>
      </c>
      <c r="C20" s="381" t="s">
        <v>1082</v>
      </c>
      <c r="D20" s="396" t="s">
        <v>1064</v>
      </c>
      <c r="G20" s="373"/>
      <c r="H20" s="390"/>
      <c r="I20" s="397"/>
      <c r="J20" s="398">
        <v>7</v>
      </c>
      <c r="K20" s="399"/>
      <c r="L20" s="400" t="s">
        <v>1083</v>
      </c>
      <c r="M20" s="399"/>
      <c r="N20" s="399"/>
      <c r="O20" s="401" t="s">
        <v>1064</v>
      </c>
      <c r="P20" s="373"/>
      <c r="Q20" s="388">
        <v>26</v>
      </c>
      <c r="R20" s="380" t="str">
        <f t="shared" si="1"/>
        <v>II-0001.0026</v>
      </c>
      <c r="S20" s="373" t="str">
        <f t="shared" si="2"/>
        <v xml:space="preserve"> Ø18</v>
      </c>
    </row>
    <row r="21" spans="1:19" x14ac:dyDescent="0.2">
      <c r="A21" s="379">
        <v>27</v>
      </c>
      <c r="B21" s="402" t="s">
        <v>1096</v>
      </c>
      <c r="C21" s="403" t="s">
        <v>1085</v>
      </c>
      <c r="D21" s="396" t="s">
        <v>1064</v>
      </c>
      <c r="G21" s="373"/>
      <c r="H21" s="390"/>
      <c r="I21" s="409"/>
      <c r="J21" s="404">
        <v>8</v>
      </c>
      <c r="K21" s="405"/>
      <c r="L21" s="406" t="s">
        <v>1086</v>
      </c>
      <c r="M21" s="405"/>
      <c r="N21" s="405"/>
      <c r="O21" s="407" t="s">
        <v>1064</v>
      </c>
      <c r="P21" s="373"/>
      <c r="Q21" s="388">
        <v>27</v>
      </c>
      <c r="R21" s="380" t="str">
        <f t="shared" si="1"/>
        <v>II-0001.0027</v>
      </c>
      <c r="S21" s="373" t="str">
        <f t="shared" si="2"/>
        <v xml:space="preserve"> Ø20</v>
      </c>
    </row>
    <row r="22" spans="1:19" x14ac:dyDescent="0.2">
      <c r="A22" s="379"/>
      <c r="B22" s="380"/>
      <c r="C22" s="381"/>
      <c r="D22" s="396"/>
      <c r="G22" s="373"/>
      <c r="H22" s="390"/>
      <c r="I22" s="391" t="s">
        <v>1097</v>
      </c>
      <c r="J22" s="397"/>
      <c r="K22" s="408" t="s">
        <v>1098</v>
      </c>
      <c r="L22" s="394"/>
      <c r="M22" s="394"/>
      <c r="N22" s="394"/>
      <c r="O22" s="395"/>
      <c r="P22" s="373"/>
      <c r="Q22" s="373"/>
      <c r="R22" s="373"/>
      <c r="S22" s="373"/>
    </row>
    <row r="23" spans="1:19" x14ac:dyDescent="0.2">
      <c r="A23" s="379">
        <v>30</v>
      </c>
      <c r="B23" s="380" t="s">
        <v>1099</v>
      </c>
      <c r="C23" s="381" t="s">
        <v>1063</v>
      </c>
      <c r="D23" s="396" t="s">
        <v>1064</v>
      </c>
      <c r="G23" s="373"/>
      <c r="H23" s="390"/>
      <c r="I23" s="397"/>
      <c r="J23" s="398">
        <v>1</v>
      </c>
      <c r="K23" s="399"/>
      <c r="L23" s="400" t="s">
        <v>1065</v>
      </c>
      <c r="M23" s="399"/>
      <c r="N23" s="399"/>
      <c r="O23" s="401" t="s">
        <v>1064</v>
      </c>
      <c r="P23" s="373"/>
      <c r="Q23" s="388">
        <v>30</v>
      </c>
      <c r="R23" s="380" t="str">
        <f t="shared" si="1"/>
        <v>II-0001.0030</v>
      </c>
      <c r="S23" s="373" t="str">
        <f>CONCATENATE($E$22," ",L23)</f>
        <v xml:space="preserve"> Ø4</v>
      </c>
    </row>
    <row r="24" spans="1:19" x14ac:dyDescent="0.2">
      <c r="A24" s="379">
        <v>31</v>
      </c>
      <c r="B24" s="380" t="s">
        <v>1100</v>
      </c>
      <c r="C24" s="381" t="s">
        <v>1067</v>
      </c>
      <c r="D24" s="396" t="s">
        <v>1064</v>
      </c>
      <c r="G24" s="373"/>
      <c r="H24" s="390"/>
      <c r="I24" s="397"/>
      <c r="J24" s="398">
        <v>2</v>
      </c>
      <c r="K24" s="399"/>
      <c r="L24" s="400" t="s">
        <v>1068</v>
      </c>
      <c r="M24" s="399"/>
      <c r="N24" s="399"/>
      <c r="O24" s="401" t="s">
        <v>1064</v>
      </c>
      <c r="P24" s="373"/>
      <c r="Q24" s="388">
        <v>31</v>
      </c>
      <c r="R24" s="380" t="str">
        <f t="shared" si="1"/>
        <v>II-0001.0031</v>
      </c>
      <c r="S24" s="373" t="str">
        <f t="shared" ref="S24:S30" si="3">CONCATENATE($E$22," ",L24)</f>
        <v xml:space="preserve"> Ø6</v>
      </c>
    </row>
    <row r="25" spans="1:19" x14ac:dyDescent="0.2">
      <c r="A25" s="379">
        <v>32</v>
      </c>
      <c r="B25" s="380" t="s">
        <v>1101</v>
      </c>
      <c r="C25" s="381" t="s">
        <v>1070</v>
      </c>
      <c r="D25" s="396" t="s">
        <v>1064</v>
      </c>
      <c r="G25" s="373"/>
      <c r="H25" s="390"/>
      <c r="I25" s="397"/>
      <c r="J25" s="398">
        <v>3</v>
      </c>
      <c r="K25" s="399"/>
      <c r="L25" s="400" t="s">
        <v>1071</v>
      </c>
      <c r="M25" s="399"/>
      <c r="N25" s="399"/>
      <c r="O25" s="401" t="s">
        <v>1064</v>
      </c>
      <c r="P25" s="373"/>
      <c r="Q25" s="388">
        <v>32</v>
      </c>
      <c r="R25" s="380" t="str">
        <f t="shared" si="1"/>
        <v>II-0001.0032</v>
      </c>
      <c r="S25" s="373" t="str">
        <f t="shared" si="3"/>
        <v xml:space="preserve"> Ø8</v>
      </c>
    </row>
    <row r="26" spans="1:19" x14ac:dyDescent="0.2">
      <c r="A26" s="379">
        <v>33</v>
      </c>
      <c r="B26" s="380" t="s">
        <v>1102</v>
      </c>
      <c r="C26" s="381" t="s">
        <v>1073</v>
      </c>
      <c r="D26" s="396" t="s">
        <v>1064</v>
      </c>
      <c r="G26" s="373"/>
      <c r="H26" s="390"/>
      <c r="I26" s="397"/>
      <c r="J26" s="398">
        <v>4</v>
      </c>
      <c r="K26" s="399"/>
      <c r="L26" s="400" t="s">
        <v>1074</v>
      </c>
      <c r="M26" s="399"/>
      <c r="N26" s="399"/>
      <c r="O26" s="401" t="s">
        <v>1064</v>
      </c>
      <c r="P26" s="373"/>
      <c r="Q26" s="388">
        <v>33</v>
      </c>
      <c r="R26" s="380" t="str">
        <f t="shared" si="1"/>
        <v>II-0001.0033</v>
      </c>
      <c r="S26" s="373" t="str">
        <f t="shared" si="3"/>
        <v xml:space="preserve"> Ø10</v>
      </c>
    </row>
    <row r="27" spans="1:19" x14ac:dyDescent="0.2">
      <c r="A27" s="379">
        <v>34</v>
      </c>
      <c r="B27" s="380" t="s">
        <v>1103</v>
      </c>
      <c r="C27" s="381" t="s">
        <v>1076</v>
      </c>
      <c r="D27" s="396" t="s">
        <v>1064</v>
      </c>
      <c r="G27" s="373"/>
      <c r="H27" s="390"/>
      <c r="I27" s="397"/>
      <c r="J27" s="398">
        <v>5</v>
      </c>
      <c r="K27" s="399"/>
      <c r="L27" s="400" t="s">
        <v>1077</v>
      </c>
      <c r="M27" s="399"/>
      <c r="N27" s="399"/>
      <c r="O27" s="401" t="s">
        <v>1064</v>
      </c>
      <c r="P27" s="373"/>
      <c r="Q27" s="388">
        <v>34</v>
      </c>
      <c r="R27" s="380" t="str">
        <f t="shared" si="1"/>
        <v>II-0001.0034</v>
      </c>
      <c r="S27" s="373" t="str">
        <f t="shared" si="3"/>
        <v xml:space="preserve"> Ø12</v>
      </c>
    </row>
    <row r="28" spans="1:19" x14ac:dyDescent="0.2">
      <c r="A28" s="379">
        <v>35</v>
      </c>
      <c r="B28" s="380" t="s">
        <v>1104</v>
      </c>
      <c r="C28" s="381" t="s">
        <v>1079</v>
      </c>
      <c r="D28" s="396" t="s">
        <v>1064</v>
      </c>
      <c r="G28" s="373"/>
      <c r="H28" s="390"/>
      <c r="I28" s="397"/>
      <c r="J28" s="398">
        <v>6</v>
      </c>
      <c r="K28" s="399"/>
      <c r="L28" s="400" t="s">
        <v>1080</v>
      </c>
      <c r="M28" s="399"/>
      <c r="N28" s="399"/>
      <c r="O28" s="401" t="s">
        <v>1064</v>
      </c>
      <c r="P28" s="373"/>
      <c r="Q28" s="388">
        <v>35</v>
      </c>
      <c r="R28" s="380" t="str">
        <f t="shared" si="1"/>
        <v>II-0001.0035</v>
      </c>
      <c r="S28" s="373" t="str">
        <f t="shared" si="3"/>
        <v xml:space="preserve"> Ø16</v>
      </c>
    </row>
    <row r="29" spans="1:19" x14ac:dyDescent="0.2">
      <c r="A29" s="379">
        <v>36</v>
      </c>
      <c r="B29" s="380" t="s">
        <v>1105</v>
      </c>
      <c r="C29" s="381" t="s">
        <v>1082</v>
      </c>
      <c r="D29" s="396" t="s">
        <v>1064</v>
      </c>
      <c r="G29" s="373"/>
      <c r="H29" s="390"/>
      <c r="I29" s="397"/>
      <c r="J29" s="398">
        <v>7</v>
      </c>
      <c r="K29" s="399"/>
      <c r="L29" s="400" t="s">
        <v>1083</v>
      </c>
      <c r="M29" s="399"/>
      <c r="N29" s="399"/>
      <c r="O29" s="401" t="s">
        <v>1064</v>
      </c>
      <c r="P29" s="373"/>
      <c r="Q29" s="388">
        <v>36</v>
      </c>
      <c r="R29" s="380" t="str">
        <f t="shared" si="1"/>
        <v>II-0001.0036</v>
      </c>
      <c r="S29" s="373" t="str">
        <f t="shared" si="3"/>
        <v xml:space="preserve"> Ø18</v>
      </c>
    </row>
    <row r="30" spans="1:19" ht="15.75" thickBot="1" x14ac:dyDescent="0.25">
      <c r="A30" s="379">
        <v>37</v>
      </c>
      <c r="B30" s="380" t="s">
        <v>1106</v>
      </c>
      <c r="C30" s="381" t="s">
        <v>1085</v>
      </c>
      <c r="D30" s="396" t="s">
        <v>1064</v>
      </c>
      <c r="G30" s="373"/>
      <c r="H30" s="410"/>
      <c r="I30" s="411"/>
      <c r="J30" s="412">
        <v>8</v>
      </c>
      <c r="K30" s="413"/>
      <c r="L30" s="414" t="s">
        <v>1086</v>
      </c>
      <c r="M30" s="413"/>
      <c r="N30" s="413"/>
      <c r="O30" s="415" t="s">
        <v>1064</v>
      </c>
      <c r="P30" s="373"/>
      <c r="Q30" s="388">
        <v>37</v>
      </c>
      <c r="R30" s="380" t="str">
        <f t="shared" si="1"/>
        <v>II-0001.0037</v>
      </c>
      <c r="S30" s="373" t="str">
        <f t="shared" si="3"/>
        <v xml:space="preserve"> Ø20</v>
      </c>
    </row>
    <row r="31" spans="1:19" ht="16.5" thickTop="1" thickBot="1" x14ac:dyDescent="0.25">
      <c r="A31" s="379"/>
      <c r="B31" s="380"/>
      <c r="C31" s="381"/>
      <c r="D31" s="396"/>
      <c r="G31" s="373"/>
      <c r="H31" s="390"/>
      <c r="I31" s="397"/>
      <c r="J31" s="397"/>
      <c r="K31" s="399"/>
      <c r="L31" s="400"/>
      <c r="M31" s="399"/>
      <c r="N31" s="399"/>
      <c r="O31" s="416"/>
      <c r="P31" s="373"/>
      <c r="Q31" s="388"/>
      <c r="R31" s="380"/>
      <c r="S31" s="373"/>
    </row>
    <row r="32" spans="1:19" ht="15.75" thickTop="1" x14ac:dyDescent="0.2">
      <c r="A32" s="379">
        <v>2</v>
      </c>
      <c r="B32" s="380" t="s">
        <v>1107</v>
      </c>
      <c r="C32" s="381" t="s">
        <v>1108</v>
      </c>
      <c r="D32" s="396"/>
      <c r="G32" s="373"/>
      <c r="H32" s="417">
        <v>2</v>
      </c>
      <c r="I32" s="418"/>
      <c r="J32" s="419"/>
      <c r="K32" s="786" t="s">
        <v>1108</v>
      </c>
      <c r="L32" s="786"/>
      <c r="M32" s="786"/>
      <c r="N32" s="786"/>
      <c r="O32" s="420"/>
      <c r="P32" s="373"/>
      <c r="Q32" s="388">
        <f>H32</f>
        <v>2</v>
      </c>
      <c r="R32" s="378" t="str">
        <f>CONCATENATE("II-",TEXT(Q32,"0000"))</f>
        <v>II-0002</v>
      </c>
      <c r="S32" s="389" t="str">
        <f>K32</f>
        <v>ABOVEDAMIENTO  REACONDICIONAMIENTO</v>
      </c>
    </row>
    <row r="33" spans="1:19" ht="15.75" thickBot="1" x14ac:dyDescent="0.25">
      <c r="A33" s="379">
        <v>1</v>
      </c>
      <c r="B33" s="380" t="s">
        <v>1109</v>
      </c>
      <c r="C33" s="381" t="s">
        <v>1110</v>
      </c>
      <c r="D33" s="396" t="s">
        <v>6</v>
      </c>
      <c r="G33" s="373"/>
      <c r="H33" s="421"/>
      <c r="I33" s="422" t="s">
        <v>1060</v>
      </c>
      <c r="J33" s="423"/>
      <c r="K33" s="424" t="s">
        <v>1111</v>
      </c>
      <c r="L33" s="425"/>
      <c r="M33" s="425"/>
      <c r="N33" s="425"/>
      <c r="O33" s="426" t="s">
        <v>6</v>
      </c>
      <c r="P33" s="373"/>
      <c r="Q33" s="388">
        <v>1</v>
      </c>
      <c r="R33" s="380" t="str">
        <f>CONCATENATE($R$32,".",TEXT(Q33,"0000"))</f>
        <v>II-0002.0001</v>
      </c>
      <c r="S33" s="373" t="str">
        <f>CONCATENATE($K$33," ",L33)</f>
        <v xml:space="preserve">V-384 </v>
      </c>
    </row>
    <row r="34" spans="1:19" ht="16.5" thickTop="1" thickBot="1" x14ac:dyDescent="0.25">
      <c r="A34" s="379"/>
      <c r="B34" s="372"/>
      <c r="C34" s="381"/>
      <c r="D34" s="396"/>
      <c r="G34" s="373"/>
      <c r="H34" s="390"/>
      <c r="I34" s="397"/>
      <c r="J34" s="397"/>
      <c r="K34" s="427"/>
      <c r="L34" s="399"/>
      <c r="M34" s="399"/>
      <c r="N34" s="399"/>
      <c r="O34" s="428"/>
      <c r="P34" s="373"/>
      <c r="Q34" s="373"/>
      <c r="R34" s="373"/>
      <c r="S34" s="373"/>
    </row>
    <row r="35" spans="1:19" ht="15.75" thickTop="1" x14ac:dyDescent="0.2">
      <c r="A35" s="379">
        <v>3</v>
      </c>
      <c r="B35" s="372" t="s">
        <v>1112</v>
      </c>
      <c r="C35" s="381" t="s">
        <v>1113</v>
      </c>
      <c r="D35" s="396"/>
      <c r="G35" s="373"/>
      <c r="H35" s="417">
        <v>3</v>
      </c>
      <c r="I35" s="419"/>
      <c r="J35" s="419"/>
      <c r="K35" s="429" t="s">
        <v>1113</v>
      </c>
      <c r="L35" s="430"/>
      <c r="M35" s="430"/>
      <c r="N35" s="430"/>
      <c r="O35" s="420"/>
      <c r="P35" s="373"/>
      <c r="Q35" s="388">
        <f>H35</f>
        <v>3</v>
      </c>
      <c r="R35" s="378" t="str">
        <f>CONCATENATE("II-",TEXT(Q35,"0000"))</f>
        <v>II-0003</v>
      </c>
      <c r="S35" s="389" t="str">
        <f>K35</f>
        <v>ALAMBRADO</v>
      </c>
    </row>
    <row r="36" spans="1:19" x14ac:dyDescent="0.2">
      <c r="A36" s="379"/>
      <c r="B36" s="402"/>
      <c r="C36" s="403"/>
      <c r="D36" s="396"/>
      <c r="G36" s="373"/>
      <c r="H36" s="431"/>
      <c r="I36" s="391" t="s">
        <v>1060</v>
      </c>
      <c r="J36" s="392"/>
      <c r="K36" s="427" t="s">
        <v>1114</v>
      </c>
      <c r="L36" s="399"/>
      <c r="M36" s="399"/>
      <c r="N36" s="399"/>
      <c r="O36" s="432"/>
      <c r="P36" s="373"/>
      <c r="Q36" s="373"/>
      <c r="R36" s="373"/>
      <c r="S36" s="373"/>
    </row>
    <row r="37" spans="1:19" x14ac:dyDescent="0.2">
      <c r="A37" s="379">
        <v>1</v>
      </c>
      <c r="B37" s="380" t="s">
        <v>1115</v>
      </c>
      <c r="C37" s="381" t="s">
        <v>1116</v>
      </c>
      <c r="D37" s="396" t="s">
        <v>1030</v>
      </c>
      <c r="G37" s="373"/>
      <c r="H37" s="390"/>
      <c r="I37" s="397"/>
      <c r="J37" s="398">
        <v>1</v>
      </c>
      <c r="K37" s="399"/>
      <c r="L37" s="427" t="s">
        <v>1060</v>
      </c>
      <c r="M37" s="433"/>
      <c r="N37" s="399"/>
      <c r="O37" s="416" t="s">
        <v>1030</v>
      </c>
      <c r="P37" s="373"/>
      <c r="Q37" s="388">
        <v>1</v>
      </c>
      <c r="R37" s="380" t="str">
        <f>CONCATENATE($R$35,".",TEXT(Q37,"0000"))</f>
        <v>II-0003.0001</v>
      </c>
      <c r="S37" s="373" t="str">
        <f>CONCATENATE($K$36," - TIPO ",L37)</f>
        <v>H-2840-I - TIPO A</v>
      </c>
    </row>
    <row r="38" spans="1:19" x14ac:dyDescent="0.2">
      <c r="A38" s="379">
        <v>2</v>
      </c>
      <c r="B38" s="380" t="s">
        <v>1117</v>
      </c>
      <c r="C38" s="381" t="s">
        <v>1118</v>
      </c>
      <c r="D38" s="396" t="s">
        <v>1030</v>
      </c>
      <c r="G38" s="373"/>
      <c r="H38" s="390"/>
      <c r="I38" s="397"/>
      <c r="J38" s="398">
        <v>2</v>
      </c>
      <c r="K38" s="399"/>
      <c r="L38" s="427" t="s">
        <v>1087</v>
      </c>
      <c r="M38" s="433"/>
      <c r="N38" s="399"/>
      <c r="O38" s="416" t="s">
        <v>1030</v>
      </c>
      <c r="P38" s="373"/>
      <c r="Q38" s="388">
        <v>2</v>
      </c>
      <c r="R38" s="380" t="str">
        <f t="shared" ref="R38:R42" si="4">CONCATENATE($R$35,".",TEXT(Q38,"0000"))</f>
        <v>II-0003.0002</v>
      </c>
      <c r="S38" s="373" t="str">
        <f t="shared" ref="S38:S40" si="5">CONCATENATE($K$36," - TIPO ",L38)</f>
        <v>H-2840-I - TIPO B</v>
      </c>
    </row>
    <row r="39" spans="1:19" x14ac:dyDescent="0.2">
      <c r="A39" s="379">
        <v>3</v>
      </c>
      <c r="B39" s="380" t="s">
        <v>1119</v>
      </c>
      <c r="C39" s="381" t="s">
        <v>1120</v>
      </c>
      <c r="D39" s="396" t="s">
        <v>1030</v>
      </c>
      <c r="G39" s="373"/>
      <c r="H39" s="390"/>
      <c r="I39" s="397"/>
      <c r="J39" s="398">
        <v>3</v>
      </c>
      <c r="K39" s="399"/>
      <c r="L39" s="427" t="s">
        <v>1097</v>
      </c>
      <c r="M39" s="433"/>
      <c r="N39" s="399"/>
      <c r="O39" s="416" t="s">
        <v>1030</v>
      </c>
      <c r="P39" s="373"/>
      <c r="Q39" s="388">
        <v>3</v>
      </c>
      <c r="R39" s="380" t="str">
        <f t="shared" si="4"/>
        <v>II-0003.0003</v>
      </c>
      <c r="S39" s="373" t="str">
        <f t="shared" si="5"/>
        <v>H-2840-I - TIPO C</v>
      </c>
    </row>
    <row r="40" spans="1:19" x14ac:dyDescent="0.2">
      <c r="A40" s="379">
        <v>4</v>
      </c>
      <c r="B40" s="372" t="s">
        <v>1121</v>
      </c>
      <c r="C40" s="381" t="s">
        <v>1122</v>
      </c>
      <c r="D40" s="396" t="s">
        <v>1030</v>
      </c>
      <c r="G40" s="373"/>
      <c r="H40" s="390"/>
      <c r="I40" s="409"/>
      <c r="J40" s="404">
        <v>4</v>
      </c>
      <c r="K40" s="405"/>
      <c r="L40" s="434" t="s">
        <v>1123</v>
      </c>
      <c r="M40" s="435"/>
      <c r="N40" s="405"/>
      <c r="O40" s="436" t="s">
        <v>1030</v>
      </c>
      <c r="P40" s="373"/>
      <c r="Q40" s="388">
        <v>4</v>
      </c>
      <c r="R40" s="380" t="str">
        <f t="shared" si="4"/>
        <v>II-0003.0004</v>
      </c>
      <c r="S40" s="373" t="str">
        <f t="shared" si="5"/>
        <v>H-2840-I - TIPO D</v>
      </c>
    </row>
    <row r="41" spans="1:19" x14ac:dyDescent="0.2">
      <c r="A41" s="379">
        <v>5</v>
      </c>
      <c r="B41" s="380" t="s">
        <v>1124</v>
      </c>
      <c r="C41" s="381" t="s">
        <v>1125</v>
      </c>
      <c r="D41" s="396" t="s">
        <v>1030</v>
      </c>
      <c r="G41" s="373"/>
      <c r="H41" s="390"/>
      <c r="I41" s="404" t="s">
        <v>1087</v>
      </c>
      <c r="J41" s="409"/>
      <c r="K41" s="437" t="s">
        <v>1125</v>
      </c>
      <c r="L41" s="438"/>
      <c r="M41" s="438"/>
      <c r="N41" s="438"/>
      <c r="O41" s="439" t="s">
        <v>1030</v>
      </c>
      <c r="P41" s="373"/>
      <c r="Q41" s="388">
        <v>5</v>
      </c>
      <c r="R41" s="380" t="str">
        <f t="shared" si="4"/>
        <v>II-0003.0005</v>
      </c>
      <c r="S41" s="373" t="str">
        <f>CONCATENATE($E$36,K41)</f>
        <v>OLIMPICO H-9830</v>
      </c>
    </row>
    <row r="42" spans="1:19" ht="15.75" thickBot="1" x14ac:dyDescent="0.25">
      <c r="A42" s="379">
        <v>6</v>
      </c>
      <c r="B42" s="380" t="s">
        <v>1126</v>
      </c>
      <c r="C42" s="381" t="s">
        <v>1127</v>
      </c>
      <c r="D42" s="396" t="s">
        <v>1030</v>
      </c>
      <c r="G42" s="373"/>
      <c r="H42" s="410"/>
      <c r="I42" s="412" t="s">
        <v>1097</v>
      </c>
      <c r="J42" s="423"/>
      <c r="K42" s="424" t="s">
        <v>1127</v>
      </c>
      <c r="L42" s="425"/>
      <c r="M42" s="425"/>
      <c r="N42" s="425"/>
      <c r="O42" s="440" t="s">
        <v>1030</v>
      </c>
      <c r="P42" s="373"/>
      <c r="Q42" s="388">
        <v>6</v>
      </c>
      <c r="R42" s="380" t="str">
        <f t="shared" si="4"/>
        <v>II-0003.0006</v>
      </c>
      <c r="S42" s="373" t="str">
        <f>CONCATENATE($E$36,K42)</f>
        <v>TRAZADO C/ REPOSICION  (%)</v>
      </c>
    </row>
    <row r="43" spans="1:19" ht="15.75" thickTop="1" x14ac:dyDescent="0.2">
      <c r="A43" s="379">
        <v>7</v>
      </c>
      <c r="B43" s="380" t="s">
        <v>1128</v>
      </c>
      <c r="C43" s="381" t="s">
        <v>1129</v>
      </c>
      <c r="D43" s="396" t="s">
        <v>1030</v>
      </c>
      <c r="G43" s="373"/>
      <c r="H43" s="390"/>
      <c r="I43" s="397"/>
      <c r="J43" s="397"/>
      <c r="K43" s="427"/>
      <c r="L43" s="399"/>
      <c r="M43" s="399"/>
      <c r="N43" s="399"/>
      <c r="O43" s="416"/>
      <c r="P43" s="373"/>
      <c r="Q43" s="388"/>
      <c r="R43" s="380"/>
      <c r="S43" s="373"/>
    </row>
    <row r="44" spans="1:19" x14ac:dyDescent="0.2">
      <c r="A44" s="379">
        <v>4</v>
      </c>
      <c r="B44" s="372" t="s">
        <v>1130</v>
      </c>
      <c r="C44" s="381" t="s">
        <v>1131</v>
      </c>
      <c r="D44" s="396"/>
      <c r="G44" s="373"/>
      <c r="H44" s="417">
        <v>4</v>
      </c>
      <c r="I44" s="419"/>
      <c r="J44" s="419"/>
      <c r="K44" s="787" t="s">
        <v>1131</v>
      </c>
      <c r="L44" s="787"/>
      <c r="M44" s="787"/>
      <c r="N44" s="787"/>
      <c r="O44" s="441"/>
      <c r="P44" s="373"/>
      <c r="Q44" s="388">
        <f>H44</f>
        <v>4</v>
      </c>
      <c r="R44" s="378" t="str">
        <f>CONCATENATE("II-",TEXT(Q44,"0000"))</f>
        <v>II-0004</v>
      </c>
      <c r="S44" s="389" t="str">
        <f>K44</f>
        <v>ALCANTARILLAS METALICAS ACERO CORRUGADO</v>
      </c>
    </row>
    <row r="45" spans="1:19" x14ac:dyDescent="0.2">
      <c r="A45" s="379"/>
      <c r="B45" s="380"/>
      <c r="C45" s="381"/>
      <c r="D45" s="396"/>
      <c r="G45" s="373"/>
      <c r="H45" s="431"/>
      <c r="I45" s="391" t="s">
        <v>1060</v>
      </c>
      <c r="J45" s="392"/>
      <c r="K45" s="393" t="s">
        <v>1132</v>
      </c>
      <c r="L45" s="394"/>
      <c r="M45" s="394"/>
      <c r="N45" s="394"/>
      <c r="O45" s="442"/>
      <c r="P45" s="373"/>
      <c r="Q45" s="373"/>
      <c r="R45" s="373"/>
      <c r="S45" s="373"/>
    </row>
    <row r="46" spans="1:19" x14ac:dyDescent="0.2">
      <c r="A46" s="379">
        <v>1</v>
      </c>
      <c r="B46" s="380" t="s">
        <v>1133</v>
      </c>
      <c r="C46" s="381" t="s">
        <v>1134</v>
      </c>
      <c r="D46" s="396" t="s">
        <v>1030</v>
      </c>
      <c r="G46" s="373"/>
      <c r="H46" s="390"/>
      <c r="I46" s="397"/>
      <c r="J46" s="398">
        <v>1</v>
      </c>
      <c r="K46" s="399"/>
      <c r="L46" s="400" t="s">
        <v>1135</v>
      </c>
      <c r="M46" s="399"/>
      <c r="N46" s="399"/>
      <c r="O46" s="416" t="s">
        <v>1030</v>
      </c>
      <c r="P46" s="373"/>
      <c r="Q46" s="388">
        <v>1</v>
      </c>
      <c r="R46" s="380" t="str">
        <f>CONCATENATE($R$44,".",TEXT(Q46,"0000"))</f>
        <v>II-0004.0001</v>
      </c>
      <c r="S46" s="373" t="str">
        <f>CONCATENATE($K$45," - TIPO ",L46)</f>
        <v>H-10209 - TIPO H-9987</v>
      </c>
    </row>
    <row r="47" spans="1:19" x14ac:dyDescent="0.2">
      <c r="A47" s="379">
        <v>2</v>
      </c>
      <c r="B47" s="372" t="s">
        <v>1136</v>
      </c>
      <c r="C47" s="381" t="s">
        <v>1137</v>
      </c>
      <c r="D47" s="396" t="s">
        <v>1030</v>
      </c>
      <c r="G47" s="373"/>
      <c r="H47" s="390"/>
      <c r="I47" s="397"/>
      <c r="J47" s="404">
        <v>2</v>
      </c>
      <c r="K47" s="399"/>
      <c r="L47" s="400" t="s">
        <v>1138</v>
      </c>
      <c r="M47" s="399"/>
      <c r="N47" s="399"/>
      <c r="O47" s="416" t="s">
        <v>1030</v>
      </c>
      <c r="P47" s="373"/>
      <c r="Q47" s="388">
        <v>2</v>
      </c>
      <c r="R47" s="380" t="str">
        <f>CONCATENATE($R$44,".",TEXT(Q47,"0000"))</f>
        <v>II-0004.0002</v>
      </c>
      <c r="S47" s="373" t="str">
        <f>CONCATENATE($K$45," - TIPO ",L47)</f>
        <v>H-10209 - TIPO H-2993</v>
      </c>
    </row>
    <row r="48" spans="1:19" x14ac:dyDescent="0.2">
      <c r="A48" s="379"/>
      <c r="B48" s="372"/>
      <c r="C48" s="381"/>
      <c r="D48" s="396"/>
      <c r="G48" s="373"/>
      <c r="H48" s="390"/>
      <c r="I48" s="391" t="s">
        <v>1087</v>
      </c>
      <c r="J48" s="392"/>
      <c r="K48" s="393" t="s">
        <v>1139</v>
      </c>
      <c r="L48" s="394"/>
      <c r="M48" s="394"/>
      <c r="N48" s="394"/>
      <c r="O48" s="442"/>
      <c r="P48" s="373"/>
      <c r="Q48" s="373"/>
      <c r="R48" s="373"/>
      <c r="S48" s="373"/>
    </row>
    <row r="49" spans="1:19" x14ac:dyDescent="0.2">
      <c r="A49" s="379">
        <v>3</v>
      </c>
      <c r="B49" s="402" t="s">
        <v>1140</v>
      </c>
      <c r="C49" s="403" t="s">
        <v>1141</v>
      </c>
      <c r="D49" s="396" t="s">
        <v>1030</v>
      </c>
      <c r="G49" s="373"/>
      <c r="H49" s="390"/>
      <c r="I49" s="397"/>
      <c r="J49" s="398">
        <v>1</v>
      </c>
      <c r="K49" s="399"/>
      <c r="L49" s="400" t="s">
        <v>1135</v>
      </c>
      <c r="M49" s="399"/>
      <c r="N49" s="399"/>
      <c r="O49" s="416" t="s">
        <v>1030</v>
      </c>
      <c r="P49" s="373"/>
      <c r="Q49" s="388">
        <v>3</v>
      </c>
      <c r="R49" s="380" t="str">
        <f>CONCATENATE($R$44,".",TEXT(Q49,"0000"))</f>
        <v>II-0004.0003</v>
      </c>
      <c r="S49" s="373" t="str">
        <f>CONCATENATE($K$48," - TIPO ",L49)</f>
        <v>H-10235 - TIPO H-9987</v>
      </c>
    </row>
    <row r="50" spans="1:19" x14ac:dyDescent="0.2">
      <c r="A50" s="379">
        <v>4</v>
      </c>
      <c r="B50" s="380" t="s">
        <v>1142</v>
      </c>
      <c r="C50" s="381" t="s">
        <v>1143</v>
      </c>
      <c r="D50" s="396" t="s">
        <v>1030</v>
      </c>
      <c r="G50" s="373"/>
      <c r="H50" s="390"/>
      <c r="I50" s="397"/>
      <c r="J50" s="404">
        <v>2</v>
      </c>
      <c r="K50" s="399"/>
      <c r="L50" s="400" t="s">
        <v>1138</v>
      </c>
      <c r="M50" s="399"/>
      <c r="N50" s="399"/>
      <c r="O50" s="416" t="s">
        <v>1030</v>
      </c>
      <c r="P50" s="373"/>
      <c r="Q50" s="388">
        <v>4</v>
      </c>
      <c r="R50" s="380" t="str">
        <f>CONCATENATE($R$44,".",TEXT(Q50,"0000"))</f>
        <v>II-0004.0004</v>
      </c>
      <c r="S50" s="373" t="str">
        <f>CONCATENATE($K$48," - TIPO ",L50)</f>
        <v>H-10235 - TIPO H-2993</v>
      </c>
    </row>
    <row r="51" spans="1:19" x14ac:dyDescent="0.2">
      <c r="A51" s="379"/>
      <c r="B51" s="380"/>
      <c r="C51" s="381"/>
      <c r="D51" s="396"/>
      <c r="G51" s="373"/>
      <c r="H51" s="390"/>
      <c r="I51" s="391" t="s">
        <v>1097</v>
      </c>
      <c r="J51" s="392"/>
      <c r="K51" s="393" t="s">
        <v>1144</v>
      </c>
      <c r="L51" s="394"/>
      <c r="M51" s="394"/>
      <c r="N51" s="394"/>
      <c r="O51" s="442"/>
      <c r="P51" s="373"/>
      <c r="Q51" s="373"/>
      <c r="R51" s="373"/>
      <c r="S51" s="373"/>
    </row>
    <row r="52" spans="1:19" ht="15.75" thickBot="1" x14ac:dyDescent="0.25">
      <c r="A52" s="379">
        <v>5</v>
      </c>
      <c r="B52" s="380" t="s">
        <v>1145</v>
      </c>
      <c r="C52" s="381" t="s">
        <v>1146</v>
      </c>
      <c r="D52" s="396" t="s">
        <v>1030</v>
      </c>
      <c r="G52" s="373"/>
      <c r="H52" s="443"/>
      <c r="I52" s="444"/>
      <c r="J52" s="445">
        <v>1</v>
      </c>
      <c r="K52" s="446"/>
      <c r="L52" s="447" t="s">
        <v>1147</v>
      </c>
      <c r="M52" s="446"/>
      <c r="N52" s="446"/>
      <c r="O52" s="448" t="s">
        <v>1030</v>
      </c>
      <c r="P52" s="373"/>
      <c r="Q52" s="388">
        <v>5</v>
      </c>
      <c r="R52" s="380" t="str">
        <f>CONCATENATE($R$44,".",TEXT(Q52,"0000"))</f>
        <v>II-0004.0005</v>
      </c>
      <c r="S52" s="373" t="str">
        <f>CONCATENATE($K$51," - TIPO ",L52)</f>
        <v>H-10236 - TIPO H-2553</v>
      </c>
    </row>
    <row r="53" spans="1:19" x14ac:dyDescent="0.2">
      <c r="A53" s="379"/>
      <c r="B53" s="380"/>
      <c r="C53" s="381"/>
      <c r="D53" s="396"/>
      <c r="G53" s="399"/>
      <c r="H53" s="449"/>
      <c r="I53" s="397"/>
      <c r="J53" s="397"/>
      <c r="K53" s="399"/>
      <c r="L53" s="400"/>
      <c r="M53" s="399"/>
      <c r="N53" s="399"/>
      <c r="O53" s="433"/>
      <c r="P53" s="399"/>
      <c r="Q53" s="399"/>
      <c r="R53" s="399"/>
      <c r="S53" s="399"/>
    </row>
    <row r="54" spans="1:19" x14ac:dyDescent="0.2">
      <c r="A54" s="379">
        <v>4</v>
      </c>
      <c r="B54" s="380" t="s">
        <v>1130</v>
      </c>
      <c r="C54" s="381" t="s">
        <v>1131</v>
      </c>
      <c r="D54" s="396"/>
      <c r="G54" s="373"/>
      <c r="H54" s="417">
        <v>4</v>
      </c>
      <c r="I54" s="419"/>
      <c r="J54" s="419"/>
      <c r="K54" s="787" t="s">
        <v>1131</v>
      </c>
      <c r="L54" s="787"/>
      <c r="M54" s="787"/>
      <c r="N54" s="787"/>
      <c r="O54" s="441"/>
      <c r="P54" s="373"/>
      <c r="Q54" s="388">
        <f>H54</f>
        <v>4</v>
      </c>
      <c r="R54" s="378" t="str">
        <f>CONCATENATE("II-",TEXT(Q54,"0000"))</f>
        <v>II-0004</v>
      </c>
      <c r="S54" s="389" t="str">
        <f>K54</f>
        <v>ALCANTARILLAS METALICAS ACERO CORRUGADO</v>
      </c>
    </row>
    <row r="55" spans="1:19" x14ac:dyDescent="0.2">
      <c r="A55" s="379"/>
      <c r="B55" s="380"/>
      <c r="C55" s="381"/>
      <c r="D55" s="396"/>
      <c r="G55" s="373"/>
      <c r="H55" s="390"/>
      <c r="I55" s="391" t="s">
        <v>1123</v>
      </c>
      <c r="J55" s="392"/>
      <c r="K55" s="400" t="s">
        <v>1088</v>
      </c>
      <c r="L55" s="399"/>
      <c r="M55" s="399"/>
      <c r="N55" s="399"/>
      <c r="O55" s="432"/>
      <c r="P55" s="373"/>
      <c r="Q55" s="373"/>
      <c r="R55" s="373"/>
      <c r="S55" s="373"/>
    </row>
    <row r="56" spans="1:19" x14ac:dyDescent="0.2">
      <c r="A56" s="379">
        <v>10</v>
      </c>
      <c r="B56" s="380" t="s">
        <v>1148</v>
      </c>
      <c r="C56" s="381" t="s">
        <v>1149</v>
      </c>
      <c r="D56" s="396" t="s">
        <v>1030</v>
      </c>
      <c r="G56" s="373"/>
      <c r="H56" s="390"/>
      <c r="I56" s="397"/>
      <c r="J56" s="398">
        <v>1</v>
      </c>
      <c r="K56" s="399"/>
      <c r="L56" s="400" t="s">
        <v>1150</v>
      </c>
      <c r="M56" s="399"/>
      <c r="N56" s="399"/>
      <c r="O56" s="432" t="s">
        <v>1030</v>
      </c>
      <c r="P56" s="373"/>
      <c r="Q56" s="388">
        <v>10</v>
      </c>
      <c r="R56" s="380" t="str">
        <f>CONCATENATE($R$44,".",TEXT(Q56,"0000"))</f>
        <v>II-0004.0010</v>
      </c>
      <c r="S56" s="373" t="str">
        <f>CONCATENATE($K$55," - TIPO ",L56)</f>
        <v>ESPECIAL - TIPO BOVEDA PERFIL ALTO Z-6584</v>
      </c>
    </row>
    <row r="57" spans="1:19" x14ac:dyDescent="0.2">
      <c r="A57" s="379">
        <v>11</v>
      </c>
      <c r="B57" s="380" t="s">
        <v>1151</v>
      </c>
      <c r="C57" s="381" t="s">
        <v>1152</v>
      </c>
      <c r="D57" s="396" t="s">
        <v>1030</v>
      </c>
      <c r="G57" s="373"/>
      <c r="H57" s="390"/>
      <c r="I57" s="397"/>
      <c r="J57" s="398">
        <v>2</v>
      </c>
      <c r="K57" s="399"/>
      <c r="L57" s="400" t="s">
        <v>1153</v>
      </c>
      <c r="M57" s="399"/>
      <c r="N57" s="399"/>
      <c r="O57" s="432" t="s">
        <v>1030</v>
      </c>
      <c r="P57" s="373"/>
      <c r="Q57" s="388">
        <v>11</v>
      </c>
      <c r="R57" s="380" t="str">
        <f t="shared" ref="R57:R66" si="6">CONCATENATE($R$44,".",TEXT(Q57,"0000"))</f>
        <v>II-0004.0011</v>
      </c>
      <c r="S57" s="373" t="str">
        <f t="shared" ref="S57:S60" si="7">CONCATENATE($K$55," - TIPO ",L57)</f>
        <v>ESPECIAL - TIPO BOVEDA PERFIL BAJO Z-6584</v>
      </c>
    </row>
    <row r="58" spans="1:19" x14ac:dyDescent="0.2">
      <c r="A58" s="379">
        <v>12</v>
      </c>
      <c r="B58" s="372" t="s">
        <v>1154</v>
      </c>
      <c r="C58" s="381" t="s">
        <v>1155</v>
      </c>
      <c r="D58" s="396" t="s">
        <v>1030</v>
      </c>
      <c r="G58" s="373"/>
      <c r="H58" s="390"/>
      <c r="I58" s="397"/>
      <c r="J58" s="398">
        <v>3</v>
      </c>
      <c r="K58" s="399"/>
      <c r="L58" s="400" t="s">
        <v>1156</v>
      </c>
      <c r="M58" s="399"/>
      <c r="N58" s="399"/>
      <c r="O58" s="432" t="s">
        <v>1030</v>
      </c>
      <c r="P58" s="373"/>
      <c r="Q58" s="388">
        <v>12</v>
      </c>
      <c r="R58" s="380" t="str">
        <f t="shared" si="6"/>
        <v>II-0004.0012</v>
      </c>
      <c r="S58" s="373" t="str">
        <f t="shared" si="7"/>
        <v>ESPECIAL - TIPO CIRCULAR</v>
      </c>
    </row>
    <row r="59" spans="1:19" x14ac:dyDescent="0.2">
      <c r="A59" s="379">
        <v>13</v>
      </c>
      <c r="B59" s="372" t="s">
        <v>1157</v>
      </c>
      <c r="C59" s="381" t="s">
        <v>1158</v>
      </c>
      <c r="D59" s="396" t="s">
        <v>1030</v>
      </c>
      <c r="G59" s="373"/>
      <c r="H59" s="390"/>
      <c r="I59" s="397"/>
      <c r="J59" s="398">
        <v>4</v>
      </c>
      <c r="K59" s="399"/>
      <c r="L59" s="400" t="s">
        <v>1159</v>
      </c>
      <c r="M59" s="399"/>
      <c r="N59" s="399"/>
      <c r="O59" s="432" t="s">
        <v>1030</v>
      </c>
      <c r="P59" s="373"/>
      <c r="Q59" s="388">
        <v>13</v>
      </c>
      <c r="R59" s="380" t="str">
        <f t="shared" si="6"/>
        <v>II-0004.0013</v>
      </c>
      <c r="S59" s="373" t="str">
        <f t="shared" si="7"/>
        <v>ESPECIAL - TIPO ELIPTICA</v>
      </c>
    </row>
    <row r="60" spans="1:19" x14ac:dyDescent="0.2">
      <c r="A60" s="379">
        <v>14</v>
      </c>
      <c r="B60" s="380" t="s">
        <v>1160</v>
      </c>
      <c r="C60" s="381" t="s">
        <v>1161</v>
      </c>
      <c r="D60" s="396" t="s">
        <v>1030</v>
      </c>
      <c r="G60" s="373"/>
      <c r="H60" s="390"/>
      <c r="I60" s="450"/>
      <c r="J60" s="404">
        <v>5</v>
      </c>
      <c r="K60" s="405"/>
      <c r="L60" s="406" t="s">
        <v>1162</v>
      </c>
      <c r="M60" s="405"/>
      <c r="N60" s="405"/>
      <c r="O60" s="451" t="s">
        <v>1030</v>
      </c>
      <c r="P60" s="373"/>
      <c r="Q60" s="388">
        <v>14</v>
      </c>
      <c r="R60" s="380" t="str">
        <f t="shared" si="6"/>
        <v>II-0004.0014</v>
      </c>
      <c r="S60" s="373" t="str">
        <f t="shared" si="7"/>
        <v>ESPECIAL - TIPO ELIPTICA P/ FERROCARRIL Z-6584</v>
      </c>
    </row>
    <row r="61" spans="1:19" x14ac:dyDescent="0.2">
      <c r="A61" s="379">
        <v>20</v>
      </c>
      <c r="B61" s="380" t="s">
        <v>1163</v>
      </c>
      <c r="C61" s="381" t="s">
        <v>1164</v>
      </c>
      <c r="D61" s="396" t="s">
        <v>1030</v>
      </c>
      <c r="G61" s="452"/>
      <c r="H61" s="453"/>
      <c r="I61" s="454" t="s">
        <v>1165</v>
      </c>
      <c r="J61" s="454"/>
      <c r="K61" s="455" t="s">
        <v>1164</v>
      </c>
      <c r="L61" s="456"/>
      <c r="M61" s="456"/>
      <c r="N61" s="456"/>
      <c r="O61" s="457" t="s">
        <v>1030</v>
      </c>
      <c r="P61" s="452"/>
      <c r="Q61" s="388">
        <v>20</v>
      </c>
      <c r="R61" s="380" t="str">
        <f t="shared" si="6"/>
        <v>II-0004.0020</v>
      </c>
      <c r="S61" s="373" t="str">
        <f>CONCATENATE(K61)</f>
        <v>PINTURA</v>
      </c>
    </row>
    <row r="62" spans="1:19" x14ac:dyDescent="0.2">
      <c r="A62" s="379">
        <v>21</v>
      </c>
      <c r="B62" s="372" t="s">
        <v>1166</v>
      </c>
      <c r="C62" s="381" t="s">
        <v>1167</v>
      </c>
      <c r="D62" s="396" t="s">
        <v>1030</v>
      </c>
      <c r="G62" s="452"/>
      <c r="H62" s="453"/>
      <c r="I62" s="454" t="s">
        <v>1168</v>
      </c>
      <c r="J62" s="454"/>
      <c r="K62" s="788" t="s">
        <v>1167</v>
      </c>
      <c r="L62" s="788"/>
      <c r="M62" s="456"/>
      <c r="N62" s="456"/>
      <c r="O62" s="458" t="s">
        <v>1030</v>
      </c>
      <c r="P62" s="452"/>
      <c r="Q62" s="388">
        <v>21</v>
      </c>
      <c r="R62" s="380" t="str">
        <f t="shared" si="6"/>
        <v>II-0004.0021</v>
      </c>
      <c r="S62" s="373" t="str">
        <f t="shared" ref="S62:S66" si="8">CONCATENATE(K62)</f>
        <v>COLOCACION</v>
      </c>
    </row>
    <row r="63" spans="1:19" x14ac:dyDescent="0.2">
      <c r="A63" s="379">
        <v>22</v>
      </c>
      <c r="B63" s="380" t="s">
        <v>1169</v>
      </c>
      <c r="C63" s="381" t="s">
        <v>1170</v>
      </c>
      <c r="D63" s="396" t="s">
        <v>1171</v>
      </c>
      <c r="G63" s="452"/>
      <c r="H63" s="453"/>
      <c r="I63" s="454" t="s">
        <v>1172</v>
      </c>
      <c r="J63" s="454"/>
      <c r="K63" s="788" t="s">
        <v>1170</v>
      </c>
      <c r="L63" s="788"/>
      <c r="M63" s="456"/>
      <c r="N63" s="456"/>
      <c r="O63" s="458" t="s">
        <v>1171</v>
      </c>
      <c r="P63" s="452"/>
      <c r="Q63" s="388">
        <v>22</v>
      </c>
      <c r="R63" s="380" t="str">
        <f t="shared" si="6"/>
        <v>II-0004.0022</v>
      </c>
      <c r="S63" s="373" t="str">
        <f t="shared" si="8"/>
        <v>RELLENO DE SOCAVACION</v>
      </c>
    </row>
    <row r="64" spans="1:19" x14ac:dyDescent="0.2">
      <c r="A64" s="379">
        <v>23</v>
      </c>
      <c r="B64" s="380" t="s">
        <v>1173</v>
      </c>
      <c r="C64" s="381" t="s">
        <v>1174</v>
      </c>
      <c r="D64" s="396" t="s">
        <v>1030</v>
      </c>
      <c r="G64" s="373"/>
      <c r="H64" s="453"/>
      <c r="I64" s="391" t="s">
        <v>1175</v>
      </c>
      <c r="J64" s="438"/>
      <c r="K64" s="459" t="s">
        <v>1174</v>
      </c>
      <c r="L64" s="438"/>
      <c r="M64" s="438"/>
      <c r="N64" s="438"/>
      <c r="O64" s="458" t="s">
        <v>1030</v>
      </c>
      <c r="P64" s="373"/>
      <c r="Q64" s="388">
        <v>23</v>
      </c>
      <c r="R64" s="380" t="str">
        <f t="shared" si="6"/>
        <v>II-0004.0023</v>
      </c>
      <c r="S64" s="373" t="str">
        <f t="shared" si="8"/>
        <v>REPARACION</v>
      </c>
    </row>
    <row r="65" spans="1:19" x14ac:dyDescent="0.2">
      <c r="A65" s="379">
        <v>24</v>
      </c>
      <c r="B65" s="372" t="s">
        <v>1176</v>
      </c>
      <c r="C65" s="381" t="s">
        <v>1177</v>
      </c>
      <c r="D65" s="396" t="s">
        <v>1030</v>
      </c>
      <c r="G65" s="373"/>
      <c r="H65" s="453"/>
      <c r="I65" s="391" t="s">
        <v>901</v>
      </c>
      <c r="J65" s="438"/>
      <c r="K65" s="459" t="s">
        <v>1177</v>
      </c>
      <c r="L65" s="438"/>
      <c r="M65" s="438"/>
      <c r="N65" s="438"/>
      <c r="O65" s="458" t="s">
        <v>1030</v>
      </c>
      <c r="P65" s="373"/>
      <c r="Q65" s="388">
        <v>24</v>
      </c>
      <c r="R65" s="380" t="str">
        <f t="shared" si="6"/>
        <v>II-0004.0024</v>
      </c>
      <c r="S65" s="373" t="str">
        <f t="shared" si="8"/>
        <v>RETIRO Y RECOLOCACION</v>
      </c>
    </row>
    <row r="66" spans="1:19" ht="15.75" thickBot="1" x14ac:dyDescent="0.25">
      <c r="A66" s="379">
        <v>25</v>
      </c>
      <c r="B66" s="372" t="s">
        <v>1178</v>
      </c>
      <c r="C66" s="381" t="s">
        <v>1179</v>
      </c>
      <c r="D66" s="396" t="s">
        <v>1030</v>
      </c>
      <c r="G66" s="373"/>
      <c r="H66" s="460"/>
      <c r="I66" s="422" t="s">
        <v>1180</v>
      </c>
      <c r="J66" s="425"/>
      <c r="K66" s="461" t="s">
        <v>1179</v>
      </c>
      <c r="L66" s="425"/>
      <c r="M66" s="425"/>
      <c r="N66" s="425"/>
      <c r="O66" s="462" t="s">
        <v>1030</v>
      </c>
      <c r="P66" s="373"/>
      <c r="Q66" s="388">
        <v>25</v>
      </c>
      <c r="R66" s="380" t="str">
        <f t="shared" si="6"/>
        <v>II-0004.0025</v>
      </c>
      <c r="S66" s="373" t="str">
        <f t="shared" si="8"/>
        <v xml:space="preserve">RETIRO </v>
      </c>
    </row>
    <row r="67" spans="1:19" ht="16.5" thickTop="1" thickBot="1" x14ac:dyDescent="0.25">
      <c r="A67" s="379"/>
      <c r="B67" s="402"/>
      <c r="C67" s="403"/>
      <c r="D67" s="396"/>
      <c r="G67" s="373"/>
      <c r="H67" s="390"/>
      <c r="I67" s="397"/>
      <c r="J67" s="399"/>
      <c r="K67" s="400"/>
      <c r="L67" s="399"/>
      <c r="M67" s="399"/>
      <c r="N67" s="399"/>
      <c r="O67" s="463"/>
      <c r="P67" s="373"/>
      <c r="Q67" s="388"/>
      <c r="R67" s="380"/>
      <c r="S67" s="373"/>
    </row>
    <row r="68" spans="1:19" ht="15.75" thickTop="1" x14ac:dyDescent="0.2">
      <c r="A68" s="379">
        <v>5</v>
      </c>
      <c r="B68" s="380" t="s">
        <v>1181</v>
      </c>
      <c r="C68" s="381" t="s">
        <v>1182</v>
      </c>
      <c r="D68" s="396"/>
      <c r="G68" s="373"/>
      <c r="H68" s="417">
        <v>5</v>
      </c>
      <c r="I68" s="419"/>
      <c r="J68" s="430"/>
      <c r="K68" s="464" t="s">
        <v>1182</v>
      </c>
      <c r="L68" s="430"/>
      <c r="M68" s="430"/>
      <c r="N68" s="430"/>
      <c r="O68" s="441"/>
      <c r="P68" s="373"/>
      <c r="Q68" s="388">
        <f>H68</f>
        <v>5</v>
      </c>
      <c r="R68" s="378" t="str">
        <f>CONCATENATE("II-",TEXT(Q68,"0000"))</f>
        <v>II-0005</v>
      </c>
      <c r="S68" s="389" t="str">
        <f>K68</f>
        <v>ALCANTARILLAS HORMIGON</v>
      </c>
    </row>
    <row r="69" spans="1:19" x14ac:dyDescent="0.2">
      <c r="A69" s="379"/>
      <c r="B69" s="380"/>
      <c r="C69" s="381"/>
      <c r="D69" s="396"/>
      <c r="G69" s="373"/>
      <c r="H69" s="390"/>
      <c r="I69" s="391" t="s">
        <v>1060</v>
      </c>
      <c r="J69" s="394"/>
      <c r="K69" s="400" t="s">
        <v>1156</v>
      </c>
      <c r="L69" s="399"/>
      <c r="M69" s="399"/>
      <c r="N69" s="399"/>
      <c r="O69" s="432"/>
      <c r="P69" s="373"/>
      <c r="Q69" s="373"/>
      <c r="R69" s="373"/>
      <c r="S69" s="373"/>
    </row>
    <row r="70" spans="1:19" x14ac:dyDescent="0.2">
      <c r="A70" s="379">
        <v>1</v>
      </c>
      <c r="B70" s="380" t="s">
        <v>1183</v>
      </c>
      <c r="C70" s="381" t="s">
        <v>1184</v>
      </c>
      <c r="D70" s="396" t="s">
        <v>1030</v>
      </c>
      <c r="G70" s="373"/>
      <c r="H70" s="390"/>
      <c r="I70" s="397"/>
      <c r="J70" s="398">
        <v>1</v>
      </c>
      <c r="K70" s="399"/>
      <c r="L70" s="400" t="s">
        <v>1185</v>
      </c>
      <c r="M70" s="399"/>
      <c r="N70" s="399"/>
      <c r="O70" s="432" t="s">
        <v>1030</v>
      </c>
      <c r="P70" s="373"/>
      <c r="Q70" s="388">
        <v>1</v>
      </c>
      <c r="R70" s="380" t="str">
        <f>CONCATENATE($R$68,".",TEXT(Q70,"0000"))</f>
        <v>II-0005.0001</v>
      </c>
      <c r="S70" s="373" t="str">
        <f>CONCATENATE($K$69," - TIPO ",L70)</f>
        <v>CIRCULAR - TIPO A-82</v>
      </c>
    </row>
    <row r="71" spans="1:19" x14ac:dyDescent="0.2">
      <c r="A71" s="379">
        <v>2</v>
      </c>
      <c r="B71" s="380" t="s">
        <v>1186</v>
      </c>
      <c r="C71" s="381" t="s">
        <v>1187</v>
      </c>
      <c r="D71" s="396" t="s">
        <v>1030</v>
      </c>
      <c r="G71" s="373"/>
      <c r="H71" s="390"/>
      <c r="I71" s="409"/>
      <c r="J71" s="404">
        <v>2</v>
      </c>
      <c r="K71" s="405"/>
      <c r="L71" s="406" t="s">
        <v>1138</v>
      </c>
      <c r="M71" s="405"/>
      <c r="N71" s="405"/>
      <c r="O71" s="451" t="s">
        <v>1030</v>
      </c>
      <c r="P71" s="373"/>
      <c r="Q71" s="388">
        <v>2</v>
      </c>
      <c r="R71" s="380" t="str">
        <f>CONCATENATE($R$68,".",TEXT(Q71,"0000"))</f>
        <v>II-0005.0002</v>
      </c>
      <c r="S71" s="373" t="str">
        <f>CONCATENATE($K$69," - TIPO ",L71)</f>
        <v>CIRCULAR - TIPO H-2993</v>
      </c>
    </row>
    <row r="72" spans="1:19" x14ac:dyDescent="0.2">
      <c r="A72" s="379"/>
      <c r="B72" s="372"/>
      <c r="C72" s="381"/>
      <c r="D72" s="396" t="s">
        <v>1030</v>
      </c>
      <c r="G72" s="373"/>
      <c r="H72" s="390"/>
      <c r="I72" s="404" t="s">
        <v>1087</v>
      </c>
      <c r="J72" s="397"/>
      <c r="K72" s="400" t="s">
        <v>1188</v>
      </c>
      <c r="L72" s="400"/>
      <c r="M72" s="399"/>
      <c r="N72" s="399"/>
      <c r="O72" s="432" t="s">
        <v>1030</v>
      </c>
      <c r="P72" s="373"/>
      <c r="Q72" s="373"/>
      <c r="R72" s="373"/>
      <c r="S72" s="373"/>
    </row>
    <row r="73" spans="1:19" x14ac:dyDescent="0.2">
      <c r="A73" s="379">
        <v>10</v>
      </c>
      <c r="B73" s="372" t="s">
        <v>1189</v>
      </c>
      <c r="C73" s="381" t="s">
        <v>1190</v>
      </c>
      <c r="D73" s="396" t="s">
        <v>1030</v>
      </c>
      <c r="G73" s="373"/>
      <c r="H73" s="390"/>
      <c r="I73" s="397"/>
      <c r="J73" s="398">
        <v>1</v>
      </c>
      <c r="K73" s="399"/>
      <c r="L73" s="400" t="s">
        <v>1191</v>
      </c>
      <c r="M73" s="399"/>
      <c r="N73" s="399"/>
      <c r="O73" s="416" t="s">
        <v>1030</v>
      </c>
      <c r="P73" s="373"/>
      <c r="Q73" s="388">
        <v>10</v>
      </c>
      <c r="R73" s="380" t="str">
        <f>CONCATENATE($R$68,".",TEXT(Q73,"0000"))</f>
        <v>II-0005.0010</v>
      </c>
      <c r="S73" s="373" t="str">
        <f>CONCATENATE($K$72," - TIPO ",L73)</f>
        <v>RECTANGULAR - TIPO H-1900-BIS-1</v>
      </c>
    </row>
    <row r="74" spans="1:19" x14ac:dyDescent="0.2">
      <c r="A74" s="379">
        <v>11</v>
      </c>
      <c r="B74" s="402" t="s">
        <v>1192</v>
      </c>
      <c r="C74" s="403" t="s">
        <v>1193</v>
      </c>
      <c r="D74" s="396" t="s">
        <v>1030</v>
      </c>
      <c r="G74" s="373"/>
      <c r="H74" s="390"/>
      <c r="I74" s="397"/>
      <c r="J74" s="398">
        <v>2</v>
      </c>
      <c r="K74" s="399"/>
      <c r="L74" s="400" t="s">
        <v>1194</v>
      </c>
      <c r="M74" s="399"/>
      <c r="N74" s="399"/>
      <c r="O74" s="416" t="s">
        <v>1030</v>
      </c>
      <c r="P74" s="373"/>
      <c r="Q74" s="388">
        <v>11</v>
      </c>
      <c r="R74" s="380" t="str">
        <f t="shared" ref="R74:R89" si="9">CONCATENATE($R$68,".",TEXT(Q74,"0000"))</f>
        <v>II-0005.0011</v>
      </c>
      <c r="S74" s="373" t="str">
        <f t="shared" ref="S74:S84" si="10">CONCATENATE($K$72," - TIPO ",L74)</f>
        <v>RECTANGULAR - TIPO O-41211-I</v>
      </c>
    </row>
    <row r="75" spans="1:19" x14ac:dyDescent="0.2">
      <c r="A75" s="379">
        <v>12</v>
      </c>
      <c r="B75" s="380" t="s">
        <v>1195</v>
      </c>
      <c r="C75" s="381" t="s">
        <v>1196</v>
      </c>
      <c r="D75" s="396" t="s">
        <v>1030</v>
      </c>
      <c r="G75" s="373"/>
      <c r="H75" s="390"/>
      <c r="I75" s="397"/>
      <c r="J75" s="398">
        <v>3</v>
      </c>
      <c r="K75" s="399"/>
      <c r="L75" s="400" t="s">
        <v>1197</v>
      </c>
      <c r="M75" s="399"/>
      <c r="N75" s="399"/>
      <c r="O75" s="416" t="s">
        <v>1030</v>
      </c>
      <c r="P75" s="373"/>
      <c r="Q75" s="388">
        <v>12</v>
      </c>
      <c r="R75" s="380" t="str">
        <f t="shared" si="9"/>
        <v>II-0005.0012</v>
      </c>
      <c r="S75" s="373" t="str">
        <f t="shared" si="10"/>
        <v>RECTANGULAR - TIPO Z-959</v>
      </c>
    </row>
    <row r="76" spans="1:19" x14ac:dyDescent="0.2">
      <c r="A76" s="379">
        <v>13</v>
      </c>
      <c r="B76" s="380" t="s">
        <v>1198</v>
      </c>
      <c r="C76" s="381" t="s">
        <v>1199</v>
      </c>
      <c r="D76" s="396" t="s">
        <v>1030</v>
      </c>
      <c r="G76" s="373"/>
      <c r="H76" s="390"/>
      <c r="I76" s="397"/>
      <c r="J76" s="398">
        <v>4</v>
      </c>
      <c r="K76" s="399"/>
      <c r="L76" s="400" t="s">
        <v>1200</v>
      </c>
      <c r="M76" s="399"/>
      <c r="N76" s="399"/>
      <c r="O76" s="416" t="s">
        <v>1030</v>
      </c>
      <c r="P76" s="373"/>
      <c r="Q76" s="388">
        <v>13</v>
      </c>
      <c r="R76" s="380" t="str">
        <f t="shared" si="9"/>
        <v>II-0005.0013</v>
      </c>
      <c r="S76" s="373" t="str">
        <f t="shared" si="10"/>
        <v>RECTANGULAR - TIPO Z-2915-I</v>
      </c>
    </row>
    <row r="77" spans="1:19" x14ac:dyDescent="0.2">
      <c r="A77" s="379">
        <v>14</v>
      </c>
      <c r="B77" s="380" t="s">
        <v>1201</v>
      </c>
      <c r="C77" s="381" t="s">
        <v>1202</v>
      </c>
      <c r="D77" s="396" t="s">
        <v>1030</v>
      </c>
      <c r="G77" s="373"/>
      <c r="H77" s="390"/>
      <c r="I77" s="397"/>
      <c r="J77" s="398">
        <v>5</v>
      </c>
      <c r="K77" s="399"/>
      <c r="L77" s="400" t="s">
        <v>1203</v>
      </c>
      <c r="M77" s="399"/>
      <c r="N77" s="399"/>
      <c r="O77" s="416" t="s">
        <v>1030</v>
      </c>
      <c r="P77" s="373"/>
      <c r="Q77" s="388">
        <v>14</v>
      </c>
      <c r="R77" s="380" t="str">
        <f t="shared" si="9"/>
        <v>II-0005.0014</v>
      </c>
      <c r="S77" s="373" t="str">
        <f t="shared" si="10"/>
        <v>RECTANGULAR - TIPO Z-2916-I</v>
      </c>
    </row>
    <row r="78" spans="1:19" x14ac:dyDescent="0.2">
      <c r="A78" s="379">
        <v>15</v>
      </c>
      <c r="B78" s="380" t="s">
        <v>1204</v>
      </c>
      <c r="C78" s="381" t="s">
        <v>1205</v>
      </c>
      <c r="D78" s="396" t="s">
        <v>1030</v>
      </c>
      <c r="G78" s="373"/>
      <c r="H78" s="390"/>
      <c r="I78" s="397"/>
      <c r="J78" s="398">
        <v>6</v>
      </c>
      <c r="K78" s="399"/>
      <c r="L78" s="400" t="s">
        <v>1206</v>
      </c>
      <c r="M78" s="399"/>
      <c r="N78" s="399"/>
      <c r="O78" s="416" t="s">
        <v>1030</v>
      </c>
      <c r="P78" s="373"/>
      <c r="Q78" s="388">
        <v>15</v>
      </c>
      <c r="R78" s="380" t="str">
        <f t="shared" si="9"/>
        <v>II-0005.0015</v>
      </c>
      <c r="S78" s="373" t="str">
        <f t="shared" si="10"/>
        <v>RECTANGULAR - TIPO A-505</v>
      </c>
    </row>
    <row r="79" spans="1:19" x14ac:dyDescent="0.2">
      <c r="A79" s="379">
        <v>16</v>
      </c>
      <c r="B79" s="372" t="s">
        <v>1207</v>
      </c>
      <c r="C79" s="381" t="s">
        <v>1208</v>
      </c>
      <c r="D79" s="396" t="s">
        <v>1030</v>
      </c>
      <c r="G79" s="373"/>
      <c r="H79" s="390"/>
      <c r="I79" s="397"/>
      <c r="J79" s="398">
        <v>7</v>
      </c>
      <c r="K79" s="399"/>
      <c r="L79" s="400" t="s">
        <v>1209</v>
      </c>
      <c r="M79" s="399"/>
      <c r="N79" s="399"/>
      <c r="O79" s="416" t="s">
        <v>1030</v>
      </c>
      <c r="P79" s="373"/>
      <c r="Q79" s="388">
        <v>16</v>
      </c>
      <c r="R79" s="380" t="str">
        <f t="shared" si="9"/>
        <v>II-0005.0016</v>
      </c>
      <c r="S79" s="373" t="str">
        <f t="shared" si="10"/>
        <v>RECTANGULAR - TIPO A-660</v>
      </c>
    </row>
    <row r="80" spans="1:19" x14ac:dyDescent="0.2">
      <c r="A80" s="379">
        <v>17</v>
      </c>
      <c r="B80" s="372" t="s">
        <v>1210</v>
      </c>
      <c r="C80" s="381" t="s">
        <v>1211</v>
      </c>
      <c r="D80" s="396" t="s">
        <v>1030</v>
      </c>
      <c r="G80" s="373"/>
      <c r="H80" s="390"/>
      <c r="I80" s="397"/>
      <c r="J80" s="398">
        <v>8</v>
      </c>
      <c r="K80" s="399"/>
      <c r="L80" s="400" t="s">
        <v>1212</v>
      </c>
      <c r="M80" s="399"/>
      <c r="N80" s="399"/>
      <c r="O80" s="416" t="s">
        <v>1030</v>
      </c>
      <c r="P80" s="373"/>
      <c r="Q80" s="388">
        <v>17</v>
      </c>
      <c r="R80" s="380" t="str">
        <f t="shared" si="9"/>
        <v>II-0005.0017</v>
      </c>
      <c r="S80" s="373" t="str">
        <f t="shared" si="10"/>
        <v>RECTANGULAR - TIPO O-41211-MODIFICADA</v>
      </c>
    </row>
    <row r="81" spans="1:19" x14ac:dyDescent="0.2">
      <c r="A81" s="379">
        <v>18</v>
      </c>
      <c r="B81" s="402" t="s">
        <v>1213</v>
      </c>
      <c r="C81" s="403" t="s">
        <v>1214</v>
      </c>
      <c r="D81" s="396" t="s">
        <v>1030</v>
      </c>
      <c r="G81" s="373"/>
      <c r="H81" s="390"/>
      <c r="I81" s="397"/>
      <c r="J81" s="398">
        <v>9</v>
      </c>
      <c r="K81" s="399"/>
      <c r="L81" s="400" t="s">
        <v>1215</v>
      </c>
      <c r="M81" s="399"/>
      <c r="N81" s="399"/>
      <c r="O81" s="416" t="s">
        <v>1030</v>
      </c>
      <c r="P81" s="373"/>
      <c r="Q81" s="388">
        <v>18</v>
      </c>
      <c r="R81" s="380" t="str">
        <f t="shared" si="9"/>
        <v>II-0005.0018</v>
      </c>
      <c r="S81" s="373" t="str">
        <f t="shared" si="10"/>
        <v>RECTANGULAR - TIPO X-1113</v>
      </c>
    </row>
    <row r="82" spans="1:19" x14ac:dyDescent="0.2">
      <c r="A82" s="379">
        <v>19</v>
      </c>
      <c r="B82" s="380" t="s">
        <v>1216</v>
      </c>
      <c r="C82" s="381" t="s">
        <v>1217</v>
      </c>
      <c r="D82" s="396" t="s">
        <v>1030</v>
      </c>
      <c r="G82" s="373"/>
      <c r="H82" s="390"/>
      <c r="I82" s="397"/>
      <c r="J82" s="398">
        <v>10</v>
      </c>
      <c r="K82" s="399"/>
      <c r="L82" s="400" t="s">
        <v>1218</v>
      </c>
      <c r="M82" s="399"/>
      <c r="N82" s="399"/>
      <c r="O82" s="416" t="s">
        <v>1030</v>
      </c>
      <c r="P82" s="373"/>
      <c r="Q82" s="388">
        <v>19</v>
      </c>
      <c r="R82" s="380" t="str">
        <f t="shared" si="9"/>
        <v>II-0005.0019</v>
      </c>
      <c r="S82" s="373" t="str">
        <f t="shared" si="10"/>
        <v>RECTANGULAR - TIPO 0-52229</v>
      </c>
    </row>
    <row r="83" spans="1:19" x14ac:dyDescent="0.2">
      <c r="A83" s="379">
        <v>20</v>
      </c>
      <c r="B83" s="380" t="s">
        <v>1219</v>
      </c>
      <c r="C83" s="381" t="s">
        <v>1220</v>
      </c>
      <c r="D83" s="396" t="s">
        <v>1030</v>
      </c>
      <c r="G83" s="373"/>
      <c r="H83" s="390"/>
      <c r="I83" s="397"/>
      <c r="J83" s="398">
        <v>11</v>
      </c>
      <c r="K83" s="399"/>
      <c r="L83" s="400" t="s">
        <v>1221</v>
      </c>
      <c r="M83" s="399"/>
      <c r="N83" s="399"/>
      <c r="O83" s="416" t="s">
        <v>1030</v>
      </c>
      <c r="P83" s="373"/>
      <c r="Q83" s="388">
        <v>20</v>
      </c>
      <c r="R83" s="380" t="str">
        <f t="shared" si="9"/>
        <v>II-0005.0020</v>
      </c>
      <c r="S83" s="373" t="str">
        <f t="shared" si="10"/>
        <v>RECTANGULAR - TIPO 0-52233</v>
      </c>
    </row>
    <row r="84" spans="1:19" x14ac:dyDescent="0.2">
      <c r="A84" s="379">
        <v>21</v>
      </c>
      <c r="B84" s="372" t="s">
        <v>1222</v>
      </c>
      <c r="C84" s="381" t="s">
        <v>1223</v>
      </c>
      <c r="D84" s="396" t="s">
        <v>1030</v>
      </c>
      <c r="G84" s="373"/>
      <c r="H84" s="390"/>
      <c r="I84" s="409"/>
      <c r="J84" s="404">
        <v>12</v>
      </c>
      <c r="K84" s="399"/>
      <c r="L84" s="406" t="s">
        <v>1224</v>
      </c>
      <c r="M84" s="405"/>
      <c r="N84" s="405"/>
      <c r="O84" s="436" t="s">
        <v>1030</v>
      </c>
      <c r="P84" s="373"/>
      <c r="Q84" s="388">
        <v>21</v>
      </c>
      <c r="R84" s="380" t="str">
        <f t="shared" si="9"/>
        <v>II-0005.0021</v>
      </c>
      <c r="S84" s="373" t="str">
        <f t="shared" si="10"/>
        <v>RECTANGULAR - TIPO 0-52241</v>
      </c>
    </row>
    <row r="85" spans="1:19" x14ac:dyDescent="0.2">
      <c r="A85" s="379">
        <v>30</v>
      </c>
      <c r="B85" s="372" t="s">
        <v>1225</v>
      </c>
      <c r="C85" s="381" t="s">
        <v>1167</v>
      </c>
      <c r="D85" s="396" t="s">
        <v>1030</v>
      </c>
      <c r="G85" s="373"/>
      <c r="H85" s="390"/>
      <c r="I85" s="391" t="s">
        <v>1097</v>
      </c>
      <c r="J85" s="409"/>
      <c r="K85" s="459" t="s">
        <v>1167</v>
      </c>
      <c r="L85" s="406"/>
      <c r="M85" s="405"/>
      <c r="N85" s="405"/>
      <c r="O85" s="436" t="s">
        <v>1030</v>
      </c>
      <c r="P85" s="373"/>
      <c r="Q85" s="388">
        <v>30</v>
      </c>
      <c r="R85" s="380" t="str">
        <f t="shared" si="9"/>
        <v>II-0005.0030</v>
      </c>
      <c r="S85" s="373" t="str">
        <f>CONCATENATE(K85)</f>
        <v>COLOCACION</v>
      </c>
    </row>
    <row r="86" spans="1:19" x14ac:dyDescent="0.2">
      <c r="A86" s="379">
        <v>31</v>
      </c>
      <c r="B86" s="402" t="s">
        <v>1226</v>
      </c>
      <c r="C86" s="403" t="s">
        <v>1164</v>
      </c>
      <c r="D86" s="396" t="s">
        <v>1030</v>
      </c>
      <c r="G86" s="373"/>
      <c r="H86" s="390"/>
      <c r="I86" s="404" t="s">
        <v>1123</v>
      </c>
      <c r="J86" s="409"/>
      <c r="K86" s="400" t="s">
        <v>1164</v>
      </c>
      <c r="L86" s="406"/>
      <c r="M86" s="405"/>
      <c r="N86" s="405"/>
      <c r="O86" s="436" t="s">
        <v>1030</v>
      </c>
      <c r="P86" s="373"/>
      <c r="Q86" s="388">
        <v>31</v>
      </c>
      <c r="R86" s="380" t="str">
        <f t="shared" si="9"/>
        <v>II-0005.0031</v>
      </c>
      <c r="S86" s="373" t="str">
        <f t="shared" ref="S86:S89" si="11">CONCATENATE(K86)</f>
        <v>PINTURA</v>
      </c>
    </row>
    <row r="87" spans="1:19" x14ac:dyDescent="0.2">
      <c r="A87" s="379">
        <v>32</v>
      </c>
      <c r="B87" s="380" t="s">
        <v>1227</v>
      </c>
      <c r="C87" s="381" t="s">
        <v>1228</v>
      </c>
      <c r="D87" s="465" t="s">
        <v>1171</v>
      </c>
      <c r="G87" s="373"/>
      <c r="H87" s="390"/>
      <c r="I87" s="404" t="s">
        <v>1165</v>
      </c>
      <c r="J87" s="409"/>
      <c r="K87" s="459" t="s">
        <v>1228</v>
      </c>
      <c r="L87" s="406"/>
      <c r="M87" s="405"/>
      <c r="N87" s="405"/>
      <c r="O87" s="466" t="s">
        <v>1171</v>
      </c>
      <c r="P87" s="373"/>
      <c r="Q87" s="388">
        <v>32</v>
      </c>
      <c r="R87" s="380" t="str">
        <f t="shared" si="9"/>
        <v>II-0005.0032</v>
      </c>
      <c r="S87" s="373" t="str">
        <f t="shared" si="11"/>
        <v>RELLENO SOCAVACION</v>
      </c>
    </row>
    <row r="88" spans="1:19" x14ac:dyDescent="0.2">
      <c r="A88" s="379">
        <v>33</v>
      </c>
      <c r="B88" s="380" t="s">
        <v>1229</v>
      </c>
      <c r="C88" s="381" t="s">
        <v>1174</v>
      </c>
      <c r="D88" s="396" t="s">
        <v>1030</v>
      </c>
      <c r="G88" s="373"/>
      <c r="H88" s="390"/>
      <c r="I88" s="391" t="s">
        <v>1168</v>
      </c>
      <c r="J88" s="438"/>
      <c r="K88" s="459" t="s">
        <v>1174</v>
      </c>
      <c r="L88" s="438"/>
      <c r="M88" s="438"/>
      <c r="N88" s="438"/>
      <c r="O88" s="439" t="s">
        <v>1030</v>
      </c>
      <c r="P88" s="373"/>
      <c r="Q88" s="388">
        <v>33</v>
      </c>
      <c r="R88" s="380" t="str">
        <f t="shared" si="9"/>
        <v>II-0005.0033</v>
      </c>
      <c r="S88" s="373" t="str">
        <f t="shared" si="11"/>
        <v>REPARACION</v>
      </c>
    </row>
    <row r="89" spans="1:19" ht="15.75" thickBot="1" x14ac:dyDescent="0.25">
      <c r="A89" s="379">
        <v>34</v>
      </c>
      <c r="B89" s="380" t="s">
        <v>1230</v>
      </c>
      <c r="C89" s="381" t="s">
        <v>1179</v>
      </c>
      <c r="D89" s="396" t="s">
        <v>1030</v>
      </c>
      <c r="G89" s="373"/>
      <c r="H89" s="410"/>
      <c r="I89" s="422" t="s">
        <v>1172</v>
      </c>
      <c r="J89" s="413"/>
      <c r="K89" s="414" t="s">
        <v>1179</v>
      </c>
      <c r="L89" s="413"/>
      <c r="M89" s="413"/>
      <c r="N89" s="413"/>
      <c r="O89" s="467" t="s">
        <v>1030</v>
      </c>
      <c r="P89" s="373"/>
      <c r="Q89" s="388">
        <v>34</v>
      </c>
      <c r="R89" s="380" t="str">
        <f t="shared" si="9"/>
        <v>II-0005.0034</v>
      </c>
      <c r="S89" s="373" t="str">
        <f t="shared" si="11"/>
        <v xml:space="preserve">RETIRO </v>
      </c>
    </row>
    <row r="90" spans="1:19" ht="16.5" thickTop="1" thickBot="1" x14ac:dyDescent="0.25">
      <c r="A90" s="379"/>
      <c r="B90" s="380"/>
      <c r="C90" s="381"/>
      <c r="D90" s="396"/>
      <c r="G90" s="373"/>
      <c r="H90" s="390"/>
      <c r="I90" s="397"/>
      <c r="J90" s="399"/>
      <c r="K90" s="400"/>
      <c r="L90" s="399"/>
      <c r="M90" s="399"/>
      <c r="N90" s="399"/>
      <c r="O90" s="416"/>
      <c r="P90" s="373"/>
      <c r="Q90" s="388"/>
      <c r="R90" s="380"/>
      <c r="S90" s="373"/>
    </row>
    <row r="91" spans="1:19" ht="15.75" thickTop="1" x14ac:dyDescent="0.2">
      <c r="A91" s="379">
        <v>6</v>
      </c>
      <c r="B91" s="380" t="s">
        <v>1231</v>
      </c>
      <c r="C91" s="381" t="s">
        <v>1232</v>
      </c>
      <c r="D91" s="396"/>
      <c r="G91" s="373"/>
      <c r="H91" s="468">
        <v>6</v>
      </c>
      <c r="I91" s="469"/>
      <c r="J91" s="470"/>
      <c r="K91" s="471" t="s">
        <v>1232</v>
      </c>
      <c r="L91" s="470"/>
      <c r="M91" s="470"/>
      <c r="N91" s="470"/>
      <c r="O91" s="472"/>
      <c r="P91" s="373"/>
      <c r="Q91" s="388">
        <f>H91</f>
        <v>6</v>
      </c>
      <c r="R91" s="378" t="str">
        <f>CONCATENATE("II-",TEXT(Q91,"0000"))</f>
        <v>II-0006</v>
      </c>
      <c r="S91" s="389" t="str">
        <f>K91</f>
        <v>APERTURA DE CAJA P/ ENSANCHE</v>
      </c>
    </row>
    <row r="92" spans="1:19" x14ac:dyDescent="0.2">
      <c r="A92" s="379">
        <v>1</v>
      </c>
      <c r="B92" s="380" t="s">
        <v>1233</v>
      </c>
      <c r="C92" s="381" t="s">
        <v>1129</v>
      </c>
      <c r="D92" s="396" t="s">
        <v>1171</v>
      </c>
      <c r="G92" s="452"/>
      <c r="H92" s="390"/>
      <c r="I92" s="391" t="s">
        <v>1060</v>
      </c>
      <c r="J92" s="438"/>
      <c r="K92" s="459" t="s">
        <v>1129</v>
      </c>
      <c r="L92" s="438"/>
      <c r="M92" s="438"/>
      <c r="N92" s="438"/>
      <c r="O92" s="473" t="s">
        <v>1171</v>
      </c>
      <c r="P92" s="452"/>
      <c r="Q92" s="388">
        <v>1</v>
      </c>
      <c r="R92" s="380" t="str">
        <f>CONCATENATE($R$91,".",TEXT(Q92,"0000"))</f>
        <v>II-0006.0001</v>
      </c>
      <c r="S92" s="373" t="str">
        <f>CONCATENATE(K92)</f>
        <v>RETIRO</v>
      </c>
    </row>
    <row r="93" spans="1:19" ht="15.75" thickBot="1" x14ac:dyDescent="0.25">
      <c r="A93" s="379">
        <v>2</v>
      </c>
      <c r="B93" s="380" t="s">
        <v>1234</v>
      </c>
      <c r="C93" s="381" t="s">
        <v>1235</v>
      </c>
      <c r="D93" s="396" t="s">
        <v>1171</v>
      </c>
      <c r="G93" s="452"/>
      <c r="H93" s="474"/>
      <c r="I93" s="475" t="s">
        <v>1087</v>
      </c>
      <c r="J93" s="476"/>
      <c r="K93" s="477" t="s">
        <v>1235</v>
      </c>
      <c r="L93" s="476"/>
      <c r="M93" s="476"/>
      <c r="N93" s="476"/>
      <c r="O93" s="463" t="s">
        <v>1171</v>
      </c>
      <c r="P93" s="452"/>
      <c r="Q93" s="388">
        <v>2</v>
      </c>
      <c r="R93" s="380" t="str">
        <f>CONCATENATE($R$91,".",TEXT(Q93,"0000"))</f>
        <v>II-0006.0002</v>
      </c>
      <c r="S93" s="373" t="str">
        <f>CONCATENATE(K93)</f>
        <v>RETIRO Y COLOCACION</v>
      </c>
    </row>
    <row r="94" spans="1:19" ht="16.5" thickTop="1" thickBot="1" x14ac:dyDescent="0.25">
      <c r="A94" s="379"/>
      <c r="B94" s="372"/>
      <c r="C94" s="381"/>
      <c r="D94" s="396"/>
      <c r="G94" s="452"/>
      <c r="H94" s="474"/>
      <c r="I94" s="396"/>
      <c r="J94" s="476"/>
      <c r="K94" s="477"/>
      <c r="L94" s="476"/>
      <c r="M94" s="476"/>
      <c r="N94" s="476"/>
      <c r="O94" s="463"/>
      <c r="P94" s="452"/>
      <c r="Q94" s="388"/>
      <c r="R94" s="380"/>
      <c r="S94" s="373"/>
    </row>
    <row r="95" spans="1:19" ht="15.75" thickTop="1" x14ac:dyDescent="0.2">
      <c r="A95" s="379">
        <v>7</v>
      </c>
      <c r="B95" s="372" t="s">
        <v>1236</v>
      </c>
      <c r="C95" s="381" t="s">
        <v>1237</v>
      </c>
      <c r="D95" s="396"/>
      <c r="G95" s="373"/>
      <c r="H95" s="468">
        <v>7</v>
      </c>
      <c r="I95" s="418"/>
      <c r="J95" s="478"/>
      <c r="K95" s="479" t="s">
        <v>1237</v>
      </c>
      <c r="L95" s="478"/>
      <c r="M95" s="478"/>
      <c r="N95" s="478"/>
      <c r="O95" s="420"/>
      <c r="P95" s="373"/>
      <c r="Q95" s="388">
        <f>H95</f>
        <v>7</v>
      </c>
      <c r="R95" s="378" t="str">
        <f>CONCATENATE("II-",TEXT(Q95,"0000"))</f>
        <v>II-0007</v>
      </c>
      <c r="S95" s="389" t="str">
        <f>K95</f>
        <v>APOYO DE POLICLOROPENO SHARE 60</v>
      </c>
    </row>
    <row r="96" spans="1:19" x14ac:dyDescent="0.2">
      <c r="A96" s="379">
        <v>1</v>
      </c>
      <c r="B96" s="402" t="s">
        <v>1238</v>
      </c>
      <c r="C96" s="403" t="s">
        <v>1177</v>
      </c>
      <c r="D96" s="396" t="s">
        <v>1239</v>
      </c>
      <c r="G96" s="373"/>
      <c r="H96" s="390"/>
      <c r="I96" s="391" t="s">
        <v>1060</v>
      </c>
      <c r="J96" s="438"/>
      <c r="K96" s="459" t="s">
        <v>1177</v>
      </c>
      <c r="L96" s="438"/>
      <c r="M96" s="438"/>
      <c r="N96" s="438"/>
      <c r="O96" s="439" t="s">
        <v>1239</v>
      </c>
      <c r="P96" s="373"/>
      <c r="Q96" s="388">
        <v>1</v>
      </c>
      <c r="R96" s="380" t="str">
        <f>CONCATENATE($R$95,".",TEXT(Q96,"0000"))</f>
        <v>II-0007.0001</v>
      </c>
      <c r="S96" s="373" t="str">
        <f>CONCATENATE(K96)</f>
        <v>RETIRO Y RECOLOCACION</v>
      </c>
    </row>
    <row r="97" spans="1:19" ht="15.75" thickBot="1" x14ac:dyDescent="0.25">
      <c r="A97" s="379">
        <v>2</v>
      </c>
      <c r="B97" s="380" t="s">
        <v>1240</v>
      </c>
      <c r="C97" s="381" t="s">
        <v>1174</v>
      </c>
      <c r="D97" s="396" t="s">
        <v>1239</v>
      </c>
      <c r="G97" s="373"/>
      <c r="H97" s="390"/>
      <c r="I97" s="412" t="s">
        <v>1087</v>
      </c>
      <c r="J97" s="399"/>
      <c r="K97" s="400" t="s">
        <v>1174</v>
      </c>
      <c r="L97" s="399"/>
      <c r="M97" s="399"/>
      <c r="N97" s="399"/>
      <c r="O97" s="467" t="s">
        <v>1239</v>
      </c>
      <c r="P97" s="373"/>
      <c r="Q97" s="388">
        <v>2</v>
      </c>
      <c r="R97" s="380" t="str">
        <f>CONCATENATE($R$95,".",TEXT(Q97,"0000"))</f>
        <v>II-0007.0002</v>
      </c>
      <c r="S97" s="373" t="str">
        <f>CONCATENATE(K97)</f>
        <v>REPARACION</v>
      </c>
    </row>
    <row r="98" spans="1:19" ht="16.5" thickTop="1" thickBot="1" x14ac:dyDescent="0.25">
      <c r="A98" s="379"/>
      <c r="B98" s="380"/>
      <c r="C98" s="381"/>
      <c r="D98" s="396"/>
      <c r="G98" s="373"/>
      <c r="H98" s="390"/>
      <c r="I98" s="397"/>
      <c r="J98" s="399"/>
      <c r="K98" s="400"/>
      <c r="L98" s="399"/>
      <c r="M98" s="399"/>
      <c r="N98" s="399"/>
      <c r="O98" s="416"/>
      <c r="P98" s="373"/>
      <c r="Q98" s="388"/>
      <c r="R98" s="380"/>
      <c r="S98" s="373"/>
    </row>
    <row r="99" spans="1:19" ht="16.5" thickTop="1" thickBot="1" x14ac:dyDescent="0.25">
      <c r="A99" s="379">
        <v>8</v>
      </c>
      <c r="B99" s="380" t="s">
        <v>1241</v>
      </c>
      <c r="C99" s="381" t="s">
        <v>1242</v>
      </c>
      <c r="D99" s="396" t="s">
        <v>1171</v>
      </c>
      <c r="G99" s="373"/>
      <c r="H99" s="480">
        <v>8</v>
      </c>
      <c r="I99" s="481"/>
      <c r="J99" s="482"/>
      <c r="K99" s="483" t="s">
        <v>1242</v>
      </c>
      <c r="L99" s="482"/>
      <c r="M99" s="482"/>
      <c r="N99" s="482"/>
      <c r="O99" s="484" t="s">
        <v>1171</v>
      </c>
      <c r="P99" s="373"/>
      <c r="Q99" s="388">
        <f>H99</f>
        <v>8</v>
      </c>
      <c r="R99" s="378" t="str">
        <f>CONCATENATE("II-",TEXT(Q99,"0000"))</f>
        <v>II-0008</v>
      </c>
      <c r="S99" s="389" t="str">
        <f>K99</f>
        <v>ARIDOS</v>
      </c>
    </row>
    <row r="100" spans="1:19" x14ac:dyDescent="0.2">
      <c r="A100" s="379"/>
      <c r="B100" s="380"/>
      <c r="C100" s="381"/>
      <c r="D100" s="396"/>
      <c r="G100" s="476"/>
      <c r="H100" s="485"/>
      <c r="I100" s="396"/>
      <c r="J100" s="476"/>
      <c r="K100" s="477"/>
      <c r="L100" s="476"/>
      <c r="M100" s="476"/>
      <c r="N100" s="476"/>
      <c r="O100" s="486"/>
      <c r="P100" s="476"/>
      <c r="Q100" s="476"/>
      <c r="R100" s="476"/>
      <c r="S100" s="476"/>
    </row>
    <row r="101" spans="1:19" x14ac:dyDescent="0.2">
      <c r="A101" s="379"/>
      <c r="B101" s="380"/>
      <c r="C101" s="381"/>
      <c r="D101" s="396"/>
      <c r="G101" s="476"/>
      <c r="H101" s="485"/>
      <c r="I101" s="396"/>
      <c r="J101" s="476"/>
      <c r="K101" s="477"/>
      <c r="L101" s="476"/>
      <c r="M101" s="476"/>
      <c r="N101" s="476"/>
      <c r="O101" s="486"/>
      <c r="P101" s="476"/>
      <c r="Q101" s="476"/>
      <c r="R101" s="476"/>
      <c r="S101" s="476"/>
    </row>
    <row r="102" spans="1:19" x14ac:dyDescent="0.2">
      <c r="A102" s="379"/>
      <c r="B102" s="372"/>
      <c r="C102" s="381"/>
      <c r="D102" s="396"/>
      <c r="G102" s="476"/>
      <c r="H102" s="485"/>
      <c r="I102" s="396"/>
      <c r="J102" s="476"/>
      <c r="K102" s="477"/>
      <c r="L102" s="476"/>
      <c r="M102" s="476"/>
      <c r="N102" s="476"/>
      <c r="O102" s="486"/>
      <c r="P102" s="476"/>
      <c r="Q102" s="476"/>
      <c r="R102" s="476"/>
      <c r="S102" s="476"/>
    </row>
    <row r="103" spans="1:19" x14ac:dyDescent="0.2">
      <c r="A103" s="379">
        <v>9</v>
      </c>
      <c r="B103" s="372" t="s">
        <v>1243</v>
      </c>
      <c r="C103" s="381" t="s">
        <v>1244</v>
      </c>
      <c r="D103" s="396"/>
      <c r="G103" s="373"/>
      <c r="H103" s="417">
        <v>9</v>
      </c>
      <c r="I103" s="419"/>
      <c r="J103" s="430"/>
      <c r="K103" s="487" t="s">
        <v>1244</v>
      </c>
      <c r="L103" s="430"/>
      <c r="M103" s="430"/>
      <c r="N103" s="430"/>
      <c r="O103" s="441"/>
      <c r="P103" s="373"/>
      <c r="Q103" s="388">
        <f>H103</f>
        <v>9</v>
      </c>
      <c r="R103" s="378" t="str">
        <f>CONCATENATE("II-",TEXT(Q103,"0000"))</f>
        <v>II-0009</v>
      </c>
      <c r="S103" s="389" t="str">
        <f>K103</f>
        <v>BACHEO DE PAVIMENTO ASFALTICO</v>
      </c>
    </row>
    <row r="104" spans="1:19" x14ac:dyDescent="0.2">
      <c r="A104" s="379"/>
      <c r="B104" s="402"/>
      <c r="C104" s="403"/>
      <c r="D104" s="396"/>
      <c r="G104" s="452"/>
      <c r="H104" s="474"/>
      <c r="I104" s="391" t="s">
        <v>1060</v>
      </c>
      <c r="J104" s="399"/>
      <c r="K104" s="477" t="s">
        <v>1245</v>
      </c>
      <c r="L104" s="399"/>
      <c r="M104" s="399"/>
      <c r="N104" s="399"/>
      <c r="O104" s="432"/>
      <c r="P104" s="452"/>
      <c r="Q104" s="452"/>
      <c r="R104" s="452"/>
      <c r="S104" s="452"/>
    </row>
    <row r="105" spans="1:19" x14ac:dyDescent="0.2">
      <c r="A105" s="379">
        <v>1</v>
      </c>
      <c r="B105" s="380" t="s">
        <v>1246</v>
      </c>
      <c r="C105" s="381" t="s">
        <v>1247</v>
      </c>
      <c r="D105" s="396" t="s">
        <v>1171</v>
      </c>
      <c r="G105" s="452"/>
      <c r="H105" s="474"/>
      <c r="I105" s="396"/>
      <c r="J105" s="488">
        <v>1</v>
      </c>
      <c r="K105" s="477"/>
      <c r="L105" s="477" t="s">
        <v>1248</v>
      </c>
      <c r="M105" s="476"/>
      <c r="N105" s="476"/>
      <c r="O105" s="432" t="s">
        <v>1171</v>
      </c>
      <c r="P105" s="452"/>
      <c r="Q105" s="388">
        <v>1</v>
      </c>
      <c r="R105" s="380" t="str">
        <f>CONCATENATE($R$103,".",TEXT(Q105,"0000"))</f>
        <v>II-0009.0001</v>
      </c>
      <c r="S105" s="373" t="str">
        <f>CONCATENATE($K$104," CON ",L105)</f>
        <v>PROFUNDO CON MATERIAL PETREO Y SUELO</v>
      </c>
    </row>
    <row r="106" spans="1:19" x14ac:dyDescent="0.2">
      <c r="A106" s="379">
        <v>2</v>
      </c>
      <c r="B106" s="380" t="s">
        <v>1249</v>
      </c>
      <c r="C106" s="381" t="s">
        <v>1250</v>
      </c>
      <c r="D106" s="396" t="s">
        <v>1171</v>
      </c>
      <c r="G106" s="452"/>
      <c r="H106" s="474"/>
      <c r="I106" s="396"/>
      <c r="J106" s="488">
        <v>2</v>
      </c>
      <c r="K106" s="477"/>
      <c r="L106" s="477" t="s">
        <v>1251</v>
      </c>
      <c r="M106" s="476"/>
      <c r="N106" s="476"/>
      <c r="O106" s="432" t="s">
        <v>1171</v>
      </c>
      <c r="P106" s="452"/>
      <c r="Q106" s="388">
        <v>2</v>
      </c>
      <c r="R106" s="380" t="str">
        <f t="shared" ref="R106:R110" si="12">CONCATENATE($R$103,".",TEXT(Q106,"0000"))</f>
        <v>II-0009.0002</v>
      </c>
      <c r="S106" s="373" t="str">
        <f t="shared" ref="S106:S110" si="13">CONCATENATE($K$104," CON ",L106)</f>
        <v>PROFUNDO CON MEZCLA ASFALTICA</v>
      </c>
    </row>
    <row r="107" spans="1:19" x14ac:dyDescent="0.2">
      <c r="A107" s="379">
        <v>3</v>
      </c>
      <c r="B107" s="380" t="s">
        <v>1252</v>
      </c>
      <c r="C107" s="381" t="s">
        <v>1253</v>
      </c>
      <c r="D107" s="396" t="s">
        <v>1254</v>
      </c>
      <c r="G107" s="452"/>
      <c r="H107" s="474"/>
      <c r="I107" s="396"/>
      <c r="J107" s="488">
        <v>3</v>
      </c>
      <c r="K107" s="477"/>
      <c r="L107" s="477" t="s">
        <v>1255</v>
      </c>
      <c r="M107" s="476"/>
      <c r="N107" s="476"/>
      <c r="O107" s="432" t="s">
        <v>1254</v>
      </c>
      <c r="P107" s="452"/>
      <c r="Q107" s="388">
        <v>3</v>
      </c>
      <c r="R107" s="380" t="str">
        <f t="shared" si="12"/>
        <v>II-0009.0003</v>
      </c>
      <c r="S107" s="373" t="str">
        <f t="shared" si="13"/>
        <v>PROFUNDO CON SUELO CAL</v>
      </c>
    </row>
    <row r="108" spans="1:19" x14ac:dyDescent="0.2">
      <c r="A108" s="379">
        <v>4</v>
      </c>
      <c r="B108" s="380" t="s">
        <v>1256</v>
      </c>
      <c r="C108" s="381" t="s">
        <v>1257</v>
      </c>
      <c r="D108" s="396" t="s">
        <v>1254</v>
      </c>
      <c r="G108" s="452"/>
      <c r="H108" s="474"/>
      <c r="I108" s="396"/>
      <c r="J108" s="488">
        <v>4</v>
      </c>
      <c r="K108" s="477"/>
      <c r="L108" s="477" t="s">
        <v>1258</v>
      </c>
      <c r="M108" s="476"/>
      <c r="N108" s="476"/>
      <c r="O108" s="432" t="s">
        <v>1254</v>
      </c>
      <c r="P108" s="452"/>
      <c r="Q108" s="388">
        <v>4</v>
      </c>
      <c r="R108" s="380" t="str">
        <f t="shared" si="12"/>
        <v>II-0009.0004</v>
      </c>
      <c r="S108" s="373" t="str">
        <f t="shared" si="13"/>
        <v>PROFUNDO CON SUELO CEMENTO</v>
      </c>
    </row>
    <row r="109" spans="1:19" x14ac:dyDescent="0.2">
      <c r="A109" s="379">
        <v>5</v>
      </c>
      <c r="B109" s="380" t="s">
        <v>1259</v>
      </c>
      <c r="C109" s="381" t="s">
        <v>1260</v>
      </c>
      <c r="D109" s="396" t="s">
        <v>1254</v>
      </c>
      <c r="G109" s="452"/>
      <c r="H109" s="474"/>
      <c r="I109" s="396"/>
      <c r="J109" s="488">
        <v>5</v>
      </c>
      <c r="K109" s="477"/>
      <c r="L109" s="477" t="s">
        <v>1261</v>
      </c>
      <c r="M109" s="476"/>
      <c r="N109" s="476"/>
      <c r="O109" s="432" t="s">
        <v>1254</v>
      </c>
      <c r="P109" s="452"/>
      <c r="Q109" s="388">
        <v>5</v>
      </c>
      <c r="R109" s="380" t="str">
        <f t="shared" si="12"/>
        <v>II-0009.0005</v>
      </c>
      <c r="S109" s="373" t="str">
        <f t="shared" si="13"/>
        <v>PROFUNDO CON SUELO SELECCIONADO</v>
      </c>
    </row>
    <row r="110" spans="1:19" x14ac:dyDescent="0.2">
      <c r="A110" s="379">
        <v>6</v>
      </c>
      <c r="B110" s="380" t="s">
        <v>1262</v>
      </c>
      <c r="C110" s="381" t="s">
        <v>1263</v>
      </c>
      <c r="D110" s="396" t="s">
        <v>1254</v>
      </c>
      <c r="G110" s="452"/>
      <c r="H110" s="474"/>
      <c r="I110" s="454"/>
      <c r="J110" s="489">
        <v>6</v>
      </c>
      <c r="K110" s="490"/>
      <c r="L110" s="490" t="s">
        <v>1264</v>
      </c>
      <c r="M110" s="491"/>
      <c r="N110" s="491"/>
      <c r="O110" s="451" t="s">
        <v>1254</v>
      </c>
      <c r="P110" s="452"/>
      <c r="Q110" s="388">
        <v>6</v>
      </c>
      <c r="R110" s="380" t="str">
        <f t="shared" si="12"/>
        <v>II-0009.0006</v>
      </c>
      <c r="S110" s="373" t="str">
        <f t="shared" si="13"/>
        <v>PROFUNDO CON SUELO TRATADO C / CAL</v>
      </c>
    </row>
    <row r="111" spans="1:19" x14ac:dyDescent="0.2">
      <c r="A111" s="379"/>
      <c r="B111" s="381"/>
      <c r="C111" s="381"/>
      <c r="D111" s="396"/>
      <c r="G111" s="452"/>
      <c r="H111" s="474"/>
      <c r="I111" s="492" t="s">
        <v>1087</v>
      </c>
      <c r="J111" s="476"/>
      <c r="K111" s="477" t="s">
        <v>1265</v>
      </c>
      <c r="L111" s="476"/>
      <c r="M111" s="476"/>
      <c r="N111" s="476"/>
      <c r="O111" s="463"/>
      <c r="P111" s="452"/>
      <c r="Q111" s="452"/>
      <c r="R111" s="452"/>
      <c r="S111" s="452"/>
    </row>
    <row r="112" spans="1:19" ht="15.75" thickBot="1" x14ac:dyDescent="0.25">
      <c r="A112" s="379">
        <v>10</v>
      </c>
      <c r="B112" s="372" t="s">
        <v>1266</v>
      </c>
      <c r="C112" s="381" t="s">
        <v>1267</v>
      </c>
      <c r="D112" s="396" t="s">
        <v>1171</v>
      </c>
      <c r="G112" s="452"/>
      <c r="H112" s="493"/>
      <c r="I112" s="494"/>
      <c r="J112" s="495">
        <v>2</v>
      </c>
      <c r="K112" s="496"/>
      <c r="L112" s="496" t="s">
        <v>1251</v>
      </c>
      <c r="M112" s="497"/>
      <c r="N112" s="497"/>
      <c r="O112" s="498" t="s">
        <v>1171</v>
      </c>
      <c r="P112" s="452"/>
      <c r="Q112" s="388">
        <v>10</v>
      </c>
      <c r="R112" s="380" t="str">
        <f>CONCATENATE($R$103,".",TEXT(Q112,"0000"))</f>
        <v>II-0009.0010</v>
      </c>
      <c r="S112" s="373" t="str">
        <f>CONCATENATE($K$111," CON ",L112)</f>
        <v>SUPERFICIAL CON MEZCLA ASFALTICA</v>
      </c>
    </row>
    <row r="113" spans="1:19" ht="15.75" thickTop="1" x14ac:dyDescent="0.2">
      <c r="A113" s="379"/>
      <c r="B113" s="402"/>
      <c r="C113" s="403"/>
      <c r="D113" s="396"/>
      <c r="G113" s="452"/>
      <c r="H113" s="474"/>
      <c r="I113" s="396"/>
      <c r="J113" s="396"/>
      <c r="K113" s="477"/>
      <c r="L113" s="477"/>
      <c r="M113" s="476"/>
      <c r="N113" s="476"/>
      <c r="O113" s="432"/>
      <c r="P113" s="452"/>
      <c r="Q113" s="388"/>
      <c r="R113" s="380"/>
      <c r="S113" s="373"/>
    </row>
    <row r="114" spans="1:19" x14ac:dyDescent="0.2">
      <c r="A114" s="379">
        <v>10</v>
      </c>
      <c r="B114" s="380" t="s">
        <v>1268</v>
      </c>
      <c r="C114" s="381" t="s">
        <v>1269</v>
      </c>
      <c r="D114" s="396"/>
      <c r="G114" s="373"/>
      <c r="H114" s="417">
        <v>10</v>
      </c>
      <c r="I114" s="419"/>
      <c r="J114" s="430"/>
      <c r="K114" s="487" t="s">
        <v>1269</v>
      </c>
      <c r="L114" s="430"/>
      <c r="M114" s="430"/>
      <c r="N114" s="430"/>
      <c r="O114" s="441"/>
      <c r="P114" s="373"/>
      <c r="Q114" s="388">
        <f>H114</f>
        <v>10</v>
      </c>
      <c r="R114" s="378" t="str">
        <f>CONCATENATE("II-",TEXT(Q114,"0000"))</f>
        <v>II-0010</v>
      </c>
      <c r="S114" s="389" t="str">
        <f>K114</f>
        <v>BADEN</v>
      </c>
    </row>
    <row r="115" spans="1:19" x14ac:dyDescent="0.2">
      <c r="A115" s="379"/>
      <c r="B115" s="380"/>
      <c r="C115" s="381"/>
      <c r="D115" s="396"/>
      <c r="G115" s="373"/>
      <c r="H115" s="390"/>
      <c r="I115" s="391" t="s">
        <v>1060</v>
      </c>
      <c r="J115" s="399"/>
      <c r="K115" s="400" t="s">
        <v>1270</v>
      </c>
      <c r="L115" s="399"/>
      <c r="M115" s="399"/>
      <c r="N115" s="399"/>
      <c r="O115" s="432"/>
      <c r="P115" s="373"/>
      <c r="Q115" s="373"/>
      <c r="R115" s="373"/>
      <c r="S115" s="373"/>
    </row>
    <row r="116" spans="1:19" x14ac:dyDescent="0.2">
      <c r="A116" s="379">
        <v>1</v>
      </c>
      <c r="B116" s="380" t="s">
        <v>1271</v>
      </c>
      <c r="C116" s="381" t="s">
        <v>1272</v>
      </c>
      <c r="D116" s="396" t="s">
        <v>1171</v>
      </c>
      <c r="G116" s="373"/>
      <c r="H116" s="390"/>
      <c r="I116" s="397"/>
      <c r="J116" s="398">
        <v>1</v>
      </c>
      <c r="K116" s="399"/>
      <c r="L116" s="400" t="s">
        <v>1273</v>
      </c>
      <c r="M116" s="399"/>
      <c r="N116" s="399"/>
      <c r="O116" s="432" t="s">
        <v>1171</v>
      </c>
      <c r="P116" s="373"/>
      <c r="Q116" s="388">
        <v>1</v>
      </c>
      <c r="R116" s="380" t="str">
        <f>CONCATENATE($R$114,".",TEXT(Q116,"0000"))</f>
        <v>II-0010.0001</v>
      </c>
      <c r="S116" s="373" t="str">
        <f>CONCATENATE($K$115," - TIPO ",L116)</f>
        <v>Hº  SIMPLE - TIPO A-2862</v>
      </c>
    </row>
    <row r="117" spans="1:19" x14ac:dyDescent="0.2">
      <c r="A117" s="379">
        <v>2</v>
      </c>
      <c r="B117" s="380" t="s">
        <v>1274</v>
      </c>
      <c r="C117" s="381" t="s">
        <v>1275</v>
      </c>
      <c r="D117" s="396" t="s">
        <v>1171</v>
      </c>
      <c r="G117" s="373"/>
      <c r="H117" s="390"/>
      <c r="I117" s="397"/>
      <c r="J117" s="404">
        <v>2</v>
      </c>
      <c r="K117" s="405"/>
      <c r="L117" s="406" t="s">
        <v>1276</v>
      </c>
      <c r="M117" s="405"/>
      <c r="N117" s="405"/>
      <c r="O117" s="451" t="s">
        <v>1171</v>
      </c>
      <c r="P117" s="373"/>
      <c r="Q117" s="388">
        <v>2</v>
      </c>
      <c r="R117" s="380" t="str">
        <f>CONCATENATE($R$114,".",TEXT(Q117,"0000"))</f>
        <v>II-0010.0002</v>
      </c>
      <c r="S117" s="373" t="str">
        <f>CONCATENATE($K$115," - TIPO ",L117)</f>
        <v>Hº  SIMPLE - TIPO H-8621</v>
      </c>
    </row>
    <row r="118" spans="1:19" x14ac:dyDescent="0.2">
      <c r="A118" s="379"/>
      <c r="B118" s="380"/>
      <c r="C118" s="381"/>
      <c r="D118" s="396"/>
      <c r="G118" s="373"/>
      <c r="H118" s="390"/>
      <c r="I118" s="391" t="s">
        <v>1087</v>
      </c>
      <c r="J118" s="399"/>
      <c r="K118" s="400" t="s">
        <v>1277</v>
      </c>
      <c r="L118" s="399"/>
      <c r="M118" s="399"/>
      <c r="N118" s="399"/>
      <c r="O118" s="432"/>
      <c r="P118" s="373"/>
      <c r="Q118" s="373"/>
      <c r="R118" s="373"/>
      <c r="S118" s="373"/>
    </row>
    <row r="119" spans="1:19" x14ac:dyDescent="0.2">
      <c r="A119" s="379">
        <v>10</v>
      </c>
      <c r="B119" s="380" t="s">
        <v>1278</v>
      </c>
      <c r="C119" s="381" t="s">
        <v>1279</v>
      </c>
      <c r="D119" s="396" t="s">
        <v>1171</v>
      </c>
      <c r="G119" s="373"/>
      <c r="H119" s="390"/>
      <c r="I119" s="409"/>
      <c r="J119" s="404">
        <v>1</v>
      </c>
      <c r="K119" s="405"/>
      <c r="L119" s="406" t="s">
        <v>1280</v>
      </c>
      <c r="M119" s="405"/>
      <c r="N119" s="405"/>
      <c r="O119" s="451" t="s">
        <v>1171</v>
      </c>
      <c r="P119" s="373"/>
      <c r="Q119" s="388">
        <v>10</v>
      </c>
      <c r="R119" s="380" t="str">
        <f>CONCATENATE($R$114,".",TEXT(Q119,"0000"))</f>
        <v>II-0010.0010</v>
      </c>
      <c r="S119" s="373" t="str">
        <f>CONCATENATE($K$118," - TIPO ",L119)</f>
        <v>Hº ARMADO - TIPO V-331</v>
      </c>
    </row>
    <row r="120" spans="1:19" ht="15.75" thickBot="1" x14ac:dyDescent="0.25">
      <c r="A120" s="379"/>
      <c r="B120" s="380"/>
      <c r="C120" s="381"/>
      <c r="D120" s="396" t="s">
        <v>1171</v>
      </c>
      <c r="G120" s="373"/>
      <c r="H120" s="410"/>
      <c r="I120" s="412" t="s">
        <v>1097</v>
      </c>
      <c r="J120" s="413"/>
      <c r="K120" s="414" t="s">
        <v>1088</v>
      </c>
      <c r="L120" s="413"/>
      <c r="M120" s="413"/>
      <c r="N120" s="413"/>
      <c r="O120" s="498" t="s">
        <v>1171</v>
      </c>
      <c r="P120" s="373"/>
      <c r="Q120" s="373"/>
      <c r="R120" s="373"/>
      <c r="S120" s="373"/>
    </row>
    <row r="121" spans="1:19" ht="15.75" thickTop="1" x14ac:dyDescent="0.2">
      <c r="A121" s="379">
        <v>11</v>
      </c>
      <c r="B121" s="380" t="s">
        <v>1281</v>
      </c>
      <c r="C121" s="381" t="s">
        <v>1282</v>
      </c>
      <c r="D121" s="396"/>
      <c r="G121" s="373"/>
      <c r="H121" s="417">
        <v>11</v>
      </c>
      <c r="I121" s="419"/>
      <c r="J121" s="430"/>
      <c r="K121" s="487" t="s">
        <v>1282</v>
      </c>
      <c r="L121" s="430"/>
      <c r="M121" s="430"/>
      <c r="N121" s="430"/>
      <c r="O121" s="441"/>
      <c r="P121" s="373"/>
      <c r="Q121" s="388">
        <f>H121</f>
        <v>11</v>
      </c>
      <c r="R121" s="378" t="str">
        <f>CONCATENATE("II-",TEXT(Q121,"0000"))</f>
        <v>II-0011</v>
      </c>
      <c r="S121" s="389" t="str">
        <f>K121</f>
        <v>BAJADA DE AGUA</v>
      </c>
    </row>
    <row r="122" spans="1:19" x14ac:dyDescent="0.2">
      <c r="A122" s="379">
        <v>1</v>
      </c>
      <c r="B122" s="380" t="s">
        <v>1283</v>
      </c>
      <c r="C122" s="381" t="s">
        <v>1284</v>
      </c>
      <c r="D122" s="396" t="s">
        <v>1030</v>
      </c>
      <c r="G122" s="373"/>
      <c r="H122" s="431"/>
      <c r="I122" s="391" t="s">
        <v>1060</v>
      </c>
      <c r="J122" s="438"/>
      <c r="K122" s="459" t="s">
        <v>1284</v>
      </c>
      <c r="L122" s="438"/>
      <c r="M122" s="438"/>
      <c r="N122" s="438"/>
      <c r="O122" s="473" t="s">
        <v>1030</v>
      </c>
      <c r="P122" s="373"/>
      <c r="Q122" s="388">
        <v>1</v>
      </c>
      <c r="R122" s="380" t="str">
        <f>CONCATENATE($R$121,".",TEXT(Q122,"0000"))</f>
        <v>II-0011.0001</v>
      </c>
      <c r="S122" s="373" t="str">
        <f>CONCATENATE($K$122)</f>
        <v>METALICA</v>
      </c>
    </row>
    <row r="123" spans="1:19" x14ac:dyDescent="0.2">
      <c r="A123" s="379"/>
      <c r="B123" s="380"/>
      <c r="C123" s="381"/>
      <c r="D123" s="396"/>
      <c r="G123" s="373"/>
      <c r="H123" s="390"/>
      <c r="I123" s="391" t="s">
        <v>1087</v>
      </c>
      <c r="J123" s="399"/>
      <c r="K123" s="400" t="s">
        <v>1285</v>
      </c>
      <c r="L123" s="399"/>
      <c r="M123" s="399"/>
      <c r="N123" s="399"/>
      <c r="O123" s="432"/>
      <c r="P123" s="373"/>
      <c r="Q123" s="373"/>
      <c r="R123" s="373"/>
      <c r="S123" s="373"/>
    </row>
    <row r="124" spans="1:19" x14ac:dyDescent="0.2">
      <c r="A124" s="379">
        <v>10</v>
      </c>
      <c r="B124" s="380" t="s">
        <v>1286</v>
      </c>
      <c r="C124" s="381" t="s">
        <v>1287</v>
      </c>
      <c r="D124" s="396" t="s">
        <v>1288</v>
      </c>
      <c r="G124" s="373"/>
      <c r="H124" s="390"/>
      <c r="I124" s="397"/>
      <c r="J124" s="398">
        <v>1</v>
      </c>
      <c r="K124" s="399"/>
      <c r="L124" s="400" t="s">
        <v>1289</v>
      </c>
      <c r="M124" s="399"/>
      <c r="N124" s="399"/>
      <c r="O124" s="432" t="s">
        <v>1288</v>
      </c>
      <c r="P124" s="373"/>
      <c r="Q124" s="388">
        <v>10</v>
      </c>
      <c r="R124" s="380" t="str">
        <f>CONCATENATE($R$121,".",TEXT(Q124,"0000"))</f>
        <v>II-0011.0010</v>
      </c>
      <c r="S124" s="373" t="str">
        <f>CONCATENATE($K$123," - TIPO ",L124)</f>
        <v>HORMIGON - TIPO H-8558</v>
      </c>
    </row>
    <row r="125" spans="1:19" x14ac:dyDescent="0.2">
      <c r="A125" s="379">
        <v>11</v>
      </c>
      <c r="B125" s="380" t="s">
        <v>1290</v>
      </c>
      <c r="C125" s="381" t="s">
        <v>1291</v>
      </c>
      <c r="D125" s="396" t="s">
        <v>1288</v>
      </c>
      <c r="G125" s="373"/>
      <c r="H125" s="390"/>
      <c r="I125" s="397"/>
      <c r="J125" s="398">
        <v>2</v>
      </c>
      <c r="K125" s="399"/>
      <c r="L125" s="400" t="s">
        <v>1292</v>
      </c>
      <c r="M125" s="399"/>
      <c r="N125" s="399"/>
      <c r="O125" s="432" t="s">
        <v>1288</v>
      </c>
      <c r="P125" s="373"/>
      <c r="Q125" s="388">
        <v>11</v>
      </c>
      <c r="R125" s="380" t="str">
        <f>CONCATENATE($R$121,".",TEXT(Q125,"0000"))</f>
        <v>II-0011.0011</v>
      </c>
      <c r="S125" s="373" t="str">
        <f t="shared" ref="S125:S126" si="14">CONCATENATE($K$123," - TIPO ",L125)</f>
        <v>HORMIGON - TIPO H-2350</v>
      </c>
    </row>
    <row r="126" spans="1:19" x14ac:dyDescent="0.2">
      <c r="A126" s="379">
        <v>12</v>
      </c>
      <c r="B126" s="380" t="s">
        <v>1293</v>
      </c>
      <c r="C126" s="381" t="s">
        <v>1294</v>
      </c>
      <c r="D126" s="396" t="s">
        <v>1288</v>
      </c>
      <c r="G126" s="373"/>
      <c r="H126" s="390"/>
      <c r="I126" s="397"/>
      <c r="J126" s="404">
        <v>3</v>
      </c>
      <c r="K126" s="399"/>
      <c r="L126" s="400" t="s">
        <v>1295</v>
      </c>
      <c r="M126" s="399"/>
      <c r="N126" s="399"/>
      <c r="O126" s="432" t="s">
        <v>1288</v>
      </c>
      <c r="P126" s="373"/>
      <c r="Q126" s="388">
        <v>12</v>
      </c>
      <c r="R126" s="380" t="str">
        <f>CONCATENATE($R$121,".",TEXT(Q126,"0000"))</f>
        <v>II-0011.0012</v>
      </c>
      <c r="S126" s="373" t="str">
        <f t="shared" si="14"/>
        <v>HORMIGON - TIPO H-7691</v>
      </c>
    </row>
    <row r="127" spans="1:19" x14ac:dyDescent="0.2">
      <c r="A127" s="379">
        <v>12</v>
      </c>
      <c r="B127" s="372" t="s">
        <v>1293</v>
      </c>
      <c r="C127" s="381" t="s">
        <v>1129</v>
      </c>
      <c r="D127" s="396" t="s">
        <v>1296</v>
      </c>
      <c r="G127" s="373"/>
      <c r="H127" s="390"/>
      <c r="I127" s="391" t="s">
        <v>1097</v>
      </c>
      <c r="J127" s="438"/>
      <c r="K127" s="459" t="s">
        <v>1129</v>
      </c>
      <c r="L127" s="438"/>
      <c r="M127" s="438"/>
      <c r="N127" s="438"/>
      <c r="O127" s="473" t="s">
        <v>1296</v>
      </c>
      <c r="P127" s="373"/>
      <c r="Q127" s="388">
        <v>12</v>
      </c>
      <c r="R127" s="380" t="str">
        <f>CONCATENATE($R$121,".",TEXT(Q127,"0000"))</f>
        <v>II-0011.0012</v>
      </c>
      <c r="S127" s="373" t="str">
        <f>CONCATENATE($K$127)</f>
        <v>RETIRO</v>
      </c>
    </row>
    <row r="128" spans="1:19" ht="15.75" thickBot="1" x14ac:dyDescent="0.25">
      <c r="A128" s="379">
        <v>12</v>
      </c>
      <c r="B128" s="372" t="s">
        <v>1293</v>
      </c>
      <c r="C128" s="381" t="s">
        <v>1297</v>
      </c>
      <c r="D128" s="396" t="s">
        <v>1296</v>
      </c>
      <c r="G128" s="373"/>
      <c r="H128" s="410"/>
      <c r="I128" s="422" t="s">
        <v>1123</v>
      </c>
      <c r="J128" s="425"/>
      <c r="K128" s="461" t="s">
        <v>1297</v>
      </c>
      <c r="L128" s="425"/>
      <c r="M128" s="425"/>
      <c r="N128" s="425"/>
      <c r="O128" s="499" t="s">
        <v>1296</v>
      </c>
      <c r="P128" s="373"/>
      <c r="Q128" s="388">
        <v>12</v>
      </c>
      <c r="R128" s="380" t="str">
        <f>CONCATENATE($R$121,".",TEXT(Q128,"0000"))</f>
        <v>II-0011.0012</v>
      </c>
      <c r="S128" s="373" t="str">
        <f>CONCATENATE($K$128)</f>
        <v>RETIRO,REPARACION, RECOLOCACION</v>
      </c>
    </row>
    <row r="129" spans="1:19" ht="15.75" thickTop="1" x14ac:dyDescent="0.2">
      <c r="A129" s="379"/>
      <c r="B129" s="402"/>
      <c r="C129" s="403"/>
      <c r="D129" s="396"/>
      <c r="G129" s="373"/>
      <c r="H129" s="390"/>
      <c r="I129" s="397"/>
      <c r="J129" s="399"/>
      <c r="K129" s="400"/>
      <c r="L129" s="399"/>
      <c r="M129" s="399"/>
      <c r="N129" s="399"/>
      <c r="O129" s="432"/>
      <c r="P129" s="373"/>
      <c r="Q129" s="373"/>
      <c r="R129" s="373"/>
      <c r="S129" s="373"/>
    </row>
    <row r="130" spans="1:19" x14ac:dyDescent="0.2">
      <c r="A130" s="379">
        <v>12</v>
      </c>
      <c r="B130" s="380" t="s">
        <v>1298</v>
      </c>
      <c r="C130" s="381" t="s">
        <v>1299</v>
      </c>
      <c r="D130" s="396"/>
      <c r="G130" s="373"/>
      <c r="H130" s="417">
        <v>12</v>
      </c>
      <c r="I130" s="419"/>
      <c r="J130" s="430"/>
      <c r="K130" s="487" t="s">
        <v>1299</v>
      </c>
      <c r="L130" s="430"/>
      <c r="M130" s="430"/>
      <c r="N130" s="430"/>
      <c r="O130" s="441"/>
      <c r="P130" s="373"/>
      <c r="Q130" s="388">
        <f>H130</f>
        <v>12</v>
      </c>
      <c r="R130" s="378" t="str">
        <f>CONCATENATE("II-",TEXT(Q130,"0000"))</f>
        <v>II-0012</v>
      </c>
      <c r="S130" s="389" t="str">
        <f>K130</f>
        <v>BANQUINA</v>
      </c>
    </row>
    <row r="131" spans="1:19" x14ac:dyDescent="0.2">
      <c r="A131" s="379">
        <v>1</v>
      </c>
      <c r="B131" s="380" t="str">
        <f>CONCATENATE($B$130,".",TEXT(A131,"0000"))</f>
        <v>II-0012.0001</v>
      </c>
      <c r="C131" s="373" t="str">
        <f>CONCATENATE($K$131)</f>
        <v xml:space="preserve">SUELO </v>
      </c>
      <c r="D131" s="396" t="s">
        <v>1171</v>
      </c>
      <c r="G131" s="373"/>
      <c r="H131" s="390"/>
      <c r="I131" s="391" t="s">
        <v>1060</v>
      </c>
      <c r="J131" s="438"/>
      <c r="K131" s="459" t="s">
        <v>1300</v>
      </c>
      <c r="L131" s="438"/>
      <c r="M131" s="438"/>
      <c r="N131" s="438"/>
      <c r="O131" s="473" t="s">
        <v>1171</v>
      </c>
      <c r="P131" s="373"/>
      <c r="Q131" s="388">
        <v>1</v>
      </c>
      <c r="R131" s="380" t="str">
        <f>CONCATENATE($L$130,".",TEXT(Q131,"0000"))</f>
        <v>.0001</v>
      </c>
      <c r="S131" s="373" t="str">
        <f>CONCATENATE($E$131)</f>
        <v/>
      </c>
    </row>
    <row r="132" spans="1:19" x14ac:dyDescent="0.2">
      <c r="A132" s="379">
        <v>2</v>
      </c>
      <c r="B132" s="380" t="str">
        <f>CONCATENATE($B$130,".",TEXT(A132,"0000"))</f>
        <v>II-0012.0002</v>
      </c>
      <c r="C132" s="373" t="str">
        <f>CONCATENATE($K$131)</f>
        <v xml:space="preserve">SUELO </v>
      </c>
      <c r="D132" s="396" t="s">
        <v>1171</v>
      </c>
      <c r="G132" s="373"/>
      <c r="H132" s="390"/>
      <c r="I132" s="391" t="s">
        <v>1087</v>
      </c>
      <c r="J132" s="438"/>
      <c r="K132" s="459" t="s">
        <v>1301</v>
      </c>
      <c r="L132" s="438"/>
      <c r="M132" s="438"/>
      <c r="N132" s="438"/>
      <c r="O132" s="473" t="s">
        <v>1171</v>
      </c>
      <c r="P132" s="373"/>
      <c r="Q132" s="388">
        <v>2</v>
      </c>
      <c r="R132" s="380" t="str">
        <f>CONCATENATE($L$130,".",TEXT(Q132,"0000"))</f>
        <v>.0002</v>
      </c>
      <c r="S132" s="373" t="str">
        <f>CONCATENATE($E$132)</f>
        <v/>
      </c>
    </row>
    <row r="133" spans="1:19" x14ac:dyDescent="0.2">
      <c r="A133" s="379"/>
      <c r="B133" s="381"/>
      <c r="C133" s="381"/>
      <c r="D133" s="396"/>
      <c r="G133" s="373"/>
      <c r="H133" s="390"/>
      <c r="I133" s="391" t="s">
        <v>1097</v>
      </c>
      <c r="J133" s="399"/>
      <c r="K133" s="400" t="s">
        <v>1302</v>
      </c>
      <c r="L133" s="399"/>
      <c r="M133" s="399"/>
      <c r="N133" s="399"/>
      <c r="O133" s="432"/>
      <c r="P133" s="373"/>
      <c r="Q133" s="373"/>
      <c r="R133" s="373"/>
      <c r="S133" s="373"/>
    </row>
    <row r="134" spans="1:19" x14ac:dyDescent="0.2">
      <c r="A134" s="379">
        <v>3</v>
      </c>
      <c r="B134" s="380" t="str">
        <f t="shared" ref="B134:B135" si="15">CONCATENATE($B$130,".",TEXT(A134,"0000"))</f>
        <v>II-0012.0003</v>
      </c>
      <c r="C134" s="373" t="str">
        <f>CONCATENATE($K$133," - TIPO ",L134)</f>
        <v xml:space="preserve">PAVIMENTO - TIPO CARPETA </v>
      </c>
      <c r="D134" s="396" t="s">
        <v>1254</v>
      </c>
      <c r="G134" s="373"/>
      <c r="H134" s="390"/>
      <c r="I134" s="397"/>
      <c r="J134" s="398">
        <v>1</v>
      </c>
      <c r="K134" s="399"/>
      <c r="L134" s="400" t="s">
        <v>1303</v>
      </c>
      <c r="M134" s="399"/>
      <c r="N134" s="399"/>
      <c r="O134" s="432" t="s">
        <v>1254</v>
      </c>
      <c r="P134" s="373"/>
      <c r="Q134" s="388">
        <v>3</v>
      </c>
      <c r="R134" s="380" t="str">
        <f t="shared" ref="R134:R135" si="16">CONCATENATE($L$130,".",TEXT(Q134,"0000"))</f>
        <v>.0003</v>
      </c>
      <c r="S134" s="373" t="str">
        <f>CONCATENATE($E$133," TIPO ",L134)</f>
        <v xml:space="preserve"> TIPO CARPETA </v>
      </c>
    </row>
    <row r="135" spans="1:19" ht="15.75" thickBot="1" x14ac:dyDescent="0.25">
      <c r="A135" s="379">
        <v>4</v>
      </c>
      <c r="B135" s="380" t="str">
        <f t="shared" si="15"/>
        <v>II-0012.0004</v>
      </c>
      <c r="C135" s="373" t="str">
        <f>CONCATENATE($K$133," - TIPO ",L135)</f>
        <v>PAVIMENTO - TIPO TRATAMIENTO</v>
      </c>
      <c r="D135" s="396" t="s">
        <v>1254</v>
      </c>
      <c r="G135" s="373"/>
      <c r="H135" s="410"/>
      <c r="I135" s="411"/>
      <c r="J135" s="412">
        <v>2</v>
      </c>
      <c r="K135" s="413"/>
      <c r="L135" s="414" t="s">
        <v>1304</v>
      </c>
      <c r="M135" s="413"/>
      <c r="N135" s="413"/>
      <c r="O135" s="498" t="s">
        <v>1254</v>
      </c>
      <c r="P135" s="373"/>
      <c r="Q135" s="388">
        <v>4</v>
      </c>
      <c r="R135" s="380" t="str">
        <f t="shared" si="16"/>
        <v>.0004</v>
      </c>
      <c r="S135" s="373" t="str">
        <f>CONCATENATE($E$133," TIPO ",L135)</f>
        <v xml:space="preserve"> TIPO TRATAMIENTO</v>
      </c>
    </row>
    <row r="136" spans="1:19" ht="15.75" thickTop="1" x14ac:dyDescent="0.2">
      <c r="A136" s="379"/>
      <c r="B136" s="380"/>
      <c r="C136" s="381"/>
      <c r="D136" s="396"/>
      <c r="G136" s="373"/>
      <c r="H136" s="390"/>
      <c r="I136" s="397"/>
      <c r="J136" s="397"/>
      <c r="K136" s="399"/>
      <c r="L136" s="400"/>
      <c r="M136" s="399"/>
      <c r="N136" s="399"/>
      <c r="O136" s="432"/>
      <c r="P136" s="373"/>
      <c r="Q136" s="388"/>
      <c r="R136" s="373"/>
      <c r="S136" s="373"/>
    </row>
    <row r="137" spans="1:19" x14ac:dyDescent="0.2">
      <c r="A137" s="379">
        <v>13</v>
      </c>
      <c r="B137" s="380" t="s">
        <v>1305</v>
      </c>
      <c r="C137" s="381" t="s">
        <v>1306</v>
      </c>
      <c r="D137" s="396"/>
      <c r="G137" s="373"/>
      <c r="H137" s="417">
        <v>13</v>
      </c>
      <c r="I137" s="419"/>
      <c r="J137" s="430"/>
      <c r="K137" s="487" t="s">
        <v>1306</v>
      </c>
      <c r="L137" s="430"/>
      <c r="M137" s="430"/>
      <c r="N137" s="430"/>
      <c r="O137" s="441"/>
      <c r="P137" s="373"/>
      <c r="Q137" s="388">
        <f>H137</f>
        <v>13</v>
      </c>
      <c r="R137" s="378" t="str">
        <f>CONCATENATE("II-",TEXT(Q137,"0000"))</f>
        <v>II-0013</v>
      </c>
      <c r="S137" s="389" t="str">
        <f>K137</f>
        <v>BARANDA METALICA DE DEFENSA</v>
      </c>
    </row>
    <row r="138" spans="1:19" x14ac:dyDescent="0.2">
      <c r="A138" s="379"/>
      <c r="B138" s="380"/>
      <c r="C138" s="381"/>
      <c r="D138" s="396"/>
      <c r="G138" s="373"/>
      <c r="H138" s="431"/>
      <c r="I138" s="391" t="s">
        <v>1060</v>
      </c>
      <c r="J138" s="399"/>
      <c r="K138" s="400" t="s">
        <v>1307</v>
      </c>
      <c r="L138" s="394"/>
      <c r="M138" s="394"/>
      <c r="N138" s="394"/>
      <c r="O138" s="442"/>
      <c r="P138" s="373"/>
      <c r="Q138" s="373"/>
      <c r="R138" s="373"/>
      <c r="S138" s="373"/>
    </row>
    <row r="139" spans="1:19" x14ac:dyDescent="0.2">
      <c r="A139" s="379">
        <v>1</v>
      </c>
      <c r="B139" s="380" t="str">
        <f>CONCATENATE($B$137,".",TEXT(A139,"0000"))</f>
        <v>II-0013.0001</v>
      </c>
      <c r="C139" s="373" t="str">
        <f>CONCATENATE($K$138," - TIPO ",L139)</f>
        <v>VEHICULAR  H-10237 - TIPO LIVIANA  ( A )</v>
      </c>
      <c r="D139" s="396" t="s">
        <v>1030</v>
      </c>
      <c r="G139" s="373"/>
      <c r="H139" s="390"/>
      <c r="I139" s="397"/>
      <c r="J139" s="398">
        <v>1</v>
      </c>
      <c r="K139" s="399"/>
      <c r="L139" s="400" t="s">
        <v>1308</v>
      </c>
      <c r="M139" s="399"/>
      <c r="N139" s="399"/>
      <c r="O139" s="432" t="s">
        <v>1030</v>
      </c>
      <c r="P139" s="373"/>
      <c r="Q139" s="388">
        <v>1</v>
      </c>
      <c r="R139" s="380" t="str">
        <f>CONCATENATE($L$137,".",TEXT(Q139,"0000"))</f>
        <v>.0001</v>
      </c>
      <c r="S139" s="373" t="str">
        <f>CONCATENATE($E$138," TIPO ",L139)</f>
        <v xml:space="preserve"> TIPO LIVIANA  ( A )</v>
      </c>
    </row>
    <row r="140" spans="1:19" x14ac:dyDescent="0.2">
      <c r="A140" s="379">
        <v>2</v>
      </c>
      <c r="B140" s="380" t="str">
        <f>CONCATENATE($B$137,".",TEXT(A140,"0000"))</f>
        <v>II-0013.0002</v>
      </c>
      <c r="C140" s="373" t="str">
        <f>CONCATENATE($K$138," - TIPO ",L140)</f>
        <v>VEHICULAR  H-10237 - TIPO PESADA ( B )</v>
      </c>
      <c r="D140" s="396" t="s">
        <v>1030</v>
      </c>
      <c r="G140" s="373"/>
      <c r="H140" s="390"/>
      <c r="I140" s="397"/>
      <c r="J140" s="404">
        <v>2</v>
      </c>
      <c r="K140" s="405"/>
      <c r="L140" s="406" t="s">
        <v>1309</v>
      </c>
      <c r="M140" s="405"/>
      <c r="N140" s="405"/>
      <c r="O140" s="451" t="s">
        <v>1030</v>
      </c>
      <c r="P140" s="373"/>
      <c r="Q140" s="388">
        <v>2</v>
      </c>
      <c r="R140" s="380" t="str">
        <f>CONCATENATE($L$137,".",TEXT(Q140,"0000"))</f>
        <v>.0002</v>
      </c>
      <c r="S140" s="373" t="str">
        <f>CONCATENATE($E$138," TIPO ",L140)</f>
        <v xml:space="preserve"> TIPO PESADA ( B )</v>
      </c>
    </row>
    <row r="141" spans="1:19" x14ac:dyDescent="0.2">
      <c r="A141" s="379"/>
      <c r="B141" s="380"/>
      <c r="C141" s="381"/>
      <c r="D141" s="396" t="s">
        <v>1030</v>
      </c>
      <c r="G141" s="373"/>
      <c r="H141" s="390"/>
      <c r="I141" s="391" t="s">
        <v>1087</v>
      </c>
      <c r="J141" s="399"/>
      <c r="K141" s="400" t="s">
        <v>1310</v>
      </c>
      <c r="L141" s="399"/>
      <c r="M141" s="399"/>
      <c r="N141" s="399"/>
      <c r="O141" s="432" t="s">
        <v>1030</v>
      </c>
      <c r="P141" s="373"/>
      <c r="Q141" s="373"/>
      <c r="R141" s="373"/>
      <c r="S141" s="373"/>
    </row>
    <row r="142" spans="1:19" x14ac:dyDescent="0.2">
      <c r="A142" s="379">
        <v>3</v>
      </c>
      <c r="B142" s="380" t="str">
        <f t="shared" ref="B142:B145" si="17">CONCATENATE($B$137,".",TEXT(A142,"0000"))</f>
        <v>II-0013.0003</v>
      </c>
      <c r="C142" s="373" t="str">
        <f>CONCATENATE($K$141," - TIPO ",L142)</f>
        <v>PEATONAL  H-10237 - TIPO LIVIANA  ( A )</v>
      </c>
      <c r="D142" s="396" t="s">
        <v>1030</v>
      </c>
      <c r="G142" s="373"/>
      <c r="H142" s="390"/>
      <c r="I142" s="397"/>
      <c r="J142" s="398">
        <v>1</v>
      </c>
      <c r="K142" s="399"/>
      <c r="L142" s="400" t="s">
        <v>1308</v>
      </c>
      <c r="M142" s="399"/>
      <c r="N142" s="399"/>
      <c r="O142" s="432" t="s">
        <v>1030</v>
      </c>
      <c r="P142" s="373"/>
      <c r="Q142" s="388">
        <v>3</v>
      </c>
      <c r="R142" s="380" t="str">
        <f>CONCATENATE($L$137,".",TEXT(Q142,"0000"))</f>
        <v>.0003</v>
      </c>
      <c r="S142" s="373" t="str">
        <f>CONCATENATE($E$141," TIPO ",L142)</f>
        <v xml:space="preserve"> TIPO LIVIANA  ( A )</v>
      </c>
    </row>
    <row r="143" spans="1:19" x14ac:dyDescent="0.2">
      <c r="A143" s="379">
        <v>4</v>
      </c>
      <c r="B143" s="380" t="str">
        <f t="shared" si="17"/>
        <v>II-0013.0004</v>
      </c>
      <c r="C143" s="373" t="str">
        <f>CONCATENATE($K$141," - TIPO ",L143)</f>
        <v>PEATONAL  H-10237 - TIPO PESADA ( B )</v>
      </c>
      <c r="D143" s="396" t="s">
        <v>1030</v>
      </c>
      <c r="G143" s="373"/>
      <c r="H143" s="390"/>
      <c r="I143" s="397"/>
      <c r="J143" s="404">
        <v>2</v>
      </c>
      <c r="K143" s="399"/>
      <c r="L143" s="400" t="s">
        <v>1309</v>
      </c>
      <c r="M143" s="399"/>
      <c r="N143" s="399"/>
      <c r="O143" s="432" t="s">
        <v>1030</v>
      </c>
      <c r="P143" s="373"/>
      <c r="Q143" s="388">
        <v>4</v>
      </c>
      <c r="R143" s="380" t="str">
        <f>CONCATENATE($L$137,".",TEXT(Q143,"0000"))</f>
        <v>.0004</v>
      </c>
      <c r="S143" s="373" t="str">
        <f>CONCATENATE($E$141," TIPO ",L143)</f>
        <v xml:space="preserve"> TIPO PESADA ( B )</v>
      </c>
    </row>
    <row r="144" spans="1:19" x14ac:dyDescent="0.2">
      <c r="A144" s="379">
        <v>10</v>
      </c>
      <c r="B144" s="380" t="str">
        <f t="shared" si="17"/>
        <v>II-0013.0010</v>
      </c>
      <c r="C144" s="373" t="str">
        <f>CONCATENATE($K$144)</f>
        <v xml:space="preserve">RETIRO </v>
      </c>
      <c r="D144" s="396" t="s">
        <v>1030</v>
      </c>
      <c r="G144" s="373"/>
      <c r="H144" s="390"/>
      <c r="I144" s="391" t="s">
        <v>1097</v>
      </c>
      <c r="J144" s="438"/>
      <c r="K144" s="459" t="s">
        <v>1179</v>
      </c>
      <c r="L144" s="438"/>
      <c r="M144" s="438"/>
      <c r="N144" s="438"/>
      <c r="O144" s="473" t="s">
        <v>1030</v>
      </c>
      <c r="P144" s="373"/>
      <c r="Q144" s="388">
        <v>10</v>
      </c>
      <c r="R144" s="380" t="str">
        <f t="shared" ref="R144:R145" si="18">CONCATENATE($L$137,".",TEXT(Q144,"0000"))</f>
        <v>.0010</v>
      </c>
      <c r="S144" s="373" t="str">
        <f>CONCATENATE($E$144)</f>
        <v/>
      </c>
    </row>
    <row r="145" spans="1:19" ht="15.75" thickBot="1" x14ac:dyDescent="0.25">
      <c r="A145" s="379">
        <v>11</v>
      </c>
      <c r="B145" s="380" t="str">
        <f t="shared" si="17"/>
        <v>II-0013.0011</v>
      </c>
      <c r="C145" s="373" t="str">
        <f>CONCATENATE(K145)</f>
        <v>RETIRO Y REPARACION</v>
      </c>
      <c r="D145" s="396" t="s">
        <v>1030</v>
      </c>
      <c r="G145" s="373"/>
      <c r="H145" s="443"/>
      <c r="I145" s="500" t="s">
        <v>1123</v>
      </c>
      <c r="J145" s="446"/>
      <c r="K145" s="447" t="s">
        <v>1311</v>
      </c>
      <c r="L145" s="446"/>
      <c r="M145" s="446"/>
      <c r="N145" s="446"/>
      <c r="O145" s="501" t="s">
        <v>1030</v>
      </c>
      <c r="P145" s="373"/>
      <c r="Q145" s="388">
        <v>11</v>
      </c>
      <c r="R145" s="380" t="str">
        <f t="shared" si="18"/>
        <v>.0011</v>
      </c>
      <c r="S145" s="373" t="str">
        <f>CONCATENATE($E$145)</f>
        <v/>
      </c>
    </row>
    <row r="146" spans="1:19" x14ac:dyDescent="0.2">
      <c r="A146" s="379"/>
      <c r="B146" s="380"/>
      <c r="C146" s="381"/>
      <c r="D146" s="396"/>
      <c r="G146" s="373"/>
      <c r="H146" s="390"/>
      <c r="I146" s="397"/>
      <c r="J146" s="399"/>
      <c r="K146" s="400"/>
      <c r="L146" s="399"/>
      <c r="M146" s="399"/>
      <c r="N146" s="399"/>
      <c r="O146" s="432"/>
      <c r="P146" s="373"/>
      <c r="Q146" s="388"/>
      <c r="R146" s="380"/>
      <c r="S146" s="373"/>
    </row>
    <row r="147" spans="1:19" x14ac:dyDescent="0.2">
      <c r="A147" s="379">
        <v>14</v>
      </c>
      <c r="B147" s="372" t="s">
        <v>1312</v>
      </c>
      <c r="C147" s="381" t="s">
        <v>1313</v>
      </c>
      <c r="D147" s="396"/>
      <c r="G147" s="373"/>
      <c r="H147" s="417">
        <v>14</v>
      </c>
      <c r="I147" s="502"/>
      <c r="J147" s="503"/>
      <c r="K147" s="471" t="s">
        <v>1313</v>
      </c>
      <c r="L147" s="503"/>
      <c r="M147" s="503"/>
      <c r="N147" s="503"/>
      <c r="O147" s="504"/>
      <c r="P147" s="373"/>
      <c r="Q147" s="388">
        <f>H147</f>
        <v>14</v>
      </c>
      <c r="R147" s="378" t="str">
        <f>CONCATENATE("II-",TEXT(Q147,"0000"))</f>
        <v>II-0014</v>
      </c>
      <c r="S147" s="389" t="str">
        <f>K147</f>
        <v>BASE</v>
      </c>
    </row>
    <row r="148" spans="1:19" x14ac:dyDescent="0.2">
      <c r="A148" s="379">
        <v>1</v>
      </c>
      <c r="B148" s="380" t="str">
        <f>CONCATENATE($B$147,".",TEXT(A148,"0000"))</f>
        <v>II-0014.0001</v>
      </c>
      <c r="C148" s="381" t="s">
        <v>1314</v>
      </c>
      <c r="D148" s="396" t="s">
        <v>1171</v>
      </c>
      <c r="G148" s="399"/>
      <c r="H148" s="474"/>
      <c r="I148" s="391" t="s">
        <v>1060</v>
      </c>
      <c r="J148" s="438"/>
      <c r="K148" s="505" t="s">
        <v>1314</v>
      </c>
      <c r="L148" s="438"/>
      <c r="M148" s="438"/>
      <c r="N148" s="438"/>
      <c r="O148" s="473" t="s">
        <v>1171</v>
      </c>
      <c r="P148" s="399"/>
      <c r="Q148" s="388">
        <v>1</v>
      </c>
      <c r="R148" s="380" t="str">
        <f>CONCATENATE($L$147,".",TEXT(Q148,"0000"))</f>
        <v>.0001</v>
      </c>
      <c r="S148" s="373" t="str">
        <f>CONCATENATE(K148)</f>
        <v>ARENA ASFALTO</v>
      </c>
    </row>
    <row r="149" spans="1:19" x14ac:dyDescent="0.2">
      <c r="A149" s="379">
        <v>2</v>
      </c>
      <c r="B149" s="380" t="str">
        <f>CONCATENATE($B$147,".",TEXT(A149,"0000"))</f>
        <v>II-0014.0002</v>
      </c>
      <c r="C149" s="403" t="s">
        <v>1315</v>
      </c>
      <c r="D149" s="396" t="s">
        <v>1171</v>
      </c>
      <c r="G149" s="399"/>
      <c r="H149" s="390"/>
      <c r="I149" s="391" t="s">
        <v>1087</v>
      </c>
      <c r="J149" s="438"/>
      <c r="K149" s="459" t="s">
        <v>1315</v>
      </c>
      <c r="L149" s="438"/>
      <c r="M149" s="438"/>
      <c r="N149" s="438"/>
      <c r="O149" s="473" t="s">
        <v>1171</v>
      </c>
      <c r="P149" s="399"/>
      <c r="Q149" s="388">
        <v>2</v>
      </c>
      <c r="R149" s="380" t="str">
        <f>CONCATENATE($L$147,".",TEXT(Q149,"0000"))</f>
        <v>.0002</v>
      </c>
      <c r="S149" s="373" t="str">
        <f>CONCATENATE(K149)</f>
        <v>CONCRETO ASFALTICO BITUMINOSO</v>
      </c>
    </row>
    <row r="150" spans="1:19" x14ac:dyDescent="0.2">
      <c r="A150" s="379"/>
      <c r="B150" s="380"/>
      <c r="C150" s="381"/>
      <c r="D150" s="396"/>
      <c r="G150" s="399"/>
      <c r="H150" s="390"/>
      <c r="I150" s="404" t="s">
        <v>1097</v>
      </c>
      <c r="J150" s="399"/>
      <c r="K150" s="400" t="s">
        <v>1316</v>
      </c>
      <c r="L150" s="399"/>
      <c r="M150" s="399"/>
      <c r="N150" s="399"/>
      <c r="O150" s="432"/>
      <c r="P150" s="399"/>
      <c r="Q150" s="399"/>
      <c r="R150" s="399"/>
      <c r="S150" s="399"/>
    </row>
    <row r="151" spans="1:19" x14ac:dyDescent="0.2">
      <c r="A151" s="379">
        <v>3</v>
      </c>
      <c r="B151" s="380" t="str">
        <f t="shared" ref="B151:B153" si="19">CONCATENATE($B$147,".",TEXT(A151,"0000"))</f>
        <v>II-0014.0003</v>
      </c>
      <c r="C151" s="373" t="str">
        <f>CONCATENATE($K$150," - TIPO ",L151)</f>
        <v>GRANULAR - TIPO ANTICOGELANTES</v>
      </c>
      <c r="D151" s="396" t="s">
        <v>1171</v>
      </c>
      <c r="G151" s="399"/>
      <c r="H151" s="390"/>
      <c r="I151" s="397"/>
      <c r="J151" s="398">
        <v>1</v>
      </c>
      <c r="K151" s="399"/>
      <c r="L151" s="400" t="s">
        <v>1317</v>
      </c>
      <c r="M151" s="399"/>
      <c r="N151" s="399"/>
      <c r="O151" s="432" t="s">
        <v>1171</v>
      </c>
      <c r="P151" s="399"/>
      <c r="Q151" s="388">
        <v>3</v>
      </c>
      <c r="R151" s="380" t="str">
        <f>CONCATENATE($L$147,".",TEXT(Q151,"0000"))</f>
        <v>.0003</v>
      </c>
      <c r="S151" s="373" t="str">
        <f>CONCATENATE($E$150," ",L151)</f>
        <v xml:space="preserve"> ANTICOGELANTES</v>
      </c>
    </row>
    <row r="152" spans="1:19" x14ac:dyDescent="0.2">
      <c r="A152" s="379">
        <v>4</v>
      </c>
      <c r="B152" s="380" t="str">
        <f t="shared" si="19"/>
        <v>II-0014.0004</v>
      </c>
      <c r="C152" s="373" t="str">
        <f t="shared" ref="C152:C153" si="20">CONCATENATE($K$150," - TIPO ",L152)</f>
        <v>GRANULAR - TIPO DRENANTES</v>
      </c>
      <c r="D152" s="396" t="s">
        <v>1171</v>
      </c>
      <c r="G152" s="399"/>
      <c r="H152" s="390"/>
      <c r="I152" s="397"/>
      <c r="J152" s="398">
        <v>2</v>
      </c>
      <c r="K152" s="400"/>
      <c r="L152" s="400" t="s">
        <v>1318</v>
      </c>
      <c r="M152" s="399"/>
      <c r="N152" s="399"/>
      <c r="O152" s="432" t="s">
        <v>1171</v>
      </c>
      <c r="P152" s="399"/>
      <c r="Q152" s="388">
        <v>4</v>
      </c>
      <c r="R152" s="380" t="str">
        <f t="shared" ref="R152:R153" si="21">CONCATENATE($L$147,".",TEXT(Q152,"0000"))</f>
        <v>.0004</v>
      </c>
      <c r="S152" s="373" t="str">
        <f t="shared" ref="S152" si="22">CONCATENATE($E$150," ",L152)</f>
        <v xml:space="preserve"> DRENANTES</v>
      </c>
    </row>
    <row r="153" spans="1:19" ht="15.75" thickBot="1" x14ac:dyDescent="0.25">
      <c r="A153" s="379">
        <v>5</v>
      </c>
      <c r="B153" s="380" t="str">
        <f t="shared" si="19"/>
        <v>II-0014.0005</v>
      </c>
      <c r="C153" s="373" t="str">
        <f t="shared" si="20"/>
        <v>GRANULAR - TIPO GRANULAR</v>
      </c>
      <c r="D153" s="396" t="s">
        <v>1171</v>
      </c>
      <c r="G153" s="399"/>
      <c r="H153" s="443"/>
      <c r="I153" s="506"/>
      <c r="J153" s="445">
        <v>3</v>
      </c>
      <c r="K153" s="447"/>
      <c r="L153" s="447" t="s">
        <v>1316</v>
      </c>
      <c r="M153" s="446"/>
      <c r="N153" s="446"/>
      <c r="O153" s="501" t="s">
        <v>1171</v>
      </c>
      <c r="P153" s="399"/>
      <c r="Q153" s="388">
        <v>5</v>
      </c>
      <c r="R153" s="380" t="str">
        <f t="shared" si="21"/>
        <v>.0005</v>
      </c>
      <c r="S153" s="373" t="str">
        <f>CONCATENATE($E$150)</f>
        <v/>
      </c>
    </row>
    <row r="154" spans="1:19" x14ac:dyDescent="0.2">
      <c r="A154" s="379"/>
      <c r="B154" s="380"/>
      <c r="C154" s="381"/>
      <c r="D154" s="396"/>
      <c r="G154" s="399"/>
      <c r="H154" s="449"/>
      <c r="I154" s="397"/>
      <c r="J154" s="397"/>
      <c r="K154" s="400"/>
      <c r="L154" s="400"/>
      <c r="M154" s="399"/>
      <c r="N154" s="399"/>
      <c r="O154" s="507"/>
      <c r="P154" s="399"/>
      <c r="Q154" s="388"/>
      <c r="R154" s="399"/>
      <c r="S154" s="399"/>
    </row>
    <row r="155" spans="1:19" x14ac:dyDescent="0.2">
      <c r="A155" s="379"/>
      <c r="B155" s="380"/>
      <c r="C155" s="381"/>
      <c r="D155" s="396"/>
      <c r="G155" s="373"/>
      <c r="H155" s="417">
        <v>14</v>
      </c>
      <c r="I155" s="419"/>
      <c r="J155" s="430"/>
      <c r="K155" s="487" t="s">
        <v>1313</v>
      </c>
      <c r="L155" s="430"/>
      <c r="M155" s="430"/>
      <c r="N155" s="430"/>
      <c r="O155" s="441"/>
      <c r="P155" s="373"/>
      <c r="Q155" s="388"/>
      <c r="R155" s="373"/>
      <c r="S155" s="373"/>
    </row>
    <row r="156" spans="1:19" x14ac:dyDescent="0.2">
      <c r="A156" s="379">
        <v>6</v>
      </c>
      <c r="B156" s="380" t="str">
        <f t="shared" ref="B156" si="23">CONCATENATE($B$147,".",TEXT(A156,"0000"))</f>
        <v>II-0014.0006</v>
      </c>
      <c r="C156" s="373" t="str">
        <f>CONCATENATE(K156)</f>
        <v>AGREGADO PETREO Y SUELO</v>
      </c>
      <c r="D156" s="396" t="s">
        <v>1171</v>
      </c>
      <c r="G156" s="373"/>
      <c r="H156" s="390"/>
      <c r="I156" s="391" t="s">
        <v>1123</v>
      </c>
      <c r="J156" s="438"/>
      <c r="K156" s="505" t="s">
        <v>1319</v>
      </c>
      <c r="L156" s="438"/>
      <c r="M156" s="438"/>
      <c r="N156" s="438"/>
      <c r="O156" s="473" t="s">
        <v>1171</v>
      </c>
      <c r="P156" s="373"/>
      <c r="Q156" s="388">
        <v>6</v>
      </c>
      <c r="R156" s="380" t="str">
        <f t="shared" ref="R156" si="24">CONCATENATE($L$147,".",TEXT(Q156,"0000"))</f>
        <v>.0006</v>
      </c>
      <c r="S156" s="373" t="str">
        <f>CONCATENATE($E$156)</f>
        <v/>
      </c>
    </row>
    <row r="157" spans="1:19" x14ac:dyDescent="0.2">
      <c r="A157" s="379"/>
      <c r="B157" s="380"/>
      <c r="C157" s="381"/>
      <c r="D157" s="396"/>
      <c r="G157" s="373"/>
      <c r="H157" s="390"/>
      <c r="I157" s="391" t="s">
        <v>1165</v>
      </c>
      <c r="J157" s="399"/>
      <c r="K157" s="477" t="s">
        <v>1174</v>
      </c>
      <c r="L157" s="399"/>
      <c r="M157" s="399"/>
      <c r="N157" s="399"/>
      <c r="O157" s="432"/>
      <c r="P157" s="373"/>
      <c r="Q157" s="373"/>
      <c r="R157" s="373"/>
      <c r="S157" s="373"/>
    </row>
    <row r="158" spans="1:19" x14ac:dyDescent="0.2">
      <c r="A158" s="379">
        <v>10</v>
      </c>
      <c r="B158" s="380" t="str">
        <f t="shared" ref="B158:B166" si="25">CONCATENATE($B$147,".",TEXT(A158,"0000"))</f>
        <v>II-0014.0010</v>
      </c>
      <c r="C158" s="373" t="str">
        <f>CONCATENATE($K$157," ",L158)</f>
        <v>REPARACION AGREGADO PETREO Y SUELO</v>
      </c>
      <c r="D158" s="396" t="s">
        <v>1171</v>
      </c>
      <c r="G158" s="373"/>
      <c r="H158" s="390"/>
      <c r="I158" s="397"/>
      <c r="J158" s="398">
        <v>1</v>
      </c>
      <c r="K158" s="477"/>
      <c r="L158" s="400" t="s">
        <v>1319</v>
      </c>
      <c r="M158" s="399"/>
      <c r="N158" s="399"/>
      <c r="O158" s="432" t="s">
        <v>1171</v>
      </c>
      <c r="P158" s="373"/>
      <c r="Q158" s="388">
        <v>10</v>
      </c>
      <c r="R158" s="380" t="str">
        <f>CONCATENATE($L$147,".",TEXT(Q158,"0000"))</f>
        <v>.0010</v>
      </c>
      <c r="S158" s="373" t="str">
        <f>CONCATENATE($E$157," ",L158)</f>
        <v xml:space="preserve"> AGREGADO PETREO Y SUELO</v>
      </c>
    </row>
    <row r="159" spans="1:19" x14ac:dyDescent="0.2">
      <c r="A159" s="379">
        <v>11</v>
      </c>
      <c r="B159" s="380" t="str">
        <f t="shared" si="25"/>
        <v>II-0014.0011</v>
      </c>
      <c r="C159" s="373" t="str">
        <f t="shared" ref="C159:C162" si="26">CONCATENATE($K$157," ",L159)</f>
        <v>REPARACION SUELO CAL</v>
      </c>
      <c r="D159" s="396" t="s">
        <v>1171</v>
      </c>
      <c r="G159" s="373"/>
      <c r="H159" s="390"/>
      <c r="I159" s="397"/>
      <c r="J159" s="398">
        <v>2</v>
      </c>
      <c r="K159" s="477"/>
      <c r="L159" s="400" t="s">
        <v>1255</v>
      </c>
      <c r="M159" s="399"/>
      <c r="N159" s="399"/>
      <c r="O159" s="432" t="s">
        <v>1171</v>
      </c>
      <c r="P159" s="373"/>
      <c r="Q159" s="388">
        <v>11</v>
      </c>
      <c r="R159" s="380" t="str">
        <f t="shared" ref="R159:R166" si="27">CONCATENATE($L$147,".",TEXT(Q159,"0000"))</f>
        <v>.0011</v>
      </c>
      <c r="S159" s="373" t="str">
        <f t="shared" ref="S159:S162" si="28">CONCATENATE($E$157," ",L159)</f>
        <v xml:space="preserve"> SUELO CAL</v>
      </c>
    </row>
    <row r="160" spans="1:19" x14ac:dyDescent="0.2">
      <c r="A160" s="379">
        <v>12</v>
      </c>
      <c r="B160" s="380" t="str">
        <f t="shared" si="25"/>
        <v>II-0014.0012</v>
      </c>
      <c r="C160" s="373" t="str">
        <f t="shared" si="26"/>
        <v>REPARACION SUELO CEMENTO</v>
      </c>
      <c r="D160" s="396" t="s">
        <v>1171</v>
      </c>
      <c r="G160" s="373"/>
      <c r="H160" s="390"/>
      <c r="I160" s="397"/>
      <c r="J160" s="398">
        <v>3</v>
      </c>
      <c r="K160" s="477"/>
      <c r="L160" s="400" t="s">
        <v>1258</v>
      </c>
      <c r="M160" s="399"/>
      <c r="N160" s="399"/>
      <c r="O160" s="432" t="s">
        <v>1171</v>
      </c>
      <c r="P160" s="373"/>
      <c r="Q160" s="388">
        <v>12</v>
      </c>
      <c r="R160" s="380" t="str">
        <f t="shared" si="27"/>
        <v>.0012</v>
      </c>
      <c r="S160" s="373" t="str">
        <f t="shared" si="28"/>
        <v xml:space="preserve"> SUELO CEMENTO</v>
      </c>
    </row>
    <row r="161" spans="1:19" x14ac:dyDescent="0.2">
      <c r="A161" s="379">
        <v>13</v>
      </c>
      <c r="B161" s="380" t="str">
        <f t="shared" si="25"/>
        <v>II-0014.0013</v>
      </c>
      <c r="C161" s="373" t="str">
        <f t="shared" si="26"/>
        <v>REPARACION SUELO ESCORIA</v>
      </c>
      <c r="D161" s="396" t="s">
        <v>1171</v>
      </c>
      <c r="G161" s="373"/>
      <c r="H161" s="390"/>
      <c r="I161" s="397"/>
      <c r="J161" s="398">
        <v>4</v>
      </c>
      <c r="K161" s="477"/>
      <c r="L161" s="400" t="s">
        <v>1320</v>
      </c>
      <c r="M161" s="399"/>
      <c r="N161" s="399"/>
      <c r="O161" s="432" t="s">
        <v>1171</v>
      </c>
      <c r="P161" s="373"/>
      <c r="Q161" s="388">
        <v>13</v>
      </c>
      <c r="R161" s="380" t="str">
        <f t="shared" si="27"/>
        <v>.0013</v>
      </c>
      <c r="S161" s="373" t="str">
        <f t="shared" si="28"/>
        <v xml:space="preserve"> SUELO ESCORIA</v>
      </c>
    </row>
    <row r="162" spans="1:19" x14ac:dyDescent="0.2">
      <c r="A162" s="379">
        <v>14</v>
      </c>
      <c r="B162" s="380" t="str">
        <f t="shared" si="25"/>
        <v>II-0014.0014</v>
      </c>
      <c r="C162" s="373" t="str">
        <f t="shared" si="26"/>
        <v>REPARACION SUELO SELECCIONADO</v>
      </c>
      <c r="D162" s="396" t="s">
        <v>1171</v>
      </c>
      <c r="G162" s="373"/>
      <c r="H162" s="390"/>
      <c r="I162" s="409"/>
      <c r="J162" s="404">
        <v>5</v>
      </c>
      <c r="K162" s="477"/>
      <c r="L162" s="400" t="s">
        <v>1261</v>
      </c>
      <c r="M162" s="399"/>
      <c r="N162" s="399"/>
      <c r="O162" s="432" t="s">
        <v>1171</v>
      </c>
      <c r="P162" s="373"/>
      <c r="Q162" s="388">
        <v>14</v>
      </c>
      <c r="R162" s="380" t="str">
        <f t="shared" si="27"/>
        <v>.0014</v>
      </c>
      <c r="S162" s="373" t="str">
        <f t="shared" si="28"/>
        <v xml:space="preserve"> SUELO SELECCIONADO</v>
      </c>
    </row>
    <row r="163" spans="1:19" x14ac:dyDescent="0.2">
      <c r="A163" s="379">
        <v>20</v>
      </c>
      <c r="B163" s="380" t="str">
        <f t="shared" si="25"/>
        <v>II-0014.0020</v>
      </c>
      <c r="C163" s="373" t="str">
        <f t="shared" ref="C163:C166" si="29">CONCATENATE(K163)</f>
        <v>SUELO CAL</v>
      </c>
      <c r="D163" s="396" t="s">
        <v>1171</v>
      </c>
      <c r="G163" s="373"/>
      <c r="H163" s="390"/>
      <c r="I163" s="404" t="s">
        <v>1168</v>
      </c>
      <c r="J163" s="438"/>
      <c r="K163" s="505" t="s">
        <v>1255</v>
      </c>
      <c r="L163" s="438"/>
      <c r="M163" s="438"/>
      <c r="N163" s="438"/>
      <c r="O163" s="473" t="s">
        <v>1171</v>
      </c>
      <c r="P163" s="373"/>
      <c r="Q163" s="388">
        <v>20</v>
      </c>
      <c r="R163" s="380" t="str">
        <f t="shared" si="27"/>
        <v>.0020</v>
      </c>
      <c r="S163" s="373" t="str">
        <f>CONCATENATE(K163)</f>
        <v>SUELO CAL</v>
      </c>
    </row>
    <row r="164" spans="1:19" x14ac:dyDescent="0.2">
      <c r="A164" s="379">
        <v>21</v>
      </c>
      <c r="B164" s="380" t="str">
        <f t="shared" si="25"/>
        <v>II-0014.0021</v>
      </c>
      <c r="C164" s="373" t="str">
        <f t="shared" si="29"/>
        <v>SUELO CEMENTO</v>
      </c>
      <c r="D164" s="396" t="s">
        <v>1171</v>
      </c>
      <c r="G164" s="373"/>
      <c r="H164" s="390"/>
      <c r="I164" s="398" t="s">
        <v>1172</v>
      </c>
      <c r="J164" s="399"/>
      <c r="K164" s="477" t="s">
        <v>1258</v>
      </c>
      <c r="L164" s="399"/>
      <c r="M164" s="399"/>
      <c r="N164" s="399"/>
      <c r="O164" s="432" t="s">
        <v>1171</v>
      </c>
      <c r="P164" s="373"/>
      <c r="Q164" s="388">
        <v>21</v>
      </c>
      <c r="R164" s="380" t="str">
        <f t="shared" si="27"/>
        <v>.0021</v>
      </c>
      <c r="S164" s="373" t="str">
        <f t="shared" ref="S164:S166" si="30">CONCATENATE(K164)</f>
        <v>SUELO CEMENTO</v>
      </c>
    </row>
    <row r="165" spans="1:19" x14ac:dyDescent="0.2">
      <c r="A165" s="379">
        <v>22</v>
      </c>
      <c r="B165" s="380" t="str">
        <f t="shared" si="25"/>
        <v>II-0014.0022</v>
      </c>
      <c r="C165" s="373" t="str">
        <f t="shared" si="29"/>
        <v>SUELO ESCORIA</v>
      </c>
      <c r="D165" s="396" t="s">
        <v>1171</v>
      </c>
      <c r="G165" s="373"/>
      <c r="H165" s="390"/>
      <c r="I165" s="391" t="s">
        <v>1175</v>
      </c>
      <c r="J165" s="438"/>
      <c r="K165" s="505" t="s">
        <v>1320</v>
      </c>
      <c r="L165" s="438"/>
      <c r="M165" s="438"/>
      <c r="N165" s="438"/>
      <c r="O165" s="473" t="s">
        <v>1171</v>
      </c>
      <c r="P165" s="373"/>
      <c r="Q165" s="388">
        <v>22</v>
      </c>
      <c r="R165" s="380" t="str">
        <f t="shared" si="27"/>
        <v>.0022</v>
      </c>
      <c r="S165" s="373" t="str">
        <f t="shared" si="30"/>
        <v>SUELO ESCORIA</v>
      </c>
    </row>
    <row r="166" spans="1:19" x14ac:dyDescent="0.2">
      <c r="A166" s="379">
        <v>23</v>
      </c>
      <c r="B166" s="380" t="str">
        <f t="shared" si="25"/>
        <v>II-0014.0023</v>
      </c>
      <c r="C166" s="373" t="str">
        <f t="shared" si="29"/>
        <v>SUELO SELECCIONADO</v>
      </c>
      <c r="D166" s="396" t="s">
        <v>1171</v>
      </c>
      <c r="G166" s="373"/>
      <c r="H166" s="390"/>
      <c r="I166" s="398" t="s">
        <v>901</v>
      </c>
      <c r="J166" s="399"/>
      <c r="K166" s="477" t="s">
        <v>1261</v>
      </c>
      <c r="L166" s="399"/>
      <c r="M166" s="399"/>
      <c r="N166" s="399"/>
      <c r="O166" s="432" t="s">
        <v>1171</v>
      </c>
      <c r="P166" s="373"/>
      <c r="Q166" s="388">
        <v>23</v>
      </c>
      <c r="R166" s="380" t="str">
        <f t="shared" si="27"/>
        <v>.0023</v>
      </c>
      <c r="S166" s="373" t="str">
        <f t="shared" si="30"/>
        <v>SUELO SELECCIONADO</v>
      </c>
    </row>
    <row r="167" spans="1:19" ht="15.75" thickBot="1" x14ac:dyDescent="0.25">
      <c r="A167" s="379"/>
      <c r="B167" s="380"/>
      <c r="C167" s="381"/>
      <c r="D167" s="396"/>
      <c r="G167" s="373"/>
      <c r="H167" s="390"/>
      <c r="I167" s="397"/>
      <c r="J167" s="399"/>
      <c r="K167" s="477"/>
      <c r="L167" s="399"/>
      <c r="M167" s="399"/>
      <c r="N167" s="399"/>
      <c r="O167" s="432"/>
      <c r="P167" s="373"/>
      <c r="Q167" s="388"/>
      <c r="R167" s="380"/>
      <c r="S167" s="373"/>
    </row>
    <row r="168" spans="1:19" ht="15.75" thickTop="1" x14ac:dyDescent="0.2">
      <c r="A168" s="379">
        <v>15</v>
      </c>
      <c r="B168" s="380" t="s">
        <v>1321</v>
      </c>
      <c r="C168" s="381" t="s">
        <v>1322</v>
      </c>
      <c r="D168" s="396"/>
      <c r="G168" s="373"/>
      <c r="H168" s="468">
        <v>15</v>
      </c>
      <c r="I168" s="418"/>
      <c r="J168" s="478"/>
      <c r="K168" s="479" t="s">
        <v>1322</v>
      </c>
      <c r="L168" s="478"/>
      <c r="M168" s="478"/>
      <c r="N168" s="478"/>
      <c r="O168" s="420"/>
      <c r="P168" s="373"/>
      <c r="Q168" s="388">
        <f>H168</f>
        <v>15</v>
      </c>
      <c r="R168" s="378" t="str">
        <f>CONCATENATE("II-",TEXT(Q168,"0000"))</f>
        <v>II-0015</v>
      </c>
      <c r="S168" s="389" t="str">
        <f>K168</f>
        <v>CALZADA</v>
      </c>
    </row>
    <row r="169" spans="1:19" x14ac:dyDescent="0.2">
      <c r="A169" s="379"/>
      <c r="B169" s="380"/>
      <c r="C169" s="381"/>
      <c r="D169" s="396"/>
      <c r="G169" s="373"/>
      <c r="H169" s="390"/>
      <c r="I169" s="391" t="s">
        <v>1060</v>
      </c>
      <c r="J169" s="399"/>
      <c r="K169" s="400" t="s">
        <v>1323</v>
      </c>
      <c r="L169" s="394"/>
      <c r="M169" s="394"/>
      <c r="N169" s="394"/>
      <c r="O169" s="442"/>
      <c r="P169" s="373"/>
      <c r="Q169" s="388"/>
      <c r="R169" s="373"/>
      <c r="S169" s="373"/>
    </row>
    <row r="170" spans="1:19" x14ac:dyDescent="0.2">
      <c r="A170" s="379">
        <v>1</v>
      </c>
      <c r="B170" s="380" t="str">
        <f>CONCATENATE($B$168,".",TEXT(A170,"0000"))</f>
        <v>II-0015.0001</v>
      </c>
      <c r="C170" s="373" t="str">
        <f>CONCATENATE($K$169," ",L170)</f>
        <v>CORRECCION DE AHUELLAMIENTO AGREGADO PETREO Y SUELO</v>
      </c>
      <c r="D170" s="396" t="s">
        <v>1254</v>
      </c>
      <c r="G170" s="373"/>
      <c r="H170" s="390"/>
      <c r="I170" s="397"/>
      <c r="J170" s="398">
        <v>1</v>
      </c>
      <c r="K170" s="399"/>
      <c r="L170" s="477" t="s">
        <v>1319</v>
      </c>
      <c r="M170" s="399"/>
      <c r="N170" s="399"/>
      <c r="O170" s="432" t="s">
        <v>1254</v>
      </c>
      <c r="P170" s="373"/>
      <c r="Q170" s="388"/>
      <c r="R170" s="373"/>
      <c r="S170" s="373"/>
    </row>
    <row r="171" spans="1:19" x14ac:dyDescent="0.2">
      <c r="A171" s="379">
        <v>2</v>
      </c>
      <c r="B171" s="380" t="str">
        <f t="shared" ref="B171:B180" si="31">CONCATENATE($B$168,".",TEXT(A171,"0000"))</f>
        <v>II-0015.0002</v>
      </c>
      <c r="C171" s="373" t="str">
        <f t="shared" ref="C171:C174" si="32">CONCATENATE($K$169," ",L171)</f>
        <v>CORRECCION DE AHUELLAMIENTO FRESADO</v>
      </c>
      <c r="D171" s="396" t="s">
        <v>1254</v>
      </c>
      <c r="G171" s="373"/>
      <c r="H171" s="390"/>
      <c r="I171" s="397"/>
      <c r="J171" s="398">
        <v>2</v>
      </c>
      <c r="K171" s="400"/>
      <c r="L171" s="389" t="s">
        <v>1324</v>
      </c>
      <c r="M171" s="476"/>
      <c r="N171" s="476"/>
      <c r="O171" s="432" t="s">
        <v>1254</v>
      </c>
      <c r="P171" s="373"/>
      <c r="Q171" s="388"/>
      <c r="R171" s="373"/>
      <c r="S171" s="373"/>
    </row>
    <row r="172" spans="1:19" x14ac:dyDescent="0.2">
      <c r="A172" s="379">
        <v>3</v>
      </c>
      <c r="B172" s="380" t="str">
        <f t="shared" si="31"/>
        <v>II-0015.0003</v>
      </c>
      <c r="C172" s="373" t="str">
        <f t="shared" si="32"/>
        <v>CORRECCION DE AHUELLAMIENTO MEZCLA ASFALTICA</v>
      </c>
      <c r="D172" s="396" t="s">
        <v>1254</v>
      </c>
      <c r="G172" s="373"/>
      <c r="H172" s="390"/>
      <c r="I172" s="397"/>
      <c r="J172" s="398">
        <v>3</v>
      </c>
      <c r="K172" s="400"/>
      <c r="L172" s="400" t="s">
        <v>1251</v>
      </c>
      <c r="M172" s="476"/>
      <c r="N172" s="476"/>
      <c r="O172" s="432" t="s">
        <v>1254</v>
      </c>
      <c r="P172" s="373"/>
      <c r="Q172" s="373"/>
      <c r="R172" s="373"/>
      <c r="S172" s="373"/>
    </row>
    <row r="173" spans="1:19" x14ac:dyDescent="0.2">
      <c r="A173" s="379">
        <v>4</v>
      </c>
      <c r="B173" s="380" t="str">
        <f t="shared" si="31"/>
        <v>II-0015.0004</v>
      </c>
      <c r="C173" s="373" t="str">
        <f t="shared" si="32"/>
        <v>CORRECCION DE AHUELLAMIENTO MICROAGLOMERADO</v>
      </c>
      <c r="D173" s="396" t="s">
        <v>1254</v>
      </c>
      <c r="G173" s="373"/>
      <c r="H173" s="390"/>
      <c r="I173" s="397"/>
      <c r="J173" s="488">
        <v>4</v>
      </c>
      <c r="K173" s="400"/>
      <c r="L173" s="400" t="s">
        <v>1325</v>
      </c>
      <c r="M173" s="399"/>
      <c r="N173" s="399"/>
      <c r="O173" s="432" t="s">
        <v>1254</v>
      </c>
      <c r="P173" s="373"/>
      <c r="Q173" s="373"/>
      <c r="R173" s="373"/>
      <c r="S173" s="373"/>
    </row>
    <row r="174" spans="1:19" x14ac:dyDescent="0.2">
      <c r="A174" s="379">
        <v>5</v>
      </c>
      <c r="B174" s="380" t="str">
        <f t="shared" si="31"/>
        <v>II-0015.0005</v>
      </c>
      <c r="C174" s="373" t="str">
        <f t="shared" si="32"/>
        <v>CORRECCION DE AHUELLAMIENTO SUELO CEMENTO</v>
      </c>
      <c r="D174" s="396" t="s">
        <v>1254</v>
      </c>
      <c r="G174" s="373"/>
      <c r="H174" s="390"/>
      <c r="I174" s="409"/>
      <c r="J174" s="489">
        <v>5</v>
      </c>
      <c r="K174" s="406"/>
      <c r="L174" s="406" t="s">
        <v>1258</v>
      </c>
      <c r="M174" s="405"/>
      <c r="N174" s="405"/>
      <c r="O174" s="451" t="s">
        <v>1254</v>
      </c>
      <c r="P174" s="373"/>
      <c r="Q174" s="373"/>
      <c r="R174" s="373"/>
      <c r="S174" s="373"/>
    </row>
    <row r="175" spans="1:19" x14ac:dyDescent="0.2">
      <c r="A175" s="379"/>
      <c r="B175" s="380"/>
      <c r="C175" s="381"/>
      <c r="D175" s="396"/>
      <c r="G175" s="373"/>
      <c r="H175" s="390"/>
      <c r="I175" s="391" t="s">
        <v>1087</v>
      </c>
      <c r="J175" s="396"/>
      <c r="K175" s="400" t="s">
        <v>1326</v>
      </c>
      <c r="L175" s="477"/>
      <c r="M175" s="399"/>
      <c r="N175" s="399"/>
      <c r="O175" s="432"/>
      <c r="P175" s="373"/>
      <c r="Q175" s="373"/>
      <c r="R175" s="373"/>
      <c r="S175" s="373"/>
    </row>
    <row r="176" spans="1:19" x14ac:dyDescent="0.2">
      <c r="A176" s="379">
        <v>11</v>
      </c>
      <c r="B176" s="380" t="str">
        <f t="shared" si="31"/>
        <v>II-0015.0011</v>
      </c>
      <c r="C176" s="373" t="str">
        <f>CONCATENATE($K$175," ",L176)</f>
        <v>CORRECCION DE DEPRESIONES Y DEFORMACIONES AGREGADO PETREO Y SUELO</v>
      </c>
      <c r="D176" s="396" t="s">
        <v>1171</v>
      </c>
      <c r="G176" s="373"/>
      <c r="H176" s="390"/>
      <c r="I176" s="397"/>
      <c r="J176" s="398">
        <v>1</v>
      </c>
      <c r="K176" s="400"/>
      <c r="L176" s="477" t="s">
        <v>1319</v>
      </c>
      <c r="M176" s="476"/>
      <c r="N176" s="476"/>
      <c r="O176" s="432" t="s">
        <v>1171</v>
      </c>
      <c r="P176" s="373"/>
      <c r="Q176" s="373"/>
      <c r="R176" s="373"/>
      <c r="S176" s="373"/>
    </row>
    <row r="177" spans="1:19" x14ac:dyDescent="0.2">
      <c r="A177" s="379">
        <v>12</v>
      </c>
      <c r="B177" s="380" t="str">
        <f t="shared" si="31"/>
        <v>II-0015.0012</v>
      </c>
      <c r="C177" s="373" t="str">
        <f t="shared" ref="C177:C180" si="33">CONCATENATE($K$175," ",L177)</f>
        <v>CORRECCION DE DEPRESIONES Y DEFORMACIONES SUELO CAL</v>
      </c>
      <c r="D177" s="396" t="s">
        <v>1171</v>
      </c>
      <c r="G177" s="373"/>
      <c r="H177" s="390"/>
      <c r="I177" s="397"/>
      <c r="J177" s="398">
        <v>2</v>
      </c>
      <c r="K177" s="400"/>
      <c r="L177" s="477" t="s">
        <v>1255</v>
      </c>
      <c r="M177" s="476"/>
      <c r="N177" s="476"/>
      <c r="O177" s="432" t="s">
        <v>1171</v>
      </c>
      <c r="P177" s="373"/>
      <c r="Q177" s="373"/>
      <c r="R177" s="373"/>
      <c r="S177" s="373"/>
    </row>
    <row r="178" spans="1:19" x14ac:dyDescent="0.2">
      <c r="A178" s="379">
        <v>13</v>
      </c>
      <c r="B178" s="380" t="str">
        <f t="shared" si="31"/>
        <v>II-0015.0013</v>
      </c>
      <c r="C178" s="373" t="str">
        <f t="shared" si="33"/>
        <v>CORRECCION DE DEPRESIONES Y DEFORMACIONES SUELO CEMENTO</v>
      </c>
      <c r="D178" s="396" t="s">
        <v>1171</v>
      </c>
      <c r="G178" s="373"/>
      <c r="H178" s="390"/>
      <c r="I178" s="397"/>
      <c r="J178" s="398">
        <v>3</v>
      </c>
      <c r="K178" s="400"/>
      <c r="L178" s="477" t="s">
        <v>1258</v>
      </c>
      <c r="M178" s="476"/>
      <c r="N178" s="476"/>
      <c r="O178" s="432" t="s">
        <v>1171</v>
      </c>
      <c r="P178" s="373"/>
      <c r="Q178" s="373"/>
      <c r="R178" s="373"/>
      <c r="S178" s="373"/>
    </row>
    <row r="179" spans="1:19" x14ac:dyDescent="0.2">
      <c r="A179" s="379">
        <v>14</v>
      </c>
      <c r="B179" s="380" t="str">
        <f t="shared" si="31"/>
        <v>II-0015.0014</v>
      </c>
      <c r="C179" s="373" t="str">
        <f t="shared" si="33"/>
        <v>CORRECCION DE DEPRESIONES Y DEFORMACIONES SUELO ESCORIA</v>
      </c>
      <c r="D179" s="396" t="s">
        <v>1171</v>
      </c>
      <c r="G179" s="373"/>
      <c r="H179" s="390"/>
      <c r="I179" s="397"/>
      <c r="J179" s="488">
        <v>4</v>
      </c>
      <c r="K179" s="400"/>
      <c r="L179" s="477" t="s">
        <v>1320</v>
      </c>
      <c r="M179" s="399"/>
      <c r="N179" s="399"/>
      <c r="O179" s="432" t="s">
        <v>1171</v>
      </c>
      <c r="P179" s="373"/>
      <c r="Q179" s="373"/>
      <c r="R179" s="373"/>
      <c r="S179" s="373"/>
    </row>
    <row r="180" spans="1:19" x14ac:dyDescent="0.2">
      <c r="A180" s="379">
        <v>15</v>
      </c>
      <c r="B180" s="380" t="str">
        <f t="shared" si="31"/>
        <v>II-0015.0015</v>
      </c>
      <c r="C180" s="373" t="str">
        <f t="shared" si="33"/>
        <v>CORRECCION DE DEPRESIONES Y DEFORMACIONES SUELO SELECCIONADO</v>
      </c>
      <c r="D180" s="396" t="s">
        <v>1171</v>
      </c>
      <c r="G180" s="373"/>
      <c r="H180" s="390"/>
      <c r="I180" s="409"/>
      <c r="J180" s="489">
        <v>5</v>
      </c>
      <c r="K180" s="406"/>
      <c r="L180" s="490" t="s">
        <v>1261</v>
      </c>
      <c r="M180" s="405"/>
      <c r="N180" s="405"/>
      <c r="O180" s="451" t="s">
        <v>1171</v>
      </c>
      <c r="P180" s="373"/>
      <c r="Q180" s="373"/>
      <c r="R180" s="373"/>
      <c r="S180" s="373"/>
    </row>
    <row r="181" spans="1:19" ht="15.75" thickBot="1" x14ac:dyDescent="0.25">
      <c r="A181" s="379"/>
      <c r="B181" s="402"/>
      <c r="C181" s="403"/>
      <c r="D181" s="396" t="s">
        <v>1030</v>
      </c>
      <c r="G181" s="373"/>
      <c r="H181" s="410"/>
      <c r="I181" s="422" t="s">
        <v>1123</v>
      </c>
      <c r="J181" s="494"/>
      <c r="K181" s="414" t="s">
        <v>1327</v>
      </c>
      <c r="L181" s="496"/>
      <c r="M181" s="413"/>
      <c r="N181" s="413"/>
      <c r="O181" s="498" t="s">
        <v>1030</v>
      </c>
      <c r="P181" s="373"/>
      <c r="Q181" s="373"/>
      <c r="R181" s="373"/>
      <c r="S181" s="373"/>
    </row>
    <row r="182" spans="1:19" ht="15.75" thickTop="1" x14ac:dyDescent="0.2">
      <c r="A182" s="379">
        <v>16</v>
      </c>
      <c r="B182" s="380" t="s">
        <v>1328</v>
      </c>
      <c r="C182" s="381" t="s">
        <v>1329</v>
      </c>
      <c r="D182" s="396"/>
      <c r="G182" s="373"/>
      <c r="H182" s="417">
        <v>16</v>
      </c>
      <c r="I182" s="419"/>
      <c r="J182" s="430"/>
      <c r="K182" s="487" t="s">
        <v>1329</v>
      </c>
      <c r="L182" s="430"/>
      <c r="M182" s="430"/>
      <c r="N182" s="430"/>
      <c r="O182" s="441"/>
      <c r="P182" s="373"/>
      <c r="Q182" s="388">
        <f>H182</f>
        <v>16</v>
      </c>
      <c r="R182" s="378" t="str">
        <f>CONCATENATE("II-",TEXT(Q182,"0000"))</f>
        <v>II-0016</v>
      </c>
      <c r="S182" s="389" t="str">
        <f>K182</f>
        <v>CAMARA DE INSPECCION</v>
      </c>
    </row>
    <row r="183" spans="1:19" ht="15.75" thickBot="1" x14ac:dyDescent="0.25">
      <c r="A183" s="379">
        <v>1</v>
      </c>
      <c r="B183" s="380" t="str">
        <f>CONCATENATE($B$182,".",TEXT(A183,"0000"))</f>
        <v>II-0016.0001</v>
      </c>
      <c r="C183" s="373" t="str">
        <f>CONCATENATE("S/PLANO ",K183)</f>
        <v>S/PLANO H-2465</v>
      </c>
      <c r="D183" s="396" t="s">
        <v>5</v>
      </c>
      <c r="G183" s="373"/>
      <c r="H183" s="421"/>
      <c r="I183" s="422" t="s">
        <v>1060</v>
      </c>
      <c r="J183" s="425"/>
      <c r="K183" s="461" t="s">
        <v>1330</v>
      </c>
      <c r="L183" s="425"/>
      <c r="M183" s="425"/>
      <c r="N183" s="425"/>
      <c r="O183" s="499" t="s">
        <v>5</v>
      </c>
      <c r="P183" s="373"/>
      <c r="Q183" s="373"/>
      <c r="R183" s="373"/>
      <c r="S183" s="373"/>
    </row>
    <row r="184" spans="1:19" ht="15.75" thickTop="1" x14ac:dyDescent="0.2">
      <c r="A184" s="379">
        <v>17</v>
      </c>
      <c r="B184" s="380" t="s">
        <v>1331</v>
      </c>
      <c r="C184" s="381" t="s">
        <v>1332</v>
      </c>
      <c r="D184" s="396"/>
      <c r="G184" s="373"/>
      <c r="H184" s="417">
        <v>17</v>
      </c>
      <c r="I184" s="419"/>
      <c r="J184" s="430"/>
      <c r="K184" s="487" t="s">
        <v>1332</v>
      </c>
      <c r="L184" s="430"/>
      <c r="M184" s="430"/>
      <c r="N184" s="430"/>
      <c r="O184" s="441"/>
      <c r="P184" s="373"/>
      <c r="Q184" s="388">
        <f>H184</f>
        <v>17</v>
      </c>
      <c r="R184" s="378" t="str">
        <f>CONCATENATE("II-",TEXT(Q184,"0000"))</f>
        <v>II-0017</v>
      </c>
      <c r="S184" s="389" t="str">
        <f>K184</f>
        <v>CARPETA</v>
      </c>
    </row>
    <row r="185" spans="1:19" x14ac:dyDescent="0.2">
      <c r="A185" s="379"/>
      <c r="B185" s="380"/>
      <c r="C185" s="381"/>
      <c r="D185" s="396"/>
      <c r="G185" s="373"/>
      <c r="H185" s="390"/>
      <c r="I185" s="391" t="s">
        <v>1060</v>
      </c>
      <c r="J185" s="396"/>
      <c r="K185" s="400" t="s">
        <v>1333</v>
      </c>
      <c r="L185" s="477"/>
      <c r="M185" s="399"/>
      <c r="N185" s="399"/>
      <c r="O185" s="432"/>
      <c r="P185" s="373"/>
      <c r="Q185" s="373"/>
      <c r="R185" s="373"/>
      <c r="S185" s="373"/>
    </row>
    <row r="186" spans="1:19" x14ac:dyDescent="0.2">
      <c r="A186" s="379">
        <v>1</v>
      </c>
      <c r="B186" s="380" t="str">
        <f>CONCATENATE($B$184,".",TEXT(A186,"0000"))</f>
        <v>II-0017.0001</v>
      </c>
      <c r="C186" s="373" t="str">
        <f>CONCATENATE($K$185," ",L186)</f>
        <v>MEZCLA BITUMINOSA DE CONCRETO ASFALTICO MEZCLA EN CALIENTE</v>
      </c>
      <c r="D186" s="396" t="s">
        <v>1254</v>
      </c>
      <c r="G186" s="373"/>
      <c r="H186" s="390"/>
      <c r="I186" s="397"/>
      <c r="J186" s="398">
        <v>1</v>
      </c>
      <c r="K186" s="400"/>
      <c r="L186" s="477" t="s">
        <v>1334</v>
      </c>
      <c r="M186" s="476"/>
      <c r="N186" s="399"/>
      <c r="O186" s="432" t="s">
        <v>1254</v>
      </c>
      <c r="P186" s="373"/>
      <c r="Q186" s="373"/>
      <c r="R186" s="373"/>
      <c r="S186" s="373"/>
    </row>
    <row r="187" spans="1:19" x14ac:dyDescent="0.2">
      <c r="A187" s="379">
        <v>2</v>
      </c>
      <c r="B187" s="380" t="str">
        <f t="shared" ref="B187:B191" si="34">CONCATENATE($B$184,".",TEXT(A187,"0000"))</f>
        <v>II-0017.0002</v>
      </c>
      <c r="C187" s="373" t="str">
        <f>CONCATENATE($K$185," ",L187)</f>
        <v>MEZCLA BITUMINOSA DE CONCRETO ASFALTICO MEZCLA EN FRIO</v>
      </c>
      <c r="D187" s="396" t="s">
        <v>1254</v>
      </c>
      <c r="G187" s="373"/>
      <c r="H187" s="390"/>
      <c r="I187" s="397"/>
      <c r="J187" s="404">
        <v>2</v>
      </c>
      <c r="K187" s="406"/>
      <c r="L187" s="406" t="s">
        <v>1335</v>
      </c>
      <c r="M187" s="405"/>
      <c r="N187" s="405"/>
      <c r="O187" s="451" t="s">
        <v>1254</v>
      </c>
      <c r="P187" s="373"/>
      <c r="Q187" s="373"/>
      <c r="R187" s="373"/>
      <c r="S187" s="373"/>
    </row>
    <row r="188" spans="1:19" x14ac:dyDescent="0.2">
      <c r="A188" s="379"/>
      <c r="B188" s="380"/>
      <c r="C188" s="381"/>
      <c r="D188" s="396"/>
      <c r="G188" s="373"/>
      <c r="H188" s="390"/>
      <c r="I188" s="391" t="s">
        <v>1087</v>
      </c>
      <c r="J188" s="396"/>
      <c r="K188" s="400" t="s">
        <v>1336</v>
      </c>
      <c r="L188" s="477"/>
      <c r="M188" s="399"/>
      <c r="N188" s="399"/>
      <c r="O188" s="432"/>
      <c r="P188" s="373"/>
      <c r="Q188" s="373"/>
      <c r="R188" s="373"/>
      <c r="S188" s="373"/>
    </row>
    <row r="189" spans="1:19" x14ac:dyDescent="0.2">
      <c r="A189" s="379">
        <v>11</v>
      </c>
      <c r="B189" s="380" t="str">
        <f t="shared" si="34"/>
        <v>II-0017.0011</v>
      </c>
      <c r="C189" s="373" t="str">
        <f>CONCATENATE($K$188," ",L189)</f>
        <v>CARPETA DE BAJO ESPESOR MEZCLA EN CALIENTE</v>
      </c>
      <c r="D189" s="396" t="s">
        <v>1254</v>
      </c>
      <c r="G189" s="373"/>
      <c r="H189" s="390"/>
      <c r="I189" s="397"/>
      <c r="J189" s="398">
        <v>1</v>
      </c>
      <c r="K189" s="400"/>
      <c r="L189" s="477" t="s">
        <v>1334</v>
      </c>
      <c r="M189" s="476"/>
      <c r="N189" s="476"/>
      <c r="O189" s="432" t="s">
        <v>1254</v>
      </c>
      <c r="P189" s="373"/>
      <c r="Q189" s="373"/>
      <c r="R189" s="373"/>
      <c r="S189" s="373"/>
    </row>
    <row r="190" spans="1:19" x14ac:dyDescent="0.2">
      <c r="A190" s="379">
        <v>12</v>
      </c>
      <c r="B190" s="380" t="str">
        <f t="shared" si="34"/>
        <v>II-0017.0012</v>
      </c>
      <c r="C190" s="373" t="str">
        <f t="shared" ref="C190:C191" si="35">CONCATENATE($K$188," ",L190)</f>
        <v>CARPETA DE BAJO ESPESOR MEZCLA EN FRIO</v>
      </c>
      <c r="D190" s="396" t="s">
        <v>1254</v>
      </c>
      <c r="G190" s="373"/>
      <c r="H190" s="390"/>
      <c r="I190" s="397"/>
      <c r="J190" s="398">
        <v>2</v>
      </c>
      <c r="K190" s="400"/>
      <c r="L190" s="477" t="s">
        <v>1335</v>
      </c>
      <c r="M190" s="476"/>
      <c r="N190" s="476"/>
      <c r="O190" s="432" t="s">
        <v>1254</v>
      </c>
      <c r="P190" s="373"/>
      <c r="Q190" s="373"/>
      <c r="R190" s="373"/>
      <c r="S190" s="373"/>
    </row>
    <row r="191" spans="1:19" ht="15.75" thickBot="1" x14ac:dyDescent="0.25">
      <c r="A191" s="379">
        <v>13</v>
      </c>
      <c r="B191" s="380" t="str">
        <f t="shared" si="34"/>
        <v>II-0017.0013</v>
      </c>
      <c r="C191" s="373" t="str">
        <f t="shared" si="35"/>
        <v>CARPETA DE BAJO ESPESOR MICROAGLOMERADO</v>
      </c>
      <c r="D191" s="396" t="s">
        <v>1254</v>
      </c>
      <c r="G191" s="373"/>
      <c r="H191" s="390"/>
      <c r="I191" s="397"/>
      <c r="J191" s="398">
        <v>3</v>
      </c>
      <c r="K191" s="400"/>
      <c r="L191" s="477" t="s">
        <v>1325</v>
      </c>
      <c r="M191" s="476"/>
      <c r="N191" s="476"/>
      <c r="O191" s="432" t="s">
        <v>1254</v>
      </c>
      <c r="P191" s="373"/>
      <c r="Q191" s="373"/>
      <c r="R191" s="373"/>
      <c r="S191" s="373"/>
    </row>
    <row r="192" spans="1:19" ht="15.75" thickTop="1" x14ac:dyDescent="0.2">
      <c r="A192" s="379">
        <v>18</v>
      </c>
      <c r="B192" s="380" t="s">
        <v>1337</v>
      </c>
      <c r="C192" s="381" t="s">
        <v>1338</v>
      </c>
      <c r="D192" s="396"/>
      <c r="G192" s="373"/>
      <c r="H192" s="468">
        <v>18</v>
      </c>
      <c r="I192" s="418"/>
      <c r="J192" s="478"/>
      <c r="K192" s="479" t="s">
        <v>1338</v>
      </c>
      <c r="L192" s="478"/>
      <c r="M192" s="478"/>
      <c r="N192" s="478"/>
      <c r="O192" s="420"/>
      <c r="P192" s="373"/>
      <c r="Q192" s="388">
        <f>H192</f>
        <v>18</v>
      </c>
      <c r="R192" s="378" t="str">
        <f>CONCATENATE("II-",TEXT(Q192,"0000"))</f>
        <v>II-0018</v>
      </c>
      <c r="S192" s="389" t="str">
        <f>K192</f>
        <v>COLCHONETA ( PIEDRA EMBOLSADA)</v>
      </c>
    </row>
    <row r="193" spans="1:19" x14ac:dyDescent="0.2">
      <c r="A193" s="379">
        <v>1</v>
      </c>
      <c r="B193" s="380" t="str">
        <f>CONCATENATE($B$192,".",TEXT(A193,"0000"))</f>
        <v>II-0018.0001</v>
      </c>
      <c r="C193" s="373" t="str">
        <f>CONCATENATE(K193," ",L193)</f>
        <v xml:space="preserve">ELECTROSOLDADA </v>
      </c>
      <c r="D193" s="396" t="s">
        <v>1171</v>
      </c>
      <c r="G193" s="373"/>
      <c r="H193" s="508"/>
      <c r="I193" s="391" t="s">
        <v>1060</v>
      </c>
      <c r="J193" s="438"/>
      <c r="K193" s="459" t="s">
        <v>1339</v>
      </c>
      <c r="L193" s="438"/>
      <c r="M193" s="438"/>
      <c r="N193" s="438"/>
      <c r="O193" s="473" t="s">
        <v>1171</v>
      </c>
      <c r="P193" s="373"/>
      <c r="Q193" s="373"/>
      <c r="R193" s="373"/>
      <c r="S193" s="373"/>
    </row>
    <row r="194" spans="1:19" x14ac:dyDescent="0.2">
      <c r="A194" s="379">
        <v>2</v>
      </c>
      <c r="B194" s="380" t="str">
        <f t="shared" ref="B194:B196" si="36">CONCATENATE($B$192,".",TEXT(A194,"0000"))</f>
        <v>II-0018.0002</v>
      </c>
      <c r="C194" s="373" t="str">
        <f t="shared" ref="C194:C196" si="37">CONCATENATE(K194," ",L194)</f>
        <v xml:space="preserve">MALLA HEXAGONAL </v>
      </c>
      <c r="D194" s="396" t="s">
        <v>1171</v>
      </c>
      <c r="G194" s="373"/>
      <c r="H194" s="453"/>
      <c r="I194" s="391" t="s">
        <v>1087</v>
      </c>
      <c r="J194" s="438"/>
      <c r="K194" s="459" t="s">
        <v>1340</v>
      </c>
      <c r="L194" s="438"/>
      <c r="M194" s="438"/>
      <c r="N194" s="438"/>
      <c r="O194" s="473" t="s">
        <v>1171</v>
      </c>
      <c r="P194" s="373"/>
      <c r="Q194" s="373"/>
      <c r="R194" s="373"/>
      <c r="S194" s="373"/>
    </row>
    <row r="195" spans="1:19" x14ac:dyDescent="0.2">
      <c r="A195" s="379">
        <v>3</v>
      </c>
      <c r="B195" s="380" t="str">
        <f t="shared" si="36"/>
        <v>II-0018.0003</v>
      </c>
      <c r="C195" s="373" t="str">
        <f t="shared" si="37"/>
        <v xml:space="preserve">REPARACION </v>
      </c>
      <c r="D195" s="396" t="s">
        <v>1171</v>
      </c>
      <c r="G195" s="373"/>
      <c r="H195" s="453"/>
      <c r="I195" s="391" t="s">
        <v>1097</v>
      </c>
      <c r="J195" s="438"/>
      <c r="K195" s="459" t="s">
        <v>1174</v>
      </c>
      <c r="L195" s="438"/>
      <c r="M195" s="438"/>
      <c r="N195" s="438"/>
      <c r="O195" s="473" t="s">
        <v>1171</v>
      </c>
      <c r="P195" s="373"/>
      <c r="Q195" s="373"/>
      <c r="R195" s="373"/>
      <c r="S195" s="373"/>
    </row>
    <row r="196" spans="1:19" x14ac:dyDescent="0.2">
      <c r="A196" s="379">
        <v>4</v>
      </c>
      <c r="B196" s="380" t="str">
        <f t="shared" si="36"/>
        <v>II-0018.0004</v>
      </c>
      <c r="C196" s="373" t="str">
        <f t="shared" si="37"/>
        <v xml:space="preserve">RETIRO  </v>
      </c>
      <c r="D196" s="396" t="s">
        <v>1171</v>
      </c>
      <c r="G196" s="373"/>
      <c r="H196" s="453"/>
      <c r="I196" s="391" t="s">
        <v>1123</v>
      </c>
      <c r="J196" s="438"/>
      <c r="K196" s="459" t="s">
        <v>1179</v>
      </c>
      <c r="L196" s="438"/>
      <c r="M196" s="438"/>
      <c r="N196" s="438"/>
      <c r="O196" s="473" t="s">
        <v>1171</v>
      </c>
      <c r="P196" s="373"/>
      <c r="Q196" s="373"/>
      <c r="R196" s="373"/>
      <c r="S196" s="373"/>
    </row>
    <row r="197" spans="1:19" ht="15.75" thickBot="1" x14ac:dyDescent="0.25">
      <c r="A197" s="379"/>
      <c r="B197" s="380"/>
      <c r="C197" s="381"/>
      <c r="D197" s="396" t="s">
        <v>1171</v>
      </c>
      <c r="G197" s="373"/>
      <c r="H197" s="460"/>
      <c r="I197" s="422" t="s">
        <v>1165</v>
      </c>
      <c r="J197" s="425"/>
      <c r="K197" s="461" t="s">
        <v>1297</v>
      </c>
      <c r="L197" s="425"/>
      <c r="M197" s="425"/>
      <c r="N197" s="425"/>
      <c r="O197" s="499" t="s">
        <v>1171</v>
      </c>
      <c r="P197" s="373"/>
      <c r="Q197" s="373"/>
      <c r="R197" s="373"/>
      <c r="S197" s="373"/>
    </row>
    <row r="198" spans="1:19" ht="15.75" thickTop="1" x14ac:dyDescent="0.2">
      <c r="A198" s="379">
        <v>19</v>
      </c>
      <c r="B198" s="380" t="s">
        <v>1341</v>
      </c>
      <c r="C198" s="381" t="s">
        <v>1342</v>
      </c>
      <c r="D198" s="396"/>
      <c r="G198" s="399"/>
      <c r="H198" s="417">
        <v>19</v>
      </c>
      <c r="I198" s="419"/>
      <c r="J198" s="430"/>
      <c r="K198" s="487" t="s">
        <v>1342</v>
      </c>
      <c r="L198" s="430"/>
      <c r="M198" s="430"/>
      <c r="N198" s="430"/>
      <c r="O198" s="441"/>
      <c r="P198" s="399"/>
      <c r="Q198" s="388">
        <f>H198</f>
        <v>19</v>
      </c>
      <c r="R198" s="378" t="str">
        <f>CONCATENATE("II-",TEXT(Q198,"0000"))</f>
        <v>II-0019</v>
      </c>
      <c r="S198" s="389" t="str">
        <f>K198</f>
        <v>CORDONES</v>
      </c>
    </row>
    <row r="199" spans="1:19" x14ac:dyDescent="0.2">
      <c r="A199" s="379"/>
      <c r="B199" s="380"/>
      <c r="C199" s="381"/>
      <c r="D199" s="396"/>
      <c r="G199" s="399"/>
      <c r="H199" s="431"/>
      <c r="I199" s="391" t="s">
        <v>1060</v>
      </c>
      <c r="J199" s="397"/>
      <c r="K199" s="400" t="s">
        <v>1343</v>
      </c>
      <c r="L199" s="399"/>
      <c r="M199" s="399"/>
      <c r="N199" s="399"/>
      <c r="O199" s="432"/>
      <c r="P199" s="399"/>
      <c r="Q199" s="399"/>
      <c r="R199" s="399"/>
      <c r="S199" s="399"/>
    </row>
    <row r="200" spans="1:19" x14ac:dyDescent="0.2">
      <c r="A200" s="379">
        <v>1</v>
      </c>
      <c r="B200" s="381"/>
      <c r="C200" s="373" t="str">
        <f>CONCATENATE("S/PLANO ",$K$199," - TIPO ",L200 )</f>
        <v>S/PLANO H-8431 - TIPO A</v>
      </c>
      <c r="D200" s="396" t="s">
        <v>1296</v>
      </c>
      <c r="G200" s="373"/>
      <c r="H200" s="390"/>
      <c r="I200" s="397"/>
      <c r="J200" s="398">
        <v>1</v>
      </c>
      <c r="K200" s="399"/>
      <c r="L200" s="400" t="s">
        <v>1060</v>
      </c>
      <c r="M200" s="399"/>
      <c r="N200" s="399"/>
      <c r="O200" s="432" t="s">
        <v>1296</v>
      </c>
      <c r="P200" s="373"/>
      <c r="Q200" s="373"/>
      <c r="R200" s="373"/>
      <c r="S200" s="373"/>
    </row>
    <row r="201" spans="1:19" x14ac:dyDescent="0.2">
      <c r="A201" s="379">
        <v>2</v>
      </c>
      <c r="B201" s="380"/>
      <c r="C201" s="373" t="str">
        <f t="shared" ref="C201:C202" si="38">CONCATENATE("S/PLANO ",$K$199," - TIPO ",L201 )</f>
        <v>S/PLANO H-8431 - TIPO B</v>
      </c>
      <c r="D201" s="396" t="s">
        <v>1296</v>
      </c>
      <c r="G201" s="373"/>
      <c r="H201" s="390"/>
      <c r="I201" s="397"/>
      <c r="J201" s="398">
        <v>2</v>
      </c>
      <c r="K201" s="399"/>
      <c r="L201" s="400" t="s">
        <v>1087</v>
      </c>
      <c r="M201" s="399"/>
      <c r="N201" s="399"/>
      <c r="O201" s="432" t="s">
        <v>1296</v>
      </c>
      <c r="P201" s="373"/>
      <c r="Q201" s="373"/>
      <c r="R201" s="373"/>
      <c r="S201" s="373"/>
    </row>
    <row r="202" spans="1:19" ht="15.75" thickBot="1" x14ac:dyDescent="0.25">
      <c r="A202" s="379">
        <v>3</v>
      </c>
      <c r="B202" s="381"/>
      <c r="C202" s="373" t="str">
        <f t="shared" si="38"/>
        <v>S/PLANO H-8431 - TIPO C</v>
      </c>
      <c r="D202" s="396" t="s">
        <v>1296</v>
      </c>
      <c r="G202" s="373"/>
      <c r="H202" s="443"/>
      <c r="I202" s="444"/>
      <c r="J202" s="445">
        <v>3</v>
      </c>
      <c r="K202" s="446"/>
      <c r="L202" s="447" t="s">
        <v>1097</v>
      </c>
      <c r="M202" s="446"/>
      <c r="N202" s="446"/>
      <c r="O202" s="501" t="s">
        <v>1296</v>
      </c>
      <c r="P202" s="373"/>
      <c r="Q202" s="373"/>
      <c r="R202" s="373"/>
      <c r="S202" s="373"/>
    </row>
    <row r="203" spans="1:19" x14ac:dyDescent="0.2">
      <c r="A203" s="379"/>
      <c r="B203" s="380"/>
      <c r="C203" s="381"/>
      <c r="D203" s="396"/>
      <c r="G203" s="373"/>
      <c r="H203" s="377"/>
      <c r="I203" s="378"/>
      <c r="J203" s="373"/>
      <c r="K203" s="373"/>
      <c r="L203" s="373"/>
      <c r="M203" s="373"/>
      <c r="N203" s="373"/>
      <c r="O203" s="376"/>
      <c r="P203" s="373"/>
      <c r="Q203" s="373"/>
      <c r="R203" s="373"/>
      <c r="S203" s="373"/>
    </row>
    <row r="204" spans="1:19" x14ac:dyDescent="0.2">
      <c r="A204" s="379"/>
      <c r="B204" s="372"/>
      <c r="C204" s="381"/>
      <c r="D204" s="396"/>
      <c r="G204" s="399"/>
      <c r="H204" s="417">
        <v>19</v>
      </c>
      <c r="I204" s="419"/>
      <c r="J204" s="430"/>
      <c r="K204" s="487" t="s">
        <v>1342</v>
      </c>
      <c r="L204" s="430"/>
      <c r="M204" s="430"/>
      <c r="N204" s="430"/>
      <c r="O204" s="441"/>
      <c r="P204" s="399"/>
      <c r="Q204" s="399"/>
      <c r="R204" s="399"/>
      <c r="S204" s="399"/>
    </row>
    <row r="205" spans="1:19" x14ac:dyDescent="0.2">
      <c r="A205" s="379"/>
      <c r="B205" s="380"/>
      <c r="C205" s="381"/>
      <c r="D205" s="396"/>
      <c r="G205" s="476"/>
      <c r="H205" s="474"/>
      <c r="I205" s="391" t="s">
        <v>1060</v>
      </c>
      <c r="J205" s="397"/>
      <c r="K205" s="400" t="s">
        <v>1343</v>
      </c>
      <c r="L205" s="476"/>
      <c r="M205" s="476"/>
      <c r="N205" s="476"/>
      <c r="O205" s="463"/>
      <c r="P205" s="476"/>
      <c r="Q205" s="476"/>
      <c r="R205" s="476"/>
      <c r="S205" s="476"/>
    </row>
    <row r="206" spans="1:19" x14ac:dyDescent="0.2">
      <c r="A206" s="379"/>
      <c r="B206" s="372"/>
      <c r="C206" s="381"/>
      <c r="D206" s="396" t="s">
        <v>1296</v>
      </c>
      <c r="G206" s="373"/>
      <c r="H206" s="390"/>
      <c r="I206" s="397"/>
      <c r="J206" s="488">
        <v>4</v>
      </c>
      <c r="K206" s="399"/>
      <c r="L206" s="400" t="s">
        <v>1123</v>
      </c>
      <c r="M206" s="399"/>
      <c r="N206" s="399"/>
      <c r="O206" s="432" t="s">
        <v>1296</v>
      </c>
      <c r="P206" s="373"/>
      <c r="Q206" s="373"/>
      <c r="R206" s="373"/>
      <c r="S206" s="373"/>
    </row>
    <row r="207" spans="1:19" x14ac:dyDescent="0.2">
      <c r="A207" s="379"/>
      <c r="B207" s="380"/>
      <c r="C207" s="381"/>
      <c r="D207" s="396" t="s">
        <v>1296</v>
      </c>
      <c r="G207" s="373"/>
      <c r="H207" s="390"/>
      <c r="I207" s="397"/>
      <c r="J207" s="488">
        <v>5</v>
      </c>
      <c r="K207" s="399"/>
      <c r="L207" s="400" t="s">
        <v>1165</v>
      </c>
      <c r="M207" s="399"/>
      <c r="N207" s="399"/>
      <c r="O207" s="432" t="s">
        <v>1296</v>
      </c>
      <c r="P207" s="373"/>
      <c r="Q207" s="373"/>
      <c r="R207" s="373"/>
      <c r="S207" s="373"/>
    </row>
    <row r="208" spans="1:19" x14ac:dyDescent="0.2">
      <c r="A208" s="379"/>
      <c r="B208" s="372"/>
      <c r="C208" s="381"/>
      <c r="D208" s="396" t="s">
        <v>1296</v>
      </c>
      <c r="G208" s="373"/>
      <c r="H208" s="390"/>
      <c r="I208" s="397"/>
      <c r="J208" s="488">
        <v>6</v>
      </c>
      <c r="K208" s="399"/>
      <c r="L208" s="400" t="s">
        <v>1168</v>
      </c>
      <c r="M208" s="399"/>
      <c r="N208" s="399"/>
      <c r="O208" s="432" t="s">
        <v>1296</v>
      </c>
      <c r="P208" s="373"/>
      <c r="Q208" s="373"/>
      <c r="R208" s="373"/>
      <c r="S208" s="373"/>
    </row>
    <row r="209" spans="1:19" x14ac:dyDescent="0.2">
      <c r="A209" s="379"/>
      <c r="B209" s="372"/>
      <c r="C209" s="381"/>
      <c r="D209" s="396" t="s">
        <v>1296</v>
      </c>
      <c r="G209" s="373"/>
      <c r="H209" s="390"/>
      <c r="I209" s="397"/>
      <c r="J209" s="488">
        <v>7</v>
      </c>
      <c r="K209" s="399"/>
      <c r="L209" s="400" t="s">
        <v>1172</v>
      </c>
      <c r="M209" s="399"/>
      <c r="N209" s="399"/>
      <c r="O209" s="432" t="s">
        <v>1296</v>
      </c>
      <c r="P209" s="373"/>
      <c r="Q209" s="373"/>
      <c r="R209" s="373"/>
      <c r="S209" s="373"/>
    </row>
    <row r="210" spans="1:19" x14ac:dyDescent="0.2">
      <c r="A210" s="379"/>
      <c r="B210" s="402"/>
      <c r="C210" s="403"/>
      <c r="D210" s="396" t="s">
        <v>1296</v>
      </c>
      <c r="G210" s="373"/>
      <c r="H210" s="390"/>
      <c r="I210" s="397"/>
      <c r="J210" s="488">
        <v>8</v>
      </c>
      <c r="K210" s="399"/>
      <c r="L210" s="400" t="s">
        <v>1175</v>
      </c>
      <c r="M210" s="399"/>
      <c r="N210" s="399"/>
      <c r="O210" s="432" t="s">
        <v>1296</v>
      </c>
      <c r="P210" s="373"/>
      <c r="Q210" s="373"/>
      <c r="R210" s="373"/>
      <c r="S210" s="373"/>
    </row>
    <row r="211" spans="1:19" x14ac:dyDescent="0.2">
      <c r="A211" s="379"/>
      <c r="B211" s="380"/>
      <c r="C211" s="381"/>
      <c r="D211" s="396" t="s">
        <v>1296</v>
      </c>
      <c r="G211" s="373"/>
      <c r="H211" s="390"/>
      <c r="I211" s="397"/>
      <c r="J211" s="488">
        <v>9</v>
      </c>
      <c r="K211" s="399"/>
      <c r="L211" s="400" t="s">
        <v>901</v>
      </c>
      <c r="M211" s="399"/>
      <c r="N211" s="399"/>
      <c r="O211" s="432" t="s">
        <v>1296</v>
      </c>
      <c r="P211" s="373"/>
      <c r="Q211" s="373"/>
      <c r="R211" s="373"/>
      <c r="S211" s="373"/>
    </row>
    <row r="212" spans="1:19" x14ac:dyDescent="0.2">
      <c r="A212" s="379"/>
      <c r="B212" s="380"/>
      <c r="C212" s="381"/>
      <c r="D212" s="396" t="s">
        <v>1296</v>
      </c>
      <c r="G212" s="373"/>
      <c r="H212" s="390"/>
      <c r="I212" s="409"/>
      <c r="J212" s="489">
        <v>10</v>
      </c>
      <c r="K212" s="405"/>
      <c r="L212" s="406" t="s">
        <v>1180</v>
      </c>
      <c r="M212" s="405"/>
      <c r="N212" s="405"/>
      <c r="O212" s="451" t="s">
        <v>1296</v>
      </c>
      <c r="P212" s="373"/>
      <c r="Q212" s="373"/>
      <c r="R212" s="373"/>
      <c r="S212" s="373"/>
    </row>
    <row r="213" spans="1:19" x14ac:dyDescent="0.2">
      <c r="A213" s="379"/>
      <c r="B213" s="380"/>
      <c r="C213" s="381"/>
      <c r="D213" s="396" t="s">
        <v>1296</v>
      </c>
      <c r="G213" s="373"/>
      <c r="H213" s="390"/>
      <c r="I213" s="404" t="s">
        <v>1087</v>
      </c>
      <c r="J213" s="397"/>
      <c r="K213" s="400" t="s">
        <v>1344</v>
      </c>
      <c r="L213" s="399"/>
      <c r="M213" s="399"/>
      <c r="N213" s="399"/>
      <c r="O213" s="432" t="s">
        <v>1296</v>
      </c>
      <c r="P213" s="373"/>
      <c r="Q213" s="373"/>
      <c r="R213" s="373"/>
      <c r="S213" s="373"/>
    </row>
    <row r="214" spans="1:19" x14ac:dyDescent="0.2">
      <c r="A214" s="379"/>
      <c r="B214" s="380"/>
      <c r="C214" s="381"/>
      <c r="D214" s="396" t="s">
        <v>1296</v>
      </c>
      <c r="G214" s="373"/>
      <c r="H214" s="390"/>
      <c r="I214" s="397"/>
      <c r="J214" s="398">
        <v>1</v>
      </c>
      <c r="K214" s="399"/>
      <c r="L214" s="400" t="s">
        <v>1060</v>
      </c>
      <c r="M214" s="399"/>
      <c r="N214" s="399"/>
      <c r="O214" s="432" t="s">
        <v>1296</v>
      </c>
      <c r="P214" s="373"/>
      <c r="Q214" s="373"/>
      <c r="R214" s="373"/>
      <c r="S214" s="373"/>
    </row>
    <row r="215" spans="1:19" x14ac:dyDescent="0.2">
      <c r="A215" s="379"/>
      <c r="B215" s="380"/>
      <c r="C215" s="381"/>
      <c r="D215" s="396" t="s">
        <v>1296</v>
      </c>
      <c r="G215" s="373"/>
      <c r="H215" s="390"/>
      <c r="I215" s="397"/>
      <c r="J215" s="398">
        <v>2</v>
      </c>
      <c r="K215" s="399"/>
      <c r="L215" s="400" t="s">
        <v>1087</v>
      </c>
      <c r="M215" s="399"/>
      <c r="N215" s="399"/>
      <c r="O215" s="432" t="s">
        <v>1296</v>
      </c>
      <c r="P215" s="373"/>
      <c r="Q215" s="373"/>
      <c r="R215" s="373"/>
      <c r="S215" s="373"/>
    </row>
    <row r="216" spans="1:19" x14ac:dyDescent="0.2">
      <c r="A216" s="379"/>
      <c r="B216" s="372"/>
      <c r="C216" s="381"/>
      <c r="D216" s="396" t="s">
        <v>1296</v>
      </c>
      <c r="G216" s="373"/>
      <c r="H216" s="390"/>
      <c r="I216" s="397"/>
      <c r="J216" s="398">
        <v>3</v>
      </c>
      <c r="K216" s="399"/>
      <c r="L216" s="400" t="s">
        <v>1097</v>
      </c>
      <c r="M216" s="399"/>
      <c r="N216" s="399"/>
      <c r="O216" s="432" t="s">
        <v>1296</v>
      </c>
      <c r="P216" s="373"/>
      <c r="Q216" s="373"/>
      <c r="R216" s="373"/>
      <c r="S216" s="373"/>
    </row>
    <row r="217" spans="1:19" x14ac:dyDescent="0.2">
      <c r="A217" s="379"/>
      <c r="B217" s="402"/>
      <c r="C217" s="403"/>
      <c r="D217" s="396" t="s">
        <v>1296</v>
      </c>
      <c r="G217" s="373"/>
      <c r="H217" s="390"/>
      <c r="I217" s="397"/>
      <c r="J217" s="488">
        <v>4</v>
      </c>
      <c r="K217" s="399"/>
      <c r="L217" s="400" t="s">
        <v>1123</v>
      </c>
      <c r="M217" s="399"/>
      <c r="N217" s="399"/>
      <c r="O217" s="432" t="s">
        <v>1296</v>
      </c>
      <c r="P217" s="373"/>
      <c r="Q217" s="373"/>
      <c r="R217" s="373"/>
      <c r="S217" s="373"/>
    </row>
    <row r="218" spans="1:19" x14ac:dyDescent="0.2">
      <c r="A218" s="379"/>
      <c r="B218" s="380"/>
      <c r="C218" s="381"/>
      <c r="D218" s="396" t="s">
        <v>1296</v>
      </c>
      <c r="G218" s="373"/>
      <c r="H218" s="390"/>
      <c r="I218" s="373"/>
      <c r="J218" s="488">
        <v>5</v>
      </c>
      <c r="K218" s="399"/>
      <c r="L218" s="400" t="s">
        <v>1165</v>
      </c>
      <c r="M218" s="399"/>
      <c r="N218" s="399"/>
      <c r="O218" s="432" t="s">
        <v>1296</v>
      </c>
      <c r="P218" s="373"/>
      <c r="Q218" s="373"/>
      <c r="R218" s="373"/>
      <c r="S218" s="373"/>
    </row>
    <row r="219" spans="1:19" x14ac:dyDescent="0.2">
      <c r="A219" s="379"/>
      <c r="B219" s="380"/>
      <c r="C219" s="381"/>
      <c r="D219" s="396" t="s">
        <v>1296</v>
      </c>
      <c r="G219" s="373"/>
      <c r="H219" s="390"/>
      <c r="I219" s="373"/>
      <c r="J219" s="488">
        <v>6</v>
      </c>
      <c r="K219" s="399"/>
      <c r="L219" s="400" t="s">
        <v>1168</v>
      </c>
      <c r="M219" s="399"/>
      <c r="N219" s="399"/>
      <c r="O219" s="432" t="s">
        <v>1296</v>
      </c>
      <c r="P219" s="373"/>
      <c r="Q219" s="373"/>
      <c r="R219" s="373"/>
      <c r="S219" s="373"/>
    </row>
    <row r="220" spans="1:19" x14ac:dyDescent="0.2">
      <c r="A220" s="379"/>
      <c r="B220" s="372"/>
      <c r="C220" s="381"/>
      <c r="D220" s="396" t="s">
        <v>1296</v>
      </c>
      <c r="G220" s="373"/>
      <c r="H220" s="390"/>
      <c r="I220" s="397"/>
      <c r="J220" s="488">
        <v>7</v>
      </c>
      <c r="K220" s="399"/>
      <c r="L220" s="400" t="s">
        <v>1172</v>
      </c>
      <c r="M220" s="399"/>
      <c r="N220" s="399"/>
      <c r="O220" s="432" t="s">
        <v>1296</v>
      </c>
      <c r="P220" s="373"/>
      <c r="Q220" s="373"/>
      <c r="R220" s="373"/>
      <c r="S220" s="373"/>
    </row>
    <row r="221" spans="1:19" x14ac:dyDescent="0.2">
      <c r="A221" s="379"/>
      <c r="B221" s="372"/>
      <c r="C221" s="381"/>
      <c r="D221" s="396" t="s">
        <v>1296</v>
      </c>
      <c r="G221" s="373"/>
      <c r="H221" s="390"/>
      <c r="I221" s="397"/>
      <c r="J221" s="488">
        <v>8</v>
      </c>
      <c r="K221" s="399"/>
      <c r="L221" s="400" t="s">
        <v>1175</v>
      </c>
      <c r="M221" s="399"/>
      <c r="N221" s="399"/>
      <c r="O221" s="432" t="s">
        <v>1296</v>
      </c>
      <c r="P221" s="373"/>
      <c r="Q221" s="373"/>
      <c r="R221" s="373"/>
      <c r="S221" s="373"/>
    </row>
    <row r="222" spans="1:19" x14ac:dyDescent="0.2">
      <c r="A222" s="379"/>
      <c r="B222" s="372"/>
      <c r="C222" s="381"/>
      <c r="D222" s="396" t="s">
        <v>1296</v>
      </c>
      <c r="G222" s="373"/>
      <c r="H222" s="390"/>
      <c r="I222" s="397"/>
      <c r="J222" s="488">
        <v>9</v>
      </c>
      <c r="K222" s="399"/>
      <c r="L222" s="400" t="s">
        <v>901</v>
      </c>
      <c r="M222" s="399"/>
      <c r="N222" s="399"/>
      <c r="O222" s="432" t="s">
        <v>1296</v>
      </c>
      <c r="P222" s="373"/>
      <c r="Q222" s="373"/>
      <c r="R222" s="373"/>
      <c r="S222" s="373"/>
    </row>
    <row r="223" spans="1:19" x14ac:dyDescent="0.2">
      <c r="A223" s="379"/>
      <c r="B223" s="402"/>
      <c r="C223" s="403"/>
      <c r="D223" s="396" t="s">
        <v>1296</v>
      </c>
      <c r="G223" s="373"/>
      <c r="H223" s="390"/>
      <c r="I223" s="397"/>
      <c r="J223" s="489">
        <v>10</v>
      </c>
      <c r="K223" s="405"/>
      <c r="L223" s="400" t="s">
        <v>1180</v>
      </c>
      <c r="M223" s="399"/>
      <c r="N223" s="399"/>
      <c r="O223" s="432" t="s">
        <v>1296</v>
      </c>
      <c r="P223" s="373"/>
      <c r="Q223" s="373"/>
      <c r="R223" s="373"/>
      <c r="S223" s="373"/>
    </row>
    <row r="224" spans="1:19" x14ac:dyDescent="0.2">
      <c r="A224" s="379"/>
      <c r="B224" s="380"/>
      <c r="C224" s="381"/>
      <c r="D224" s="396" t="s">
        <v>1296</v>
      </c>
      <c r="G224" s="373"/>
      <c r="H224" s="390"/>
      <c r="I224" s="391" t="s">
        <v>1097</v>
      </c>
      <c r="J224" s="438"/>
      <c r="K224" s="406" t="s">
        <v>1345</v>
      </c>
      <c r="L224" s="438"/>
      <c r="M224" s="438"/>
      <c r="N224" s="438"/>
      <c r="O224" s="473" t="s">
        <v>1296</v>
      </c>
      <c r="P224" s="373"/>
      <c r="Q224" s="373"/>
      <c r="R224" s="373"/>
      <c r="S224" s="373"/>
    </row>
    <row r="225" spans="1:19" x14ac:dyDescent="0.2">
      <c r="A225" s="379"/>
      <c r="B225" s="380"/>
      <c r="C225" s="381"/>
      <c r="D225" s="396" t="s">
        <v>1296</v>
      </c>
      <c r="G225" s="373"/>
      <c r="H225" s="390"/>
      <c r="I225" s="391" t="s">
        <v>1123</v>
      </c>
      <c r="J225" s="438"/>
      <c r="K225" s="459" t="s">
        <v>1179</v>
      </c>
      <c r="L225" s="438"/>
      <c r="M225" s="438"/>
      <c r="N225" s="438"/>
      <c r="O225" s="432" t="s">
        <v>1296</v>
      </c>
      <c r="P225" s="373"/>
      <c r="Q225" s="373"/>
      <c r="R225" s="373"/>
      <c r="S225" s="373"/>
    </row>
    <row r="226" spans="1:19" ht="15.75" thickBot="1" x14ac:dyDescent="0.25">
      <c r="A226" s="379"/>
      <c r="B226" s="380"/>
      <c r="C226" s="381"/>
      <c r="D226" s="396" t="s">
        <v>1296</v>
      </c>
      <c r="G226" s="373"/>
      <c r="H226" s="410"/>
      <c r="I226" s="412" t="s">
        <v>1165</v>
      </c>
      <c r="J226" s="413"/>
      <c r="K226" s="414" t="s">
        <v>1346</v>
      </c>
      <c r="L226" s="413"/>
      <c r="M226" s="413"/>
      <c r="N226" s="413"/>
      <c r="O226" s="499" t="s">
        <v>1296</v>
      </c>
      <c r="P226" s="373"/>
      <c r="Q226" s="373"/>
      <c r="R226" s="373"/>
      <c r="S226" s="373"/>
    </row>
    <row r="227" spans="1:19" ht="16.5" thickTop="1" thickBot="1" x14ac:dyDescent="0.25">
      <c r="A227" s="379">
        <v>20</v>
      </c>
      <c r="B227" s="380" t="s">
        <v>1347</v>
      </c>
      <c r="C227" s="381" t="s">
        <v>1348</v>
      </c>
      <c r="D227" s="396" t="s">
        <v>1031</v>
      </c>
      <c r="G227" s="373"/>
      <c r="H227" s="509">
        <v>20</v>
      </c>
      <c r="I227" s="510"/>
      <c r="J227" s="511"/>
      <c r="K227" s="512" t="s">
        <v>1348</v>
      </c>
      <c r="L227" s="511"/>
      <c r="M227" s="511"/>
      <c r="N227" s="511"/>
      <c r="O227" s="513" t="s">
        <v>1031</v>
      </c>
      <c r="P227" s="373"/>
      <c r="Q227" s="388">
        <f>H227</f>
        <v>20</v>
      </c>
      <c r="R227" s="378" t="str">
        <f>CONCATENATE("II-",TEXT(Q227,"0000"))</f>
        <v>II-0020</v>
      </c>
      <c r="S227" s="389" t="str">
        <f>K227</f>
        <v>CORTE DE PASTO</v>
      </c>
    </row>
    <row r="228" spans="1:19" ht="15.75" thickTop="1" x14ac:dyDescent="0.2">
      <c r="A228" s="379">
        <v>21</v>
      </c>
      <c r="B228" s="380" t="s">
        <v>1349</v>
      </c>
      <c r="C228" s="381" t="s">
        <v>1350</v>
      </c>
      <c r="D228" s="396"/>
      <c r="G228" s="373"/>
      <c r="H228" s="468">
        <v>21</v>
      </c>
      <c r="I228" s="419"/>
      <c r="J228" s="430"/>
      <c r="K228" s="487" t="s">
        <v>1350</v>
      </c>
      <c r="L228" s="430"/>
      <c r="M228" s="430"/>
      <c r="N228" s="430"/>
      <c r="O228" s="441"/>
      <c r="P228" s="373"/>
      <c r="Q228" s="388">
        <f>H228</f>
        <v>21</v>
      </c>
      <c r="R228" s="378" t="str">
        <f>CONCATENATE("II-",TEXT(Q228,"0000"))</f>
        <v>II-0021</v>
      </c>
      <c r="S228" s="389" t="str">
        <f>K228</f>
        <v xml:space="preserve">CUNETA </v>
      </c>
    </row>
    <row r="229" spans="1:19" x14ac:dyDescent="0.2">
      <c r="A229" s="379"/>
      <c r="B229" s="380"/>
      <c r="C229" s="381"/>
      <c r="D229" s="396" t="s">
        <v>1171</v>
      </c>
      <c r="G229" s="452"/>
      <c r="H229" s="453"/>
      <c r="I229" s="454" t="s">
        <v>1060</v>
      </c>
      <c r="J229" s="491"/>
      <c r="K229" s="490" t="s">
        <v>1351</v>
      </c>
      <c r="L229" s="491"/>
      <c r="M229" s="491"/>
      <c r="N229" s="491"/>
      <c r="O229" s="457" t="s">
        <v>1171</v>
      </c>
      <c r="P229" s="452"/>
      <c r="Q229" s="452"/>
      <c r="R229" s="452"/>
      <c r="S229" s="452"/>
    </row>
    <row r="230" spans="1:19" x14ac:dyDescent="0.2">
      <c r="A230" s="379"/>
      <c r="B230" s="380"/>
      <c r="C230" s="381"/>
      <c r="D230" s="396" t="s">
        <v>1254</v>
      </c>
      <c r="G230" s="373"/>
      <c r="H230" s="453"/>
      <c r="I230" s="391" t="s">
        <v>1087</v>
      </c>
      <c r="J230" s="438"/>
      <c r="K230" s="459" t="s">
        <v>1174</v>
      </c>
      <c r="L230" s="438"/>
      <c r="M230" s="438"/>
      <c r="N230" s="438"/>
      <c r="O230" s="473" t="s">
        <v>1254</v>
      </c>
      <c r="P230" s="373"/>
      <c r="Q230" s="373"/>
      <c r="R230" s="373"/>
      <c r="S230" s="373"/>
    </row>
    <row r="231" spans="1:19" x14ac:dyDescent="0.2">
      <c r="A231" s="379"/>
      <c r="B231" s="380"/>
      <c r="C231" s="381"/>
      <c r="D231" s="396" t="s">
        <v>1296</v>
      </c>
      <c r="G231" s="373"/>
      <c r="H231" s="453"/>
      <c r="I231" s="391" t="s">
        <v>1097</v>
      </c>
      <c r="J231" s="438"/>
      <c r="K231" s="459" t="s">
        <v>1179</v>
      </c>
      <c r="L231" s="438"/>
      <c r="M231" s="438"/>
      <c r="N231" s="438"/>
      <c r="O231" s="473" t="s">
        <v>1296</v>
      </c>
      <c r="P231" s="373"/>
      <c r="Q231" s="373"/>
      <c r="R231" s="373"/>
      <c r="S231" s="373"/>
    </row>
    <row r="232" spans="1:19" x14ac:dyDescent="0.2">
      <c r="A232" s="379"/>
      <c r="B232" s="372"/>
      <c r="C232" s="381"/>
      <c r="D232" s="396" t="s">
        <v>1030</v>
      </c>
      <c r="G232" s="373"/>
      <c r="H232" s="453"/>
      <c r="I232" s="391" t="s">
        <v>1123</v>
      </c>
      <c r="J232" s="438"/>
      <c r="K232" s="459" t="s">
        <v>1235</v>
      </c>
      <c r="L232" s="438"/>
      <c r="M232" s="438"/>
      <c r="N232" s="438"/>
      <c r="O232" s="473" t="s">
        <v>1030</v>
      </c>
      <c r="P232" s="373"/>
      <c r="Q232" s="373"/>
      <c r="R232" s="373"/>
      <c r="S232" s="373"/>
    </row>
    <row r="233" spans="1:19" x14ac:dyDescent="0.2">
      <c r="A233" s="379"/>
      <c r="B233" s="372"/>
      <c r="C233" s="381"/>
      <c r="D233" s="396" t="s">
        <v>1171</v>
      </c>
      <c r="G233" s="373"/>
      <c r="H233" s="453"/>
      <c r="I233" s="391" t="s">
        <v>1165</v>
      </c>
      <c r="J233" s="438"/>
      <c r="K233" s="459" t="s">
        <v>1352</v>
      </c>
      <c r="L233" s="438"/>
      <c r="M233" s="438"/>
      <c r="N233" s="438"/>
      <c r="O233" s="473" t="s">
        <v>1171</v>
      </c>
      <c r="P233" s="373"/>
      <c r="Q233" s="373"/>
      <c r="R233" s="373"/>
      <c r="S233" s="373"/>
    </row>
    <row r="234" spans="1:19" ht="15.75" thickBot="1" x14ac:dyDescent="0.25">
      <c r="A234" s="379"/>
      <c r="B234" s="402"/>
      <c r="C234" s="403"/>
      <c r="D234" s="396" t="s">
        <v>1030</v>
      </c>
      <c r="G234" s="373"/>
      <c r="H234" s="460"/>
      <c r="I234" s="422" t="s">
        <v>1168</v>
      </c>
      <c r="J234" s="425"/>
      <c r="K234" s="461" t="s">
        <v>1353</v>
      </c>
      <c r="L234" s="425"/>
      <c r="M234" s="425"/>
      <c r="N234" s="425"/>
      <c r="O234" s="499" t="s">
        <v>1030</v>
      </c>
      <c r="P234" s="373"/>
      <c r="Q234" s="373"/>
      <c r="R234" s="373"/>
      <c r="S234" s="373"/>
    </row>
    <row r="235" spans="1:19" ht="16.5" thickTop="1" thickBot="1" x14ac:dyDescent="0.25">
      <c r="A235" s="379">
        <v>22</v>
      </c>
      <c r="B235" s="380" t="s">
        <v>1354</v>
      </c>
      <c r="C235" s="381" t="s">
        <v>1355</v>
      </c>
      <c r="D235" s="396" t="s">
        <v>5</v>
      </c>
      <c r="G235" s="373"/>
      <c r="H235" s="514">
        <v>22</v>
      </c>
      <c r="I235" s="515"/>
      <c r="J235" s="516"/>
      <c r="K235" s="517" t="s">
        <v>1355</v>
      </c>
      <c r="L235" s="516"/>
      <c r="M235" s="516"/>
      <c r="N235" s="516"/>
      <c r="O235" s="518" t="s">
        <v>5</v>
      </c>
      <c r="P235" s="373"/>
      <c r="Q235" s="388">
        <f>H235</f>
        <v>22</v>
      </c>
      <c r="R235" s="378" t="str">
        <f>CONCATENATE("II-",TEXT(Q235,"0000"))</f>
        <v>II-0022</v>
      </c>
      <c r="S235" s="389" t="str">
        <f>K235</f>
        <v>DARSENA DE DETENCION DE VEHICULOS</v>
      </c>
    </row>
    <row r="236" spans="1:19" ht="15.75" thickTop="1" x14ac:dyDescent="0.2">
      <c r="A236" s="379">
        <v>23</v>
      </c>
      <c r="B236" s="369" t="s">
        <v>1356</v>
      </c>
      <c r="C236" s="369" t="s">
        <v>1357</v>
      </c>
      <c r="D236" s="396"/>
      <c r="G236" s="373"/>
      <c r="H236" s="468">
        <v>23</v>
      </c>
      <c r="I236" s="418"/>
      <c r="J236" s="478"/>
      <c r="K236" s="479" t="s">
        <v>1357</v>
      </c>
      <c r="L236" s="478"/>
      <c r="M236" s="478"/>
      <c r="N236" s="478"/>
      <c r="O236" s="420"/>
      <c r="P236" s="373"/>
      <c r="Q236" s="388">
        <f>H236</f>
        <v>23</v>
      </c>
      <c r="R236" s="378" t="str">
        <f>CONCATENATE("II-",TEXT(Q236,"0000"))</f>
        <v>II-0023</v>
      </c>
      <c r="S236" s="389" t="str">
        <f>K236</f>
        <v>DEFENSA CAMINOS</v>
      </c>
    </row>
    <row r="237" spans="1:19" x14ac:dyDescent="0.2">
      <c r="A237" s="379"/>
      <c r="B237" s="369"/>
      <c r="C237" s="369"/>
      <c r="D237" s="396" t="s">
        <v>1254</v>
      </c>
      <c r="G237" s="373"/>
      <c r="H237" s="390"/>
      <c r="I237" s="391" t="s">
        <v>1060</v>
      </c>
      <c r="J237" s="438"/>
      <c r="K237" s="459" t="s">
        <v>1358</v>
      </c>
      <c r="L237" s="438"/>
      <c r="M237" s="438"/>
      <c r="N237" s="438"/>
      <c r="O237" s="473" t="s">
        <v>1254</v>
      </c>
      <c r="P237" s="373"/>
      <c r="Q237" s="373"/>
      <c r="R237" s="373"/>
      <c r="S237" s="373"/>
    </row>
    <row r="238" spans="1:19" x14ac:dyDescent="0.2">
      <c r="A238" s="379"/>
      <c r="B238" s="369"/>
      <c r="C238" s="369"/>
      <c r="D238" s="396" t="s">
        <v>1254</v>
      </c>
      <c r="G238" s="373"/>
      <c r="H238" s="390"/>
      <c r="I238" s="391" t="s">
        <v>1087</v>
      </c>
      <c r="J238" s="438"/>
      <c r="K238" s="459" t="s">
        <v>1359</v>
      </c>
      <c r="L238" s="438"/>
      <c r="M238" s="438"/>
      <c r="N238" s="438"/>
      <c r="O238" s="473" t="s">
        <v>1254</v>
      </c>
      <c r="P238" s="373"/>
      <c r="Q238" s="373"/>
      <c r="R238" s="373"/>
      <c r="S238" s="373"/>
    </row>
    <row r="239" spans="1:19" x14ac:dyDescent="0.2">
      <c r="A239" s="379"/>
      <c r="B239" s="369"/>
      <c r="C239" s="369"/>
      <c r="D239" s="396" t="s">
        <v>1254</v>
      </c>
      <c r="G239" s="373"/>
      <c r="H239" s="390"/>
      <c r="I239" s="391" t="s">
        <v>1097</v>
      </c>
      <c r="J239" s="438"/>
      <c r="K239" s="459" t="s">
        <v>1360</v>
      </c>
      <c r="L239" s="438"/>
      <c r="M239" s="438"/>
      <c r="N239" s="438"/>
      <c r="O239" s="473" t="s">
        <v>1254</v>
      </c>
      <c r="P239" s="373"/>
      <c r="Q239" s="373"/>
      <c r="R239" s="373"/>
      <c r="S239" s="373"/>
    </row>
    <row r="240" spans="1:19" x14ac:dyDescent="0.2">
      <c r="A240" s="379"/>
      <c r="B240" s="402"/>
      <c r="C240" s="403"/>
      <c r="D240" s="396" t="s">
        <v>1171</v>
      </c>
      <c r="G240" s="373"/>
      <c r="H240" s="390"/>
      <c r="I240" s="391" t="s">
        <v>1123</v>
      </c>
      <c r="J240" s="438"/>
      <c r="K240" s="459" t="s">
        <v>1361</v>
      </c>
      <c r="L240" s="438"/>
      <c r="M240" s="438"/>
      <c r="N240" s="438"/>
      <c r="O240" s="473" t="s">
        <v>1171</v>
      </c>
      <c r="P240" s="373"/>
      <c r="Q240" s="373"/>
      <c r="R240" s="373"/>
      <c r="S240" s="373"/>
    </row>
    <row r="241" spans="1:19" x14ac:dyDescent="0.2">
      <c r="A241" s="379"/>
      <c r="B241" s="380"/>
      <c r="C241" s="381"/>
      <c r="D241" s="396" t="s">
        <v>1171</v>
      </c>
      <c r="G241" s="373"/>
      <c r="H241" s="390"/>
      <c r="I241" s="391" t="s">
        <v>1165</v>
      </c>
      <c r="J241" s="438"/>
      <c r="K241" s="459" t="s">
        <v>1174</v>
      </c>
      <c r="L241" s="438"/>
      <c r="M241" s="438"/>
      <c r="N241" s="438"/>
      <c r="O241" s="473" t="s">
        <v>1171</v>
      </c>
      <c r="P241" s="373"/>
      <c r="Q241" s="373"/>
      <c r="R241" s="373"/>
      <c r="S241" s="373"/>
    </row>
    <row r="242" spans="1:19" x14ac:dyDescent="0.2">
      <c r="A242" s="379"/>
      <c r="B242" s="380"/>
      <c r="C242" s="381"/>
      <c r="D242" s="396" t="s">
        <v>1171</v>
      </c>
      <c r="G242" s="373"/>
      <c r="H242" s="390"/>
      <c r="I242" s="391" t="s">
        <v>1168</v>
      </c>
      <c r="J242" s="438"/>
      <c r="K242" s="459" t="s">
        <v>1129</v>
      </c>
      <c r="L242" s="438"/>
      <c r="M242" s="438"/>
      <c r="N242" s="438"/>
      <c r="O242" s="473" t="s">
        <v>1171</v>
      </c>
      <c r="P242" s="373"/>
      <c r="Q242" s="373"/>
      <c r="R242" s="373"/>
      <c r="S242" s="373"/>
    </row>
    <row r="243" spans="1:19" x14ac:dyDescent="0.2">
      <c r="A243" s="379"/>
      <c r="B243" s="380"/>
      <c r="C243" s="381"/>
      <c r="D243" s="396" t="s">
        <v>1171</v>
      </c>
      <c r="G243" s="373"/>
      <c r="H243" s="390"/>
      <c r="I243" s="391" t="s">
        <v>1172</v>
      </c>
      <c r="J243" s="438"/>
      <c r="K243" s="459" t="s">
        <v>1177</v>
      </c>
      <c r="L243" s="438"/>
      <c r="M243" s="438"/>
      <c r="N243" s="438"/>
      <c r="O243" s="473" t="s">
        <v>1171</v>
      </c>
      <c r="P243" s="373"/>
      <c r="Q243" s="373"/>
      <c r="R243" s="373"/>
      <c r="S243" s="373"/>
    </row>
    <row r="244" spans="1:19" ht="15.75" thickBot="1" x14ac:dyDescent="0.25">
      <c r="A244" s="379"/>
      <c r="B244" s="380"/>
      <c r="C244" s="381"/>
      <c r="D244" s="396" t="s">
        <v>1171</v>
      </c>
      <c r="G244" s="373"/>
      <c r="H244" s="410"/>
      <c r="I244" s="422" t="s">
        <v>1175</v>
      </c>
      <c r="J244" s="425"/>
      <c r="K244" s="461" t="s">
        <v>1362</v>
      </c>
      <c r="L244" s="425"/>
      <c r="M244" s="425"/>
      <c r="N244" s="425"/>
      <c r="O244" s="499" t="s">
        <v>1171</v>
      </c>
      <c r="P244" s="373"/>
      <c r="Q244" s="373"/>
      <c r="R244" s="373"/>
      <c r="S244" s="373"/>
    </row>
    <row r="245" spans="1:19" ht="15.75" thickTop="1" x14ac:dyDescent="0.2">
      <c r="A245" s="379">
        <v>24</v>
      </c>
      <c r="B245" s="372" t="s">
        <v>1363</v>
      </c>
      <c r="C245" s="381" t="s">
        <v>1364</v>
      </c>
      <c r="D245" s="396"/>
      <c r="G245" s="373"/>
      <c r="H245" s="468">
        <v>24</v>
      </c>
      <c r="I245" s="418"/>
      <c r="J245" s="478"/>
      <c r="K245" s="479" t="s">
        <v>1364</v>
      </c>
      <c r="L245" s="478"/>
      <c r="M245" s="478"/>
      <c r="N245" s="478"/>
      <c r="O245" s="420"/>
      <c r="P245" s="373"/>
      <c r="Q245" s="388">
        <f>H245</f>
        <v>24</v>
      </c>
      <c r="R245" s="378" t="str">
        <f>CONCATENATE("II-",TEXT(Q245,"0000"))</f>
        <v>II-0024</v>
      </c>
      <c r="S245" s="389" t="str">
        <f>K245</f>
        <v>DEFENSA DE MARGENES</v>
      </c>
    </row>
    <row r="246" spans="1:19" x14ac:dyDescent="0.2">
      <c r="A246" s="379"/>
      <c r="B246" s="372"/>
      <c r="C246" s="381"/>
      <c r="D246" s="396" t="s">
        <v>1254</v>
      </c>
      <c r="G246" s="373"/>
      <c r="H246" s="390"/>
      <c r="I246" s="391" t="s">
        <v>1060</v>
      </c>
      <c r="J246" s="438"/>
      <c r="K246" s="459" t="s">
        <v>1365</v>
      </c>
      <c r="L246" s="438"/>
      <c r="M246" s="438"/>
      <c r="N246" s="438"/>
      <c r="O246" s="473" t="s">
        <v>1254</v>
      </c>
      <c r="P246" s="373"/>
      <c r="Q246" s="373"/>
      <c r="R246" s="373"/>
      <c r="S246" s="373"/>
    </row>
    <row r="247" spans="1:19" x14ac:dyDescent="0.2">
      <c r="A247" s="379"/>
      <c r="B247" s="402"/>
      <c r="C247" s="403"/>
      <c r="D247" s="396" t="s">
        <v>1171</v>
      </c>
      <c r="G247" s="373"/>
      <c r="H247" s="390"/>
      <c r="I247" s="391" t="s">
        <v>1087</v>
      </c>
      <c r="J247" s="438"/>
      <c r="K247" s="459" t="s">
        <v>1366</v>
      </c>
      <c r="L247" s="438"/>
      <c r="M247" s="438"/>
      <c r="N247" s="438"/>
      <c r="O247" s="473" t="s">
        <v>1171</v>
      </c>
      <c r="P247" s="373"/>
      <c r="Q247" s="373"/>
      <c r="R247" s="373"/>
      <c r="S247" s="373"/>
    </row>
    <row r="248" spans="1:19" x14ac:dyDescent="0.2">
      <c r="A248" s="379"/>
      <c r="B248" s="380"/>
      <c r="C248" s="381"/>
      <c r="D248" s="396" t="s">
        <v>1171</v>
      </c>
      <c r="G248" s="373"/>
      <c r="H248" s="390"/>
      <c r="I248" s="404" t="s">
        <v>1097</v>
      </c>
      <c r="J248" s="405"/>
      <c r="K248" s="406" t="s">
        <v>1367</v>
      </c>
      <c r="L248" s="405"/>
      <c r="M248" s="405"/>
      <c r="N248" s="405"/>
      <c r="O248" s="451" t="s">
        <v>1171</v>
      </c>
      <c r="P248" s="373"/>
      <c r="Q248" s="373"/>
      <c r="R248" s="373"/>
      <c r="S248" s="373"/>
    </row>
    <row r="249" spans="1:19" x14ac:dyDescent="0.2">
      <c r="A249" s="379"/>
      <c r="B249" s="380"/>
      <c r="C249" s="381"/>
      <c r="D249" s="396" t="s">
        <v>1171</v>
      </c>
      <c r="G249" s="373"/>
      <c r="H249" s="390"/>
      <c r="I249" s="391" t="s">
        <v>1123</v>
      </c>
      <c r="J249" s="438"/>
      <c r="K249" s="459" t="s">
        <v>1368</v>
      </c>
      <c r="L249" s="438"/>
      <c r="M249" s="438"/>
      <c r="N249" s="438"/>
      <c r="O249" s="473" t="s">
        <v>1171</v>
      </c>
      <c r="P249" s="373"/>
      <c r="Q249" s="373"/>
      <c r="R249" s="373"/>
      <c r="S249" s="373"/>
    </row>
    <row r="250" spans="1:19" ht="15.75" thickBot="1" x14ac:dyDescent="0.25">
      <c r="A250" s="379"/>
      <c r="B250" s="380"/>
      <c r="C250" s="381"/>
      <c r="D250" s="396" t="s">
        <v>1030</v>
      </c>
      <c r="G250" s="373"/>
      <c r="H250" s="443"/>
      <c r="I250" s="500" t="s">
        <v>1165</v>
      </c>
      <c r="J250" s="519"/>
      <c r="K250" s="520" t="s">
        <v>1369</v>
      </c>
      <c r="L250" s="519"/>
      <c r="M250" s="519"/>
      <c r="N250" s="519"/>
      <c r="O250" s="521" t="s">
        <v>1030</v>
      </c>
      <c r="P250" s="373"/>
      <c r="Q250" s="373"/>
      <c r="R250" s="373"/>
      <c r="S250" s="373"/>
    </row>
    <row r="251" spans="1:19" x14ac:dyDescent="0.2">
      <c r="A251" s="379"/>
      <c r="B251" s="380"/>
      <c r="C251" s="381"/>
      <c r="D251" s="396"/>
      <c r="G251" s="399"/>
      <c r="H251" s="449"/>
      <c r="I251" s="397"/>
      <c r="J251" s="399"/>
      <c r="K251" s="400"/>
      <c r="L251" s="399"/>
      <c r="M251" s="399"/>
      <c r="N251" s="399"/>
      <c r="O251" s="507"/>
      <c r="P251" s="399"/>
      <c r="Q251" s="399"/>
      <c r="R251" s="399"/>
      <c r="S251" s="399"/>
    </row>
    <row r="252" spans="1:19" s="93" customFormat="1" x14ac:dyDescent="0.2">
      <c r="A252" s="379">
        <v>25</v>
      </c>
      <c r="B252" s="369" t="s">
        <v>1370</v>
      </c>
      <c r="C252" s="369" t="s">
        <v>1371</v>
      </c>
      <c r="D252" s="396"/>
      <c r="G252" s="373"/>
      <c r="H252" s="417">
        <v>25</v>
      </c>
      <c r="I252" s="419"/>
      <c r="J252" s="430"/>
      <c r="K252" s="487" t="s">
        <v>1371</v>
      </c>
      <c r="L252" s="430"/>
      <c r="M252" s="430"/>
      <c r="N252" s="430"/>
      <c r="O252" s="441"/>
      <c r="P252" s="373"/>
      <c r="Q252" s="388">
        <f>H252</f>
        <v>25</v>
      </c>
      <c r="R252" s="378" t="str">
        <f>CONCATENATE("II-",TEXT(Q252,"0000"))</f>
        <v>II-0025</v>
      </c>
      <c r="S252" s="389" t="str">
        <f>K252</f>
        <v>DEFENSA VEHICULAR</v>
      </c>
    </row>
    <row r="253" spans="1:19" x14ac:dyDescent="0.2">
      <c r="A253" s="379"/>
      <c r="B253" s="369"/>
      <c r="C253" s="369"/>
      <c r="D253" s="396"/>
      <c r="G253" s="373"/>
      <c r="H253" s="431"/>
      <c r="I253" s="391" t="s">
        <v>1060</v>
      </c>
      <c r="J253" s="394"/>
      <c r="K253" s="408" t="s">
        <v>1284</v>
      </c>
      <c r="L253" s="394"/>
      <c r="M253" s="394"/>
      <c r="N253" s="394"/>
      <c r="O253" s="442"/>
      <c r="P253" s="373"/>
      <c r="Q253" s="373"/>
      <c r="R253" s="373"/>
      <c r="S253" s="373"/>
    </row>
    <row r="254" spans="1:19" x14ac:dyDescent="0.2">
      <c r="A254" s="379"/>
      <c r="B254" s="369"/>
      <c r="C254" s="369"/>
      <c r="D254" s="396" t="s">
        <v>1296</v>
      </c>
      <c r="G254" s="373"/>
      <c r="H254" s="390"/>
      <c r="I254" s="397"/>
      <c r="J254" s="398">
        <v>1</v>
      </c>
      <c r="K254" s="399"/>
      <c r="L254" s="400" t="s">
        <v>1372</v>
      </c>
      <c r="M254" s="399"/>
      <c r="N254" s="399"/>
      <c r="O254" s="432" t="s">
        <v>1296</v>
      </c>
      <c r="P254" s="373"/>
      <c r="Q254" s="373"/>
      <c r="R254" s="373"/>
      <c r="S254" s="373"/>
    </row>
    <row r="255" spans="1:19" x14ac:dyDescent="0.2">
      <c r="A255" s="379"/>
      <c r="B255" s="369"/>
      <c r="C255" s="369"/>
      <c r="D255" s="396" t="s">
        <v>1296</v>
      </c>
      <c r="G255" s="373"/>
      <c r="H255" s="390"/>
      <c r="I255" s="397"/>
      <c r="J255" s="404">
        <v>2</v>
      </c>
      <c r="K255" s="405"/>
      <c r="L255" s="406" t="s">
        <v>1373</v>
      </c>
      <c r="M255" s="405"/>
      <c r="N255" s="405"/>
      <c r="O255" s="451" t="s">
        <v>1296</v>
      </c>
      <c r="P255" s="373"/>
      <c r="Q255" s="373"/>
      <c r="R255" s="373"/>
      <c r="S255" s="373"/>
    </row>
    <row r="256" spans="1:19" x14ac:dyDescent="0.2">
      <c r="A256" s="379"/>
      <c r="B256" s="369"/>
      <c r="C256" s="369"/>
      <c r="D256" s="396"/>
      <c r="G256" s="373"/>
      <c r="H256" s="390"/>
      <c r="I256" s="391" t="s">
        <v>1087</v>
      </c>
      <c r="J256" s="399"/>
      <c r="K256" s="400" t="s">
        <v>1285</v>
      </c>
      <c r="L256" s="399"/>
      <c r="M256" s="399"/>
      <c r="N256" s="399"/>
      <c r="O256" s="432"/>
      <c r="P256" s="373"/>
      <c r="Q256" s="373"/>
      <c r="R256" s="373"/>
      <c r="S256" s="373"/>
    </row>
    <row r="257" spans="1:19" x14ac:dyDescent="0.2">
      <c r="A257" s="379"/>
      <c r="B257" s="369"/>
      <c r="C257" s="369"/>
      <c r="D257" s="396" t="s">
        <v>1296</v>
      </c>
      <c r="G257" s="373"/>
      <c r="H257" s="390"/>
      <c r="I257" s="397"/>
      <c r="J257" s="398">
        <v>1</v>
      </c>
      <c r="K257" s="399"/>
      <c r="L257" s="400" t="s">
        <v>1374</v>
      </c>
      <c r="M257" s="399"/>
      <c r="N257" s="399"/>
      <c r="O257" s="432" t="s">
        <v>1296</v>
      </c>
      <c r="P257" s="373"/>
      <c r="Q257" s="373"/>
      <c r="R257" s="373"/>
      <c r="S257" s="373"/>
    </row>
    <row r="258" spans="1:19" x14ac:dyDescent="0.2">
      <c r="A258" s="379"/>
      <c r="B258" s="369"/>
      <c r="C258" s="369"/>
      <c r="D258" s="396" t="s">
        <v>1296</v>
      </c>
      <c r="G258" s="373"/>
      <c r="H258" s="390"/>
      <c r="I258" s="397"/>
      <c r="J258" s="398">
        <v>2</v>
      </c>
      <c r="K258" s="399"/>
      <c r="L258" s="400" t="s">
        <v>1375</v>
      </c>
      <c r="M258" s="399"/>
      <c r="N258" s="399"/>
      <c r="O258" s="432" t="s">
        <v>1296</v>
      </c>
      <c r="P258" s="373"/>
      <c r="Q258" s="373"/>
      <c r="R258" s="373"/>
      <c r="S258" s="373"/>
    </row>
    <row r="259" spans="1:19" x14ac:dyDescent="0.2">
      <c r="A259" s="379"/>
      <c r="B259" s="369"/>
      <c r="C259" s="369"/>
      <c r="D259" s="396" t="s">
        <v>1030</v>
      </c>
      <c r="G259" s="373"/>
      <c r="H259" s="390"/>
      <c r="I259" s="391" t="s">
        <v>1097</v>
      </c>
      <c r="J259" s="438"/>
      <c r="K259" s="459" t="s">
        <v>1179</v>
      </c>
      <c r="L259" s="438"/>
      <c r="M259" s="438"/>
      <c r="N259" s="438"/>
      <c r="O259" s="473" t="s">
        <v>1030</v>
      </c>
      <c r="P259" s="373"/>
      <c r="Q259" s="373"/>
      <c r="R259" s="373"/>
      <c r="S259" s="373"/>
    </row>
    <row r="260" spans="1:19" ht="15.75" thickBot="1" x14ac:dyDescent="0.25">
      <c r="A260" s="379"/>
      <c r="B260" s="369"/>
      <c r="C260" s="369"/>
      <c r="D260" s="396" t="s">
        <v>1030</v>
      </c>
      <c r="G260" s="373"/>
      <c r="H260" s="410"/>
      <c r="I260" s="422" t="s">
        <v>1123</v>
      </c>
      <c r="J260" s="425"/>
      <c r="K260" s="461" t="s">
        <v>1177</v>
      </c>
      <c r="L260" s="425"/>
      <c r="M260" s="425"/>
      <c r="N260" s="425"/>
      <c r="O260" s="499" t="s">
        <v>1030</v>
      </c>
      <c r="P260" s="373"/>
      <c r="Q260" s="373"/>
      <c r="R260" s="373"/>
      <c r="S260" s="373"/>
    </row>
    <row r="261" spans="1:19" ht="15.75" thickTop="1" x14ac:dyDescent="0.2">
      <c r="A261" s="379">
        <v>26</v>
      </c>
      <c r="B261" s="369" t="s">
        <v>1376</v>
      </c>
      <c r="C261" s="369" t="s">
        <v>1377</v>
      </c>
      <c r="D261" s="396"/>
      <c r="G261" s="373"/>
      <c r="H261" s="468">
        <v>26</v>
      </c>
      <c r="I261" s="418"/>
      <c r="J261" s="478"/>
      <c r="K261" s="479" t="s">
        <v>1377</v>
      </c>
      <c r="L261" s="478"/>
      <c r="M261" s="478"/>
      <c r="N261" s="478"/>
      <c r="O261" s="420"/>
      <c r="P261" s="373"/>
      <c r="Q261" s="388">
        <f>H261</f>
        <v>26</v>
      </c>
      <c r="R261" s="378" t="str">
        <f>CONCATENATE("II-",TEXT(Q261,"0000"))</f>
        <v>II-0026</v>
      </c>
      <c r="S261" s="389" t="str">
        <f>K261</f>
        <v xml:space="preserve">DEMOLICION </v>
      </c>
    </row>
    <row r="262" spans="1:19" x14ac:dyDescent="0.2">
      <c r="A262" s="379"/>
      <c r="B262" s="369"/>
      <c r="C262" s="369"/>
      <c r="D262" s="396" t="s">
        <v>1254</v>
      </c>
      <c r="G262" s="373"/>
      <c r="H262" s="390"/>
      <c r="I262" s="391" t="s">
        <v>1060</v>
      </c>
      <c r="J262" s="438"/>
      <c r="K262" s="459" t="s">
        <v>1302</v>
      </c>
      <c r="L262" s="438"/>
      <c r="M262" s="438"/>
      <c r="N262" s="438"/>
      <c r="O262" s="473" t="s">
        <v>1254</v>
      </c>
      <c r="P262" s="373"/>
      <c r="Q262" s="373"/>
      <c r="R262" s="373"/>
      <c r="S262" s="373"/>
    </row>
    <row r="263" spans="1:19" ht="15.75" thickBot="1" x14ac:dyDescent="0.25">
      <c r="A263" s="379"/>
      <c r="B263" s="369"/>
      <c r="C263" s="369"/>
      <c r="D263" s="396" t="s">
        <v>5</v>
      </c>
      <c r="G263" s="373"/>
      <c r="H263" s="410"/>
      <c r="I263" s="422" t="s">
        <v>1087</v>
      </c>
      <c r="J263" s="425"/>
      <c r="K263" s="461" t="s">
        <v>1378</v>
      </c>
      <c r="L263" s="425"/>
      <c r="M263" s="425"/>
      <c r="N263" s="425"/>
      <c r="O263" s="499" t="s">
        <v>5</v>
      </c>
      <c r="P263" s="373"/>
      <c r="Q263" s="373"/>
      <c r="R263" s="373"/>
      <c r="S263" s="373"/>
    </row>
    <row r="264" spans="1:19" ht="15.75" thickTop="1" x14ac:dyDescent="0.2">
      <c r="A264" s="379">
        <v>27</v>
      </c>
      <c r="B264" s="369" t="s">
        <v>1379</v>
      </c>
      <c r="C264" s="369" t="s">
        <v>1380</v>
      </c>
      <c r="D264" s="396"/>
      <c r="G264" s="373"/>
      <c r="H264" s="417">
        <v>27</v>
      </c>
      <c r="I264" s="419"/>
      <c r="J264" s="430"/>
      <c r="K264" s="487" t="s">
        <v>1380</v>
      </c>
      <c r="L264" s="430"/>
      <c r="M264" s="430"/>
      <c r="N264" s="430"/>
      <c r="O264" s="441"/>
      <c r="P264" s="373"/>
      <c r="Q264" s="388">
        <f>H264</f>
        <v>27</v>
      </c>
      <c r="R264" s="378" t="str">
        <f>CONCATENATE("II-",TEXT(Q264,"0000"))</f>
        <v>II-0027</v>
      </c>
      <c r="S264" s="389" t="str">
        <f>K264</f>
        <v>DESAGUES</v>
      </c>
    </row>
    <row r="265" spans="1:19" x14ac:dyDescent="0.2">
      <c r="A265" s="379"/>
      <c r="B265" s="369"/>
      <c r="C265" s="369"/>
      <c r="D265" s="396" t="s">
        <v>1288</v>
      </c>
      <c r="G265" s="373"/>
      <c r="H265" s="390"/>
      <c r="I265" s="391" t="s">
        <v>1060</v>
      </c>
      <c r="J265" s="438"/>
      <c r="K265" s="459" t="s">
        <v>1381</v>
      </c>
      <c r="L265" s="438"/>
      <c r="M265" s="438"/>
      <c r="N265" s="438"/>
      <c r="O265" s="473" t="s">
        <v>1288</v>
      </c>
      <c r="P265" s="373"/>
      <c r="Q265" s="373"/>
      <c r="R265" s="373"/>
      <c r="S265" s="373"/>
    </row>
    <row r="266" spans="1:19" x14ac:dyDescent="0.2">
      <c r="A266" s="379"/>
      <c r="B266" s="369"/>
      <c r="C266" s="369"/>
      <c r="D266" s="396" t="s">
        <v>1288</v>
      </c>
      <c r="G266" s="373"/>
      <c r="H266" s="390"/>
      <c r="I266" s="391" t="s">
        <v>1087</v>
      </c>
      <c r="J266" s="438"/>
      <c r="K266" s="459" t="s">
        <v>1382</v>
      </c>
      <c r="L266" s="438"/>
      <c r="M266" s="438"/>
      <c r="N266" s="438"/>
      <c r="O266" s="473" t="s">
        <v>1288</v>
      </c>
      <c r="P266" s="373"/>
      <c r="Q266" s="373"/>
      <c r="R266" s="373"/>
      <c r="S266" s="373"/>
    </row>
    <row r="267" spans="1:19" x14ac:dyDescent="0.2">
      <c r="A267" s="379"/>
      <c r="B267" s="369"/>
      <c r="C267" s="369"/>
      <c r="D267" s="396"/>
      <c r="G267" s="373"/>
      <c r="H267" s="390"/>
      <c r="I267" s="391" t="s">
        <v>1097</v>
      </c>
      <c r="J267" s="399"/>
      <c r="K267" s="400" t="s">
        <v>1383</v>
      </c>
      <c r="L267" s="399"/>
      <c r="M267" s="399"/>
      <c r="N267" s="399"/>
      <c r="O267" s="432"/>
      <c r="P267" s="373"/>
      <c r="Q267" s="373"/>
      <c r="R267" s="373"/>
      <c r="S267" s="373"/>
    </row>
    <row r="268" spans="1:19" x14ac:dyDescent="0.2">
      <c r="A268" s="379"/>
      <c r="B268" s="369"/>
      <c r="C268" s="369"/>
      <c r="D268" s="396" t="s">
        <v>1288</v>
      </c>
      <c r="G268" s="373"/>
      <c r="H268" s="390"/>
      <c r="I268" s="397"/>
      <c r="J268" s="398">
        <v>1</v>
      </c>
      <c r="K268" s="399"/>
      <c r="L268" s="400" t="s">
        <v>1289</v>
      </c>
      <c r="M268" s="399"/>
      <c r="N268" s="399"/>
      <c r="O268" s="432" t="s">
        <v>1288</v>
      </c>
      <c r="P268" s="373"/>
      <c r="Q268" s="373"/>
      <c r="R268" s="373"/>
      <c r="S268" s="373"/>
    </row>
    <row r="269" spans="1:19" x14ac:dyDescent="0.2">
      <c r="A269" s="379"/>
      <c r="B269" s="369"/>
      <c r="C269" s="369"/>
      <c r="D269" s="396" t="s">
        <v>1288</v>
      </c>
      <c r="G269" s="373"/>
      <c r="H269" s="390"/>
      <c r="I269" s="397"/>
      <c r="J269" s="404">
        <v>2</v>
      </c>
      <c r="K269" s="399"/>
      <c r="L269" s="400" t="s">
        <v>1292</v>
      </c>
      <c r="M269" s="399"/>
      <c r="N269" s="399"/>
      <c r="O269" s="432" t="s">
        <v>1288</v>
      </c>
      <c r="P269" s="373"/>
      <c r="Q269" s="373"/>
      <c r="R269" s="373"/>
      <c r="S269" s="373"/>
    </row>
    <row r="270" spans="1:19" x14ac:dyDescent="0.2">
      <c r="A270" s="379"/>
      <c r="B270" s="369"/>
      <c r="C270" s="369"/>
      <c r="D270" s="396" t="s">
        <v>1288</v>
      </c>
      <c r="G270" s="373"/>
      <c r="H270" s="390"/>
      <c r="I270" s="391" t="s">
        <v>1123</v>
      </c>
      <c r="J270" s="438"/>
      <c r="K270" s="459" t="s">
        <v>1179</v>
      </c>
      <c r="L270" s="438"/>
      <c r="M270" s="438"/>
      <c r="N270" s="438"/>
      <c r="O270" s="473" t="s">
        <v>1288</v>
      </c>
      <c r="P270" s="373"/>
      <c r="Q270" s="373"/>
      <c r="R270" s="373"/>
      <c r="S270" s="373"/>
    </row>
    <row r="271" spans="1:19" x14ac:dyDescent="0.2">
      <c r="A271" s="379"/>
      <c r="B271" s="369"/>
      <c r="C271" s="369"/>
      <c r="D271" s="396" t="s">
        <v>1288</v>
      </c>
      <c r="G271" s="373"/>
      <c r="H271" s="390"/>
      <c r="I271" s="404" t="s">
        <v>1165</v>
      </c>
      <c r="J271" s="405"/>
      <c r="K271" s="406" t="s">
        <v>1177</v>
      </c>
      <c r="L271" s="405"/>
      <c r="M271" s="405"/>
      <c r="N271" s="405"/>
      <c r="O271" s="451" t="s">
        <v>1288</v>
      </c>
      <c r="P271" s="373"/>
      <c r="Q271" s="373"/>
      <c r="R271" s="373"/>
      <c r="S271" s="373"/>
    </row>
    <row r="272" spans="1:19" ht="15.75" thickBot="1" x14ac:dyDescent="0.25">
      <c r="A272" s="379"/>
      <c r="B272" s="369"/>
      <c r="C272" s="369"/>
      <c r="D272" s="396" t="s">
        <v>1288</v>
      </c>
      <c r="G272" s="373"/>
      <c r="H272" s="390"/>
      <c r="I272" s="391" t="s">
        <v>1168</v>
      </c>
      <c r="J272" s="438"/>
      <c r="K272" s="459" t="s">
        <v>1174</v>
      </c>
      <c r="L272" s="438"/>
      <c r="M272" s="438"/>
      <c r="N272" s="438"/>
      <c r="O272" s="473" t="s">
        <v>1288</v>
      </c>
      <c r="P272" s="373"/>
      <c r="Q272" s="373"/>
      <c r="R272" s="373"/>
      <c r="S272" s="373"/>
    </row>
    <row r="273" spans="1:19" ht="16.5" thickTop="1" thickBot="1" x14ac:dyDescent="0.25">
      <c r="A273" s="379">
        <v>28</v>
      </c>
      <c r="B273" s="369" t="s">
        <v>1384</v>
      </c>
      <c r="C273" s="369" t="s">
        <v>1385</v>
      </c>
      <c r="D273" s="396" t="s">
        <v>1031</v>
      </c>
      <c r="G273" s="373"/>
      <c r="H273" s="468">
        <v>28</v>
      </c>
      <c r="I273" s="418"/>
      <c r="J273" s="478"/>
      <c r="K273" s="479" t="s">
        <v>1385</v>
      </c>
      <c r="L273" s="478"/>
      <c r="M273" s="478"/>
      <c r="N273" s="478"/>
      <c r="O273" s="420" t="s">
        <v>1031</v>
      </c>
      <c r="P273" s="373"/>
      <c r="Q273" s="388">
        <f t="shared" ref="Q273:Q278" si="39">H273</f>
        <v>28</v>
      </c>
      <c r="R273" s="378" t="str">
        <f t="shared" ref="R273:R278" si="40">CONCATENATE("II-",TEXT(Q273,"0000"))</f>
        <v>II-0028</v>
      </c>
      <c r="S273" s="389" t="str">
        <f t="shared" ref="S273:S278" si="41">K273</f>
        <v>DESBOSQUE / DESTRONQUE LIMPIEZA</v>
      </c>
    </row>
    <row r="274" spans="1:19" ht="16.5" thickTop="1" thickBot="1" x14ac:dyDescent="0.25">
      <c r="A274" s="379">
        <v>29</v>
      </c>
      <c r="B274" s="369" t="s">
        <v>1386</v>
      </c>
      <c r="C274" s="369" t="s">
        <v>1387</v>
      </c>
      <c r="D274" s="396" t="s">
        <v>1171</v>
      </c>
      <c r="G274" s="373"/>
      <c r="H274" s="468">
        <v>29</v>
      </c>
      <c r="I274" s="418"/>
      <c r="J274" s="478"/>
      <c r="K274" s="479" t="s">
        <v>1387</v>
      </c>
      <c r="L274" s="478"/>
      <c r="M274" s="478"/>
      <c r="N274" s="478"/>
      <c r="O274" s="420" t="s">
        <v>1171</v>
      </c>
      <c r="P274" s="373"/>
      <c r="Q274" s="388">
        <f t="shared" si="39"/>
        <v>29</v>
      </c>
      <c r="R274" s="378" t="str">
        <f t="shared" si="40"/>
        <v>II-0029</v>
      </c>
      <c r="S274" s="389" t="str">
        <f t="shared" si="41"/>
        <v>DESCARGA</v>
      </c>
    </row>
    <row r="275" spans="1:19" ht="16.5" thickTop="1" thickBot="1" x14ac:dyDescent="0.25">
      <c r="A275" s="379">
        <v>30</v>
      </c>
      <c r="B275" s="369" t="s">
        <v>1388</v>
      </c>
      <c r="C275" s="369" t="s">
        <v>1389</v>
      </c>
      <c r="D275" s="396" t="s">
        <v>1171</v>
      </c>
      <c r="G275" s="373"/>
      <c r="H275" s="514">
        <v>30</v>
      </c>
      <c r="I275" s="515"/>
      <c r="J275" s="516"/>
      <c r="K275" s="517" t="s">
        <v>1389</v>
      </c>
      <c r="L275" s="516"/>
      <c r="M275" s="516"/>
      <c r="N275" s="516"/>
      <c r="O275" s="518" t="s">
        <v>1171</v>
      </c>
      <c r="P275" s="373"/>
      <c r="Q275" s="388">
        <f t="shared" si="39"/>
        <v>30</v>
      </c>
      <c r="R275" s="378" t="str">
        <f t="shared" si="40"/>
        <v>II-0030</v>
      </c>
      <c r="S275" s="389" t="str">
        <f t="shared" si="41"/>
        <v>DESEMBARRO P/ SANEAMIENTO</v>
      </c>
    </row>
    <row r="276" spans="1:19" ht="16.5" thickTop="1" thickBot="1" x14ac:dyDescent="0.25">
      <c r="A276" s="379">
        <v>31</v>
      </c>
      <c r="B276" s="369" t="s">
        <v>1390</v>
      </c>
      <c r="C276" s="369" t="s">
        <v>1391</v>
      </c>
      <c r="D276" s="396" t="s">
        <v>1031</v>
      </c>
      <c r="G276" s="373"/>
      <c r="H276" s="514">
        <v>31</v>
      </c>
      <c r="I276" s="515"/>
      <c r="J276" s="516"/>
      <c r="K276" s="517" t="s">
        <v>1391</v>
      </c>
      <c r="L276" s="516"/>
      <c r="M276" s="516"/>
      <c r="N276" s="516"/>
      <c r="O276" s="518" t="s">
        <v>1031</v>
      </c>
      <c r="P276" s="373"/>
      <c r="Q276" s="388">
        <f t="shared" si="39"/>
        <v>31</v>
      </c>
      <c r="R276" s="378" t="str">
        <f t="shared" si="40"/>
        <v>II-0031</v>
      </c>
      <c r="S276" s="389" t="str">
        <f t="shared" si="41"/>
        <v>DESPEDRADO DE LADERAS</v>
      </c>
    </row>
    <row r="277" spans="1:19" ht="16.5" thickTop="1" thickBot="1" x14ac:dyDescent="0.25">
      <c r="A277" s="379">
        <v>32</v>
      </c>
      <c r="B277" s="369" t="s">
        <v>1392</v>
      </c>
      <c r="C277" s="369" t="s">
        <v>1393</v>
      </c>
      <c r="D277" s="396" t="s">
        <v>5</v>
      </c>
      <c r="G277" s="373"/>
      <c r="H277" s="514">
        <v>32</v>
      </c>
      <c r="I277" s="515"/>
      <c r="J277" s="516"/>
      <c r="K277" s="517" t="s">
        <v>1393</v>
      </c>
      <c r="L277" s="516"/>
      <c r="M277" s="516"/>
      <c r="N277" s="516"/>
      <c r="O277" s="518" t="s">
        <v>5</v>
      </c>
      <c r="P277" s="373"/>
      <c r="Q277" s="388">
        <f t="shared" si="39"/>
        <v>32</v>
      </c>
      <c r="R277" s="378" t="str">
        <f t="shared" si="40"/>
        <v>II-0032</v>
      </c>
      <c r="S277" s="389" t="str">
        <f t="shared" si="41"/>
        <v>DESVIO</v>
      </c>
    </row>
    <row r="278" spans="1:19" ht="15.75" thickTop="1" x14ac:dyDescent="0.2">
      <c r="A278" s="379">
        <v>33</v>
      </c>
      <c r="B278" s="369" t="s">
        <v>1394</v>
      </c>
      <c r="C278" s="369" t="s">
        <v>1395</v>
      </c>
      <c r="D278" s="396"/>
      <c r="G278" s="373"/>
      <c r="H278" s="417">
        <v>33</v>
      </c>
      <c r="I278" s="419"/>
      <c r="J278" s="430"/>
      <c r="K278" s="487" t="s">
        <v>1395</v>
      </c>
      <c r="L278" s="430"/>
      <c r="M278" s="430"/>
      <c r="N278" s="430"/>
      <c r="O278" s="441"/>
      <c r="P278" s="373"/>
      <c r="Q278" s="388">
        <f t="shared" si="39"/>
        <v>33</v>
      </c>
      <c r="R278" s="378" t="str">
        <f t="shared" si="40"/>
        <v>II-0033</v>
      </c>
      <c r="S278" s="389" t="str">
        <f t="shared" si="41"/>
        <v>DRENES</v>
      </c>
    </row>
    <row r="279" spans="1:19" x14ac:dyDescent="0.2">
      <c r="A279" s="379"/>
      <c r="B279" s="369"/>
      <c r="C279" s="369"/>
      <c r="D279" s="396"/>
      <c r="G279" s="373"/>
      <c r="H279" s="390"/>
      <c r="I279" s="391" t="s">
        <v>1060</v>
      </c>
      <c r="J279" s="397"/>
      <c r="K279" s="400" t="s">
        <v>1396</v>
      </c>
      <c r="L279" s="399"/>
      <c r="M279" s="399"/>
      <c r="N279" s="399"/>
      <c r="O279" s="432"/>
      <c r="P279" s="373"/>
      <c r="Q279" s="373"/>
      <c r="R279" s="373"/>
      <c r="S279" s="373"/>
    </row>
    <row r="280" spans="1:19" x14ac:dyDescent="0.2">
      <c r="A280" s="379"/>
      <c r="B280" s="369"/>
      <c r="C280" s="369"/>
      <c r="D280" s="396" t="s">
        <v>1254</v>
      </c>
      <c r="G280" s="373"/>
      <c r="H280" s="390"/>
      <c r="I280" s="397"/>
      <c r="J280" s="398">
        <v>1</v>
      </c>
      <c r="K280" s="399"/>
      <c r="L280" s="400" t="s">
        <v>1397</v>
      </c>
      <c r="M280" s="399"/>
      <c r="N280" s="399"/>
      <c r="O280" s="432" t="s">
        <v>1254</v>
      </c>
      <c r="P280" s="373"/>
      <c r="Q280" s="373"/>
      <c r="R280" s="373"/>
      <c r="S280" s="373"/>
    </row>
    <row r="281" spans="1:19" x14ac:dyDescent="0.2">
      <c r="A281" s="379"/>
      <c r="B281" s="369"/>
      <c r="C281" s="369"/>
      <c r="D281" s="396" t="s">
        <v>1171</v>
      </c>
      <c r="G281" s="373"/>
      <c r="H281" s="390"/>
      <c r="I281" s="397"/>
      <c r="J281" s="398">
        <v>2</v>
      </c>
      <c r="K281" s="399"/>
      <c r="L281" s="400" t="s">
        <v>1398</v>
      </c>
      <c r="M281" s="399"/>
      <c r="N281" s="399"/>
      <c r="O281" s="432" t="s">
        <v>1171</v>
      </c>
      <c r="P281" s="373"/>
      <c r="Q281" s="373"/>
      <c r="R281" s="373"/>
      <c r="S281" s="373"/>
    </row>
    <row r="282" spans="1:19" x14ac:dyDescent="0.2">
      <c r="A282" s="379"/>
      <c r="B282" s="369"/>
      <c r="C282" s="369"/>
      <c r="D282" s="396" t="s">
        <v>1030</v>
      </c>
      <c r="G282" s="373"/>
      <c r="H282" s="390"/>
      <c r="I282" s="409"/>
      <c r="J282" s="404">
        <v>3</v>
      </c>
      <c r="K282" s="405"/>
      <c r="L282" s="406" t="s">
        <v>1399</v>
      </c>
      <c r="M282" s="405"/>
      <c r="N282" s="405"/>
      <c r="O282" s="451" t="s">
        <v>1030</v>
      </c>
      <c r="P282" s="373"/>
      <c r="Q282" s="373"/>
      <c r="R282" s="373"/>
      <c r="S282" s="373"/>
    </row>
    <row r="283" spans="1:19" x14ac:dyDescent="0.2">
      <c r="A283" s="379"/>
      <c r="B283" s="369"/>
      <c r="C283" s="369"/>
      <c r="D283" s="396"/>
      <c r="G283" s="373"/>
      <c r="H283" s="390"/>
      <c r="I283" s="404" t="s">
        <v>1087</v>
      </c>
      <c r="J283" s="397"/>
      <c r="K283" s="400" t="s">
        <v>1400</v>
      </c>
      <c r="L283" s="399"/>
      <c r="M283" s="399"/>
      <c r="N283" s="399"/>
      <c r="O283" s="432"/>
      <c r="P283" s="373"/>
      <c r="Q283" s="373"/>
      <c r="R283" s="373"/>
      <c r="S283" s="373"/>
    </row>
    <row r="284" spans="1:19" x14ac:dyDescent="0.2">
      <c r="A284" s="379"/>
      <c r="B284" s="369"/>
      <c r="C284" s="369"/>
      <c r="D284" s="396" t="s">
        <v>1254</v>
      </c>
      <c r="G284" s="373"/>
      <c r="H284" s="390"/>
      <c r="I284" s="397"/>
      <c r="J284" s="398">
        <v>1</v>
      </c>
      <c r="K284" s="399"/>
      <c r="L284" s="400" t="s">
        <v>1397</v>
      </c>
      <c r="M284" s="399"/>
      <c r="N284" s="399"/>
      <c r="O284" s="432" t="s">
        <v>1254</v>
      </c>
      <c r="P284" s="373"/>
      <c r="Q284" s="373"/>
      <c r="R284" s="373"/>
      <c r="S284" s="373"/>
    </row>
    <row r="285" spans="1:19" x14ac:dyDescent="0.2">
      <c r="A285" s="379"/>
      <c r="B285" s="369"/>
      <c r="C285" s="369"/>
      <c r="D285" s="396" t="s">
        <v>1171</v>
      </c>
      <c r="G285" s="373"/>
      <c r="H285" s="390"/>
      <c r="I285" s="397"/>
      <c r="J285" s="398">
        <v>2</v>
      </c>
      <c r="K285" s="399"/>
      <c r="L285" s="400" t="s">
        <v>1398</v>
      </c>
      <c r="M285" s="399"/>
      <c r="N285" s="399"/>
      <c r="O285" s="432" t="s">
        <v>1171</v>
      </c>
      <c r="P285" s="373"/>
      <c r="Q285" s="373"/>
      <c r="R285" s="373"/>
      <c r="S285" s="373"/>
    </row>
    <row r="286" spans="1:19" x14ac:dyDescent="0.2">
      <c r="A286" s="379"/>
      <c r="B286" s="369"/>
      <c r="C286" s="369"/>
      <c r="D286" s="396" t="s">
        <v>1030</v>
      </c>
      <c r="G286" s="373"/>
      <c r="H286" s="390"/>
      <c r="I286" s="409"/>
      <c r="J286" s="404">
        <v>3</v>
      </c>
      <c r="K286" s="405"/>
      <c r="L286" s="406" t="s">
        <v>1399</v>
      </c>
      <c r="M286" s="405"/>
      <c r="N286" s="405"/>
      <c r="O286" s="451" t="s">
        <v>1030</v>
      </c>
      <c r="P286" s="373"/>
      <c r="Q286" s="373"/>
      <c r="R286" s="373"/>
      <c r="S286" s="373"/>
    </row>
    <row r="287" spans="1:19" x14ac:dyDescent="0.2">
      <c r="A287" s="379"/>
      <c r="B287" s="369"/>
      <c r="C287" s="369"/>
      <c r="D287" s="396"/>
      <c r="G287" s="373"/>
      <c r="H287" s="390"/>
      <c r="I287" s="404" t="s">
        <v>1097</v>
      </c>
      <c r="J287" s="397"/>
      <c r="K287" s="400" t="s">
        <v>1401</v>
      </c>
      <c r="L287" s="399"/>
      <c r="M287" s="399"/>
      <c r="N287" s="399"/>
      <c r="O287" s="432"/>
      <c r="P287" s="373"/>
      <c r="Q287" s="373"/>
      <c r="R287" s="373"/>
      <c r="S287" s="373"/>
    </row>
    <row r="288" spans="1:19" x14ac:dyDescent="0.2">
      <c r="A288" s="379"/>
      <c r="B288" s="369"/>
      <c r="C288" s="369"/>
      <c r="D288" s="396" t="s">
        <v>1296</v>
      </c>
      <c r="G288" s="373"/>
      <c r="H288" s="390"/>
      <c r="I288" s="397"/>
      <c r="J288" s="398">
        <v>1</v>
      </c>
      <c r="K288" s="399"/>
      <c r="L288" s="400" t="s">
        <v>1402</v>
      </c>
      <c r="M288" s="399"/>
      <c r="N288" s="399"/>
      <c r="O288" s="432" t="s">
        <v>1296</v>
      </c>
      <c r="P288" s="373"/>
      <c r="Q288" s="373"/>
      <c r="R288" s="373"/>
      <c r="S288" s="373"/>
    </row>
    <row r="289" spans="1:19" x14ac:dyDescent="0.2">
      <c r="A289" s="379"/>
      <c r="B289" s="369"/>
      <c r="C289" s="369"/>
      <c r="D289" s="396" t="s">
        <v>1296</v>
      </c>
      <c r="G289" s="373"/>
      <c r="H289" s="390"/>
      <c r="I289" s="391" t="s">
        <v>1123</v>
      </c>
      <c r="J289" s="438"/>
      <c r="K289" s="459" t="s">
        <v>1129</v>
      </c>
      <c r="L289" s="438"/>
      <c r="M289" s="438"/>
      <c r="N289" s="438"/>
      <c r="O289" s="473" t="s">
        <v>1296</v>
      </c>
      <c r="P289" s="373"/>
      <c r="Q289" s="373"/>
      <c r="R289" s="373"/>
      <c r="S289" s="373"/>
    </row>
    <row r="290" spans="1:19" ht="15.75" thickBot="1" x14ac:dyDescent="0.25">
      <c r="A290" s="379"/>
      <c r="B290" s="369"/>
      <c r="C290" s="369"/>
      <c r="D290" s="396" t="s">
        <v>1296</v>
      </c>
      <c r="G290" s="373"/>
      <c r="H290" s="390"/>
      <c r="I290" s="422" t="s">
        <v>1165</v>
      </c>
      <c r="J290" s="399"/>
      <c r="K290" s="400" t="s">
        <v>1177</v>
      </c>
      <c r="L290" s="399"/>
      <c r="M290" s="399"/>
      <c r="N290" s="399"/>
      <c r="O290" s="432" t="s">
        <v>1296</v>
      </c>
      <c r="P290" s="373"/>
      <c r="Q290" s="373"/>
      <c r="R290" s="373"/>
      <c r="S290" s="373"/>
    </row>
    <row r="291" spans="1:19" ht="15.75" thickTop="1" x14ac:dyDescent="0.2">
      <c r="A291" s="379">
        <v>34</v>
      </c>
      <c r="B291" s="369" t="s">
        <v>1403</v>
      </c>
      <c r="C291" s="369" t="s">
        <v>1404</v>
      </c>
      <c r="D291" s="396"/>
      <c r="G291" s="373"/>
      <c r="H291" s="468">
        <v>34</v>
      </c>
      <c r="I291" s="418"/>
      <c r="J291" s="478"/>
      <c r="K291" s="479" t="s">
        <v>1404</v>
      </c>
      <c r="L291" s="478"/>
      <c r="M291" s="478"/>
      <c r="N291" s="478"/>
      <c r="O291" s="420"/>
      <c r="P291" s="373"/>
      <c r="Q291" s="388">
        <f>H291</f>
        <v>34</v>
      </c>
      <c r="R291" s="378" t="str">
        <f>CONCATENATE("II-",TEXT(Q291,"0000"))</f>
        <v>II-0034</v>
      </c>
      <c r="S291" s="389" t="str">
        <f>K291</f>
        <v>ELEVACION DE GUARDARUEDAS</v>
      </c>
    </row>
    <row r="292" spans="1:19" ht="15.75" thickBot="1" x14ac:dyDescent="0.25">
      <c r="A292" s="379"/>
      <c r="B292" s="369"/>
      <c r="C292" s="369"/>
      <c r="D292" s="396" t="s">
        <v>1254</v>
      </c>
      <c r="G292" s="373"/>
      <c r="H292" s="522"/>
      <c r="I292" s="500" t="s">
        <v>1060</v>
      </c>
      <c r="J292" s="519"/>
      <c r="K292" s="520" t="s">
        <v>1405</v>
      </c>
      <c r="L292" s="519"/>
      <c r="M292" s="519"/>
      <c r="N292" s="519"/>
      <c r="O292" s="521" t="s">
        <v>1254</v>
      </c>
      <c r="P292" s="373"/>
      <c r="Q292" s="373"/>
      <c r="R292" s="373"/>
      <c r="S292" s="373"/>
    </row>
    <row r="293" spans="1:19" x14ac:dyDescent="0.2">
      <c r="A293" s="379">
        <v>35</v>
      </c>
      <c r="B293" s="369" t="s">
        <v>1406</v>
      </c>
      <c r="C293" s="369" t="s">
        <v>1407</v>
      </c>
      <c r="D293" s="396"/>
      <c r="G293" s="373"/>
      <c r="H293" s="417">
        <v>35</v>
      </c>
      <c r="I293" s="419"/>
      <c r="J293" s="430"/>
      <c r="K293" s="487" t="s">
        <v>1407</v>
      </c>
      <c r="L293" s="430"/>
      <c r="M293" s="430"/>
      <c r="N293" s="430"/>
      <c r="O293" s="441"/>
      <c r="P293" s="373"/>
      <c r="Q293" s="388">
        <f>H293</f>
        <v>35</v>
      </c>
      <c r="R293" s="378" t="str">
        <f>CONCATENATE("II-",TEXT(Q293,"0000"))</f>
        <v>II-0035</v>
      </c>
      <c r="S293" s="389" t="str">
        <f>K293</f>
        <v>ENCAUZAMIENTO</v>
      </c>
    </row>
    <row r="294" spans="1:19" x14ac:dyDescent="0.2">
      <c r="A294" s="379"/>
      <c r="B294" s="369"/>
      <c r="C294" s="369"/>
      <c r="D294" s="396" t="s">
        <v>1171</v>
      </c>
      <c r="G294" s="373"/>
      <c r="H294" s="390"/>
      <c r="I294" s="391" t="s">
        <v>1060</v>
      </c>
      <c r="J294" s="438"/>
      <c r="K294" s="459" t="s">
        <v>1353</v>
      </c>
      <c r="L294" s="438"/>
      <c r="M294" s="438"/>
      <c r="N294" s="438"/>
      <c r="O294" s="473" t="s">
        <v>1171</v>
      </c>
      <c r="P294" s="373"/>
      <c r="Q294" s="373"/>
      <c r="R294" s="373"/>
      <c r="S294" s="373"/>
    </row>
    <row r="295" spans="1:19" x14ac:dyDescent="0.2">
      <c r="A295" s="379"/>
      <c r="B295" s="369"/>
      <c r="C295" s="369"/>
      <c r="D295" s="396"/>
      <c r="G295" s="373"/>
      <c r="H295" s="390"/>
      <c r="I295" s="391" t="s">
        <v>1087</v>
      </c>
      <c r="J295" s="397"/>
      <c r="K295" s="400" t="s">
        <v>1408</v>
      </c>
      <c r="L295" s="399"/>
      <c r="M295" s="399"/>
      <c r="N295" s="399"/>
      <c r="O295" s="432"/>
      <c r="P295" s="373"/>
      <c r="Q295" s="373"/>
      <c r="R295" s="373"/>
      <c r="S295" s="373"/>
    </row>
    <row r="296" spans="1:19" x14ac:dyDescent="0.2">
      <c r="A296" s="379"/>
      <c r="B296" s="369"/>
      <c r="C296" s="369"/>
      <c r="D296" s="396" t="s">
        <v>1171</v>
      </c>
      <c r="G296" s="373"/>
      <c r="H296" s="390"/>
      <c r="I296" s="397"/>
      <c r="J296" s="398">
        <v>1</v>
      </c>
      <c r="K296" s="399"/>
      <c r="L296" s="400" t="s">
        <v>1409</v>
      </c>
      <c r="M296" s="399"/>
      <c r="N296" s="399"/>
      <c r="O296" s="432" t="s">
        <v>1171</v>
      </c>
      <c r="P296" s="373"/>
      <c r="Q296" s="373"/>
      <c r="R296" s="373"/>
      <c r="S296" s="373"/>
    </row>
    <row r="297" spans="1:19" ht="15.75" thickBot="1" x14ac:dyDescent="0.25">
      <c r="A297" s="379"/>
      <c r="B297" s="369"/>
      <c r="C297" s="369"/>
      <c r="D297" s="396" t="s">
        <v>1171</v>
      </c>
      <c r="G297" s="373"/>
      <c r="H297" s="443"/>
      <c r="I297" s="444"/>
      <c r="J297" s="445">
        <v>2</v>
      </c>
      <c r="K297" s="446"/>
      <c r="L297" s="447" t="s">
        <v>1285</v>
      </c>
      <c r="M297" s="446"/>
      <c r="N297" s="446"/>
      <c r="O297" s="501" t="s">
        <v>1171</v>
      </c>
      <c r="P297" s="373"/>
      <c r="Q297" s="373"/>
      <c r="R297" s="373"/>
      <c r="S297" s="373"/>
    </row>
    <row r="298" spans="1:19" x14ac:dyDescent="0.2">
      <c r="A298" s="379"/>
      <c r="B298" s="369"/>
      <c r="C298" s="369"/>
      <c r="D298" s="396"/>
      <c r="G298" s="399"/>
      <c r="H298" s="449"/>
      <c r="I298" s="397"/>
      <c r="J298" s="397"/>
      <c r="K298" s="399"/>
      <c r="L298" s="400"/>
      <c r="M298" s="399"/>
      <c r="N298" s="399"/>
      <c r="O298" s="507"/>
      <c r="P298" s="399"/>
      <c r="Q298" s="399"/>
      <c r="R298" s="399"/>
      <c r="S298" s="399"/>
    </row>
    <row r="299" spans="1:19" ht="15.75" thickBot="1" x14ac:dyDescent="0.25">
      <c r="A299" s="379">
        <v>36</v>
      </c>
      <c r="B299" s="369" t="s">
        <v>1410</v>
      </c>
      <c r="C299" s="369" t="s">
        <v>1411</v>
      </c>
      <c r="D299" s="396" t="s">
        <v>1171</v>
      </c>
      <c r="G299" s="373"/>
      <c r="H299" s="417">
        <v>36</v>
      </c>
      <c r="I299" s="419"/>
      <c r="J299" s="430"/>
      <c r="K299" s="487" t="s">
        <v>1411</v>
      </c>
      <c r="L299" s="430"/>
      <c r="M299" s="430"/>
      <c r="N299" s="430"/>
      <c r="O299" s="441" t="s">
        <v>1171</v>
      </c>
      <c r="P299" s="373"/>
      <c r="Q299" s="388">
        <f t="shared" ref="Q299:Q302" si="42">H299</f>
        <v>36</v>
      </c>
      <c r="R299" s="378" t="str">
        <f t="shared" ref="R299:R302" si="43">CONCATENATE("II-",TEXT(Q299,"0000"))</f>
        <v>II-0036</v>
      </c>
      <c r="S299" s="389" t="str">
        <f t="shared" ref="S299:S302" si="44">K299</f>
        <v>ENROCADOS</v>
      </c>
    </row>
    <row r="300" spans="1:19" ht="16.5" thickTop="1" thickBot="1" x14ac:dyDescent="0.25">
      <c r="A300" s="379">
        <v>37</v>
      </c>
      <c r="B300" s="369" t="s">
        <v>1412</v>
      </c>
      <c r="C300" s="369" t="s">
        <v>1413</v>
      </c>
      <c r="D300" s="396" t="s">
        <v>1254</v>
      </c>
      <c r="G300" s="373"/>
      <c r="H300" s="468">
        <v>37</v>
      </c>
      <c r="I300" s="418"/>
      <c r="J300" s="478"/>
      <c r="K300" s="479" t="s">
        <v>1413</v>
      </c>
      <c r="L300" s="478"/>
      <c r="M300" s="478"/>
      <c r="N300" s="478"/>
      <c r="O300" s="420" t="s">
        <v>1254</v>
      </c>
      <c r="P300" s="373"/>
      <c r="Q300" s="388">
        <f t="shared" si="42"/>
        <v>37</v>
      </c>
      <c r="R300" s="378" t="str">
        <f t="shared" si="43"/>
        <v>II-0037</v>
      </c>
      <c r="S300" s="389" t="str">
        <f t="shared" si="44"/>
        <v>ENRIPIADO</v>
      </c>
    </row>
    <row r="301" spans="1:19" ht="16.5" thickTop="1" thickBot="1" x14ac:dyDescent="0.25">
      <c r="A301" s="379">
        <v>38</v>
      </c>
      <c r="B301" s="369" t="s">
        <v>1414</v>
      </c>
      <c r="C301" s="369" t="s">
        <v>1415</v>
      </c>
      <c r="D301" s="396" t="s">
        <v>1254</v>
      </c>
      <c r="G301" s="373"/>
      <c r="H301" s="468">
        <v>38</v>
      </c>
      <c r="I301" s="418"/>
      <c r="J301" s="478"/>
      <c r="K301" s="479" t="s">
        <v>1415</v>
      </c>
      <c r="L301" s="478"/>
      <c r="M301" s="478"/>
      <c r="N301" s="478"/>
      <c r="O301" s="420" t="s">
        <v>1254</v>
      </c>
      <c r="P301" s="373"/>
      <c r="Q301" s="388">
        <f t="shared" si="42"/>
        <v>38</v>
      </c>
      <c r="R301" s="378" t="str">
        <f t="shared" si="43"/>
        <v>II-0038</v>
      </c>
      <c r="S301" s="389" t="str">
        <f t="shared" si="44"/>
        <v>ESCARIFICADO</v>
      </c>
    </row>
    <row r="302" spans="1:19" ht="15.75" thickTop="1" x14ac:dyDescent="0.2">
      <c r="A302" s="379">
        <v>39</v>
      </c>
      <c r="B302" s="369" t="s">
        <v>1416</v>
      </c>
      <c r="C302" s="369" t="s">
        <v>1417</v>
      </c>
      <c r="D302" s="396"/>
      <c r="G302" s="373"/>
      <c r="H302" s="468">
        <v>39</v>
      </c>
      <c r="I302" s="418"/>
      <c r="J302" s="478"/>
      <c r="K302" s="479" t="s">
        <v>1417</v>
      </c>
      <c r="L302" s="478"/>
      <c r="M302" s="478"/>
      <c r="N302" s="478"/>
      <c r="O302" s="420"/>
      <c r="P302" s="373"/>
      <c r="Q302" s="388">
        <f t="shared" si="42"/>
        <v>39</v>
      </c>
      <c r="R302" s="378" t="str">
        <f t="shared" si="43"/>
        <v>II-0039</v>
      </c>
      <c r="S302" s="389" t="str">
        <f t="shared" si="44"/>
        <v>EXCAVACIONES</v>
      </c>
    </row>
    <row r="303" spans="1:19" x14ac:dyDescent="0.2">
      <c r="A303" s="379"/>
      <c r="B303" s="369"/>
      <c r="C303" s="369"/>
      <c r="D303" s="396" t="s">
        <v>1171</v>
      </c>
      <c r="G303" s="373"/>
      <c r="H303" s="390"/>
      <c r="I303" s="391" t="s">
        <v>1060</v>
      </c>
      <c r="J303" s="438"/>
      <c r="K303" s="459" t="s">
        <v>1418</v>
      </c>
      <c r="L303" s="459"/>
      <c r="M303" s="459"/>
      <c r="N303" s="459"/>
      <c r="O303" s="473" t="s">
        <v>1171</v>
      </c>
      <c r="P303" s="373"/>
      <c r="Q303" s="373"/>
      <c r="R303" s="373"/>
      <c r="S303" s="373"/>
    </row>
    <row r="304" spans="1:19" x14ac:dyDescent="0.2">
      <c r="A304" s="379"/>
      <c r="B304" s="369"/>
      <c r="C304" s="369"/>
      <c r="D304" s="396" t="s">
        <v>1171</v>
      </c>
      <c r="G304" s="373"/>
      <c r="H304" s="390"/>
      <c r="I304" s="391" t="s">
        <v>1087</v>
      </c>
      <c r="J304" s="438"/>
      <c r="K304" s="459" t="s">
        <v>1419</v>
      </c>
      <c r="L304" s="459"/>
      <c r="M304" s="459"/>
      <c r="N304" s="459"/>
      <c r="O304" s="473" t="s">
        <v>1171</v>
      </c>
      <c r="P304" s="373"/>
      <c r="Q304" s="373"/>
      <c r="R304" s="373"/>
      <c r="S304" s="373"/>
    </row>
    <row r="305" spans="1:19" x14ac:dyDescent="0.2">
      <c r="A305" s="379"/>
      <c r="B305" s="369"/>
      <c r="C305" s="369"/>
      <c r="D305" s="396" t="s">
        <v>1171</v>
      </c>
      <c r="G305" s="373"/>
      <c r="H305" s="390"/>
      <c r="I305" s="391" t="s">
        <v>1097</v>
      </c>
      <c r="J305" s="438"/>
      <c r="K305" s="459" t="s">
        <v>1420</v>
      </c>
      <c r="L305" s="459"/>
      <c r="M305" s="459"/>
      <c r="N305" s="459"/>
      <c r="O305" s="473" t="s">
        <v>1171</v>
      </c>
      <c r="P305" s="373"/>
      <c r="Q305" s="373"/>
      <c r="R305" s="373"/>
      <c r="S305" s="373"/>
    </row>
    <row r="306" spans="1:19" x14ac:dyDescent="0.2">
      <c r="A306" s="379"/>
      <c r="B306" s="369"/>
      <c r="C306" s="369"/>
      <c r="D306" s="396" t="s">
        <v>1171</v>
      </c>
      <c r="G306" s="373"/>
      <c r="H306" s="390"/>
      <c r="I306" s="391" t="s">
        <v>1123</v>
      </c>
      <c r="J306" s="438"/>
      <c r="K306" s="459" t="s">
        <v>1421</v>
      </c>
      <c r="L306" s="459"/>
      <c r="M306" s="459"/>
      <c r="N306" s="459"/>
      <c r="O306" s="473" t="s">
        <v>1171</v>
      </c>
      <c r="P306" s="373"/>
      <c r="Q306" s="373"/>
      <c r="R306" s="373"/>
      <c r="S306" s="373"/>
    </row>
    <row r="307" spans="1:19" x14ac:dyDescent="0.2">
      <c r="A307" s="379"/>
      <c r="B307" s="369"/>
      <c r="C307" s="369"/>
      <c r="D307" s="396" t="s">
        <v>1171</v>
      </c>
      <c r="G307" s="373"/>
      <c r="H307" s="390"/>
      <c r="I307" s="391" t="s">
        <v>1165</v>
      </c>
      <c r="J307" s="438"/>
      <c r="K307" s="459" t="s">
        <v>1422</v>
      </c>
      <c r="L307" s="459"/>
      <c r="M307" s="459"/>
      <c r="N307" s="459"/>
      <c r="O307" s="473" t="s">
        <v>1171</v>
      </c>
      <c r="P307" s="373"/>
      <c r="Q307" s="373"/>
      <c r="R307" s="373"/>
      <c r="S307" s="373"/>
    </row>
    <row r="308" spans="1:19" x14ac:dyDescent="0.2">
      <c r="A308" s="379"/>
      <c r="B308" s="369"/>
      <c r="C308" s="369"/>
      <c r="D308" s="396" t="s">
        <v>1171</v>
      </c>
      <c r="G308" s="373"/>
      <c r="H308" s="390"/>
      <c r="I308" s="391" t="s">
        <v>1168</v>
      </c>
      <c r="J308" s="438"/>
      <c r="K308" s="459" t="s">
        <v>1423</v>
      </c>
      <c r="L308" s="459"/>
      <c r="M308" s="459"/>
      <c r="N308" s="459"/>
      <c r="O308" s="473" t="s">
        <v>1171</v>
      </c>
      <c r="P308" s="373"/>
      <c r="Q308" s="373"/>
      <c r="R308" s="373"/>
      <c r="S308" s="373"/>
    </row>
    <row r="309" spans="1:19" x14ac:dyDescent="0.2">
      <c r="A309" s="379"/>
      <c r="B309" s="369"/>
      <c r="C309" s="369"/>
      <c r="D309" s="396" t="s">
        <v>1171</v>
      </c>
      <c r="G309" s="373"/>
      <c r="H309" s="390"/>
      <c r="I309" s="391" t="s">
        <v>1172</v>
      </c>
      <c r="J309" s="438"/>
      <c r="K309" s="459" t="s">
        <v>1424</v>
      </c>
      <c r="L309" s="459"/>
      <c r="M309" s="459"/>
      <c r="N309" s="459"/>
      <c r="O309" s="473" t="s">
        <v>1171</v>
      </c>
      <c r="P309" s="373"/>
      <c r="Q309" s="373"/>
      <c r="R309" s="373"/>
      <c r="S309" s="373"/>
    </row>
    <row r="310" spans="1:19" x14ac:dyDescent="0.2">
      <c r="A310" s="379"/>
      <c r="B310" s="369"/>
      <c r="C310" s="369"/>
      <c r="D310" s="396" t="s">
        <v>1171</v>
      </c>
      <c r="G310" s="373"/>
      <c r="H310" s="390"/>
      <c r="I310" s="391" t="s">
        <v>1175</v>
      </c>
      <c r="J310" s="438"/>
      <c r="K310" s="459" t="s">
        <v>1425</v>
      </c>
      <c r="L310" s="459"/>
      <c r="M310" s="459"/>
      <c r="N310" s="459"/>
      <c r="O310" s="473" t="s">
        <v>1171</v>
      </c>
      <c r="P310" s="373"/>
      <c r="Q310" s="373"/>
      <c r="R310" s="373"/>
      <c r="S310" s="373"/>
    </row>
    <row r="311" spans="1:19" x14ac:dyDescent="0.2">
      <c r="A311" s="379"/>
      <c r="B311" s="369"/>
      <c r="C311" s="369"/>
      <c r="D311" s="396" t="s">
        <v>1171</v>
      </c>
      <c r="G311" s="373"/>
      <c r="H311" s="390"/>
      <c r="I311" s="391" t="s">
        <v>901</v>
      </c>
      <c r="J311" s="438"/>
      <c r="K311" s="459" t="s">
        <v>1426</v>
      </c>
      <c r="L311" s="459"/>
      <c r="M311" s="459"/>
      <c r="N311" s="459"/>
      <c r="O311" s="473" t="s">
        <v>1171</v>
      </c>
      <c r="P311" s="373"/>
      <c r="Q311" s="373"/>
      <c r="R311" s="373"/>
      <c r="S311" s="373"/>
    </row>
    <row r="312" spans="1:19" ht="15.75" thickBot="1" x14ac:dyDescent="0.25">
      <c r="A312" s="379"/>
      <c r="B312" s="369"/>
      <c r="C312" s="369"/>
      <c r="D312" s="396" t="s">
        <v>1171</v>
      </c>
      <c r="G312" s="373"/>
      <c r="H312" s="410"/>
      <c r="I312" s="422" t="s">
        <v>1180</v>
      </c>
      <c r="J312" s="425"/>
      <c r="K312" s="461" t="s">
        <v>1427</v>
      </c>
      <c r="L312" s="461"/>
      <c r="M312" s="461"/>
      <c r="N312" s="461"/>
      <c r="O312" s="499" t="s">
        <v>1171</v>
      </c>
      <c r="P312" s="373"/>
      <c r="Q312" s="373"/>
      <c r="R312" s="373"/>
      <c r="S312" s="373"/>
    </row>
    <row r="313" spans="1:19" ht="15.75" thickTop="1" x14ac:dyDescent="0.2">
      <c r="A313" s="379">
        <v>40</v>
      </c>
      <c r="B313" s="369" t="s">
        <v>1428</v>
      </c>
      <c r="C313" s="369" t="s">
        <v>1324</v>
      </c>
      <c r="D313" s="396"/>
      <c r="G313" s="373"/>
      <c r="H313" s="417">
        <v>40</v>
      </c>
      <c r="I313" s="419"/>
      <c r="J313" s="430"/>
      <c r="K313" s="487" t="s">
        <v>1324</v>
      </c>
      <c r="L313" s="430"/>
      <c r="M313" s="430"/>
      <c r="N313" s="430"/>
      <c r="O313" s="441"/>
      <c r="P313" s="373"/>
      <c r="Q313" s="388">
        <f>H313</f>
        <v>40</v>
      </c>
      <c r="R313" s="378" t="str">
        <f>CONCATENATE("II-",TEXT(Q313,"0000"))</f>
        <v>II-0040</v>
      </c>
      <c r="S313" s="389" t="str">
        <f>K313</f>
        <v>FRESADO</v>
      </c>
    </row>
    <row r="314" spans="1:19" ht="15.75" thickBot="1" x14ac:dyDescent="0.25">
      <c r="A314" s="379"/>
      <c r="B314" s="369"/>
      <c r="C314" s="369"/>
      <c r="D314" s="396" t="s">
        <v>1254</v>
      </c>
      <c r="G314" s="373"/>
      <c r="H314" s="474"/>
      <c r="I314" s="475" t="s">
        <v>1060</v>
      </c>
      <c r="J314" s="476"/>
      <c r="K314" s="477" t="s">
        <v>1429</v>
      </c>
      <c r="L314" s="476"/>
      <c r="M314" s="476"/>
      <c r="N314" s="476"/>
      <c r="O314" s="463" t="s">
        <v>1254</v>
      </c>
      <c r="P314" s="373"/>
      <c r="Q314" s="373"/>
      <c r="R314" s="373"/>
      <c r="S314" s="373"/>
    </row>
    <row r="315" spans="1:19" ht="15.75" thickTop="1" x14ac:dyDescent="0.2">
      <c r="A315" s="379">
        <v>41</v>
      </c>
      <c r="B315" s="369" t="s">
        <v>1430</v>
      </c>
      <c r="C315" s="369" t="s">
        <v>1431</v>
      </c>
      <c r="D315" s="396"/>
      <c r="G315" s="373"/>
      <c r="H315" s="468">
        <v>41</v>
      </c>
      <c r="I315" s="418"/>
      <c r="J315" s="478"/>
      <c r="K315" s="479" t="s">
        <v>1431</v>
      </c>
      <c r="L315" s="479"/>
      <c r="M315" s="478"/>
      <c r="N315" s="478"/>
      <c r="O315" s="420"/>
      <c r="P315" s="373"/>
      <c r="Q315" s="388">
        <f>H315</f>
        <v>41</v>
      </c>
      <c r="R315" s="378" t="str">
        <f>CONCATENATE("II-",TEXT(Q315,"0000"))</f>
        <v>II-0041</v>
      </c>
      <c r="S315" s="389" t="str">
        <f>K315</f>
        <v>GAVIONES (PIEDRA EMBOLSADA)</v>
      </c>
    </row>
    <row r="316" spans="1:19" x14ac:dyDescent="0.2">
      <c r="A316" s="379"/>
      <c r="B316" s="369"/>
      <c r="C316" s="369"/>
      <c r="D316" s="396"/>
      <c r="G316" s="373"/>
      <c r="H316" s="474"/>
      <c r="I316" s="391" t="s">
        <v>1060</v>
      </c>
      <c r="J316" s="397"/>
      <c r="K316" s="400" t="s">
        <v>1340</v>
      </c>
      <c r="L316" s="399"/>
      <c r="M316" s="399"/>
      <c r="N316" s="399"/>
      <c r="O316" s="432"/>
      <c r="P316" s="373"/>
      <c r="Q316" s="373"/>
      <c r="R316" s="373"/>
      <c r="S316" s="373"/>
    </row>
    <row r="317" spans="1:19" x14ac:dyDescent="0.2">
      <c r="A317" s="379"/>
      <c r="B317" s="369"/>
      <c r="C317" s="369"/>
      <c r="D317" s="396" t="s">
        <v>1171</v>
      </c>
      <c r="G317" s="373"/>
      <c r="H317" s="474"/>
      <c r="I317" s="397"/>
      <c r="J317" s="398">
        <v>1</v>
      </c>
      <c r="K317" s="399"/>
      <c r="L317" s="400" t="s">
        <v>1432</v>
      </c>
      <c r="M317" s="399"/>
      <c r="N317" s="399"/>
      <c r="O317" s="432" t="s">
        <v>1171</v>
      </c>
      <c r="P317" s="373"/>
      <c r="Q317" s="373"/>
      <c r="R317" s="373"/>
      <c r="S317" s="373"/>
    </row>
    <row r="318" spans="1:19" x14ac:dyDescent="0.2">
      <c r="A318" s="379"/>
      <c r="B318" s="369"/>
      <c r="C318" s="369"/>
      <c r="D318" s="396" t="s">
        <v>1171</v>
      </c>
      <c r="G318" s="373"/>
      <c r="H318" s="474"/>
      <c r="I318" s="450"/>
      <c r="J318" s="404">
        <v>2</v>
      </c>
      <c r="K318" s="405"/>
      <c r="L318" s="406" t="s">
        <v>1433</v>
      </c>
      <c r="M318" s="405"/>
      <c r="N318" s="405"/>
      <c r="O318" s="451" t="s">
        <v>1171</v>
      </c>
      <c r="P318" s="373"/>
      <c r="Q318" s="373"/>
      <c r="R318" s="373"/>
      <c r="S318" s="373"/>
    </row>
    <row r="319" spans="1:19" x14ac:dyDescent="0.2">
      <c r="A319" s="379"/>
      <c r="B319" s="369"/>
      <c r="C319" s="369"/>
      <c r="D319" s="396"/>
      <c r="G319" s="373"/>
      <c r="H319" s="474"/>
      <c r="I319" s="404" t="s">
        <v>1087</v>
      </c>
      <c r="J319" s="397"/>
      <c r="K319" s="400" t="s">
        <v>1339</v>
      </c>
      <c r="L319" s="399"/>
      <c r="M319" s="399"/>
      <c r="N319" s="399"/>
      <c r="O319" s="432"/>
      <c r="P319" s="373"/>
      <c r="Q319" s="373"/>
      <c r="R319" s="373"/>
      <c r="S319" s="373"/>
    </row>
    <row r="320" spans="1:19" x14ac:dyDescent="0.2">
      <c r="A320" s="379"/>
      <c r="B320" s="369"/>
      <c r="C320" s="369"/>
      <c r="D320" s="396" t="s">
        <v>1171</v>
      </c>
      <c r="G320" s="373"/>
      <c r="H320" s="474"/>
      <c r="I320" s="397"/>
      <c r="J320" s="398">
        <v>1</v>
      </c>
      <c r="K320" s="399"/>
      <c r="L320" s="400" t="s">
        <v>1432</v>
      </c>
      <c r="M320" s="399"/>
      <c r="N320" s="399"/>
      <c r="O320" s="432" t="s">
        <v>1171</v>
      </c>
      <c r="P320" s="373"/>
      <c r="Q320" s="373"/>
      <c r="R320" s="373"/>
      <c r="S320" s="373"/>
    </row>
    <row r="321" spans="1:19" x14ac:dyDescent="0.2">
      <c r="A321" s="379"/>
      <c r="B321" s="369"/>
      <c r="C321" s="369"/>
      <c r="D321" s="396" t="s">
        <v>1171</v>
      </c>
      <c r="G321" s="373"/>
      <c r="H321" s="474"/>
      <c r="I321" s="409"/>
      <c r="J321" s="404">
        <v>2</v>
      </c>
      <c r="K321" s="405"/>
      <c r="L321" s="406" t="s">
        <v>1433</v>
      </c>
      <c r="M321" s="405"/>
      <c r="N321" s="405"/>
      <c r="O321" s="451" t="s">
        <v>1171</v>
      </c>
      <c r="P321" s="373"/>
      <c r="Q321" s="373"/>
      <c r="R321" s="373"/>
      <c r="S321" s="373"/>
    </row>
    <row r="322" spans="1:19" x14ac:dyDescent="0.2">
      <c r="A322" s="379"/>
      <c r="B322" s="369"/>
      <c r="C322" s="369"/>
      <c r="D322" s="396" t="s">
        <v>1171</v>
      </c>
      <c r="G322" s="399"/>
      <c r="H322" s="474"/>
      <c r="I322" s="492" t="s">
        <v>1097</v>
      </c>
      <c r="J322" s="523"/>
      <c r="K322" s="505" t="s">
        <v>1129</v>
      </c>
      <c r="L322" s="505"/>
      <c r="M322" s="523"/>
      <c r="N322" s="523"/>
      <c r="O322" s="458" t="s">
        <v>1171</v>
      </c>
      <c r="P322" s="399"/>
      <c r="Q322" s="399"/>
      <c r="R322" s="399"/>
      <c r="S322" s="399"/>
    </row>
    <row r="323" spans="1:19" ht="15.75" thickBot="1" x14ac:dyDescent="0.25">
      <c r="A323" s="379"/>
      <c r="B323" s="369"/>
      <c r="C323" s="369"/>
      <c r="D323" s="396" t="s">
        <v>1171</v>
      </c>
      <c r="G323" s="373"/>
      <c r="H323" s="474"/>
      <c r="I323" s="488" t="s">
        <v>1123</v>
      </c>
      <c r="J323" s="476"/>
      <c r="K323" s="477" t="s">
        <v>1177</v>
      </c>
      <c r="L323" s="477"/>
      <c r="M323" s="476"/>
      <c r="N323" s="476"/>
      <c r="O323" s="463" t="s">
        <v>1171</v>
      </c>
      <c r="P323" s="373"/>
      <c r="Q323" s="373"/>
      <c r="R323" s="373"/>
      <c r="S323" s="373"/>
    </row>
    <row r="324" spans="1:19" ht="16.5" thickTop="1" thickBot="1" x14ac:dyDescent="0.25">
      <c r="A324" s="379">
        <v>42</v>
      </c>
      <c r="B324" s="369" t="s">
        <v>1434</v>
      </c>
      <c r="C324" s="369" t="s">
        <v>1435</v>
      </c>
      <c r="D324" s="396" t="s">
        <v>5</v>
      </c>
      <c r="G324" s="399"/>
      <c r="H324" s="514">
        <v>42</v>
      </c>
      <c r="I324" s="515"/>
      <c r="J324" s="516"/>
      <c r="K324" s="517" t="s">
        <v>1435</v>
      </c>
      <c r="L324" s="517"/>
      <c r="M324" s="516"/>
      <c r="N324" s="516"/>
      <c r="O324" s="518" t="s">
        <v>5</v>
      </c>
      <c r="P324" s="399"/>
      <c r="Q324" s="388">
        <f t="shared" ref="Q324:Q325" si="45">H324</f>
        <v>42</v>
      </c>
      <c r="R324" s="378" t="str">
        <f t="shared" ref="R324:R325" si="46">CONCATENATE("II-",TEXT(Q324,"0000"))</f>
        <v>II-0042</v>
      </c>
      <c r="S324" s="389" t="str">
        <f t="shared" ref="S324:S325" si="47">K324</f>
        <v>GUARDAGANADO</v>
      </c>
    </row>
    <row r="325" spans="1:19" ht="15.75" thickTop="1" x14ac:dyDescent="0.2">
      <c r="A325" s="379">
        <v>43</v>
      </c>
      <c r="B325" s="369" t="s">
        <v>1436</v>
      </c>
      <c r="C325" s="369" t="s">
        <v>1437</v>
      </c>
      <c r="D325" s="396"/>
      <c r="G325" s="373"/>
      <c r="H325" s="417">
        <v>43</v>
      </c>
      <c r="I325" s="419"/>
      <c r="J325" s="430"/>
      <c r="K325" s="487" t="s">
        <v>1437</v>
      </c>
      <c r="L325" s="430"/>
      <c r="M325" s="430"/>
      <c r="N325" s="430"/>
      <c r="O325" s="441"/>
      <c r="P325" s="373"/>
      <c r="Q325" s="388">
        <f t="shared" si="45"/>
        <v>43</v>
      </c>
      <c r="R325" s="378" t="str">
        <f t="shared" si="46"/>
        <v>II-0043</v>
      </c>
      <c r="S325" s="389" t="str">
        <f t="shared" si="47"/>
        <v>HORMIGON CEMENTO PORTLAND EXCLUIDA LA ARAMDURA</v>
      </c>
    </row>
    <row r="326" spans="1:19" x14ac:dyDescent="0.2">
      <c r="A326" s="379"/>
      <c r="B326" s="369"/>
      <c r="C326" s="369"/>
      <c r="D326" s="396"/>
      <c r="G326" s="373"/>
      <c r="H326" s="390"/>
      <c r="I326" s="391" t="s">
        <v>1060</v>
      </c>
      <c r="J326" s="397"/>
      <c r="K326" s="400" t="s">
        <v>1438</v>
      </c>
      <c r="L326" s="399"/>
      <c r="M326" s="399"/>
      <c r="N326" s="399"/>
      <c r="O326" s="432"/>
      <c r="P326" s="373"/>
      <c r="Q326" s="373"/>
      <c r="R326" s="373"/>
      <c r="S326" s="373"/>
    </row>
    <row r="327" spans="1:19" x14ac:dyDescent="0.2">
      <c r="A327" s="379"/>
      <c r="B327" s="369"/>
      <c r="C327" s="369"/>
      <c r="D327" s="396" t="s">
        <v>1171</v>
      </c>
      <c r="G327" s="373"/>
      <c r="H327" s="390"/>
      <c r="I327" s="397"/>
      <c r="J327" s="398">
        <v>1</v>
      </c>
      <c r="K327" s="399"/>
      <c r="L327" s="400" t="s">
        <v>1439</v>
      </c>
      <c r="M327" s="399"/>
      <c r="N327" s="399"/>
      <c r="O327" s="432" t="s">
        <v>1171</v>
      </c>
      <c r="P327" s="373"/>
      <c r="Q327" s="373"/>
      <c r="R327" s="373"/>
      <c r="S327" s="373"/>
    </row>
    <row r="328" spans="1:19" x14ac:dyDescent="0.2">
      <c r="A328" s="379"/>
      <c r="B328" s="369"/>
      <c r="C328" s="369"/>
      <c r="D328" s="396" t="s">
        <v>1171</v>
      </c>
      <c r="G328" s="373"/>
      <c r="H328" s="390"/>
      <c r="I328" s="397"/>
      <c r="J328" s="398">
        <v>2</v>
      </c>
      <c r="K328" s="399"/>
      <c r="L328" s="400" t="s">
        <v>1269</v>
      </c>
      <c r="M328" s="399"/>
      <c r="N328" s="399"/>
      <c r="O328" s="432" t="s">
        <v>1171</v>
      </c>
      <c r="P328" s="373"/>
      <c r="Q328" s="373"/>
      <c r="R328" s="373"/>
      <c r="S328" s="373"/>
    </row>
    <row r="329" spans="1:19" x14ac:dyDescent="0.2">
      <c r="A329" s="379"/>
      <c r="B329" s="369"/>
      <c r="C329" s="369"/>
      <c r="D329" s="396" t="s">
        <v>1171</v>
      </c>
      <c r="G329" s="373"/>
      <c r="H329" s="390"/>
      <c r="I329" s="397"/>
      <c r="J329" s="398">
        <v>3</v>
      </c>
      <c r="K329" s="399"/>
      <c r="L329" s="400" t="s">
        <v>1440</v>
      </c>
      <c r="M329" s="399"/>
      <c r="N329" s="399"/>
      <c r="O329" s="432" t="s">
        <v>1171</v>
      </c>
      <c r="P329" s="373"/>
      <c r="Q329" s="373"/>
      <c r="R329" s="373"/>
      <c r="S329" s="373"/>
    </row>
    <row r="330" spans="1:19" x14ac:dyDescent="0.2">
      <c r="A330" s="379"/>
      <c r="B330" s="369"/>
      <c r="C330" s="369"/>
      <c r="D330" s="396" t="s">
        <v>1171</v>
      </c>
      <c r="G330" s="373"/>
      <c r="H330" s="390"/>
      <c r="I330" s="397"/>
      <c r="J330" s="398">
        <v>4</v>
      </c>
      <c r="K330" s="399"/>
      <c r="L330" s="400" t="s">
        <v>1420</v>
      </c>
      <c r="M330" s="399"/>
      <c r="N330" s="399"/>
      <c r="O330" s="432" t="s">
        <v>1171</v>
      </c>
      <c r="P330" s="373"/>
      <c r="Q330" s="373"/>
      <c r="R330" s="373"/>
      <c r="S330" s="373"/>
    </row>
    <row r="331" spans="1:19" x14ac:dyDescent="0.2">
      <c r="A331" s="379"/>
      <c r="B331" s="369"/>
      <c r="C331" s="369"/>
      <c r="D331" s="396" t="s">
        <v>1171</v>
      </c>
      <c r="G331" s="373"/>
      <c r="H331" s="390"/>
      <c r="I331" s="409"/>
      <c r="J331" s="404">
        <v>5</v>
      </c>
      <c r="K331" s="405"/>
      <c r="L331" s="406" t="s">
        <v>1441</v>
      </c>
      <c r="M331" s="405"/>
      <c r="N331" s="405"/>
      <c r="O331" s="451" t="s">
        <v>1171</v>
      </c>
      <c r="P331" s="373"/>
      <c r="Q331" s="373"/>
      <c r="R331" s="373"/>
      <c r="S331" s="373"/>
    </row>
    <row r="332" spans="1:19" x14ac:dyDescent="0.2">
      <c r="A332" s="379"/>
      <c r="B332" s="369"/>
      <c r="C332" s="369"/>
      <c r="D332" s="396"/>
      <c r="G332" s="373"/>
      <c r="H332" s="390"/>
      <c r="I332" s="391" t="s">
        <v>1087</v>
      </c>
      <c r="J332" s="397"/>
      <c r="K332" s="400" t="s">
        <v>1442</v>
      </c>
      <c r="L332" s="399"/>
      <c r="M332" s="399"/>
      <c r="N332" s="399"/>
      <c r="O332" s="432"/>
      <c r="P332" s="373"/>
      <c r="Q332" s="373"/>
      <c r="R332" s="373"/>
      <c r="S332" s="373"/>
    </row>
    <row r="333" spans="1:19" x14ac:dyDescent="0.2">
      <c r="A333" s="379"/>
      <c r="B333" s="369"/>
      <c r="C333" s="369"/>
      <c r="D333" s="396" t="s">
        <v>1171</v>
      </c>
      <c r="G333" s="373"/>
      <c r="H333" s="390"/>
      <c r="I333" s="397"/>
      <c r="J333" s="398">
        <v>1</v>
      </c>
      <c r="K333" s="399"/>
      <c r="L333" s="400" t="s">
        <v>1269</v>
      </c>
      <c r="M333" s="399"/>
      <c r="N333" s="399"/>
      <c r="O333" s="432" t="s">
        <v>1171</v>
      </c>
      <c r="P333" s="373"/>
      <c r="Q333" s="373"/>
      <c r="R333" s="373"/>
      <c r="S333" s="373"/>
    </row>
    <row r="334" spans="1:19" x14ac:dyDescent="0.2">
      <c r="A334" s="379"/>
      <c r="B334" s="369"/>
      <c r="C334" s="369"/>
      <c r="D334" s="396" t="s">
        <v>1171</v>
      </c>
      <c r="G334" s="373"/>
      <c r="H334" s="390"/>
      <c r="I334" s="397"/>
      <c r="J334" s="398">
        <v>2</v>
      </c>
      <c r="K334" s="399"/>
      <c r="L334" s="400" t="s">
        <v>1443</v>
      </c>
      <c r="M334" s="399"/>
      <c r="N334" s="399"/>
      <c r="O334" s="432" t="s">
        <v>1171</v>
      </c>
      <c r="P334" s="373"/>
      <c r="Q334" s="373"/>
      <c r="R334" s="373"/>
      <c r="S334" s="373"/>
    </row>
    <row r="335" spans="1:19" x14ac:dyDescent="0.2">
      <c r="A335" s="379"/>
      <c r="B335" s="369"/>
      <c r="C335" s="369"/>
      <c r="D335" s="396" t="s">
        <v>1171</v>
      </c>
      <c r="G335" s="373"/>
      <c r="H335" s="390"/>
      <c r="I335" s="397"/>
      <c r="J335" s="398">
        <v>3</v>
      </c>
      <c r="K335" s="399"/>
      <c r="L335" s="400" t="s">
        <v>1444</v>
      </c>
      <c r="M335" s="399"/>
      <c r="N335" s="399"/>
      <c r="O335" s="432" t="s">
        <v>1171</v>
      </c>
      <c r="P335" s="373"/>
      <c r="Q335" s="373"/>
      <c r="R335" s="373"/>
      <c r="S335" s="373"/>
    </row>
    <row r="336" spans="1:19" x14ac:dyDescent="0.2">
      <c r="A336" s="379"/>
      <c r="B336" s="369"/>
      <c r="C336" s="369"/>
      <c r="D336" s="396" t="s">
        <v>1171</v>
      </c>
      <c r="G336" s="373"/>
      <c r="H336" s="390"/>
      <c r="I336" s="397"/>
      <c r="J336" s="398">
        <v>4</v>
      </c>
      <c r="K336" s="399"/>
      <c r="L336" s="400" t="s">
        <v>1445</v>
      </c>
      <c r="M336" s="399"/>
      <c r="N336" s="399"/>
      <c r="O336" s="432" t="s">
        <v>1171</v>
      </c>
      <c r="P336" s="373"/>
      <c r="Q336" s="373"/>
      <c r="R336" s="373"/>
      <c r="S336" s="373"/>
    </row>
    <row r="337" spans="1:19" x14ac:dyDescent="0.2">
      <c r="A337" s="379"/>
      <c r="B337" s="369"/>
      <c r="C337" s="369"/>
      <c r="D337" s="396" t="s">
        <v>1171</v>
      </c>
      <c r="G337" s="373"/>
      <c r="H337" s="390"/>
      <c r="I337" s="397"/>
      <c r="J337" s="398">
        <v>5</v>
      </c>
      <c r="K337" s="399"/>
      <c r="L337" s="400" t="s">
        <v>1446</v>
      </c>
      <c r="M337" s="399"/>
      <c r="N337" s="399"/>
      <c r="O337" s="432" t="s">
        <v>1171</v>
      </c>
      <c r="P337" s="373"/>
      <c r="Q337" s="373"/>
      <c r="R337" s="373"/>
      <c r="S337" s="373"/>
    </row>
    <row r="338" spans="1:19" x14ac:dyDescent="0.2">
      <c r="A338" s="379"/>
      <c r="B338" s="369"/>
      <c r="C338" s="369"/>
      <c r="D338" s="396" t="s">
        <v>1171</v>
      </c>
      <c r="G338" s="373"/>
      <c r="H338" s="390"/>
      <c r="I338" s="450"/>
      <c r="J338" s="397">
        <v>6</v>
      </c>
      <c r="K338" s="400"/>
      <c r="L338" s="399" t="s">
        <v>1441</v>
      </c>
      <c r="M338" s="399"/>
      <c r="N338" s="399"/>
      <c r="O338" s="432" t="s">
        <v>1171</v>
      </c>
      <c r="P338" s="373"/>
      <c r="Q338" s="373"/>
      <c r="R338" s="373"/>
      <c r="S338" s="373"/>
    </row>
    <row r="339" spans="1:19" x14ac:dyDescent="0.2">
      <c r="A339" s="379"/>
      <c r="B339" s="369"/>
      <c r="C339" s="369"/>
      <c r="D339" s="396"/>
      <c r="G339" s="373"/>
      <c r="H339" s="390"/>
      <c r="I339" s="404" t="s">
        <v>1097</v>
      </c>
      <c r="J339" s="397"/>
      <c r="K339" s="400" t="s">
        <v>1447</v>
      </c>
      <c r="L339" s="399"/>
      <c r="M339" s="399"/>
      <c r="N339" s="399"/>
      <c r="O339" s="432"/>
      <c r="P339" s="373"/>
      <c r="Q339" s="373"/>
      <c r="R339" s="373"/>
      <c r="S339" s="373"/>
    </row>
    <row r="340" spans="1:19" x14ac:dyDescent="0.2">
      <c r="A340" s="379"/>
      <c r="B340" s="369"/>
      <c r="C340" s="369"/>
      <c r="D340" s="396" t="s">
        <v>1171</v>
      </c>
      <c r="G340" s="373"/>
      <c r="H340" s="390"/>
      <c r="I340" s="397"/>
      <c r="J340" s="398">
        <v>1</v>
      </c>
      <c r="K340" s="399"/>
      <c r="L340" s="400" t="s">
        <v>1448</v>
      </c>
      <c r="M340" s="399"/>
      <c r="N340" s="399"/>
      <c r="O340" s="432" t="s">
        <v>1171</v>
      </c>
      <c r="P340" s="373"/>
      <c r="Q340" s="373"/>
      <c r="R340" s="373"/>
      <c r="S340" s="373"/>
    </row>
    <row r="341" spans="1:19" x14ac:dyDescent="0.2">
      <c r="A341" s="379"/>
      <c r="B341" s="369"/>
      <c r="C341" s="369"/>
      <c r="D341" s="396" t="s">
        <v>1171</v>
      </c>
      <c r="G341" s="373"/>
      <c r="H341" s="390"/>
      <c r="I341" s="397"/>
      <c r="J341" s="398">
        <v>2</v>
      </c>
      <c r="K341" s="399"/>
      <c r="L341" s="400" t="s">
        <v>1269</v>
      </c>
      <c r="M341" s="399"/>
      <c r="N341" s="399"/>
      <c r="O341" s="432" t="s">
        <v>1171</v>
      </c>
      <c r="P341" s="373"/>
      <c r="Q341" s="373"/>
      <c r="R341" s="373"/>
      <c r="S341" s="373"/>
    </row>
    <row r="342" spans="1:19" x14ac:dyDescent="0.2">
      <c r="A342" s="379"/>
      <c r="B342" s="369"/>
      <c r="C342" s="369"/>
      <c r="D342" s="396" t="s">
        <v>1171</v>
      </c>
      <c r="G342" s="373"/>
      <c r="H342" s="390"/>
      <c r="I342" s="397"/>
      <c r="J342" s="398">
        <v>3</v>
      </c>
      <c r="K342" s="399"/>
      <c r="L342" s="400" t="s">
        <v>1449</v>
      </c>
      <c r="M342" s="399"/>
      <c r="N342" s="399"/>
      <c r="O342" s="432" t="s">
        <v>1171</v>
      </c>
      <c r="P342" s="373"/>
      <c r="Q342" s="373"/>
      <c r="R342" s="373"/>
      <c r="S342" s="373"/>
    </row>
    <row r="343" spans="1:19" x14ac:dyDescent="0.2">
      <c r="A343" s="379"/>
      <c r="B343" s="369"/>
      <c r="C343" s="369"/>
      <c r="D343" s="396" t="s">
        <v>1171</v>
      </c>
      <c r="G343" s="373"/>
      <c r="H343" s="390"/>
      <c r="I343" s="397"/>
      <c r="J343" s="398">
        <v>4</v>
      </c>
      <c r="K343" s="399"/>
      <c r="L343" s="400" t="s">
        <v>1443</v>
      </c>
      <c r="M343" s="399"/>
      <c r="N343" s="399"/>
      <c r="O343" s="432" t="s">
        <v>1171</v>
      </c>
      <c r="P343" s="373"/>
      <c r="Q343" s="373"/>
      <c r="R343" s="373"/>
      <c r="S343" s="373"/>
    </row>
    <row r="344" spans="1:19" x14ac:dyDescent="0.2">
      <c r="A344" s="379"/>
      <c r="B344" s="369"/>
      <c r="C344" s="369"/>
      <c r="D344" s="396" t="s">
        <v>1171</v>
      </c>
      <c r="G344" s="373"/>
      <c r="H344" s="390"/>
      <c r="I344" s="397"/>
      <c r="J344" s="398">
        <v>5</v>
      </c>
      <c r="K344" s="399"/>
      <c r="L344" s="400" t="s">
        <v>1380</v>
      </c>
      <c r="M344" s="399"/>
      <c r="N344" s="399"/>
      <c r="O344" s="432" t="s">
        <v>1171</v>
      </c>
      <c r="P344" s="373"/>
      <c r="Q344" s="373"/>
      <c r="R344" s="373"/>
      <c r="S344" s="373"/>
    </row>
    <row r="345" spans="1:19" x14ac:dyDescent="0.2">
      <c r="A345" s="379"/>
      <c r="B345" s="369"/>
      <c r="C345" s="369"/>
      <c r="D345" s="396" t="s">
        <v>1171</v>
      </c>
      <c r="G345" s="373"/>
      <c r="H345" s="390"/>
      <c r="I345" s="397"/>
      <c r="J345" s="398">
        <v>6</v>
      </c>
      <c r="K345" s="399"/>
      <c r="L345" s="400" t="s">
        <v>1445</v>
      </c>
      <c r="M345" s="399"/>
      <c r="N345" s="399"/>
      <c r="O345" s="432" t="s">
        <v>1171</v>
      </c>
      <c r="P345" s="373"/>
      <c r="Q345" s="373"/>
      <c r="R345" s="373"/>
      <c r="S345" s="373"/>
    </row>
    <row r="346" spans="1:19" x14ac:dyDescent="0.2">
      <c r="A346" s="379"/>
      <c r="B346" s="369"/>
      <c r="C346" s="369"/>
      <c r="D346" s="396" t="s">
        <v>1171</v>
      </c>
      <c r="G346" s="373"/>
      <c r="H346" s="390"/>
      <c r="I346" s="397"/>
      <c r="J346" s="398">
        <v>7</v>
      </c>
      <c r="K346" s="399"/>
      <c r="L346" s="400" t="s">
        <v>1446</v>
      </c>
      <c r="M346" s="399"/>
      <c r="N346" s="399"/>
      <c r="O346" s="432" t="s">
        <v>1171</v>
      </c>
      <c r="P346" s="373"/>
      <c r="Q346" s="373"/>
      <c r="R346" s="373"/>
      <c r="S346" s="373"/>
    </row>
    <row r="347" spans="1:19" x14ac:dyDescent="0.2">
      <c r="A347" s="379"/>
      <c r="B347" s="369"/>
      <c r="C347" s="369"/>
      <c r="D347" s="396" t="s">
        <v>1171</v>
      </c>
      <c r="G347" s="373"/>
      <c r="H347" s="390"/>
      <c r="I347" s="450"/>
      <c r="J347" s="404">
        <v>8</v>
      </c>
      <c r="K347" s="405"/>
      <c r="L347" s="406" t="s">
        <v>1441</v>
      </c>
      <c r="M347" s="405"/>
      <c r="N347" s="405"/>
      <c r="O347" s="451" t="s">
        <v>1171</v>
      </c>
      <c r="P347" s="373"/>
      <c r="Q347" s="373"/>
      <c r="R347" s="373"/>
      <c r="S347" s="373"/>
    </row>
    <row r="348" spans="1:19" x14ac:dyDescent="0.2">
      <c r="A348" s="379"/>
      <c r="B348" s="369"/>
      <c r="C348" s="369"/>
      <c r="D348" s="396"/>
      <c r="G348" s="373"/>
      <c r="H348" s="390"/>
      <c r="I348" s="404" t="s">
        <v>1123</v>
      </c>
      <c r="J348" s="397"/>
      <c r="K348" s="400" t="s">
        <v>1450</v>
      </c>
      <c r="L348" s="399"/>
      <c r="M348" s="399"/>
      <c r="N348" s="399"/>
      <c r="O348" s="432"/>
      <c r="P348" s="373"/>
      <c r="Q348" s="373"/>
      <c r="R348" s="373"/>
      <c r="S348" s="373"/>
    </row>
    <row r="349" spans="1:19" x14ac:dyDescent="0.2">
      <c r="A349" s="379"/>
      <c r="B349" s="369"/>
      <c r="C349" s="369"/>
      <c r="D349" s="396" t="s">
        <v>1171</v>
      </c>
      <c r="G349" s="373"/>
      <c r="H349" s="390"/>
      <c r="I349" s="397"/>
      <c r="J349" s="398">
        <v>1</v>
      </c>
      <c r="K349" s="399"/>
      <c r="L349" s="400" t="s">
        <v>1448</v>
      </c>
      <c r="M349" s="399"/>
      <c r="N349" s="399"/>
      <c r="O349" s="432" t="s">
        <v>1171</v>
      </c>
      <c r="P349" s="373"/>
      <c r="Q349" s="373"/>
      <c r="R349" s="373"/>
      <c r="S349" s="373"/>
    </row>
    <row r="350" spans="1:19" x14ac:dyDescent="0.2">
      <c r="A350" s="379"/>
      <c r="B350" s="369"/>
      <c r="C350" s="369"/>
      <c r="D350" s="396" t="s">
        <v>1171</v>
      </c>
      <c r="G350" s="373"/>
      <c r="H350" s="390"/>
      <c r="I350" s="397"/>
      <c r="J350" s="398">
        <v>2</v>
      </c>
      <c r="K350" s="399"/>
      <c r="L350" s="400" t="s">
        <v>1269</v>
      </c>
      <c r="M350" s="399"/>
      <c r="N350" s="399"/>
      <c r="O350" s="432" t="s">
        <v>1171</v>
      </c>
      <c r="P350" s="373"/>
      <c r="Q350" s="373"/>
      <c r="R350" s="373"/>
      <c r="S350" s="373"/>
    </row>
    <row r="351" spans="1:19" x14ac:dyDescent="0.2">
      <c r="A351" s="379"/>
      <c r="B351" s="369"/>
      <c r="C351" s="369"/>
      <c r="D351" s="396" t="s">
        <v>1171</v>
      </c>
      <c r="G351" s="373"/>
      <c r="H351" s="390"/>
      <c r="I351" s="397"/>
      <c r="J351" s="398">
        <v>3</v>
      </c>
      <c r="K351" s="399"/>
      <c r="L351" s="400" t="s">
        <v>1451</v>
      </c>
      <c r="M351" s="399"/>
      <c r="N351" s="399"/>
      <c r="O351" s="432" t="s">
        <v>1171</v>
      </c>
      <c r="P351" s="373"/>
      <c r="Q351" s="373"/>
      <c r="R351" s="373"/>
      <c r="S351" s="373"/>
    </row>
    <row r="352" spans="1:19" x14ac:dyDescent="0.2">
      <c r="A352" s="379"/>
      <c r="B352" s="369"/>
      <c r="C352" s="369"/>
      <c r="D352" s="396" t="s">
        <v>1171</v>
      </c>
      <c r="G352" s="373"/>
      <c r="H352" s="390"/>
      <c r="I352" s="397"/>
      <c r="J352" s="398">
        <v>4</v>
      </c>
      <c r="K352" s="399"/>
      <c r="L352" s="400" t="s">
        <v>1449</v>
      </c>
      <c r="M352" s="399"/>
      <c r="N352" s="399"/>
      <c r="O352" s="432" t="s">
        <v>1171</v>
      </c>
      <c r="P352" s="373"/>
      <c r="Q352" s="373"/>
      <c r="R352" s="373"/>
      <c r="S352" s="373"/>
    </row>
    <row r="353" spans="1:19" x14ac:dyDescent="0.2">
      <c r="A353" s="379"/>
      <c r="B353" s="369"/>
      <c r="C353" s="369"/>
      <c r="D353" s="396" t="s">
        <v>1171</v>
      </c>
      <c r="G353" s="373"/>
      <c r="H353" s="390"/>
      <c r="I353" s="397"/>
      <c r="J353" s="398">
        <v>5</v>
      </c>
      <c r="K353" s="399"/>
      <c r="L353" s="400" t="s">
        <v>1380</v>
      </c>
      <c r="M353" s="399"/>
      <c r="N353" s="399"/>
      <c r="O353" s="432" t="s">
        <v>1171</v>
      </c>
      <c r="P353" s="373"/>
      <c r="Q353" s="373"/>
      <c r="R353" s="373"/>
      <c r="S353" s="373"/>
    </row>
    <row r="354" spans="1:19" x14ac:dyDescent="0.2">
      <c r="A354" s="379"/>
      <c r="B354" s="369"/>
      <c r="C354" s="369"/>
      <c r="D354" s="396" t="s">
        <v>1171</v>
      </c>
      <c r="G354" s="373"/>
      <c r="H354" s="390"/>
      <c r="I354" s="397"/>
      <c r="J354" s="398">
        <v>6</v>
      </c>
      <c r="K354" s="399"/>
      <c r="L354" s="400" t="s">
        <v>1452</v>
      </c>
      <c r="M354" s="399"/>
      <c r="N354" s="399"/>
      <c r="O354" s="432" t="s">
        <v>1171</v>
      </c>
      <c r="P354" s="373"/>
      <c r="Q354" s="373"/>
      <c r="R354" s="373"/>
      <c r="S354" s="373"/>
    </row>
    <row r="355" spans="1:19" x14ac:dyDescent="0.2">
      <c r="A355" s="379"/>
      <c r="B355" s="369"/>
      <c r="C355" s="369"/>
      <c r="D355" s="396" t="s">
        <v>1171</v>
      </c>
      <c r="G355" s="373"/>
      <c r="H355" s="390"/>
      <c r="I355" s="397"/>
      <c r="J355" s="398">
        <v>7</v>
      </c>
      <c r="K355" s="399"/>
      <c r="L355" s="400" t="s">
        <v>1453</v>
      </c>
      <c r="M355" s="399"/>
      <c r="N355" s="399"/>
      <c r="O355" s="432" t="s">
        <v>1171</v>
      </c>
      <c r="P355" s="373"/>
      <c r="Q355" s="373"/>
      <c r="R355" s="373"/>
      <c r="S355" s="373"/>
    </row>
    <row r="356" spans="1:19" x14ac:dyDescent="0.2">
      <c r="A356" s="379"/>
      <c r="B356" s="369"/>
      <c r="C356" s="369"/>
      <c r="D356" s="396" t="s">
        <v>1171</v>
      </c>
      <c r="G356" s="373"/>
      <c r="H356" s="390"/>
      <c r="I356" s="397"/>
      <c r="J356" s="398">
        <v>8</v>
      </c>
      <c r="K356" s="399"/>
      <c r="L356" s="400" t="s">
        <v>1454</v>
      </c>
      <c r="M356" s="399"/>
      <c r="N356" s="399"/>
      <c r="O356" s="432" t="s">
        <v>1171</v>
      </c>
      <c r="P356" s="373"/>
      <c r="Q356" s="373"/>
      <c r="R356" s="373"/>
      <c r="S356" s="373"/>
    </row>
    <row r="357" spans="1:19" x14ac:dyDescent="0.2">
      <c r="A357" s="379"/>
      <c r="B357" s="369"/>
      <c r="C357" s="369"/>
      <c r="D357" s="396" t="s">
        <v>1171</v>
      </c>
      <c r="G357" s="373"/>
      <c r="H357" s="390"/>
      <c r="I357" s="409"/>
      <c r="J357" s="404">
        <v>9</v>
      </c>
      <c r="K357" s="405"/>
      <c r="L357" s="406" t="s">
        <v>1441</v>
      </c>
      <c r="M357" s="405"/>
      <c r="N357" s="405"/>
      <c r="O357" s="451" t="s">
        <v>1171</v>
      </c>
      <c r="P357" s="373"/>
      <c r="Q357" s="373"/>
      <c r="R357" s="373"/>
      <c r="S357" s="373"/>
    </row>
    <row r="358" spans="1:19" x14ac:dyDescent="0.2">
      <c r="A358" s="379"/>
      <c r="B358" s="369"/>
      <c r="C358" s="369"/>
      <c r="D358" s="396"/>
      <c r="G358" s="373"/>
      <c r="H358" s="390"/>
      <c r="I358" s="404" t="s">
        <v>1165</v>
      </c>
      <c r="J358" s="397"/>
      <c r="K358" s="400" t="s">
        <v>1455</v>
      </c>
      <c r="L358" s="399"/>
      <c r="M358" s="399"/>
      <c r="N358" s="399"/>
      <c r="O358" s="432"/>
      <c r="P358" s="373"/>
      <c r="Q358" s="373"/>
      <c r="R358" s="373"/>
      <c r="S358" s="373"/>
    </row>
    <row r="359" spans="1:19" x14ac:dyDescent="0.2">
      <c r="A359" s="379"/>
      <c r="B359" s="369"/>
      <c r="C359" s="369"/>
      <c r="D359" s="396" t="s">
        <v>1171</v>
      </c>
      <c r="G359" s="373"/>
      <c r="H359" s="390"/>
      <c r="I359" s="397"/>
      <c r="J359" s="398">
        <v>1</v>
      </c>
      <c r="K359" s="399"/>
      <c r="L359" s="400" t="s">
        <v>1269</v>
      </c>
      <c r="M359" s="399"/>
      <c r="N359" s="399"/>
      <c r="O359" s="432" t="s">
        <v>1171</v>
      </c>
      <c r="P359" s="373"/>
      <c r="Q359" s="373"/>
      <c r="R359" s="373"/>
      <c r="S359" s="373"/>
    </row>
    <row r="360" spans="1:19" x14ac:dyDescent="0.2">
      <c r="A360" s="379"/>
      <c r="B360" s="369"/>
      <c r="C360" s="369"/>
      <c r="D360" s="396" t="s">
        <v>1171</v>
      </c>
      <c r="G360" s="373"/>
      <c r="H360" s="390"/>
      <c r="I360" s="397"/>
      <c r="J360" s="398">
        <v>2</v>
      </c>
      <c r="K360" s="399"/>
      <c r="L360" s="400" t="s">
        <v>1456</v>
      </c>
      <c r="M360" s="399"/>
      <c r="N360" s="399"/>
      <c r="O360" s="432" t="s">
        <v>1171</v>
      </c>
      <c r="P360" s="373"/>
      <c r="Q360" s="373"/>
      <c r="R360" s="373"/>
      <c r="S360" s="373"/>
    </row>
    <row r="361" spans="1:19" x14ac:dyDescent="0.2">
      <c r="A361" s="379"/>
      <c r="B361" s="369"/>
      <c r="C361" s="369"/>
      <c r="D361" s="396" t="s">
        <v>1171</v>
      </c>
      <c r="G361" s="373"/>
      <c r="H361" s="390"/>
      <c r="I361" s="397"/>
      <c r="J361" s="398">
        <v>3</v>
      </c>
      <c r="K361" s="399"/>
      <c r="L361" s="400" t="s">
        <v>1457</v>
      </c>
      <c r="M361" s="399"/>
      <c r="N361" s="399"/>
      <c r="O361" s="432" t="s">
        <v>1171</v>
      </c>
      <c r="P361" s="373"/>
      <c r="Q361" s="373"/>
      <c r="R361" s="373"/>
      <c r="S361" s="373"/>
    </row>
    <row r="362" spans="1:19" x14ac:dyDescent="0.2">
      <c r="A362" s="379"/>
      <c r="B362" s="369"/>
      <c r="C362" s="369"/>
      <c r="D362" s="396" t="s">
        <v>1171</v>
      </c>
      <c r="G362" s="373"/>
      <c r="H362" s="390"/>
      <c r="I362" s="397"/>
      <c r="J362" s="398">
        <v>4</v>
      </c>
      <c r="K362" s="399"/>
      <c r="L362" s="400" t="s">
        <v>1458</v>
      </c>
      <c r="M362" s="399"/>
      <c r="N362" s="399"/>
      <c r="O362" s="432" t="s">
        <v>1171</v>
      </c>
      <c r="P362" s="373"/>
      <c r="Q362" s="373"/>
      <c r="R362" s="373"/>
      <c r="S362" s="373"/>
    </row>
    <row r="363" spans="1:19" x14ac:dyDescent="0.2">
      <c r="A363" s="379"/>
      <c r="B363" s="369"/>
      <c r="C363" s="369"/>
      <c r="D363" s="396" t="s">
        <v>1171</v>
      </c>
      <c r="G363" s="373"/>
      <c r="H363" s="390"/>
      <c r="I363" s="397"/>
      <c r="J363" s="398">
        <v>5</v>
      </c>
      <c r="K363" s="399"/>
      <c r="L363" s="400" t="s">
        <v>1322</v>
      </c>
      <c r="M363" s="399"/>
      <c r="N363" s="399"/>
      <c r="O363" s="432" t="s">
        <v>1171</v>
      </c>
      <c r="P363" s="373"/>
      <c r="Q363" s="373"/>
      <c r="R363" s="373"/>
      <c r="S363" s="373"/>
    </row>
    <row r="364" spans="1:19" x14ac:dyDescent="0.2">
      <c r="A364" s="379"/>
      <c r="B364" s="369"/>
      <c r="C364" s="369"/>
      <c r="D364" s="396" t="s">
        <v>1171</v>
      </c>
      <c r="G364" s="373"/>
      <c r="H364" s="390"/>
      <c r="I364" s="397"/>
      <c r="J364" s="398">
        <v>6</v>
      </c>
      <c r="K364" s="399"/>
      <c r="L364" s="400" t="s">
        <v>1459</v>
      </c>
      <c r="M364" s="399"/>
      <c r="N364" s="399"/>
      <c r="O364" s="432" t="s">
        <v>1171</v>
      </c>
      <c r="P364" s="373"/>
      <c r="Q364" s="373"/>
      <c r="R364" s="373"/>
      <c r="S364" s="373"/>
    </row>
    <row r="365" spans="1:19" x14ac:dyDescent="0.2">
      <c r="A365" s="379"/>
      <c r="B365" s="369"/>
      <c r="C365" s="369"/>
      <c r="D365" s="396" t="s">
        <v>1171</v>
      </c>
      <c r="G365" s="373"/>
      <c r="H365" s="390"/>
      <c r="I365" s="397"/>
      <c r="J365" s="398">
        <v>7</v>
      </c>
      <c r="K365" s="399"/>
      <c r="L365" s="400" t="s">
        <v>1460</v>
      </c>
      <c r="M365" s="399"/>
      <c r="N365" s="399"/>
      <c r="O365" s="432" t="s">
        <v>1171</v>
      </c>
      <c r="P365" s="373"/>
      <c r="Q365" s="373"/>
      <c r="R365" s="373"/>
      <c r="S365" s="373"/>
    </row>
    <row r="366" spans="1:19" x14ac:dyDescent="0.2">
      <c r="A366" s="379"/>
      <c r="B366" s="369"/>
      <c r="C366" s="369"/>
      <c r="D366" s="396" t="s">
        <v>1171</v>
      </c>
      <c r="G366" s="373"/>
      <c r="H366" s="390"/>
      <c r="I366" s="409"/>
      <c r="J366" s="404">
        <v>8</v>
      </c>
      <c r="K366" s="405"/>
      <c r="L366" s="406" t="s">
        <v>1452</v>
      </c>
      <c r="M366" s="405"/>
      <c r="N366" s="405"/>
      <c r="O366" s="451" t="s">
        <v>1171</v>
      </c>
      <c r="P366" s="373"/>
      <c r="Q366" s="373"/>
      <c r="R366" s="373"/>
      <c r="S366" s="373"/>
    </row>
    <row r="367" spans="1:19" x14ac:dyDescent="0.2">
      <c r="A367" s="379"/>
      <c r="B367" s="369"/>
      <c r="C367" s="369"/>
      <c r="D367" s="396"/>
      <c r="G367" s="452"/>
      <c r="H367" s="390"/>
      <c r="I367" s="404" t="s">
        <v>1168</v>
      </c>
      <c r="J367" s="397"/>
      <c r="K367" s="400" t="s">
        <v>1455</v>
      </c>
      <c r="L367" s="399"/>
      <c r="M367" s="399"/>
      <c r="N367" s="399"/>
      <c r="O367" s="432"/>
      <c r="P367" s="452"/>
      <c r="Q367" s="452"/>
      <c r="R367" s="452"/>
      <c r="S367" s="452"/>
    </row>
    <row r="368" spans="1:19" x14ac:dyDescent="0.2">
      <c r="A368" s="379"/>
      <c r="B368" s="369"/>
      <c r="C368" s="369"/>
      <c r="D368" s="396" t="s">
        <v>1171</v>
      </c>
      <c r="G368" s="373"/>
      <c r="H368" s="390"/>
      <c r="I368" s="397"/>
      <c r="J368" s="398">
        <v>9</v>
      </c>
      <c r="K368" s="399"/>
      <c r="L368" s="400" t="s">
        <v>1444</v>
      </c>
      <c r="M368" s="399"/>
      <c r="N368" s="399"/>
      <c r="O368" s="432" t="s">
        <v>1171</v>
      </c>
      <c r="P368" s="373"/>
      <c r="Q368" s="373"/>
      <c r="R368" s="373"/>
      <c r="S368" s="373"/>
    </row>
    <row r="369" spans="1:19" x14ac:dyDescent="0.2">
      <c r="A369" s="379"/>
      <c r="B369" s="369"/>
      <c r="C369" s="369"/>
      <c r="D369" s="396" t="s">
        <v>1171</v>
      </c>
      <c r="G369" s="373"/>
      <c r="H369" s="390"/>
      <c r="I369" s="397"/>
      <c r="J369" s="398">
        <v>10</v>
      </c>
      <c r="K369" s="399"/>
      <c r="L369" s="400" t="s">
        <v>1461</v>
      </c>
      <c r="M369" s="399"/>
      <c r="N369" s="399"/>
      <c r="O369" s="432" t="s">
        <v>1171</v>
      </c>
      <c r="P369" s="373"/>
      <c r="Q369" s="373"/>
      <c r="R369" s="373"/>
      <c r="S369" s="373"/>
    </row>
    <row r="370" spans="1:19" x14ac:dyDescent="0.2">
      <c r="A370" s="379"/>
      <c r="B370" s="369"/>
      <c r="C370" s="369"/>
      <c r="D370" s="396" t="s">
        <v>1171</v>
      </c>
      <c r="G370" s="373"/>
      <c r="H370" s="390"/>
      <c r="I370" s="397"/>
      <c r="J370" s="398">
        <v>11</v>
      </c>
      <c r="K370" s="399"/>
      <c r="L370" s="400" t="s">
        <v>1453</v>
      </c>
      <c r="M370" s="399"/>
      <c r="N370" s="399"/>
      <c r="O370" s="432" t="s">
        <v>1171</v>
      </c>
      <c r="P370" s="373"/>
      <c r="Q370" s="373"/>
      <c r="R370" s="373"/>
      <c r="S370" s="373"/>
    </row>
    <row r="371" spans="1:19" x14ac:dyDescent="0.2">
      <c r="A371" s="379"/>
      <c r="B371" s="369"/>
      <c r="C371" s="369"/>
      <c r="D371" s="396" t="s">
        <v>1171</v>
      </c>
      <c r="G371" s="373"/>
      <c r="H371" s="390"/>
      <c r="I371" s="397"/>
      <c r="J371" s="398">
        <v>12</v>
      </c>
      <c r="K371" s="399"/>
      <c r="L371" s="400" t="s">
        <v>1462</v>
      </c>
      <c r="M371" s="399"/>
      <c r="N371" s="399"/>
      <c r="O371" s="432" t="s">
        <v>1171</v>
      </c>
      <c r="P371" s="373"/>
      <c r="Q371" s="373"/>
      <c r="R371" s="373"/>
      <c r="S371" s="373"/>
    </row>
    <row r="372" spans="1:19" x14ac:dyDescent="0.2">
      <c r="A372" s="379"/>
      <c r="B372" s="369"/>
      <c r="C372" s="369"/>
      <c r="D372" s="396" t="s">
        <v>1171</v>
      </c>
      <c r="G372" s="373"/>
      <c r="H372" s="390"/>
      <c r="I372" s="397"/>
      <c r="J372" s="398">
        <v>13</v>
      </c>
      <c r="K372" s="399"/>
      <c r="L372" s="400" t="s">
        <v>1454</v>
      </c>
      <c r="M372" s="399"/>
      <c r="N372" s="399"/>
      <c r="O372" s="432" t="s">
        <v>1171</v>
      </c>
      <c r="P372" s="373"/>
      <c r="Q372" s="373"/>
      <c r="R372" s="373"/>
      <c r="S372" s="373"/>
    </row>
    <row r="373" spans="1:19" x14ac:dyDescent="0.2">
      <c r="A373" s="379"/>
      <c r="B373" s="369"/>
      <c r="C373" s="369"/>
      <c r="D373" s="396" t="s">
        <v>1171</v>
      </c>
      <c r="G373" s="373"/>
      <c r="H373" s="390"/>
      <c r="I373" s="409"/>
      <c r="J373" s="404">
        <v>14</v>
      </c>
      <c r="K373" s="405"/>
      <c r="L373" s="406" t="s">
        <v>1463</v>
      </c>
      <c r="M373" s="405"/>
      <c r="N373" s="405"/>
      <c r="O373" s="451" t="s">
        <v>1171</v>
      </c>
      <c r="P373" s="373"/>
      <c r="Q373" s="373"/>
      <c r="R373" s="373"/>
      <c r="S373" s="373"/>
    </row>
    <row r="374" spans="1:19" x14ac:dyDescent="0.2">
      <c r="A374" s="379"/>
      <c r="B374" s="369"/>
      <c r="C374" s="369"/>
      <c r="D374" s="396"/>
      <c r="G374" s="373"/>
      <c r="H374" s="390"/>
      <c r="I374" s="404" t="s">
        <v>1172</v>
      </c>
      <c r="J374" s="397"/>
      <c r="K374" s="400" t="s">
        <v>1464</v>
      </c>
      <c r="L374" s="399"/>
      <c r="M374" s="399"/>
      <c r="N374" s="399"/>
      <c r="O374" s="432"/>
      <c r="P374" s="373"/>
      <c r="Q374" s="373"/>
      <c r="R374" s="373"/>
      <c r="S374" s="373"/>
    </row>
    <row r="375" spans="1:19" x14ac:dyDescent="0.2">
      <c r="A375" s="379"/>
      <c r="B375" s="369"/>
      <c r="C375" s="369"/>
      <c r="D375" s="396" t="s">
        <v>1171</v>
      </c>
      <c r="G375" s="373"/>
      <c r="H375" s="390"/>
      <c r="I375" s="397"/>
      <c r="J375" s="398">
        <v>1</v>
      </c>
      <c r="K375" s="399"/>
      <c r="L375" s="400" t="s">
        <v>1269</v>
      </c>
      <c r="M375" s="399"/>
      <c r="N375" s="399"/>
      <c r="O375" s="432" t="s">
        <v>1171</v>
      </c>
      <c r="P375" s="373"/>
      <c r="Q375" s="373"/>
      <c r="R375" s="373"/>
      <c r="S375" s="373"/>
    </row>
    <row r="376" spans="1:19" x14ac:dyDescent="0.2">
      <c r="A376" s="379"/>
      <c r="B376" s="369"/>
      <c r="C376" s="369"/>
      <c r="D376" s="396" t="s">
        <v>1171</v>
      </c>
      <c r="G376" s="373"/>
      <c r="H376" s="390"/>
      <c r="I376" s="397"/>
      <c r="J376" s="398">
        <v>2</v>
      </c>
      <c r="K376" s="399"/>
      <c r="L376" s="400" t="s">
        <v>1456</v>
      </c>
      <c r="M376" s="399"/>
      <c r="N376" s="399"/>
      <c r="O376" s="432" t="s">
        <v>1171</v>
      </c>
      <c r="P376" s="373"/>
      <c r="Q376" s="373"/>
      <c r="R376" s="373"/>
      <c r="S376" s="373"/>
    </row>
    <row r="377" spans="1:19" x14ac:dyDescent="0.2">
      <c r="A377" s="379"/>
      <c r="B377" s="369"/>
      <c r="C377" s="369"/>
      <c r="D377" s="396" t="s">
        <v>1171</v>
      </c>
      <c r="G377" s="373"/>
      <c r="H377" s="390"/>
      <c r="I377" s="397"/>
      <c r="J377" s="398">
        <v>3</v>
      </c>
      <c r="K377" s="399"/>
      <c r="L377" s="400" t="s">
        <v>1457</v>
      </c>
      <c r="M377" s="399"/>
      <c r="N377" s="399"/>
      <c r="O377" s="432" t="s">
        <v>1171</v>
      </c>
      <c r="P377" s="373"/>
      <c r="Q377" s="373"/>
      <c r="R377" s="373"/>
      <c r="S377" s="373"/>
    </row>
    <row r="378" spans="1:19" x14ac:dyDescent="0.2">
      <c r="A378" s="379"/>
      <c r="B378" s="369"/>
      <c r="C378" s="369"/>
      <c r="D378" s="396" t="s">
        <v>1171</v>
      </c>
      <c r="G378" s="373"/>
      <c r="H378" s="390"/>
      <c r="I378" s="397"/>
      <c r="J378" s="398">
        <v>4</v>
      </c>
      <c r="K378" s="399"/>
      <c r="L378" s="400" t="s">
        <v>1458</v>
      </c>
      <c r="M378" s="399"/>
      <c r="N378" s="399"/>
      <c r="O378" s="432" t="s">
        <v>1171</v>
      </c>
      <c r="P378" s="373"/>
      <c r="Q378" s="373"/>
      <c r="R378" s="373"/>
      <c r="S378" s="373"/>
    </row>
    <row r="379" spans="1:19" x14ac:dyDescent="0.2">
      <c r="A379" s="379"/>
      <c r="B379" s="369"/>
      <c r="C379" s="369"/>
      <c r="D379" s="396" t="s">
        <v>1171</v>
      </c>
      <c r="G379" s="373"/>
      <c r="H379" s="390"/>
      <c r="I379" s="397"/>
      <c r="J379" s="398">
        <v>5</v>
      </c>
      <c r="K379" s="399"/>
      <c r="L379" s="400" t="s">
        <v>1322</v>
      </c>
      <c r="M379" s="399"/>
      <c r="N379" s="399"/>
      <c r="O379" s="432" t="s">
        <v>1171</v>
      </c>
      <c r="P379" s="373"/>
      <c r="Q379" s="373"/>
      <c r="R379" s="373"/>
      <c r="S379" s="373"/>
    </row>
    <row r="380" spans="1:19" x14ac:dyDescent="0.2">
      <c r="A380" s="379"/>
      <c r="B380" s="369"/>
      <c r="C380" s="369"/>
      <c r="D380" s="396" t="s">
        <v>1171</v>
      </c>
      <c r="G380" s="373"/>
      <c r="H380" s="390"/>
      <c r="I380" s="397"/>
      <c r="J380" s="398">
        <v>6</v>
      </c>
      <c r="K380" s="399"/>
      <c r="L380" s="400" t="s">
        <v>1459</v>
      </c>
      <c r="M380" s="399"/>
      <c r="N380" s="399"/>
      <c r="O380" s="432" t="s">
        <v>1171</v>
      </c>
      <c r="P380" s="373"/>
      <c r="Q380" s="373"/>
      <c r="R380" s="373"/>
      <c r="S380" s="373"/>
    </row>
    <row r="381" spans="1:19" x14ac:dyDescent="0.2">
      <c r="A381" s="379"/>
      <c r="B381" s="369"/>
      <c r="C381" s="369"/>
      <c r="D381" s="396" t="s">
        <v>1171</v>
      </c>
      <c r="G381" s="373"/>
      <c r="H381" s="390"/>
      <c r="I381" s="397"/>
      <c r="J381" s="398">
        <v>7</v>
      </c>
      <c r="K381" s="399"/>
      <c r="L381" s="400" t="s">
        <v>1465</v>
      </c>
      <c r="M381" s="399"/>
      <c r="N381" s="399"/>
      <c r="O381" s="432" t="s">
        <v>1171</v>
      </c>
      <c r="P381" s="373"/>
      <c r="Q381" s="373"/>
      <c r="R381" s="373"/>
      <c r="S381" s="373"/>
    </row>
    <row r="382" spans="1:19" x14ac:dyDescent="0.2">
      <c r="A382" s="379"/>
      <c r="B382" s="369"/>
      <c r="C382" s="369"/>
      <c r="D382" s="396" t="s">
        <v>1171</v>
      </c>
      <c r="G382" s="373"/>
      <c r="H382" s="390"/>
      <c r="I382" s="397"/>
      <c r="J382" s="398">
        <v>8</v>
      </c>
      <c r="K382" s="399"/>
      <c r="L382" s="400" t="s">
        <v>1452</v>
      </c>
      <c r="M382" s="399"/>
      <c r="N382" s="399"/>
      <c r="O382" s="432" t="s">
        <v>1171</v>
      </c>
      <c r="P382" s="373"/>
      <c r="Q382" s="373"/>
      <c r="R382" s="373"/>
      <c r="S382" s="373"/>
    </row>
    <row r="383" spans="1:19" ht="15.75" thickBot="1" x14ac:dyDescent="0.25">
      <c r="A383" s="379"/>
      <c r="B383" s="369"/>
      <c r="C383" s="369"/>
      <c r="D383" s="396" t="s">
        <v>1171</v>
      </c>
      <c r="G383" s="373"/>
      <c r="H383" s="443"/>
      <c r="I383" s="444"/>
      <c r="J383" s="445">
        <v>9</v>
      </c>
      <c r="K383" s="446"/>
      <c r="L383" s="447" t="s">
        <v>1444</v>
      </c>
      <c r="M383" s="446"/>
      <c r="N383" s="446"/>
      <c r="O383" s="501" t="s">
        <v>1171</v>
      </c>
      <c r="P383" s="373"/>
      <c r="Q383" s="373"/>
      <c r="R383" s="373"/>
      <c r="S383" s="373"/>
    </row>
    <row r="384" spans="1:19" x14ac:dyDescent="0.2">
      <c r="A384" s="379"/>
      <c r="B384" s="369"/>
      <c r="C384" s="369"/>
      <c r="D384" s="396"/>
      <c r="G384" s="399"/>
      <c r="H384" s="449"/>
      <c r="I384" s="397"/>
      <c r="J384" s="397"/>
      <c r="K384" s="399"/>
      <c r="L384" s="400"/>
      <c r="M384" s="399"/>
      <c r="N384" s="399"/>
      <c r="O384" s="507"/>
      <c r="P384" s="399"/>
      <c r="Q384" s="399"/>
      <c r="R384" s="399"/>
      <c r="S384" s="399"/>
    </row>
    <row r="385" spans="1:19" x14ac:dyDescent="0.2">
      <c r="A385" s="379"/>
      <c r="B385" s="369"/>
      <c r="C385" s="369"/>
      <c r="D385" s="396"/>
      <c r="G385" s="399"/>
      <c r="H385" s="449"/>
      <c r="I385" s="397"/>
      <c r="J385" s="397"/>
      <c r="K385" s="399"/>
      <c r="L385" s="400"/>
      <c r="M385" s="399"/>
      <c r="N385" s="399"/>
      <c r="O385" s="507"/>
      <c r="P385" s="399"/>
      <c r="Q385" s="399"/>
      <c r="R385" s="399"/>
      <c r="S385" s="399"/>
    </row>
    <row r="386" spans="1:19" x14ac:dyDescent="0.2">
      <c r="A386" s="379">
        <v>43</v>
      </c>
      <c r="B386" s="369" t="s">
        <v>1436</v>
      </c>
      <c r="C386" s="369" t="s">
        <v>1437</v>
      </c>
      <c r="D386" s="396"/>
      <c r="G386" s="373"/>
      <c r="H386" s="417">
        <v>43</v>
      </c>
      <c r="I386" s="419"/>
      <c r="J386" s="430"/>
      <c r="K386" s="487" t="s">
        <v>1437</v>
      </c>
      <c r="L386" s="430"/>
      <c r="M386" s="430"/>
      <c r="N386" s="430"/>
      <c r="O386" s="441"/>
      <c r="P386" s="373"/>
      <c r="Q386" s="388">
        <f>H386</f>
        <v>43</v>
      </c>
      <c r="R386" s="378" t="str">
        <f>CONCATENATE("II-",TEXT(Q386,"0000"))</f>
        <v>II-0043</v>
      </c>
      <c r="S386" s="389" t="str">
        <f>K386</f>
        <v>HORMIGON CEMENTO PORTLAND EXCLUIDA LA ARAMDURA</v>
      </c>
    </row>
    <row r="387" spans="1:19" x14ac:dyDescent="0.2">
      <c r="A387" s="379"/>
      <c r="B387" s="369"/>
      <c r="C387" s="369"/>
      <c r="D387" s="396"/>
      <c r="G387" s="452"/>
      <c r="H387" s="474"/>
      <c r="I387" s="404" t="s">
        <v>1172</v>
      </c>
      <c r="J387" s="397"/>
      <c r="K387" s="400" t="s">
        <v>1464</v>
      </c>
      <c r="L387" s="476"/>
      <c r="M387" s="476"/>
      <c r="N387" s="476"/>
      <c r="O387" s="463"/>
      <c r="P387" s="452"/>
      <c r="Q387" s="452"/>
      <c r="R387" s="452"/>
      <c r="S387" s="452"/>
    </row>
    <row r="388" spans="1:19" x14ac:dyDescent="0.2">
      <c r="A388" s="379"/>
      <c r="B388" s="369"/>
      <c r="C388" s="369"/>
      <c r="D388" s="396" t="s">
        <v>1171</v>
      </c>
      <c r="G388" s="373"/>
      <c r="H388" s="390"/>
      <c r="I388" s="397"/>
      <c r="J388" s="398">
        <v>10</v>
      </c>
      <c r="K388" s="399"/>
      <c r="L388" s="400" t="s">
        <v>1461</v>
      </c>
      <c r="M388" s="399"/>
      <c r="N388" s="399"/>
      <c r="O388" s="432" t="s">
        <v>1171</v>
      </c>
      <c r="P388" s="373"/>
      <c r="Q388" s="373"/>
      <c r="R388" s="373"/>
      <c r="S388" s="373"/>
    </row>
    <row r="389" spans="1:19" x14ac:dyDescent="0.2">
      <c r="A389" s="379"/>
      <c r="B389" s="369"/>
      <c r="C389" s="369"/>
      <c r="D389" s="396" t="s">
        <v>1171</v>
      </c>
      <c r="G389" s="373"/>
      <c r="H389" s="390"/>
      <c r="I389" s="397"/>
      <c r="J389" s="398">
        <v>11</v>
      </c>
      <c r="K389" s="399"/>
      <c r="L389" s="400" t="s">
        <v>1453</v>
      </c>
      <c r="M389" s="399"/>
      <c r="N389" s="399"/>
      <c r="O389" s="432" t="s">
        <v>1171</v>
      </c>
      <c r="P389" s="373"/>
      <c r="Q389" s="373"/>
      <c r="R389" s="373"/>
      <c r="S389" s="373"/>
    </row>
    <row r="390" spans="1:19" x14ac:dyDescent="0.2">
      <c r="A390" s="379"/>
      <c r="B390" s="369"/>
      <c r="C390" s="369"/>
      <c r="D390" s="396" t="s">
        <v>1171</v>
      </c>
      <c r="G390" s="373"/>
      <c r="H390" s="390"/>
      <c r="I390" s="397"/>
      <c r="J390" s="398">
        <v>12</v>
      </c>
      <c r="K390" s="399"/>
      <c r="L390" s="400" t="s">
        <v>1462</v>
      </c>
      <c r="M390" s="399"/>
      <c r="N390" s="399"/>
      <c r="O390" s="432" t="s">
        <v>1171</v>
      </c>
      <c r="P390" s="373"/>
      <c r="Q390" s="373"/>
      <c r="R390" s="373"/>
      <c r="S390" s="373"/>
    </row>
    <row r="391" spans="1:19" x14ac:dyDescent="0.2">
      <c r="A391" s="379"/>
      <c r="B391" s="369"/>
      <c r="C391" s="369"/>
      <c r="D391" s="396" t="s">
        <v>1171</v>
      </c>
      <c r="G391" s="373"/>
      <c r="H391" s="390"/>
      <c r="I391" s="397"/>
      <c r="J391" s="398">
        <v>13</v>
      </c>
      <c r="K391" s="399"/>
      <c r="L391" s="400" t="s">
        <v>1454</v>
      </c>
      <c r="M391" s="399"/>
      <c r="N391" s="399"/>
      <c r="O391" s="432" t="s">
        <v>1171</v>
      </c>
      <c r="P391" s="373"/>
      <c r="Q391" s="373"/>
      <c r="R391" s="373"/>
      <c r="S391" s="373"/>
    </row>
    <row r="392" spans="1:19" x14ac:dyDescent="0.2">
      <c r="A392" s="379"/>
      <c r="B392" s="369"/>
      <c r="C392" s="369"/>
      <c r="D392" s="396" t="s">
        <v>1171</v>
      </c>
      <c r="G392" s="373"/>
      <c r="H392" s="390"/>
      <c r="I392" s="409"/>
      <c r="J392" s="404">
        <v>14</v>
      </c>
      <c r="K392" s="405"/>
      <c r="L392" s="406" t="s">
        <v>1463</v>
      </c>
      <c r="M392" s="405"/>
      <c r="N392" s="405"/>
      <c r="O392" s="451" t="s">
        <v>1171</v>
      </c>
      <c r="P392" s="373"/>
      <c r="Q392" s="373"/>
      <c r="R392" s="373"/>
      <c r="S392" s="373"/>
    </row>
    <row r="393" spans="1:19" x14ac:dyDescent="0.2">
      <c r="A393" s="379"/>
      <c r="B393" s="369"/>
      <c r="C393" s="369"/>
      <c r="D393" s="396"/>
      <c r="G393" s="373"/>
      <c r="H393" s="390"/>
      <c r="I393" s="404" t="s">
        <v>1175</v>
      </c>
      <c r="J393" s="397"/>
      <c r="K393" s="400" t="s">
        <v>1466</v>
      </c>
      <c r="L393" s="399"/>
      <c r="M393" s="399"/>
      <c r="N393" s="399"/>
      <c r="O393" s="432"/>
      <c r="P393" s="373"/>
      <c r="Q393" s="373"/>
      <c r="R393" s="373"/>
      <c r="S393" s="373"/>
    </row>
    <row r="394" spans="1:19" x14ac:dyDescent="0.2">
      <c r="A394" s="379"/>
      <c r="B394" s="369"/>
      <c r="C394" s="369"/>
      <c r="D394" s="396" t="s">
        <v>1171</v>
      </c>
      <c r="G394" s="373"/>
      <c r="H394" s="390"/>
      <c r="I394" s="397"/>
      <c r="J394" s="398">
        <v>1</v>
      </c>
      <c r="K394" s="399"/>
      <c r="L394" s="400" t="s">
        <v>1457</v>
      </c>
      <c r="M394" s="399"/>
      <c r="N394" s="399"/>
      <c r="O394" s="432" t="s">
        <v>1171</v>
      </c>
      <c r="P394" s="373"/>
      <c r="Q394" s="373"/>
      <c r="R394" s="373"/>
      <c r="S394" s="373"/>
    </row>
    <row r="395" spans="1:19" x14ac:dyDescent="0.2">
      <c r="A395" s="379"/>
      <c r="B395" s="369"/>
      <c r="C395" s="369"/>
      <c r="D395" s="396" t="s">
        <v>1171</v>
      </c>
      <c r="G395" s="373"/>
      <c r="H395" s="390"/>
      <c r="I395" s="397"/>
      <c r="J395" s="398">
        <v>2</v>
      </c>
      <c r="K395" s="399"/>
      <c r="L395" s="400" t="s">
        <v>1458</v>
      </c>
      <c r="M395" s="399"/>
      <c r="N395" s="399"/>
      <c r="O395" s="432" t="s">
        <v>1171</v>
      </c>
      <c r="P395" s="373"/>
      <c r="Q395" s="373"/>
      <c r="R395" s="373"/>
      <c r="S395" s="373"/>
    </row>
    <row r="396" spans="1:19" x14ac:dyDescent="0.2">
      <c r="A396" s="379"/>
      <c r="B396" s="369"/>
      <c r="C396" s="369"/>
      <c r="D396" s="396" t="s">
        <v>1171</v>
      </c>
      <c r="G396" s="373"/>
      <c r="H396" s="390"/>
      <c r="I396" s="397"/>
      <c r="J396" s="398">
        <v>3</v>
      </c>
      <c r="K396" s="399"/>
      <c r="L396" s="400" t="s">
        <v>1322</v>
      </c>
      <c r="M396" s="399"/>
      <c r="N396" s="399"/>
      <c r="O396" s="432" t="s">
        <v>1171</v>
      </c>
      <c r="P396" s="373"/>
      <c r="Q396" s="373"/>
      <c r="R396" s="373"/>
      <c r="S396" s="373"/>
    </row>
    <row r="397" spans="1:19" x14ac:dyDescent="0.2">
      <c r="A397" s="379"/>
      <c r="B397" s="369"/>
      <c r="C397" s="369"/>
      <c r="D397" s="396" t="s">
        <v>1171</v>
      </c>
      <c r="G397" s="373"/>
      <c r="H397" s="390"/>
      <c r="I397" s="397"/>
      <c r="J397" s="398">
        <v>4</v>
      </c>
      <c r="K397" s="399"/>
      <c r="L397" s="400" t="s">
        <v>1459</v>
      </c>
      <c r="M397" s="399"/>
      <c r="N397" s="399"/>
      <c r="O397" s="432" t="s">
        <v>1171</v>
      </c>
      <c r="P397" s="373"/>
      <c r="Q397" s="373"/>
      <c r="R397" s="373"/>
      <c r="S397" s="373"/>
    </row>
    <row r="398" spans="1:19" x14ac:dyDescent="0.2">
      <c r="A398" s="379"/>
      <c r="B398" s="369"/>
      <c r="C398" s="369"/>
      <c r="D398" s="396" t="s">
        <v>1171</v>
      </c>
      <c r="G398" s="373"/>
      <c r="H398" s="390"/>
      <c r="I398" s="397"/>
      <c r="J398" s="398">
        <v>5</v>
      </c>
      <c r="K398" s="399"/>
      <c r="L398" s="400" t="s">
        <v>1465</v>
      </c>
      <c r="M398" s="399"/>
      <c r="N398" s="399"/>
      <c r="O398" s="432" t="s">
        <v>1171</v>
      </c>
      <c r="P398" s="373"/>
      <c r="Q398" s="373"/>
      <c r="R398" s="373"/>
      <c r="S398" s="373"/>
    </row>
    <row r="399" spans="1:19" x14ac:dyDescent="0.2">
      <c r="A399" s="379"/>
      <c r="B399" s="369"/>
      <c r="C399" s="369"/>
      <c r="D399" s="396" t="s">
        <v>1171</v>
      </c>
      <c r="G399" s="373"/>
      <c r="H399" s="390"/>
      <c r="I399" s="397"/>
      <c r="J399" s="398">
        <v>6</v>
      </c>
      <c r="K399" s="399"/>
      <c r="L399" s="400" t="s">
        <v>1444</v>
      </c>
      <c r="M399" s="399"/>
      <c r="N399" s="399"/>
      <c r="O399" s="432" t="s">
        <v>1171</v>
      </c>
      <c r="P399" s="373"/>
      <c r="Q399" s="373"/>
      <c r="R399" s="373"/>
      <c r="S399" s="373"/>
    </row>
    <row r="400" spans="1:19" x14ac:dyDescent="0.2">
      <c r="A400" s="379"/>
      <c r="B400" s="369"/>
      <c r="C400" s="369"/>
      <c r="D400" s="396" t="s">
        <v>1171</v>
      </c>
      <c r="G400" s="373"/>
      <c r="H400" s="390"/>
      <c r="I400" s="397"/>
      <c r="J400" s="398">
        <v>7</v>
      </c>
      <c r="K400" s="399"/>
      <c r="L400" s="400" t="s">
        <v>1461</v>
      </c>
      <c r="M400" s="399"/>
      <c r="N400" s="399"/>
      <c r="O400" s="432" t="s">
        <v>1171</v>
      </c>
      <c r="P400" s="373"/>
      <c r="Q400" s="373"/>
      <c r="R400" s="373"/>
      <c r="S400" s="373"/>
    </row>
    <row r="401" spans="1:19" x14ac:dyDescent="0.2">
      <c r="A401" s="379"/>
      <c r="B401" s="369"/>
      <c r="C401" s="369"/>
      <c r="D401" s="396" t="s">
        <v>1171</v>
      </c>
      <c r="G401" s="373"/>
      <c r="H401" s="390"/>
      <c r="I401" s="397"/>
      <c r="J401" s="398">
        <v>8</v>
      </c>
      <c r="K401" s="399"/>
      <c r="L401" s="400" t="s">
        <v>1453</v>
      </c>
      <c r="M401" s="399"/>
      <c r="N401" s="399"/>
      <c r="O401" s="432" t="s">
        <v>1171</v>
      </c>
      <c r="P401" s="373"/>
      <c r="Q401" s="373"/>
      <c r="R401" s="373"/>
      <c r="S401" s="373"/>
    </row>
    <row r="402" spans="1:19" x14ac:dyDescent="0.2">
      <c r="A402" s="379"/>
      <c r="B402" s="369"/>
      <c r="C402" s="369"/>
      <c r="D402" s="396" t="s">
        <v>1171</v>
      </c>
      <c r="G402" s="373"/>
      <c r="H402" s="390"/>
      <c r="I402" s="397"/>
      <c r="J402" s="398">
        <v>9</v>
      </c>
      <c r="K402" s="399"/>
      <c r="L402" s="400" t="s">
        <v>1462</v>
      </c>
      <c r="M402" s="399"/>
      <c r="N402" s="399"/>
      <c r="O402" s="432" t="s">
        <v>1171</v>
      </c>
      <c r="P402" s="373"/>
      <c r="Q402" s="373"/>
      <c r="R402" s="373"/>
      <c r="S402" s="373"/>
    </row>
    <row r="403" spans="1:19" ht="15.75" thickBot="1" x14ac:dyDescent="0.25">
      <c r="A403" s="379"/>
      <c r="B403" s="369"/>
      <c r="C403" s="369"/>
      <c r="D403" s="396" t="s">
        <v>1171</v>
      </c>
      <c r="G403" s="373"/>
      <c r="H403" s="410"/>
      <c r="I403" s="411"/>
      <c r="J403" s="412">
        <v>10</v>
      </c>
      <c r="K403" s="413"/>
      <c r="L403" s="414" t="s">
        <v>1463</v>
      </c>
      <c r="M403" s="413"/>
      <c r="N403" s="413"/>
      <c r="O403" s="498" t="s">
        <v>1171</v>
      </c>
      <c r="P403" s="373"/>
      <c r="Q403" s="373"/>
      <c r="R403" s="373"/>
      <c r="S403" s="373"/>
    </row>
    <row r="404" spans="1:19" ht="15.75" thickTop="1" x14ac:dyDescent="0.2">
      <c r="A404" s="379">
        <v>44</v>
      </c>
      <c r="B404" s="369" t="s">
        <v>1467</v>
      </c>
      <c r="C404" s="369" t="s">
        <v>1468</v>
      </c>
      <c r="D404" s="396"/>
      <c r="G404" s="373"/>
      <c r="H404" s="417">
        <v>44</v>
      </c>
      <c r="I404" s="419"/>
      <c r="J404" s="430"/>
      <c r="K404" s="487" t="s">
        <v>1468</v>
      </c>
      <c r="L404" s="430"/>
      <c r="M404" s="430"/>
      <c r="N404" s="430"/>
      <c r="O404" s="441"/>
      <c r="P404" s="373"/>
      <c r="Q404" s="388">
        <f>H404</f>
        <v>44</v>
      </c>
      <c r="R404" s="378" t="str">
        <f>CONCATENATE("II-",TEXT(Q404,"0000"))</f>
        <v>II-0044</v>
      </c>
      <c r="S404" s="389" t="str">
        <f>K404</f>
        <v>HORMIGON  ARS EXCLUIDA LA ARAMDURA</v>
      </c>
    </row>
    <row r="405" spans="1:19" x14ac:dyDescent="0.2">
      <c r="A405" s="379"/>
      <c r="B405" s="369"/>
      <c r="C405" s="369"/>
      <c r="D405" s="396"/>
      <c r="G405" s="373"/>
      <c r="H405" s="390"/>
      <c r="I405" s="404" t="s">
        <v>1060</v>
      </c>
      <c r="J405" s="397"/>
      <c r="K405" s="400" t="s">
        <v>1438</v>
      </c>
      <c r="L405" s="399"/>
      <c r="M405" s="399"/>
      <c r="N405" s="399"/>
      <c r="O405" s="432"/>
      <c r="P405" s="373"/>
      <c r="Q405" s="373"/>
      <c r="R405" s="373"/>
      <c r="S405" s="373"/>
    </row>
    <row r="406" spans="1:19" x14ac:dyDescent="0.2">
      <c r="A406" s="379"/>
      <c r="B406" s="369"/>
      <c r="C406" s="369"/>
      <c r="D406" s="396" t="s">
        <v>1171</v>
      </c>
      <c r="G406" s="373"/>
      <c r="H406" s="390"/>
      <c r="I406" s="397"/>
      <c r="J406" s="398">
        <v>1</v>
      </c>
      <c r="K406" s="399"/>
      <c r="L406" s="400" t="s">
        <v>1269</v>
      </c>
      <c r="M406" s="399"/>
      <c r="N406" s="399"/>
      <c r="O406" s="432" t="s">
        <v>1171</v>
      </c>
      <c r="P406" s="373"/>
      <c r="Q406" s="373"/>
      <c r="R406" s="373"/>
      <c r="S406" s="373"/>
    </row>
    <row r="407" spans="1:19" x14ac:dyDescent="0.2">
      <c r="A407" s="379"/>
      <c r="B407" s="369"/>
      <c r="C407" s="369"/>
      <c r="D407" s="396" t="s">
        <v>1171</v>
      </c>
      <c r="G407" s="373"/>
      <c r="H407" s="390"/>
      <c r="I407" s="397"/>
      <c r="J407" s="398">
        <v>2</v>
      </c>
      <c r="K407" s="399"/>
      <c r="L407" s="400" t="s">
        <v>1440</v>
      </c>
      <c r="M407" s="399"/>
      <c r="N407" s="399"/>
      <c r="O407" s="432" t="s">
        <v>1171</v>
      </c>
      <c r="P407" s="373"/>
      <c r="Q407" s="373"/>
      <c r="R407" s="373"/>
      <c r="S407" s="373"/>
    </row>
    <row r="408" spans="1:19" x14ac:dyDescent="0.2">
      <c r="A408" s="379"/>
      <c r="B408" s="369"/>
      <c r="C408" s="369"/>
      <c r="D408" s="396" t="s">
        <v>1171</v>
      </c>
      <c r="G408" s="373"/>
      <c r="H408" s="390"/>
      <c r="I408" s="397"/>
      <c r="J408" s="398">
        <v>3</v>
      </c>
      <c r="K408" s="399"/>
      <c r="L408" s="400" t="s">
        <v>1469</v>
      </c>
      <c r="M408" s="399"/>
      <c r="N408" s="399"/>
      <c r="O408" s="432" t="s">
        <v>1171</v>
      </c>
      <c r="P408" s="373"/>
      <c r="Q408" s="373"/>
      <c r="R408" s="373"/>
      <c r="S408" s="373"/>
    </row>
    <row r="409" spans="1:19" x14ac:dyDescent="0.2">
      <c r="A409" s="379"/>
      <c r="B409" s="369"/>
      <c r="C409" s="369"/>
      <c r="D409" s="396" t="s">
        <v>1171</v>
      </c>
      <c r="G409" s="373"/>
      <c r="H409" s="390"/>
      <c r="I409" s="397"/>
      <c r="J409" s="398">
        <v>4</v>
      </c>
      <c r="K409" s="399"/>
      <c r="L409" s="400" t="s">
        <v>1420</v>
      </c>
      <c r="M409" s="399"/>
      <c r="N409" s="399"/>
      <c r="O409" s="432" t="s">
        <v>1171</v>
      </c>
      <c r="P409" s="373"/>
      <c r="Q409" s="373"/>
      <c r="R409" s="373"/>
      <c r="S409" s="373"/>
    </row>
    <row r="410" spans="1:19" x14ac:dyDescent="0.2">
      <c r="A410" s="379"/>
      <c r="B410" s="369"/>
      <c r="C410" s="369"/>
      <c r="D410" s="396" t="s">
        <v>1171</v>
      </c>
      <c r="G410" s="373"/>
      <c r="H410" s="390"/>
      <c r="I410" s="409"/>
      <c r="J410" s="404">
        <v>5</v>
      </c>
      <c r="K410" s="405"/>
      <c r="L410" s="406" t="s">
        <v>1441</v>
      </c>
      <c r="M410" s="405"/>
      <c r="N410" s="405"/>
      <c r="O410" s="451" t="s">
        <v>1171</v>
      </c>
      <c r="P410" s="373"/>
      <c r="Q410" s="373"/>
      <c r="R410" s="373"/>
      <c r="S410" s="373"/>
    </row>
    <row r="411" spans="1:19" x14ac:dyDescent="0.2">
      <c r="A411" s="379"/>
      <c r="B411" s="369"/>
      <c r="C411" s="369"/>
      <c r="D411" s="396"/>
      <c r="G411" s="373"/>
      <c r="H411" s="390"/>
      <c r="I411" s="404" t="s">
        <v>1087</v>
      </c>
      <c r="J411" s="397"/>
      <c r="K411" s="400" t="s">
        <v>1442</v>
      </c>
      <c r="L411" s="399"/>
      <c r="M411" s="399"/>
      <c r="N411" s="399"/>
      <c r="O411" s="432"/>
      <c r="P411" s="373"/>
      <c r="Q411" s="373"/>
      <c r="R411" s="373"/>
      <c r="S411" s="373"/>
    </row>
    <row r="412" spans="1:19" x14ac:dyDescent="0.2">
      <c r="A412" s="379"/>
      <c r="B412" s="369"/>
      <c r="C412" s="369"/>
      <c r="D412" s="396" t="s">
        <v>1171</v>
      </c>
      <c r="G412" s="373"/>
      <c r="H412" s="390"/>
      <c r="I412" s="397"/>
      <c r="J412" s="398">
        <v>1</v>
      </c>
      <c r="K412" s="399"/>
      <c r="L412" s="400" t="s">
        <v>1269</v>
      </c>
      <c r="M412" s="399"/>
      <c r="N412" s="399"/>
      <c r="O412" s="432" t="s">
        <v>1171</v>
      </c>
      <c r="P412" s="373"/>
      <c r="Q412" s="373"/>
      <c r="R412" s="373"/>
      <c r="S412" s="373"/>
    </row>
    <row r="413" spans="1:19" x14ac:dyDescent="0.2">
      <c r="A413" s="379"/>
      <c r="B413" s="369"/>
      <c r="C413" s="369"/>
      <c r="D413" s="396" t="s">
        <v>1171</v>
      </c>
      <c r="G413" s="373"/>
      <c r="H413" s="390"/>
      <c r="I413" s="397"/>
      <c r="J413" s="398">
        <v>2</v>
      </c>
      <c r="K413" s="399"/>
      <c r="L413" s="400" t="s">
        <v>1443</v>
      </c>
      <c r="M413" s="399"/>
      <c r="N413" s="399"/>
      <c r="O413" s="432" t="s">
        <v>1171</v>
      </c>
      <c r="P413" s="373"/>
      <c r="Q413" s="373"/>
      <c r="R413" s="373"/>
      <c r="S413" s="373"/>
    </row>
    <row r="414" spans="1:19" x14ac:dyDescent="0.2">
      <c r="A414" s="379"/>
      <c r="B414" s="369"/>
      <c r="C414" s="369"/>
      <c r="D414" s="396" t="s">
        <v>1171</v>
      </c>
      <c r="G414" s="373"/>
      <c r="H414" s="390"/>
      <c r="I414" s="397"/>
      <c r="J414" s="398">
        <v>3</v>
      </c>
      <c r="K414" s="399"/>
      <c r="L414" s="400" t="s">
        <v>1444</v>
      </c>
      <c r="M414" s="399"/>
      <c r="N414" s="399"/>
      <c r="O414" s="432" t="s">
        <v>1171</v>
      </c>
      <c r="P414" s="373"/>
      <c r="Q414" s="373"/>
      <c r="R414" s="373"/>
      <c r="S414" s="373"/>
    </row>
    <row r="415" spans="1:19" x14ac:dyDescent="0.2">
      <c r="A415" s="379"/>
      <c r="B415" s="369"/>
      <c r="C415" s="369"/>
      <c r="D415" s="396" t="s">
        <v>1171</v>
      </c>
      <c r="G415" s="373"/>
      <c r="H415" s="390"/>
      <c r="I415" s="524"/>
      <c r="J415" s="398">
        <v>4</v>
      </c>
      <c r="K415" s="399"/>
      <c r="L415" s="400" t="s">
        <v>1445</v>
      </c>
      <c r="M415" s="399"/>
      <c r="N415" s="399"/>
      <c r="O415" s="432" t="s">
        <v>1171</v>
      </c>
      <c r="P415" s="373"/>
      <c r="Q415" s="373"/>
      <c r="R415" s="373"/>
      <c r="S415" s="373"/>
    </row>
    <row r="416" spans="1:19" x14ac:dyDescent="0.2">
      <c r="A416" s="379"/>
      <c r="B416" s="369"/>
      <c r="C416" s="369"/>
      <c r="D416" s="396" t="s">
        <v>1171</v>
      </c>
      <c r="G416" s="373"/>
      <c r="H416" s="390"/>
      <c r="I416" s="397"/>
      <c r="J416" s="398">
        <v>5</v>
      </c>
      <c r="K416" s="399"/>
      <c r="L416" s="400" t="s">
        <v>1446</v>
      </c>
      <c r="M416" s="399"/>
      <c r="N416" s="399"/>
      <c r="O416" s="432" t="s">
        <v>1171</v>
      </c>
      <c r="P416" s="373"/>
      <c r="Q416" s="373"/>
      <c r="R416" s="373"/>
      <c r="S416" s="373"/>
    </row>
    <row r="417" spans="1:19" x14ac:dyDescent="0.2">
      <c r="A417" s="379"/>
      <c r="B417" s="369"/>
      <c r="C417" s="369"/>
      <c r="D417" s="396" t="s">
        <v>1171</v>
      </c>
      <c r="G417" s="373"/>
      <c r="H417" s="390"/>
      <c r="I417" s="409"/>
      <c r="J417" s="404">
        <v>6</v>
      </c>
      <c r="K417" s="405"/>
      <c r="L417" s="406" t="s">
        <v>1441</v>
      </c>
      <c r="M417" s="405"/>
      <c r="N417" s="405"/>
      <c r="O417" s="451" t="s">
        <v>1171</v>
      </c>
      <c r="P417" s="373"/>
      <c r="Q417" s="373"/>
      <c r="R417" s="373"/>
      <c r="S417" s="373"/>
    </row>
    <row r="418" spans="1:19" x14ac:dyDescent="0.2">
      <c r="A418" s="379"/>
      <c r="B418" s="369"/>
      <c r="C418" s="369"/>
      <c r="D418" s="396"/>
      <c r="G418" s="373"/>
      <c r="H418" s="390"/>
      <c r="I418" s="404" t="s">
        <v>1097</v>
      </c>
      <c r="J418" s="397"/>
      <c r="K418" s="400" t="s">
        <v>1447</v>
      </c>
      <c r="L418" s="399"/>
      <c r="M418" s="399"/>
      <c r="N418" s="399"/>
      <c r="O418" s="432"/>
      <c r="P418" s="373"/>
      <c r="Q418" s="373"/>
      <c r="R418" s="373"/>
      <c r="S418" s="373"/>
    </row>
    <row r="419" spans="1:19" x14ac:dyDescent="0.2">
      <c r="A419" s="379"/>
      <c r="B419" s="369"/>
      <c r="C419" s="369"/>
      <c r="D419" s="396" t="s">
        <v>1171</v>
      </c>
      <c r="G419" s="373"/>
      <c r="H419" s="390"/>
      <c r="I419" s="397"/>
      <c r="J419" s="398">
        <v>1</v>
      </c>
      <c r="K419" s="399"/>
      <c r="L419" s="400" t="s">
        <v>1448</v>
      </c>
      <c r="M419" s="399"/>
      <c r="N419" s="399"/>
      <c r="O419" s="432" t="s">
        <v>1171</v>
      </c>
      <c r="P419" s="373"/>
      <c r="Q419" s="373"/>
      <c r="R419" s="373"/>
      <c r="S419" s="373"/>
    </row>
    <row r="420" spans="1:19" x14ac:dyDescent="0.2">
      <c r="A420" s="379"/>
      <c r="B420" s="369"/>
      <c r="C420" s="369"/>
      <c r="D420" s="396" t="s">
        <v>1171</v>
      </c>
      <c r="G420" s="373"/>
      <c r="H420" s="390"/>
      <c r="I420" s="397"/>
      <c r="J420" s="398">
        <v>2</v>
      </c>
      <c r="K420" s="399"/>
      <c r="L420" s="400" t="s">
        <v>1269</v>
      </c>
      <c r="M420" s="399"/>
      <c r="N420" s="399"/>
      <c r="O420" s="432" t="s">
        <v>1171</v>
      </c>
      <c r="P420" s="373"/>
      <c r="Q420" s="373"/>
      <c r="R420" s="373"/>
      <c r="S420" s="373"/>
    </row>
    <row r="421" spans="1:19" x14ac:dyDescent="0.2">
      <c r="A421" s="379"/>
      <c r="B421" s="369"/>
      <c r="C421" s="369"/>
      <c r="D421" s="396" t="s">
        <v>1171</v>
      </c>
      <c r="G421" s="373"/>
      <c r="H421" s="390"/>
      <c r="I421" s="397"/>
      <c r="J421" s="398">
        <v>3</v>
      </c>
      <c r="K421" s="399"/>
      <c r="L421" s="400" t="s">
        <v>1449</v>
      </c>
      <c r="M421" s="399"/>
      <c r="N421" s="399"/>
      <c r="O421" s="432" t="s">
        <v>1171</v>
      </c>
      <c r="P421" s="373"/>
      <c r="Q421" s="373"/>
      <c r="R421" s="373"/>
      <c r="S421" s="373"/>
    </row>
    <row r="422" spans="1:19" x14ac:dyDescent="0.2">
      <c r="A422" s="379"/>
      <c r="B422" s="369"/>
      <c r="C422" s="369"/>
      <c r="D422" s="396" t="s">
        <v>1171</v>
      </c>
      <c r="G422" s="373"/>
      <c r="H422" s="390"/>
      <c r="I422" s="397"/>
      <c r="J422" s="398">
        <v>4</v>
      </c>
      <c r="K422" s="399"/>
      <c r="L422" s="400" t="s">
        <v>1380</v>
      </c>
      <c r="M422" s="399"/>
      <c r="N422" s="399"/>
      <c r="O422" s="432" t="s">
        <v>1171</v>
      </c>
      <c r="P422" s="373"/>
      <c r="Q422" s="373"/>
      <c r="R422" s="373"/>
      <c r="S422" s="373"/>
    </row>
    <row r="423" spans="1:19" x14ac:dyDescent="0.2">
      <c r="A423" s="379"/>
      <c r="B423" s="369"/>
      <c r="C423" s="369"/>
      <c r="D423" s="396" t="s">
        <v>1171</v>
      </c>
      <c r="G423" s="373"/>
      <c r="H423" s="390"/>
      <c r="I423" s="409"/>
      <c r="J423" s="404">
        <v>5</v>
      </c>
      <c r="K423" s="405"/>
      <c r="L423" s="406" t="s">
        <v>1441</v>
      </c>
      <c r="M423" s="405"/>
      <c r="N423" s="405"/>
      <c r="O423" s="451" t="s">
        <v>1171</v>
      </c>
      <c r="P423" s="373"/>
      <c r="Q423" s="373"/>
      <c r="R423" s="373"/>
      <c r="S423" s="373"/>
    </row>
    <row r="424" spans="1:19" x14ac:dyDescent="0.2">
      <c r="A424" s="379"/>
      <c r="B424" s="369"/>
      <c r="C424" s="369"/>
      <c r="D424" s="396"/>
      <c r="G424" s="373"/>
      <c r="H424" s="390"/>
      <c r="I424" s="404" t="s">
        <v>1123</v>
      </c>
      <c r="J424" s="397"/>
      <c r="K424" s="400" t="s">
        <v>1450</v>
      </c>
      <c r="L424" s="399"/>
      <c r="M424" s="399"/>
      <c r="N424" s="399"/>
      <c r="O424" s="432"/>
      <c r="P424" s="373"/>
      <c r="Q424" s="373"/>
      <c r="R424" s="373"/>
      <c r="S424" s="373"/>
    </row>
    <row r="425" spans="1:19" x14ac:dyDescent="0.2">
      <c r="A425" s="379"/>
      <c r="B425" s="369"/>
      <c r="C425" s="369"/>
      <c r="D425" s="396" t="s">
        <v>1171</v>
      </c>
      <c r="G425" s="373"/>
      <c r="H425" s="390"/>
      <c r="I425" s="397"/>
      <c r="J425" s="398">
        <v>1</v>
      </c>
      <c r="K425" s="399"/>
      <c r="L425" s="400" t="s">
        <v>1448</v>
      </c>
      <c r="M425" s="399"/>
      <c r="N425" s="399"/>
      <c r="O425" s="432" t="s">
        <v>1171</v>
      </c>
      <c r="P425" s="373"/>
      <c r="Q425" s="373"/>
      <c r="R425" s="373"/>
      <c r="S425" s="373"/>
    </row>
    <row r="426" spans="1:19" x14ac:dyDescent="0.2">
      <c r="A426" s="379"/>
      <c r="B426" s="369"/>
      <c r="C426" s="369"/>
      <c r="D426" s="396" t="s">
        <v>1171</v>
      </c>
      <c r="G426" s="373"/>
      <c r="H426" s="390"/>
      <c r="I426" s="397"/>
      <c r="J426" s="398">
        <v>2</v>
      </c>
      <c r="K426" s="399"/>
      <c r="L426" s="400" t="s">
        <v>1269</v>
      </c>
      <c r="M426" s="399"/>
      <c r="N426" s="399"/>
      <c r="O426" s="432" t="s">
        <v>1171</v>
      </c>
      <c r="P426" s="373"/>
      <c r="Q426" s="373"/>
      <c r="R426" s="373"/>
      <c r="S426" s="373"/>
    </row>
    <row r="427" spans="1:19" x14ac:dyDescent="0.2">
      <c r="A427" s="379"/>
      <c r="B427" s="369"/>
      <c r="C427" s="369"/>
      <c r="D427" s="396" t="s">
        <v>1171</v>
      </c>
      <c r="G427" s="373"/>
      <c r="H427" s="390"/>
      <c r="I427" s="397"/>
      <c r="J427" s="398">
        <v>3</v>
      </c>
      <c r="K427" s="399"/>
      <c r="L427" s="400" t="s">
        <v>1451</v>
      </c>
      <c r="M427" s="399"/>
      <c r="N427" s="399"/>
      <c r="O427" s="432" t="s">
        <v>1171</v>
      </c>
      <c r="P427" s="373"/>
      <c r="Q427" s="373"/>
      <c r="R427" s="373"/>
      <c r="S427" s="373"/>
    </row>
    <row r="428" spans="1:19" x14ac:dyDescent="0.2">
      <c r="A428" s="379"/>
      <c r="B428" s="369"/>
      <c r="C428" s="369"/>
      <c r="D428" s="396" t="s">
        <v>1171</v>
      </c>
      <c r="G428" s="373"/>
      <c r="H428" s="390"/>
      <c r="I428" s="397"/>
      <c r="J428" s="398">
        <v>4</v>
      </c>
      <c r="K428" s="399"/>
      <c r="L428" s="400" t="s">
        <v>1449</v>
      </c>
      <c r="M428" s="399"/>
      <c r="N428" s="399"/>
      <c r="O428" s="432" t="s">
        <v>1171</v>
      </c>
      <c r="P428" s="373"/>
      <c r="Q428" s="373"/>
      <c r="R428" s="373"/>
      <c r="S428" s="373"/>
    </row>
    <row r="429" spans="1:19" x14ac:dyDescent="0.2">
      <c r="A429" s="379"/>
      <c r="B429" s="369"/>
      <c r="C429" s="369"/>
      <c r="D429" s="396" t="s">
        <v>1171</v>
      </c>
      <c r="G429" s="373"/>
      <c r="H429" s="390"/>
      <c r="I429" s="397"/>
      <c r="J429" s="398">
        <v>5</v>
      </c>
      <c r="K429" s="399"/>
      <c r="L429" s="400" t="s">
        <v>1380</v>
      </c>
      <c r="M429" s="399"/>
      <c r="N429" s="399"/>
      <c r="O429" s="432" t="s">
        <v>1171</v>
      </c>
      <c r="P429" s="373"/>
      <c r="Q429" s="373"/>
      <c r="R429" s="373"/>
      <c r="S429" s="373"/>
    </row>
    <row r="430" spans="1:19" x14ac:dyDescent="0.2">
      <c r="A430" s="379"/>
      <c r="B430" s="369"/>
      <c r="C430" s="369"/>
      <c r="D430" s="396" t="s">
        <v>1171</v>
      </c>
      <c r="G430" s="373"/>
      <c r="H430" s="390"/>
      <c r="I430" s="397"/>
      <c r="J430" s="398">
        <v>6</v>
      </c>
      <c r="K430" s="399"/>
      <c r="L430" s="400" t="s">
        <v>1452</v>
      </c>
      <c r="M430" s="399"/>
      <c r="N430" s="399"/>
      <c r="O430" s="432" t="s">
        <v>1171</v>
      </c>
      <c r="P430" s="373"/>
      <c r="Q430" s="373"/>
      <c r="R430" s="373"/>
      <c r="S430" s="373"/>
    </row>
    <row r="431" spans="1:19" ht="15.75" thickBot="1" x14ac:dyDescent="0.25">
      <c r="A431" s="379"/>
      <c r="B431" s="369"/>
      <c r="C431" s="369"/>
      <c r="D431" s="396" t="s">
        <v>1171</v>
      </c>
      <c r="G431" s="373"/>
      <c r="H431" s="443"/>
      <c r="I431" s="444"/>
      <c r="J431" s="445">
        <v>7</v>
      </c>
      <c r="K431" s="446"/>
      <c r="L431" s="447" t="s">
        <v>1453</v>
      </c>
      <c r="M431" s="446"/>
      <c r="N431" s="446"/>
      <c r="O431" s="501" t="s">
        <v>1171</v>
      </c>
      <c r="P431" s="373"/>
      <c r="Q431" s="373"/>
      <c r="R431" s="373"/>
      <c r="S431" s="373"/>
    </row>
    <row r="432" spans="1:19" x14ac:dyDescent="0.2">
      <c r="A432" s="379"/>
      <c r="B432" s="369"/>
      <c r="C432" s="369"/>
      <c r="D432" s="396"/>
      <c r="G432" s="399"/>
      <c r="H432" s="449"/>
      <c r="I432" s="397"/>
      <c r="J432" s="397"/>
      <c r="K432" s="399"/>
      <c r="L432" s="400"/>
      <c r="M432" s="399"/>
      <c r="N432" s="399"/>
      <c r="O432" s="507"/>
      <c r="P432" s="399"/>
      <c r="Q432" s="399"/>
      <c r="R432" s="399"/>
      <c r="S432" s="399"/>
    </row>
    <row r="433" spans="1:19" x14ac:dyDescent="0.2">
      <c r="A433" s="379"/>
      <c r="B433" s="369"/>
      <c r="C433" s="369"/>
      <c r="D433" s="396"/>
      <c r="G433" s="399"/>
      <c r="H433" s="449"/>
      <c r="I433" s="397"/>
      <c r="J433" s="397"/>
      <c r="K433" s="399"/>
      <c r="L433" s="400"/>
      <c r="M433" s="399"/>
      <c r="N433" s="399"/>
      <c r="O433" s="507"/>
      <c r="P433" s="399"/>
      <c r="Q433" s="399"/>
      <c r="R433" s="399"/>
      <c r="S433" s="399"/>
    </row>
    <row r="434" spans="1:19" x14ac:dyDescent="0.2">
      <c r="A434" s="379">
        <v>44</v>
      </c>
      <c r="B434" s="369" t="s">
        <v>1467</v>
      </c>
      <c r="C434" s="369" t="s">
        <v>1468</v>
      </c>
      <c r="D434" s="396"/>
      <c r="G434" s="373"/>
      <c r="H434" s="417">
        <v>44</v>
      </c>
      <c r="I434" s="419"/>
      <c r="J434" s="430"/>
      <c r="K434" s="487" t="s">
        <v>1468</v>
      </c>
      <c r="L434" s="430"/>
      <c r="M434" s="430"/>
      <c r="N434" s="430"/>
      <c r="O434" s="441"/>
      <c r="P434" s="373"/>
      <c r="Q434" s="388">
        <f>H434</f>
        <v>44</v>
      </c>
      <c r="R434" s="378" t="str">
        <f>CONCATENATE("II-",TEXT(Q434,"0000"))</f>
        <v>II-0044</v>
      </c>
      <c r="S434" s="389" t="str">
        <f>K434</f>
        <v>HORMIGON  ARS EXCLUIDA LA ARAMDURA</v>
      </c>
    </row>
    <row r="435" spans="1:19" x14ac:dyDescent="0.2">
      <c r="A435" s="379"/>
      <c r="B435" s="369"/>
      <c r="C435" s="369"/>
      <c r="D435" s="396"/>
      <c r="G435" s="399"/>
      <c r="H435" s="390"/>
      <c r="I435" s="404" t="s">
        <v>1123</v>
      </c>
      <c r="J435" s="397"/>
      <c r="K435" s="400" t="s">
        <v>1450</v>
      </c>
      <c r="L435" s="400"/>
      <c r="M435" s="399"/>
      <c r="N435" s="399"/>
      <c r="O435" s="507"/>
      <c r="P435" s="399"/>
      <c r="Q435" s="399"/>
      <c r="R435" s="399"/>
      <c r="S435" s="399"/>
    </row>
    <row r="436" spans="1:19" x14ac:dyDescent="0.2">
      <c r="A436" s="379"/>
      <c r="B436" s="369"/>
      <c r="C436" s="369"/>
      <c r="D436" s="396" t="s">
        <v>1171</v>
      </c>
      <c r="G436" s="373"/>
      <c r="H436" s="390"/>
      <c r="I436" s="397"/>
      <c r="J436" s="398">
        <v>8</v>
      </c>
      <c r="K436" s="399"/>
      <c r="L436" s="400" t="s">
        <v>1454</v>
      </c>
      <c r="M436" s="399"/>
      <c r="N436" s="399"/>
      <c r="O436" s="432" t="s">
        <v>1171</v>
      </c>
      <c r="P436" s="373"/>
      <c r="Q436" s="373"/>
      <c r="R436" s="373"/>
      <c r="S436" s="373"/>
    </row>
    <row r="437" spans="1:19" x14ac:dyDescent="0.2">
      <c r="A437" s="379"/>
      <c r="B437" s="369"/>
      <c r="C437" s="369"/>
      <c r="D437" s="396" t="s">
        <v>1171</v>
      </c>
      <c r="G437" s="373"/>
      <c r="H437" s="390"/>
      <c r="I437" s="409"/>
      <c r="J437" s="404">
        <v>9</v>
      </c>
      <c r="K437" s="405"/>
      <c r="L437" s="406" t="s">
        <v>1441</v>
      </c>
      <c r="M437" s="405"/>
      <c r="N437" s="405"/>
      <c r="O437" s="451" t="s">
        <v>1171</v>
      </c>
      <c r="P437" s="373"/>
      <c r="Q437" s="373"/>
      <c r="R437" s="373"/>
      <c r="S437" s="373"/>
    </row>
    <row r="438" spans="1:19" x14ac:dyDescent="0.2">
      <c r="A438" s="379"/>
      <c r="B438" s="369"/>
      <c r="C438" s="369"/>
      <c r="D438" s="396"/>
      <c r="G438" s="373"/>
      <c r="H438" s="390"/>
      <c r="I438" s="404" t="s">
        <v>1165</v>
      </c>
      <c r="J438" s="397"/>
      <c r="K438" s="400" t="s">
        <v>1455</v>
      </c>
      <c r="L438" s="399"/>
      <c r="M438" s="399"/>
      <c r="N438" s="399"/>
      <c r="O438" s="432"/>
      <c r="P438" s="373"/>
      <c r="Q438" s="373"/>
      <c r="R438" s="373"/>
      <c r="S438" s="373"/>
    </row>
    <row r="439" spans="1:19" x14ac:dyDescent="0.2">
      <c r="A439" s="379"/>
      <c r="B439" s="369"/>
      <c r="C439" s="369"/>
      <c r="D439" s="396" t="s">
        <v>1171</v>
      </c>
      <c r="G439" s="373"/>
      <c r="H439" s="390"/>
      <c r="I439" s="397"/>
      <c r="J439" s="398">
        <v>1</v>
      </c>
      <c r="K439" s="399"/>
      <c r="L439" s="400" t="s">
        <v>1269</v>
      </c>
      <c r="M439" s="399"/>
      <c r="N439" s="399"/>
      <c r="O439" s="432" t="s">
        <v>1171</v>
      </c>
      <c r="P439" s="373"/>
      <c r="Q439" s="373"/>
      <c r="R439" s="373"/>
      <c r="S439" s="373"/>
    </row>
    <row r="440" spans="1:19" x14ac:dyDescent="0.2">
      <c r="A440" s="379"/>
      <c r="B440" s="369"/>
      <c r="C440" s="369"/>
      <c r="D440" s="396" t="s">
        <v>1171</v>
      </c>
      <c r="G440" s="373"/>
      <c r="H440" s="390"/>
      <c r="I440" s="397"/>
      <c r="J440" s="398">
        <v>2</v>
      </c>
      <c r="K440" s="399"/>
      <c r="L440" s="400" t="s">
        <v>1456</v>
      </c>
      <c r="M440" s="399"/>
      <c r="N440" s="399"/>
      <c r="O440" s="432" t="s">
        <v>1171</v>
      </c>
      <c r="P440" s="373"/>
      <c r="Q440" s="373"/>
      <c r="R440" s="373"/>
      <c r="S440" s="373"/>
    </row>
    <row r="441" spans="1:19" x14ac:dyDescent="0.2">
      <c r="A441" s="379"/>
      <c r="B441" s="369"/>
      <c r="C441" s="369"/>
      <c r="D441" s="396" t="s">
        <v>1171</v>
      </c>
      <c r="G441" s="373"/>
      <c r="H441" s="390"/>
      <c r="I441" s="397"/>
      <c r="J441" s="398">
        <v>3</v>
      </c>
      <c r="K441" s="399"/>
      <c r="L441" s="400" t="s">
        <v>1457</v>
      </c>
      <c r="M441" s="399"/>
      <c r="N441" s="399"/>
      <c r="O441" s="432" t="s">
        <v>1171</v>
      </c>
      <c r="P441" s="373"/>
      <c r="Q441" s="373"/>
      <c r="R441" s="373"/>
      <c r="S441" s="373"/>
    </row>
    <row r="442" spans="1:19" x14ac:dyDescent="0.2">
      <c r="A442" s="379"/>
      <c r="B442" s="369"/>
      <c r="C442" s="369"/>
      <c r="D442" s="396" t="s">
        <v>1171</v>
      </c>
      <c r="G442" s="373"/>
      <c r="H442" s="390"/>
      <c r="I442" s="397"/>
      <c r="J442" s="398">
        <v>4</v>
      </c>
      <c r="K442" s="399"/>
      <c r="L442" s="400" t="s">
        <v>1458</v>
      </c>
      <c r="M442" s="399"/>
      <c r="N442" s="399"/>
      <c r="O442" s="432" t="s">
        <v>1171</v>
      </c>
      <c r="P442" s="373"/>
      <c r="Q442" s="373"/>
      <c r="R442" s="373"/>
      <c r="S442" s="373"/>
    </row>
    <row r="443" spans="1:19" x14ac:dyDescent="0.2">
      <c r="A443" s="379"/>
      <c r="B443" s="369"/>
      <c r="C443" s="369"/>
      <c r="D443" s="396" t="s">
        <v>1171</v>
      </c>
      <c r="G443" s="373"/>
      <c r="H443" s="390"/>
      <c r="I443" s="397"/>
      <c r="J443" s="398">
        <v>5</v>
      </c>
      <c r="K443" s="399"/>
      <c r="L443" s="400" t="s">
        <v>1322</v>
      </c>
      <c r="M443" s="399"/>
      <c r="N443" s="399"/>
      <c r="O443" s="432" t="s">
        <v>1171</v>
      </c>
      <c r="P443" s="373"/>
      <c r="Q443" s="373"/>
      <c r="R443" s="373"/>
      <c r="S443" s="373"/>
    </row>
    <row r="444" spans="1:19" x14ac:dyDescent="0.2">
      <c r="A444" s="379"/>
      <c r="B444" s="369"/>
      <c r="C444" s="369"/>
      <c r="D444" s="396" t="s">
        <v>1171</v>
      </c>
      <c r="G444" s="373"/>
      <c r="H444" s="390"/>
      <c r="I444" s="397"/>
      <c r="J444" s="398">
        <v>6</v>
      </c>
      <c r="K444" s="399"/>
      <c r="L444" s="400" t="s">
        <v>1459</v>
      </c>
      <c r="M444" s="399"/>
      <c r="N444" s="399"/>
      <c r="O444" s="432" t="s">
        <v>1171</v>
      </c>
      <c r="P444" s="373"/>
      <c r="Q444" s="373"/>
      <c r="R444" s="373"/>
      <c r="S444" s="373"/>
    </row>
    <row r="445" spans="1:19" x14ac:dyDescent="0.2">
      <c r="A445" s="379"/>
      <c r="B445" s="369"/>
      <c r="C445" s="369"/>
      <c r="D445" s="396" t="s">
        <v>1171</v>
      </c>
      <c r="G445" s="373"/>
      <c r="H445" s="390"/>
      <c r="I445" s="397"/>
      <c r="J445" s="398">
        <v>7</v>
      </c>
      <c r="K445" s="399"/>
      <c r="L445" s="400" t="s">
        <v>1460</v>
      </c>
      <c r="M445" s="399"/>
      <c r="N445" s="399"/>
      <c r="O445" s="432" t="s">
        <v>1171</v>
      </c>
      <c r="P445" s="373"/>
      <c r="Q445" s="373"/>
      <c r="R445" s="373"/>
      <c r="S445" s="373"/>
    </row>
    <row r="446" spans="1:19" x14ac:dyDescent="0.2">
      <c r="A446" s="379"/>
      <c r="B446" s="369"/>
      <c r="C446" s="369"/>
      <c r="D446" s="396" t="s">
        <v>1171</v>
      </c>
      <c r="G446" s="373"/>
      <c r="H446" s="390"/>
      <c r="I446" s="397"/>
      <c r="J446" s="398">
        <v>8</v>
      </c>
      <c r="K446" s="399"/>
      <c r="L446" s="400" t="s">
        <v>1452</v>
      </c>
      <c r="M446" s="399"/>
      <c r="N446" s="399"/>
      <c r="O446" s="432" t="s">
        <v>1171</v>
      </c>
      <c r="P446" s="373"/>
      <c r="Q446" s="373"/>
      <c r="R446" s="373"/>
      <c r="S446" s="373"/>
    </row>
    <row r="447" spans="1:19" x14ac:dyDescent="0.2">
      <c r="A447" s="379"/>
      <c r="B447" s="369"/>
      <c r="C447" s="369"/>
      <c r="D447" s="396" t="s">
        <v>1171</v>
      </c>
      <c r="G447" s="373"/>
      <c r="H447" s="390"/>
      <c r="I447" s="397"/>
      <c r="J447" s="398">
        <v>9</v>
      </c>
      <c r="K447" s="399"/>
      <c r="L447" s="400" t="s">
        <v>1444</v>
      </c>
      <c r="M447" s="399"/>
      <c r="N447" s="399"/>
      <c r="O447" s="432" t="s">
        <v>1171</v>
      </c>
      <c r="P447" s="373"/>
      <c r="Q447" s="373"/>
      <c r="R447" s="373"/>
      <c r="S447" s="373"/>
    </row>
    <row r="448" spans="1:19" x14ac:dyDescent="0.2">
      <c r="A448" s="379"/>
      <c r="B448" s="369"/>
      <c r="C448" s="369"/>
      <c r="D448" s="396" t="s">
        <v>1171</v>
      </c>
      <c r="G448" s="373"/>
      <c r="H448" s="390"/>
      <c r="I448" s="397"/>
      <c r="J448" s="398">
        <v>10</v>
      </c>
      <c r="K448" s="399"/>
      <c r="L448" s="400" t="s">
        <v>1461</v>
      </c>
      <c r="M448" s="399"/>
      <c r="N448" s="399"/>
      <c r="O448" s="432" t="s">
        <v>1171</v>
      </c>
      <c r="P448" s="373"/>
      <c r="Q448" s="373"/>
      <c r="R448" s="373"/>
      <c r="S448" s="373"/>
    </row>
    <row r="449" spans="1:19" x14ac:dyDescent="0.2">
      <c r="A449" s="379"/>
      <c r="B449" s="369"/>
      <c r="C449" s="369"/>
      <c r="D449" s="396" t="s">
        <v>1171</v>
      </c>
      <c r="G449" s="373"/>
      <c r="H449" s="390"/>
      <c r="I449" s="397"/>
      <c r="J449" s="398">
        <v>11</v>
      </c>
      <c r="K449" s="399"/>
      <c r="L449" s="400" t="s">
        <v>1453</v>
      </c>
      <c r="M449" s="399"/>
      <c r="N449" s="399"/>
      <c r="O449" s="432" t="s">
        <v>1171</v>
      </c>
      <c r="P449" s="373"/>
      <c r="Q449" s="373"/>
      <c r="R449" s="373"/>
      <c r="S449" s="373"/>
    </row>
    <row r="450" spans="1:19" x14ac:dyDescent="0.2">
      <c r="A450" s="379"/>
      <c r="B450" s="369"/>
      <c r="C450" s="369"/>
      <c r="D450" s="396" t="s">
        <v>1171</v>
      </c>
      <c r="G450" s="373"/>
      <c r="H450" s="390"/>
      <c r="I450" s="397"/>
      <c r="J450" s="398">
        <v>12</v>
      </c>
      <c r="K450" s="399"/>
      <c r="L450" s="400" t="s">
        <v>1462</v>
      </c>
      <c r="M450" s="399"/>
      <c r="N450" s="399"/>
      <c r="O450" s="432" t="s">
        <v>1171</v>
      </c>
      <c r="P450" s="373"/>
      <c r="Q450" s="373"/>
      <c r="R450" s="373"/>
      <c r="S450" s="373"/>
    </row>
    <row r="451" spans="1:19" x14ac:dyDescent="0.2">
      <c r="A451" s="379"/>
      <c r="B451" s="369"/>
      <c r="C451" s="369"/>
      <c r="D451" s="396" t="s">
        <v>1171</v>
      </c>
      <c r="G451" s="373"/>
      <c r="H451" s="390"/>
      <c r="I451" s="397"/>
      <c r="J451" s="398">
        <v>13</v>
      </c>
      <c r="K451" s="399"/>
      <c r="L451" s="400" t="s">
        <v>1454</v>
      </c>
      <c r="M451" s="399"/>
      <c r="N451" s="399"/>
      <c r="O451" s="432" t="s">
        <v>1171</v>
      </c>
      <c r="P451" s="373"/>
      <c r="Q451" s="373"/>
      <c r="R451" s="373"/>
      <c r="S451" s="373"/>
    </row>
    <row r="452" spans="1:19" x14ac:dyDescent="0.2">
      <c r="A452" s="379"/>
      <c r="B452" s="369"/>
      <c r="C452" s="369"/>
      <c r="D452" s="396" t="s">
        <v>1171</v>
      </c>
      <c r="G452" s="373"/>
      <c r="H452" s="390"/>
      <c r="I452" s="409"/>
      <c r="J452" s="404">
        <v>14</v>
      </c>
      <c r="K452" s="405"/>
      <c r="L452" s="406" t="s">
        <v>1463</v>
      </c>
      <c r="M452" s="405"/>
      <c r="N452" s="405"/>
      <c r="O452" s="451" t="s">
        <v>1171</v>
      </c>
      <c r="P452" s="373"/>
      <c r="Q452" s="373"/>
      <c r="R452" s="373"/>
      <c r="S452" s="373"/>
    </row>
    <row r="453" spans="1:19" x14ac:dyDescent="0.2">
      <c r="A453" s="379"/>
      <c r="B453" s="369"/>
      <c r="C453" s="369"/>
      <c r="D453" s="396"/>
      <c r="G453" s="373"/>
      <c r="H453" s="390"/>
      <c r="I453" s="404" t="s">
        <v>1168</v>
      </c>
      <c r="J453" s="397"/>
      <c r="K453" s="400" t="s">
        <v>1464</v>
      </c>
      <c r="L453" s="399"/>
      <c r="M453" s="399"/>
      <c r="N453" s="399"/>
      <c r="O453" s="432"/>
      <c r="P453" s="373"/>
      <c r="Q453" s="373"/>
      <c r="R453" s="373"/>
      <c r="S453" s="373"/>
    </row>
    <row r="454" spans="1:19" x14ac:dyDescent="0.2">
      <c r="A454" s="379"/>
      <c r="B454" s="369"/>
      <c r="C454" s="369"/>
      <c r="D454" s="396" t="s">
        <v>1171</v>
      </c>
      <c r="G454" s="373"/>
      <c r="H454" s="390"/>
      <c r="I454" s="397"/>
      <c r="J454" s="398">
        <v>1</v>
      </c>
      <c r="K454" s="399"/>
      <c r="L454" s="400" t="s">
        <v>1269</v>
      </c>
      <c r="M454" s="399"/>
      <c r="N454" s="399"/>
      <c r="O454" s="432" t="s">
        <v>1171</v>
      </c>
      <c r="P454" s="373"/>
      <c r="Q454" s="373"/>
      <c r="R454" s="373"/>
      <c r="S454" s="373"/>
    </row>
    <row r="455" spans="1:19" x14ac:dyDescent="0.2">
      <c r="A455" s="379"/>
      <c r="B455" s="369"/>
      <c r="C455" s="369"/>
      <c r="D455" s="396" t="s">
        <v>1171</v>
      </c>
      <c r="G455" s="373"/>
      <c r="H455" s="390"/>
      <c r="I455" s="397"/>
      <c r="J455" s="398">
        <v>2</v>
      </c>
      <c r="K455" s="399"/>
      <c r="L455" s="400" t="s">
        <v>1456</v>
      </c>
      <c r="M455" s="399"/>
      <c r="N455" s="399"/>
      <c r="O455" s="432" t="s">
        <v>1171</v>
      </c>
      <c r="P455" s="373"/>
      <c r="Q455" s="373"/>
      <c r="R455" s="373"/>
      <c r="S455" s="373"/>
    </row>
    <row r="456" spans="1:19" x14ac:dyDescent="0.2">
      <c r="A456" s="379"/>
      <c r="B456" s="369"/>
      <c r="C456" s="369"/>
      <c r="D456" s="396" t="s">
        <v>1171</v>
      </c>
      <c r="G456" s="373"/>
      <c r="H456" s="390"/>
      <c r="I456" s="397"/>
      <c r="J456" s="398">
        <v>3</v>
      </c>
      <c r="K456" s="399"/>
      <c r="L456" s="400" t="s">
        <v>1457</v>
      </c>
      <c r="M456" s="399"/>
      <c r="N456" s="399"/>
      <c r="O456" s="432" t="s">
        <v>1171</v>
      </c>
      <c r="P456" s="373"/>
      <c r="Q456" s="373"/>
      <c r="R456" s="373"/>
      <c r="S456" s="373"/>
    </row>
    <row r="457" spans="1:19" x14ac:dyDescent="0.2">
      <c r="A457" s="379"/>
      <c r="B457" s="369"/>
      <c r="C457" s="369"/>
      <c r="D457" s="396" t="s">
        <v>1171</v>
      </c>
      <c r="G457" s="373"/>
      <c r="H457" s="390"/>
      <c r="I457" s="397"/>
      <c r="J457" s="398">
        <v>4</v>
      </c>
      <c r="K457" s="399"/>
      <c r="L457" s="400" t="s">
        <v>1458</v>
      </c>
      <c r="M457" s="399"/>
      <c r="N457" s="399"/>
      <c r="O457" s="432" t="s">
        <v>1171</v>
      </c>
      <c r="P457" s="373"/>
      <c r="Q457" s="373"/>
      <c r="R457" s="373"/>
      <c r="S457" s="373"/>
    </row>
    <row r="458" spans="1:19" x14ac:dyDescent="0.2">
      <c r="A458" s="379"/>
      <c r="B458" s="369"/>
      <c r="C458" s="369"/>
      <c r="D458" s="396" t="s">
        <v>1171</v>
      </c>
      <c r="G458" s="373"/>
      <c r="H458" s="390"/>
      <c r="I458" s="397"/>
      <c r="J458" s="398">
        <v>5</v>
      </c>
      <c r="K458" s="399"/>
      <c r="L458" s="400" t="s">
        <v>1322</v>
      </c>
      <c r="M458" s="399"/>
      <c r="N458" s="399"/>
      <c r="O458" s="432" t="s">
        <v>1171</v>
      </c>
      <c r="P458" s="373"/>
      <c r="Q458" s="373"/>
      <c r="R458" s="373"/>
      <c r="S458" s="373"/>
    </row>
    <row r="459" spans="1:19" x14ac:dyDescent="0.2">
      <c r="A459" s="379"/>
      <c r="B459" s="369"/>
      <c r="C459" s="369"/>
      <c r="D459" s="396" t="s">
        <v>1171</v>
      </c>
      <c r="G459" s="373"/>
      <c r="H459" s="390"/>
      <c r="I459" s="397"/>
      <c r="J459" s="398">
        <v>6</v>
      </c>
      <c r="K459" s="399"/>
      <c r="L459" s="400" t="s">
        <v>1470</v>
      </c>
      <c r="M459" s="399"/>
      <c r="N459" s="399"/>
      <c r="O459" s="432" t="s">
        <v>1171</v>
      </c>
      <c r="P459" s="373"/>
      <c r="Q459" s="373"/>
      <c r="R459" s="373"/>
      <c r="S459" s="373"/>
    </row>
    <row r="460" spans="1:19" x14ac:dyDescent="0.2">
      <c r="A460" s="379"/>
      <c r="B460" s="369"/>
      <c r="C460" s="369"/>
      <c r="D460" s="396" t="s">
        <v>1171</v>
      </c>
      <c r="G460" s="373"/>
      <c r="H460" s="390"/>
      <c r="I460" s="397"/>
      <c r="J460" s="398">
        <v>7</v>
      </c>
      <c r="K460" s="399"/>
      <c r="L460" s="400" t="s">
        <v>1459</v>
      </c>
      <c r="M460" s="399"/>
      <c r="N460" s="399"/>
      <c r="O460" s="432" t="s">
        <v>1171</v>
      </c>
      <c r="P460" s="452"/>
      <c r="Q460" s="452"/>
      <c r="R460" s="452"/>
      <c r="S460" s="452"/>
    </row>
    <row r="461" spans="1:19" x14ac:dyDescent="0.2">
      <c r="A461" s="379"/>
      <c r="B461" s="369"/>
      <c r="C461" s="369"/>
      <c r="D461" s="396" t="s">
        <v>1171</v>
      </c>
      <c r="G461" s="373"/>
      <c r="H461" s="390"/>
      <c r="I461" s="397"/>
      <c r="J461" s="398">
        <v>8</v>
      </c>
      <c r="K461" s="399"/>
      <c r="L461" s="400" t="s">
        <v>1460</v>
      </c>
      <c r="M461" s="399"/>
      <c r="N461" s="399"/>
      <c r="O461" s="432" t="s">
        <v>1171</v>
      </c>
      <c r="P461" s="373"/>
      <c r="Q461" s="373"/>
      <c r="R461" s="373"/>
      <c r="S461" s="373"/>
    </row>
    <row r="462" spans="1:19" x14ac:dyDescent="0.2">
      <c r="A462" s="379"/>
      <c r="B462" s="369"/>
      <c r="C462" s="369"/>
      <c r="D462" s="396" t="s">
        <v>1171</v>
      </c>
      <c r="G462" s="373"/>
      <c r="H462" s="390"/>
      <c r="I462" s="397"/>
      <c r="J462" s="398">
        <v>9</v>
      </c>
      <c r="K462" s="399"/>
      <c r="L462" s="400" t="s">
        <v>1452</v>
      </c>
      <c r="M462" s="399"/>
      <c r="N462" s="399"/>
      <c r="O462" s="432" t="s">
        <v>1171</v>
      </c>
      <c r="P462" s="373"/>
      <c r="Q462" s="373"/>
      <c r="R462" s="373"/>
      <c r="S462" s="373"/>
    </row>
    <row r="463" spans="1:19" x14ac:dyDescent="0.2">
      <c r="A463" s="379"/>
      <c r="B463" s="369"/>
      <c r="C463" s="369"/>
      <c r="D463" s="396" t="s">
        <v>1171</v>
      </c>
      <c r="G463" s="373"/>
      <c r="H463" s="390"/>
      <c r="I463" s="397"/>
      <c r="J463" s="398">
        <v>10</v>
      </c>
      <c r="K463" s="399"/>
      <c r="L463" s="400" t="s">
        <v>1444</v>
      </c>
      <c r="M463" s="399"/>
      <c r="N463" s="399"/>
      <c r="O463" s="432" t="s">
        <v>1171</v>
      </c>
      <c r="P463" s="373"/>
      <c r="Q463" s="373"/>
      <c r="R463" s="373"/>
      <c r="S463" s="373"/>
    </row>
    <row r="464" spans="1:19" x14ac:dyDescent="0.2">
      <c r="A464" s="379"/>
      <c r="B464" s="369"/>
      <c r="C464" s="369"/>
      <c r="D464" s="396" t="s">
        <v>1171</v>
      </c>
      <c r="G464" s="373"/>
      <c r="H464" s="390"/>
      <c r="I464" s="397"/>
      <c r="J464" s="398">
        <v>11</v>
      </c>
      <c r="K464" s="399"/>
      <c r="L464" s="400" t="s">
        <v>1461</v>
      </c>
      <c r="M464" s="399"/>
      <c r="N464" s="399"/>
      <c r="O464" s="432" t="s">
        <v>1171</v>
      </c>
      <c r="P464" s="373"/>
      <c r="Q464" s="373"/>
      <c r="R464" s="373"/>
      <c r="S464" s="373"/>
    </row>
    <row r="465" spans="1:19" x14ac:dyDescent="0.2">
      <c r="A465" s="379"/>
      <c r="B465" s="369"/>
      <c r="C465" s="369"/>
      <c r="D465" s="396" t="s">
        <v>1171</v>
      </c>
      <c r="G465" s="373"/>
      <c r="H465" s="390"/>
      <c r="I465" s="397"/>
      <c r="J465" s="398">
        <v>12</v>
      </c>
      <c r="K465" s="399"/>
      <c r="L465" s="400" t="s">
        <v>1453</v>
      </c>
      <c r="M465" s="399"/>
      <c r="N465" s="399"/>
      <c r="O465" s="432" t="s">
        <v>1171</v>
      </c>
      <c r="P465" s="373"/>
      <c r="Q465" s="373"/>
      <c r="R465" s="373"/>
      <c r="S465" s="373"/>
    </row>
    <row r="466" spans="1:19" x14ac:dyDescent="0.2">
      <c r="A466" s="379"/>
      <c r="B466" s="369"/>
      <c r="C466" s="369"/>
      <c r="D466" s="396" t="s">
        <v>1171</v>
      </c>
      <c r="G466" s="399"/>
      <c r="H466" s="390"/>
      <c r="I466" s="397"/>
      <c r="J466" s="398">
        <v>13</v>
      </c>
      <c r="K466" s="400"/>
      <c r="L466" s="400" t="s">
        <v>1462</v>
      </c>
      <c r="M466" s="399"/>
      <c r="N466" s="399"/>
      <c r="O466" s="432" t="s">
        <v>1171</v>
      </c>
      <c r="P466" s="399"/>
      <c r="Q466" s="399"/>
      <c r="R466" s="399"/>
      <c r="S466" s="399"/>
    </row>
    <row r="467" spans="1:19" x14ac:dyDescent="0.2">
      <c r="A467" s="379"/>
      <c r="B467" s="369"/>
      <c r="C467" s="369"/>
      <c r="D467" s="396" t="s">
        <v>1171</v>
      </c>
      <c r="G467" s="373"/>
      <c r="H467" s="390"/>
      <c r="I467" s="397"/>
      <c r="J467" s="398">
        <v>14</v>
      </c>
      <c r="K467" s="399"/>
      <c r="L467" s="400" t="s">
        <v>1454</v>
      </c>
      <c r="M467" s="399"/>
      <c r="N467" s="399"/>
      <c r="O467" s="432" t="s">
        <v>1171</v>
      </c>
      <c r="P467" s="373"/>
      <c r="Q467" s="373"/>
      <c r="R467" s="373"/>
      <c r="S467" s="373"/>
    </row>
    <row r="468" spans="1:19" x14ac:dyDescent="0.2">
      <c r="A468" s="379"/>
      <c r="B468" s="369"/>
      <c r="C468" s="369"/>
      <c r="D468" s="396" t="s">
        <v>1171</v>
      </c>
      <c r="G468" s="373"/>
      <c r="H468" s="390"/>
      <c r="I468" s="397"/>
      <c r="J468" s="398">
        <v>15</v>
      </c>
      <c r="K468" s="399"/>
      <c r="L468" s="400" t="s">
        <v>1446</v>
      </c>
      <c r="M468" s="399"/>
      <c r="N468" s="399"/>
      <c r="O468" s="432" t="s">
        <v>1171</v>
      </c>
      <c r="P468" s="373"/>
      <c r="Q468" s="373"/>
      <c r="R468" s="373"/>
      <c r="S468" s="373"/>
    </row>
    <row r="469" spans="1:19" x14ac:dyDescent="0.2">
      <c r="A469" s="379"/>
      <c r="B469" s="369"/>
      <c r="C469" s="369"/>
      <c r="D469" s="396" t="s">
        <v>1171</v>
      </c>
      <c r="G469" s="373"/>
      <c r="H469" s="390"/>
      <c r="I469" s="397"/>
      <c r="J469" s="398">
        <v>16</v>
      </c>
      <c r="K469" s="399"/>
      <c r="L469" s="400" t="s">
        <v>1463</v>
      </c>
      <c r="M469" s="399"/>
      <c r="N469" s="399"/>
      <c r="O469" s="432" t="s">
        <v>1171</v>
      </c>
      <c r="P469" s="373"/>
      <c r="Q469" s="373"/>
      <c r="R469" s="373"/>
      <c r="S469" s="373"/>
    </row>
    <row r="470" spans="1:19" x14ac:dyDescent="0.2">
      <c r="A470" s="379"/>
      <c r="B470" s="369"/>
      <c r="C470" s="369"/>
      <c r="D470" s="396"/>
      <c r="G470" s="373"/>
      <c r="H470" s="390"/>
      <c r="I470" s="391" t="s">
        <v>1172</v>
      </c>
      <c r="J470" s="392"/>
      <c r="K470" s="408" t="s">
        <v>1466</v>
      </c>
      <c r="L470" s="394"/>
      <c r="M470" s="394"/>
      <c r="N470" s="394"/>
      <c r="O470" s="442"/>
      <c r="P470" s="373"/>
      <c r="Q470" s="373"/>
      <c r="R470" s="373"/>
      <c r="S470" s="373"/>
    </row>
    <row r="471" spans="1:19" x14ac:dyDescent="0.2">
      <c r="A471" s="379"/>
      <c r="B471" s="369"/>
      <c r="C471" s="369"/>
      <c r="D471" s="396" t="s">
        <v>1171</v>
      </c>
      <c r="G471" s="373"/>
      <c r="H471" s="390"/>
      <c r="I471" s="397"/>
      <c r="J471" s="398">
        <v>1</v>
      </c>
      <c r="K471" s="399"/>
      <c r="L471" s="400" t="s">
        <v>1457</v>
      </c>
      <c r="M471" s="399"/>
      <c r="N471" s="399"/>
      <c r="O471" s="432" t="s">
        <v>1171</v>
      </c>
      <c r="P471" s="373"/>
      <c r="Q471" s="373"/>
      <c r="R471" s="373"/>
      <c r="S471" s="373"/>
    </row>
    <row r="472" spans="1:19" x14ac:dyDescent="0.2">
      <c r="A472" s="379"/>
      <c r="B472" s="369"/>
      <c r="C472" s="369"/>
      <c r="D472" s="396" t="s">
        <v>1171</v>
      </c>
      <c r="G472" s="373"/>
      <c r="H472" s="390"/>
      <c r="I472" s="397"/>
      <c r="J472" s="398">
        <v>2</v>
      </c>
      <c r="K472" s="399"/>
      <c r="L472" s="400" t="s">
        <v>1458</v>
      </c>
      <c r="M472" s="399"/>
      <c r="N472" s="399"/>
      <c r="O472" s="432" t="s">
        <v>1171</v>
      </c>
      <c r="P472" s="373"/>
      <c r="Q472" s="373"/>
      <c r="R472" s="373"/>
      <c r="S472" s="373"/>
    </row>
    <row r="473" spans="1:19" x14ac:dyDescent="0.2">
      <c r="A473" s="379"/>
      <c r="B473" s="369"/>
      <c r="C473" s="369"/>
      <c r="D473" s="396" t="s">
        <v>1171</v>
      </c>
      <c r="G473" s="373"/>
      <c r="H473" s="390"/>
      <c r="I473" s="397"/>
      <c r="J473" s="398">
        <v>3</v>
      </c>
      <c r="K473" s="399"/>
      <c r="L473" s="400" t="s">
        <v>1322</v>
      </c>
      <c r="M473" s="399"/>
      <c r="N473" s="399"/>
      <c r="O473" s="432" t="s">
        <v>1171</v>
      </c>
      <c r="P473" s="373"/>
      <c r="Q473" s="373"/>
      <c r="R473" s="373"/>
      <c r="S473" s="373"/>
    </row>
    <row r="474" spans="1:19" x14ac:dyDescent="0.2">
      <c r="A474" s="379"/>
      <c r="B474" s="369"/>
      <c r="C474" s="369"/>
      <c r="D474" s="396" t="s">
        <v>1171</v>
      </c>
      <c r="G474" s="373"/>
      <c r="H474" s="390"/>
      <c r="I474" s="397"/>
      <c r="J474" s="398">
        <v>4</v>
      </c>
      <c r="K474" s="399"/>
      <c r="L474" s="400" t="s">
        <v>1459</v>
      </c>
      <c r="M474" s="399"/>
      <c r="N474" s="399"/>
      <c r="O474" s="432" t="s">
        <v>1171</v>
      </c>
      <c r="P474" s="373"/>
      <c r="Q474" s="373"/>
      <c r="R474" s="373"/>
      <c r="S474" s="373"/>
    </row>
    <row r="475" spans="1:19" x14ac:dyDescent="0.2">
      <c r="A475" s="379"/>
      <c r="B475" s="369"/>
      <c r="C475" s="369"/>
      <c r="D475" s="396" t="s">
        <v>1171</v>
      </c>
      <c r="G475" s="373"/>
      <c r="H475" s="390"/>
      <c r="I475" s="397"/>
      <c r="J475" s="398">
        <v>5</v>
      </c>
      <c r="K475" s="399"/>
      <c r="L475" s="400" t="s">
        <v>1460</v>
      </c>
      <c r="M475" s="399"/>
      <c r="N475" s="399"/>
      <c r="O475" s="432" t="s">
        <v>1171</v>
      </c>
      <c r="P475" s="373"/>
      <c r="Q475" s="373"/>
      <c r="R475" s="373"/>
      <c r="S475" s="373"/>
    </row>
    <row r="476" spans="1:19" x14ac:dyDescent="0.2">
      <c r="A476" s="379"/>
      <c r="B476" s="369"/>
      <c r="C476" s="369"/>
      <c r="D476" s="396" t="s">
        <v>1171</v>
      </c>
      <c r="G476" s="373"/>
      <c r="H476" s="390"/>
      <c r="I476" s="397"/>
      <c r="J476" s="398">
        <v>6</v>
      </c>
      <c r="K476" s="399"/>
      <c r="L476" s="400" t="s">
        <v>1444</v>
      </c>
      <c r="M476" s="399"/>
      <c r="N476" s="399"/>
      <c r="O476" s="432" t="s">
        <v>1171</v>
      </c>
      <c r="P476" s="373"/>
      <c r="Q476" s="373"/>
      <c r="R476" s="373"/>
      <c r="S476" s="373"/>
    </row>
    <row r="477" spans="1:19" x14ac:dyDescent="0.2">
      <c r="A477" s="379"/>
      <c r="B477" s="369"/>
      <c r="C477" s="369"/>
      <c r="D477" s="396" t="s">
        <v>1171</v>
      </c>
      <c r="G477" s="373"/>
      <c r="H477" s="390"/>
      <c r="I477" s="397"/>
      <c r="J477" s="398">
        <v>7</v>
      </c>
      <c r="K477" s="399"/>
      <c r="L477" s="400" t="s">
        <v>1461</v>
      </c>
      <c r="M477" s="399"/>
      <c r="N477" s="399"/>
      <c r="O477" s="432" t="s">
        <v>1171</v>
      </c>
      <c r="P477" s="373"/>
      <c r="Q477" s="373"/>
      <c r="R477" s="373"/>
      <c r="S477" s="373"/>
    </row>
    <row r="478" spans="1:19" x14ac:dyDescent="0.2">
      <c r="A478" s="379"/>
      <c r="B478" s="369"/>
      <c r="C478" s="369"/>
      <c r="D478" s="396" t="s">
        <v>1171</v>
      </c>
      <c r="G478" s="373"/>
      <c r="H478" s="390"/>
      <c r="I478" s="397"/>
      <c r="J478" s="398">
        <v>8</v>
      </c>
      <c r="K478" s="399"/>
      <c r="L478" s="400" t="s">
        <v>1453</v>
      </c>
      <c r="M478" s="399"/>
      <c r="N478" s="399"/>
      <c r="O478" s="432" t="s">
        <v>1171</v>
      </c>
      <c r="P478" s="373"/>
      <c r="Q478" s="373"/>
      <c r="R478" s="373"/>
      <c r="S478" s="373"/>
    </row>
    <row r="479" spans="1:19" x14ac:dyDescent="0.2">
      <c r="A479" s="379"/>
      <c r="B479" s="369"/>
      <c r="C479" s="369"/>
      <c r="D479" s="396" t="s">
        <v>1171</v>
      </c>
      <c r="G479" s="373"/>
      <c r="H479" s="390"/>
      <c r="I479" s="397"/>
      <c r="J479" s="398">
        <v>9</v>
      </c>
      <c r="K479" s="399"/>
      <c r="L479" s="400" t="s">
        <v>1462</v>
      </c>
      <c r="M479" s="399"/>
      <c r="N479" s="399"/>
      <c r="O479" s="432" t="s">
        <v>1171</v>
      </c>
      <c r="P479" s="373"/>
      <c r="Q479" s="373"/>
      <c r="R479" s="373"/>
      <c r="S479" s="373"/>
    </row>
    <row r="480" spans="1:19" ht="15.75" thickBot="1" x14ac:dyDescent="0.25">
      <c r="A480" s="379"/>
      <c r="B480" s="369"/>
      <c r="C480" s="369"/>
      <c r="D480" s="396" t="s">
        <v>1171</v>
      </c>
      <c r="G480" s="373"/>
      <c r="H480" s="443"/>
      <c r="I480" s="444"/>
      <c r="J480" s="445">
        <v>10</v>
      </c>
      <c r="K480" s="446"/>
      <c r="L480" s="447" t="s">
        <v>1463</v>
      </c>
      <c r="M480" s="446"/>
      <c r="N480" s="446"/>
      <c r="O480" s="501" t="s">
        <v>1171</v>
      </c>
      <c r="P480" s="373"/>
      <c r="Q480" s="373"/>
      <c r="R480" s="373"/>
      <c r="S480" s="373"/>
    </row>
    <row r="481" spans="1:19" x14ac:dyDescent="0.2">
      <c r="A481" s="379"/>
      <c r="B481" s="369"/>
      <c r="C481" s="369"/>
      <c r="D481" s="396"/>
      <c r="G481" s="399"/>
      <c r="H481" s="449"/>
      <c r="I481" s="397"/>
      <c r="J481" s="397"/>
      <c r="K481" s="399"/>
      <c r="L481" s="400"/>
      <c r="M481" s="399"/>
      <c r="N481" s="399"/>
      <c r="O481" s="507"/>
      <c r="P481" s="399"/>
      <c r="Q481" s="399"/>
      <c r="R481" s="399"/>
      <c r="S481" s="399"/>
    </row>
    <row r="482" spans="1:19" x14ac:dyDescent="0.2">
      <c r="A482" s="379">
        <v>45</v>
      </c>
      <c r="B482" s="369" t="s">
        <v>1471</v>
      </c>
      <c r="C482" s="369" t="s">
        <v>1472</v>
      </c>
      <c r="D482" s="396"/>
      <c r="G482" s="373"/>
      <c r="H482" s="417">
        <v>45</v>
      </c>
      <c r="I482" s="419"/>
      <c r="J482" s="430"/>
      <c r="K482" s="487" t="s">
        <v>1472</v>
      </c>
      <c r="L482" s="430"/>
      <c r="M482" s="430"/>
      <c r="N482" s="430"/>
      <c r="O482" s="441"/>
      <c r="P482" s="373"/>
      <c r="Q482" s="388">
        <f>H482</f>
        <v>45</v>
      </c>
      <c r="R482" s="378" t="str">
        <f>CONCATENATE("II-",TEXT(Q482,"0000"))</f>
        <v>II-0045</v>
      </c>
      <c r="S482" s="389" t="str">
        <f>K482</f>
        <v>HORMIGON  PUZOLANICO EXCLUIDA LA ARAMDURA</v>
      </c>
    </row>
    <row r="483" spans="1:19" x14ac:dyDescent="0.2">
      <c r="A483" s="379"/>
      <c r="B483" s="369"/>
      <c r="C483" s="369"/>
      <c r="D483" s="396"/>
      <c r="G483" s="373"/>
      <c r="H483" s="390"/>
      <c r="I483" s="391" t="s">
        <v>1060</v>
      </c>
      <c r="J483" s="392"/>
      <c r="K483" s="408" t="s">
        <v>1438</v>
      </c>
      <c r="L483" s="394"/>
      <c r="M483" s="394"/>
      <c r="N483" s="394"/>
      <c r="O483" s="442"/>
      <c r="P483" s="373"/>
      <c r="Q483" s="373"/>
      <c r="R483" s="373"/>
      <c r="S483" s="373"/>
    </row>
    <row r="484" spans="1:19" x14ac:dyDescent="0.2">
      <c r="A484" s="379"/>
      <c r="B484" s="369"/>
      <c r="C484" s="369"/>
      <c r="D484" s="396" t="s">
        <v>1171</v>
      </c>
      <c r="G484" s="373"/>
      <c r="H484" s="390"/>
      <c r="I484" s="397"/>
      <c r="J484" s="398">
        <v>1</v>
      </c>
      <c r="K484" s="399"/>
      <c r="L484" s="400" t="s">
        <v>1443</v>
      </c>
      <c r="M484" s="399"/>
      <c r="N484" s="399"/>
      <c r="O484" s="432" t="s">
        <v>1171</v>
      </c>
      <c r="P484" s="373"/>
      <c r="Q484" s="373"/>
      <c r="R484" s="373"/>
      <c r="S484" s="373"/>
    </row>
    <row r="485" spans="1:19" x14ac:dyDescent="0.2">
      <c r="A485" s="379"/>
      <c r="B485" s="369"/>
      <c r="C485" s="369"/>
      <c r="D485" s="396" t="s">
        <v>1171</v>
      </c>
      <c r="G485" s="373"/>
      <c r="H485" s="390"/>
      <c r="I485" s="397"/>
      <c r="J485" s="398">
        <v>2</v>
      </c>
      <c r="K485" s="399"/>
      <c r="L485" s="400" t="s">
        <v>1445</v>
      </c>
      <c r="M485" s="399"/>
      <c r="N485" s="399"/>
      <c r="O485" s="432" t="s">
        <v>1171</v>
      </c>
      <c r="P485" s="373"/>
      <c r="Q485" s="373"/>
      <c r="R485" s="373"/>
      <c r="S485" s="373"/>
    </row>
    <row r="486" spans="1:19" x14ac:dyDescent="0.2">
      <c r="A486" s="379"/>
      <c r="B486" s="369"/>
      <c r="C486" s="369"/>
      <c r="D486" s="396"/>
      <c r="G486" s="373"/>
      <c r="H486" s="390"/>
      <c r="I486" s="391" t="s">
        <v>1087</v>
      </c>
      <c r="J486" s="392"/>
      <c r="K486" s="408" t="s">
        <v>1442</v>
      </c>
      <c r="L486" s="394"/>
      <c r="M486" s="394"/>
      <c r="N486" s="394"/>
      <c r="O486" s="442"/>
      <c r="P486" s="373"/>
      <c r="Q486" s="373"/>
      <c r="R486" s="373"/>
      <c r="S486" s="373"/>
    </row>
    <row r="487" spans="1:19" x14ac:dyDescent="0.2">
      <c r="A487" s="379"/>
      <c r="B487" s="369"/>
      <c r="C487" s="369"/>
      <c r="D487" s="396" t="s">
        <v>1171</v>
      </c>
      <c r="G487" s="373"/>
      <c r="H487" s="390"/>
      <c r="I487" s="397"/>
      <c r="J487" s="398">
        <v>1</v>
      </c>
      <c r="K487" s="399"/>
      <c r="L487" s="400" t="s">
        <v>1443</v>
      </c>
      <c r="M487" s="399"/>
      <c r="N487" s="399"/>
      <c r="O487" s="432" t="s">
        <v>1171</v>
      </c>
      <c r="P487" s="373"/>
      <c r="Q487" s="373"/>
      <c r="R487" s="373"/>
      <c r="S487" s="373"/>
    </row>
    <row r="488" spans="1:19" x14ac:dyDescent="0.2">
      <c r="A488" s="379"/>
      <c r="B488" s="369"/>
      <c r="C488" s="369"/>
      <c r="D488" s="396" t="s">
        <v>1171</v>
      </c>
      <c r="G488" s="373"/>
      <c r="H488" s="390"/>
      <c r="I488" s="397"/>
      <c r="J488" s="398">
        <v>2</v>
      </c>
      <c r="K488" s="399"/>
      <c r="L488" s="400" t="s">
        <v>1445</v>
      </c>
      <c r="M488" s="399"/>
      <c r="N488" s="399"/>
      <c r="O488" s="432" t="s">
        <v>1171</v>
      </c>
      <c r="P488" s="373"/>
      <c r="Q488" s="373"/>
      <c r="R488" s="373"/>
      <c r="S488" s="373"/>
    </row>
    <row r="489" spans="1:19" x14ac:dyDescent="0.2">
      <c r="A489" s="379"/>
      <c r="B489" s="369"/>
      <c r="C489" s="369"/>
      <c r="D489" s="396" t="s">
        <v>1171</v>
      </c>
      <c r="G489" s="373"/>
      <c r="H489" s="390"/>
      <c r="I489" s="397"/>
      <c r="J489" s="398">
        <v>3</v>
      </c>
      <c r="K489" s="399"/>
      <c r="L489" s="400" t="s">
        <v>1454</v>
      </c>
      <c r="M489" s="399"/>
      <c r="N489" s="399"/>
      <c r="O489" s="432" t="s">
        <v>1171</v>
      </c>
      <c r="P489" s="373"/>
      <c r="Q489" s="373"/>
      <c r="R489" s="373"/>
      <c r="S489" s="373"/>
    </row>
    <row r="490" spans="1:19" x14ac:dyDescent="0.2">
      <c r="A490" s="379"/>
      <c r="B490" s="369"/>
      <c r="C490" s="369"/>
      <c r="D490" s="396"/>
      <c r="G490" s="373"/>
      <c r="H490" s="390"/>
      <c r="I490" s="391" t="s">
        <v>1097</v>
      </c>
      <c r="J490" s="392"/>
      <c r="K490" s="408" t="s">
        <v>1447</v>
      </c>
      <c r="L490" s="394"/>
      <c r="M490" s="394"/>
      <c r="N490" s="394"/>
      <c r="O490" s="442"/>
      <c r="P490" s="373"/>
      <c r="Q490" s="373"/>
      <c r="R490" s="373"/>
      <c r="S490" s="373"/>
    </row>
    <row r="491" spans="1:19" x14ac:dyDescent="0.2">
      <c r="A491" s="379"/>
      <c r="B491" s="369"/>
      <c r="C491" s="369"/>
      <c r="D491" s="396" t="s">
        <v>1171</v>
      </c>
      <c r="G491" s="373"/>
      <c r="H491" s="390"/>
      <c r="I491" s="397"/>
      <c r="J491" s="398">
        <v>1</v>
      </c>
      <c r="K491" s="399"/>
      <c r="L491" s="400" t="s">
        <v>1443</v>
      </c>
      <c r="M491" s="399"/>
      <c r="N491" s="399"/>
      <c r="O491" s="432" t="s">
        <v>1171</v>
      </c>
      <c r="P491" s="373"/>
      <c r="Q491" s="373"/>
      <c r="R491" s="373"/>
      <c r="S491" s="373"/>
    </row>
    <row r="492" spans="1:19" x14ac:dyDescent="0.2">
      <c r="A492" s="379"/>
      <c r="B492" s="369"/>
      <c r="C492" s="369"/>
      <c r="D492" s="396" t="s">
        <v>1171</v>
      </c>
      <c r="G492" s="373"/>
      <c r="H492" s="390"/>
      <c r="I492" s="397"/>
      <c r="J492" s="398">
        <v>2</v>
      </c>
      <c r="K492" s="399"/>
      <c r="L492" s="400" t="s">
        <v>1380</v>
      </c>
      <c r="M492" s="399"/>
      <c r="N492" s="399"/>
      <c r="O492" s="432" t="s">
        <v>1171</v>
      </c>
      <c r="P492" s="373"/>
      <c r="Q492" s="373"/>
      <c r="R492" s="373"/>
      <c r="S492" s="373"/>
    </row>
    <row r="493" spans="1:19" x14ac:dyDescent="0.2">
      <c r="A493" s="379"/>
      <c r="B493" s="369"/>
      <c r="C493" s="369"/>
      <c r="D493" s="396" t="s">
        <v>1171</v>
      </c>
      <c r="G493" s="373"/>
      <c r="H493" s="390"/>
      <c r="I493" s="397"/>
      <c r="J493" s="398">
        <v>3</v>
      </c>
      <c r="K493" s="399"/>
      <c r="L493" s="400" t="s">
        <v>1445</v>
      </c>
      <c r="M493" s="399"/>
      <c r="N493" s="399"/>
      <c r="O493" s="432" t="s">
        <v>1171</v>
      </c>
      <c r="P493" s="373"/>
      <c r="Q493" s="373"/>
      <c r="R493" s="373"/>
      <c r="S493" s="373"/>
    </row>
    <row r="494" spans="1:19" x14ac:dyDescent="0.2">
      <c r="A494" s="379"/>
      <c r="B494" s="369"/>
      <c r="C494" s="369"/>
      <c r="D494" s="396" t="s">
        <v>1171</v>
      </c>
      <c r="G494" s="373"/>
      <c r="H494" s="390"/>
      <c r="I494" s="397"/>
      <c r="J494" s="398">
        <v>4</v>
      </c>
      <c r="K494" s="399"/>
      <c r="L494" s="400" t="s">
        <v>1454</v>
      </c>
      <c r="M494" s="399"/>
      <c r="N494" s="399"/>
      <c r="O494" s="432" t="s">
        <v>1171</v>
      </c>
      <c r="P494" s="373"/>
      <c r="Q494" s="373"/>
      <c r="R494" s="373"/>
      <c r="S494" s="373"/>
    </row>
    <row r="495" spans="1:19" x14ac:dyDescent="0.2">
      <c r="A495" s="379"/>
      <c r="B495" s="369"/>
      <c r="C495" s="369"/>
      <c r="D495" s="396" t="s">
        <v>1171</v>
      </c>
      <c r="G495" s="373"/>
      <c r="H495" s="390"/>
      <c r="I495" s="397"/>
      <c r="J495" s="398">
        <v>5</v>
      </c>
      <c r="K495" s="399"/>
      <c r="L495" s="400" t="s">
        <v>1446</v>
      </c>
      <c r="M495" s="399"/>
      <c r="N495" s="399"/>
      <c r="O495" s="432" t="s">
        <v>1171</v>
      </c>
      <c r="P495" s="373"/>
      <c r="Q495" s="373"/>
      <c r="R495" s="373"/>
      <c r="S495" s="373"/>
    </row>
    <row r="496" spans="1:19" x14ac:dyDescent="0.2">
      <c r="A496" s="379"/>
      <c r="B496" s="369"/>
      <c r="C496" s="369"/>
      <c r="D496" s="396"/>
      <c r="G496" s="373"/>
      <c r="H496" s="390"/>
      <c r="I496" s="391" t="s">
        <v>1123</v>
      </c>
      <c r="J496" s="392"/>
      <c r="K496" s="408" t="s">
        <v>1450</v>
      </c>
      <c r="L496" s="394"/>
      <c r="M496" s="394"/>
      <c r="N496" s="394"/>
      <c r="O496" s="442"/>
      <c r="P496" s="373"/>
      <c r="Q496" s="373"/>
      <c r="R496" s="373"/>
      <c r="S496" s="373"/>
    </row>
    <row r="497" spans="1:19" x14ac:dyDescent="0.2">
      <c r="A497" s="379"/>
      <c r="B497" s="369"/>
      <c r="C497" s="369"/>
      <c r="D497" s="396" t="s">
        <v>1171</v>
      </c>
      <c r="G497" s="373"/>
      <c r="H497" s="390"/>
      <c r="I497" s="397"/>
      <c r="J497" s="398">
        <v>1</v>
      </c>
      <c r="K497" s="399"/>
      <c r="L497" s="400" t="s">
        <v>1448</v>
      </c>
      <c r="M497" s="399"/>
      <c r="N497" s="399"/>
      <c r="O497" s="432" t="s">
        <v>1171</v>
      </c>
      <c r="P497" s="373"/>
      <c r="Q497" s="373"/>
      <c r="R497" s="373"/>
      <c r="S497" s="373"/>
    </row>
    <row r="498" spans="1:19" x14ac:dyDescent="0.2">
      <c r="A498" s="379"/>
      <c r="B498" s="369"/>
      <c r="C498" s="369"/>
      <c r="D498" s="396" t="s">
        <v>1171</v>
      </c>
      <c r="G498" s="373"/>
      <c r="H498" s="390"/>
      <c r="I498" s="397"/>
      <c r="J498" s="398">
        <v>2</v>
      </c>
      <c r="K498" s="399"/>
      <c r="L498" s="400" t="s">
        <v>1269</v>
      </c>
      <c r="M498" s="399"/>
      <c r="N498" s="399"/>
      <c r="O498" s="432" t="s">
        <v>1171</v>
      </c>
      <c r="P498" s="373"/>
      <c r="Q498" s="373"/>
      <c r="R498" s="373"/>
      <c r="S498" s="373"/>
    </row>
    <row r="499" spans="1:19" x14ac:dyDescent="0.2">
      <c r="A499" s="379"/>
      <c r="B499" s="369"/>
      <c r="C499" s="369"/>
      <c r="D499" s="396" t="s">
        <v>1171</v>
      </c>
      <c r="G499" s="373"/>
      <c r="H499" s="390"/>
      <c r="I499" s="397"/>
      <c r="J499" s="398">
        <v>3</v>
      </c>
      <c r="K499" s="399"/>
      <c r="L499" s="400" t="s">
        <v>1443</v>
      </c>
      <c r="M499" s="399"/>
      <c r="N499" s="399"/>
      <c r="O499" s="432" t="s">
        <v>1171</v>
      </c>
      <c r="P499" s="373"/>
      <c r="Q499" s="373"/>
      <c r="R499" s="373"/>
      <c r="S499" s="373"/>
    </row>
    <row r="500" spans="1:19" x14ac:dyDescent="0.2">
      <c r="A500" s="379"/>
      <c r="B500" s="369"/>
      <c r="C500" s="369"/>
      <c r="D500" s="396" t="s">
        <v>1171</v>
      </c>
      <c r="G500" s="373"/>
      <c r="H500" s="390"/>
      <c r="I500" s="397"/>
      <c r="J500" s="398">
        <v>4</v>
      </c>
      <c r="K500" s="399"/>
      <c r="L500" s="400" t="s">
        <v>1380</v>
      </c>
      <c r="M500" s="399"/>
      <c r="N500" s="399"/>
      <c r="O500" s="432" t="s">
        <v>1171</v>
      </c>
      <c r="P500" s="373"/>
      <c r="Q500" s="373"/>
      <c r="R500" s="373"/>
      <c r="S500" s="373"/>
    </row>
    <row r="501" spans="1:19" x14ac:dyDescent="0.2">
      <c r="A501" s="379"/>
      <c r="B501" s="369"/>
      <c r="C501" s="369"/>
      <c r="D501" s="396" t="s">
        <v>1171</v>
      </c>
      <c r="G501" s="373"/>
      <c r="H501" s="390"/>
      <c r="I501" s="397"/>
      <c r="J501" s="398">
        <v>5</v>
      </c>
      <c r="K501" s="399"/>
      <c r="L501" s="400" t="s">
        <v>1445</v>
      </c>
      <c r="M501" s="399"/>
      <c r="N501" s="399"/>
      <c r="O501" s="432" t="s">
        <v>1171</v>
      </c>
      <c r="P501" s="373"/>
      <c r="Q501" s="373"/>
      <c r="R501" s="373"/>
      <c r="S501" s="373"/>
    </row>
    <row r="502" spans="1:19" x14ac:dyDescent="0.2">
      <c r="A502" s="379"/>
      <c r="B502" s="369"/>
      <c r="C502" s="369"/>
      <c r="D502" s="396" t="s">
        <v>1171</v>
      </c>
      <c r="G502" s="373"/>
      <c r="H502" s="390"/>
      <c r="I502" s="397"/>
      <c r="J502" s="398">
        <v>6</v>
      </c>
      <c r="K502" s="399"/>
      <c r="L502" s="400" t="s">
        <v>1454</v>
      </c>
      <c r="M502" s="399"/>
      <c r="N502" s="399"/>
      <c r="O502" s="432" t="s">
        <v>1171</v>
      </c>
      <c r="P502" s="373"/>
      <c r="Q502" s="373"/>
      <c r="R502" s="373"/>
      <c r="S502" s="373"/>
    </row>
    <row r="503" spans="1:19" x14ac:dyDescent="0.2">
      <c r="A503" s="379"/>
      <c r="B503" s="369"/>
      <c r="C503" s="369"/>
      <c r="D503" s="396" t="s">
        <v>1171</v>
      </c>
      <c r="G503" s="373"/>
      <c r="H503" s="390"/>
      <c r="I503" s="397"/>
      <c r="J503" s="398">
        <v>7</v>
      </c>
      <c r="K503" s="399"/>
      <c r="L503" s="400" t="s">
        <v>1446</v>
      </c>
      <c r="M503" s="399"/>
      <c r="N503" s="399"/>
      <c r="O503" s="432" t="s">
        <v>1171</v>
      </c>
      <c r="P503" s="373"/>
      <c r="Q503" s="373"/>
      <c r="R503" s="373"/>
      <c r="S503" s="373"/>
    </row>
    <row r="504" spans="1:19" x14ac:dyDescent="0.2">
      <c r="A504" s="379"/>
      <c r="B504" s="369"/>
      <c r="C504" s="369"/>
      <c r="D504" s="396"/>
      <c r="G504" s="373"/>
      <c r="H504" s="390"/>
      <c r="I504" s="391" t="s">
        <v>1165</v>
      </c>
      <c r="J504" s="392"/>
      <c r="K504" s="408" t="s">
        <v>1455</v>
      </c>
      <c r="L504" s="394"/>
      <c r="M504" s="394"/>
      <c r="N504" s="394"/>
      <c r="O504" s="442"/>
      <c r="P504" s="373"/>
      <c r="Q504" s="373"/>
      <c r="R504" s="373"/>
      <c r="S504" s="373"/>
    </row>
    <row r="505" spans="1:19" x14ac:dyDescent="0.2">
      <c r="A505" s="379"/>
      <c r="B505" s="369"/>
      <c r="C505" s="369"/>
      <c r="D505" s="396" t="s">
        <v>1171</v>
      </c>
      <c r="G505" s="373"/>
      <c r="H505" s="390"/>
      <c r="I505" s="397"/>
      <c r="J505" s="398">
        <v>1</v>
      </c>
      <c r="K505" s="399"/>
      <c r="L505" s="400" t="s">
        <v>1448</v>
      </c>
      <c r="M505" s="399"/>
      <c r="N505" s="399"/>
      <c r="O505" s="432" t="s">
        <v>1171</v>
      </c>
      <c r="P505" s="373"/>
      <c r="Q505" s="373"/>
      <c r="R505" s="373"/>
      <c r="S505" s="373"/>
    </row>
    <row r="506" spans="1:19" x14ac:dyDescent="0.2">
      <c r="A506" s="379"/>
      <c r="B506" s="369"/>
      <c r="C506" s="369"/>
      <c r="D506" s="396" t="s">
        <v>1171</v>
      </c>
      <c r="G506" s="373"/>
      <c r="H506" s="390"/>
      <c r="I506" s="397"/>
      <c r="J506" s="398">
        <v>2</v>
      </c>
      <c r="K506" s="399"/>
      <c r="L506" s="400" t="s">
        <v>1269</v>
      </c>
      <c r="M506" s="399"/>
      <c r="N506" s="399"/>
      <c r="O506" s="432" t="s">
        <v>1171</v>
      </c>
      <c r="P506" s="373"/>
      <c r="Q506" s="373"/>
      <c r="R506" s="373"/>
      <c r="S506" s="373"/>
    </row>
    <row r="507" spans="1:19" x14ac:dyDescent="0.2">
      <c r="A507" s="379"/>
      <c r="B507" s="369"/>
      <c r="C507" s="369"/>
      <c r="D507" s="396" t="s">
        <v>1171</v>
      </c>
      <c r="G507" s="373"/>
      <c r="H507" s="390"/>
      <c r="I507" s="397"/>
      <c r="J507" s="398">
        <v>3</v>
      </c>
      <c r="K507" s="399"/>
      <c r="L507" s="400" t="s">
        <v>1458</v>
      </c>
      <c r="M507" s="399"/>
      <c r="N507" s="399"/>
      <c r="O507" s="432" t="s">
        <v>1171</v>
      </c>
      <c r="P507" s="373"/>
      <c r="Q507" s="373"/>
      <c r="R507" s="373"/>
      <c r="S507" s="373"/>
    </row>
    <row r="508" spans="1:19" x14ac:dyDescent="0.2">
      <c r="A508" s="379"/>
      <c r="B508" s="369"/>
      <c r="C508" s="369"/>
      <c r="D508" s="396" t="s">
        <v>1171</v>
      </c>
      <c r="G508" s="373"/>
      <c r="H508" s="390"/>
      <c r="I508" s="397"/>
      <c r="J508" s="398">
        <v>4</v>
      </c>
      <c r="K508" s="399"/>
      <c r="L508" s="400" t="s">
        <v>1443</v>
      </c>
      <c r="M508" s="399"/>
      <c r="N508" s="399"/>
      <c r="O508" s="432" t="s">
        <v>1171</v>
      </c>
      <c r="P508" s="373"/>
      <c r="Q508" s="373"/>
      <c r="R508" s="373"/>
      <c r="S508" s="373"/>
    </row>
    <row r="509" spans="1:19" x14ac:dyDescent="0.2">
      <c r="A509" s="379"/>
      <c r="B509" s="369"/>
      <c r="C509" s="369"/>
      <c r="D509" s="396" t="s">
        <v>1171</v>
      </c>
      <c r="G509" s="373"/>
      <c r="H509" s="390"/>
      <c r="I509" s="397"/>
      <c r="J509" s="398">
        <v>5</v>
      </c>
      <c r="K509" s="399"/>
      <c r="L509" s="400" t="s">
        <v>1380</v>
      </c>
      <c r="M509" s="399"/>
      <c r="N509" s="399"/>
      <c r="O509" s="432" t="s">
        <v>1171</v>
      </c>
      <c r="P509" s="373"/>
      <c r="Q509" s="373"/>
      <c r="R509" s="373"/>
      <c r="S509" s="373"/>
    </row>
    <row r="510" spans="1:19" x14ac:dyDescent="0.2">
      <c r="A510" s="379"/>
      <c r="B510" s="369"/>
      <c r="C510" s="369"/>
      <c r="D510" s="396" t="s">
        <v>1171</v>
      </c>
      <c r="G510" s="373"/>
      <c r="H510" s="390"/>
      <c r="I510" s="397"/>
      <c r="J510" s="398">
        <v>6</v>
      </c>
      <c r="K510" s="399"/>
      <c r="L510" s="400" t="s">
        <v>1462</v>
      </c>
      <c r="M510" s="399"/>
      <c r="N510" s="399"/>
      <c r="O510" s="432" t="s">
        <v>1171</v>
      </c>
      <c r="P510" s="373"/>
      <c r="Q510" s="373"/>
      <c r="R510" s="373"/>
      <c r="S510" s="373"/>
    </row>
    <row r="511" spans="1:19" x14ac:dyDescent="0.2">
      <c r="A511" s="379"/>
      <c r="B511" s="369"/>
      <c r="C511" s="369"/>
      <c r="D511" s="396" t="s">
        <v>1171</v>
      </c>
      <c r="G511" s="373"/>
      <c r="H511" s="390"/>
      <c r="I511" s="397"/>
      <c r="J511" s="398">
        <v>7</v>
      </c>
      <c r="K511" s="399"/>
      <c r="L511" s="400" t="s">
        <v>1454</v>
      </c>
      <c r="M511" s="399"/>
      <c r="N511" s="399"/>
      <c r="O511" s="432" t="s">
        <v>1171</v>
      </c>
      <c r="P511" s="373"/>
      <c r="Q511" s="373"/>
      <c r="R511" s="373"/>
      <c r="S511" s="373"/>
    </row>
    <row r="512" spans="1:19" x14ac:dyDescent="0.2">
      <c r="A512" s="379"/>
      <c r="B512" s="369"/>
      <c r="C512" s="369"/>
      <c r="D512" s="396" t="s">
        <v>1171</v>
      </c>
      <c r="G512" s="399"/>
      <c r="H512" s="390"/>
      <c r="I512" s="397"/>
      <c r="J512" s="398">
        <v>8</v>
      </c>
      <c r="K512" s="399"/>
      <c r="L512" s="406" t="s">
        <v>1473</v>
      </c>
      <c r="M512" s="405"/>
      <c r="N512" s="405"/>
      <c r="O512" s="451" t="s">
        <v>1171</v>
      </c>
      <c r="P512" s="373"/>
      <c r="Q512" s="373"/>
      <c r="R512" s="373"/>
      <c r="S512" s="373"/>
    </row>
    <row r="513" spans="1:19" x14ac:dyDescent="0.2">
      <c r="A513" s="379"/>
      <c r="B513" s="369"/>
      <c r="C513" s="369"/>
      <c r="D513" s="396"/>
      <c r="G513" s="373"/>
      <c r="H513" s="390"/>
      <c r="I513" s="391" t="s">
        <v>1168</v>
      </c>
      <c r="J513" s="392"/>
      <c r="K513" s="408" t="s">
        <v>1464</v>
      </c>
      <c r="L513" s="394"/>
      <c r="M513" s="394"/>
      <c r="N513" s="394"/>
      <c r="O513" s="442"/>
      <c r="P513" s="373"/>
      <c r="Q513" s="373"/>
      <c r="R513" s="373"/>
      <c r="S513" s="373"/>
    </row>
    <row r="514" spans="1:19" x14ac:dyDescent="0.2">
      <c r="A514" s="379"/>
      <c r="B514" s="369"/>
      <c r="C514" s="369"/>
      <c r="D514" s="396" t="s">
        <v>1171</v>
      </c>
      <c r="G514" s="373"/>
      <c r="H514" s="390"/>
      <c r="I514" s="397"/>
      <c r="J514" s="398">
        <v>1</v>
      </c>
      <c r="K514" s="399"/>
      <c r="L514" s="400" t="s">
        <v>1448</v>
      </c>
      <c r="M514" s="399"/>
      <c r="N514" s="399"/>
      <c r="O514" s="432" t="s">
        <v>1171</v>
      </c>
      <c r="P514" s="373"/>
      <c r="Q514" s="373"/>
      <c r="R514" s="373"/>
      <c r="S514" s="373"/>
    </row>
    <row r="515" spans="1:19" x14ac:dyDescent="0.2">
      <c r="A515" s="379"/>
      <c r="B515" s="369"/>
      <c r="C515" s="369"/>
      <c r="D515" s="396" t="s">
        <v>1171</v>
      </c>
      <c r="G515" s="373"/>
      <c r="H515" s="390"/>
      <c r="I515" s="397"/>
      <c r="J515" s="398">
        <v>2</v>
      </c>
      <c r="K515" s="399"/>
      <c r="L515" s="400" t="s">
        <v>1269</v>
      </c>
      <c r="M515" s="399"/>
      <c r="N515" s="399"/>
      <c r="O515" s="432" t="s">
        <v>1171</v>
      </c>
      <c r="P515" s="373"/>
      <c r="Q515" s="373"/>
      <c r="R515" s="373"/>
      <c r="S515" s="373"/>
    </row>
    <row r="516" spans="1:19" x14ac:dyDescent="0.2">
      <c r="A516" s="379"/>
      <c r="B516" s="369"/>
      <c r="C516" s="369"/>
      <c r="D516" s="396" t="s">
        <v>1171</v>
      </c>
      <c r="G516" s="373"/>
      <c r="H516" s="390"/>
      <c r="I516" s="397"/>
      <c r="J516" s="398">
        <v>3</v>
      </c>
      <c r="K516" s="399"/>
      <c r="L516" s="400" t="s">
        <v>1458</v>
      </c>
      <c r="M516" s="399"/>
      <c r="N516" s="399"/>
      <c r="O516" s="432" t="s">
        <v>1171</v>
      </c>
      <c r="P516" s="373"/>
      <c r="Q516" s="373"/>
      <c r="R516" s="373"/>
      <c r="S516" s="373"/>
    </row>
    <row r="517" spans="1:19" x14ac:dyDescent="0.2">
      <c r="A517" s="379"/>
      <c r="B517" s="369"/>
      <c r="C517" s="369"/>
      <c r="D517" s="396" t="s">
        <v>1171</v>
      </c>
      <c r="G517" s="373"/>
      <c r="H517" s="390"/>
      <c r="I517" s="397"/>
      <c r="J517" s="398">
        <v>4</v>
      </c>
      <c r="K517" s="399"/>
      <c r="L517" s="400" t="s">
        <v>1462</v>
      </c>
      <c r="M517" s="399"/>
      <c r="N517" s="399"/>
      <c r="O517" s="432" t="s">
        <v>1171</v>
      </c>
      <c r="P517" s="373"/>
      <c r="Q517" s="373"/>
      <c r="R517" s="373"/>
      <c r="S517" s="373"/>
    </row>
    <row r="518" spans="1:19" x14ac:dyDescent="0.2">
      <c r="A518" s="379"/>
      <c r="B518" s="369"/>
      <c r="C518" s="369"/>
      <c r="D518" s="396" t="s">
        <v>1171</v>
      </c>
      <c r="G518" s="373"/>
      <c r="H518" s="390"/>
      <c r="I518" s="397"/>
      <c r="J518" s="398">
        <v>5</v>
      </c>
      <c r="K518" s="399"/>
      <c r="L518" s="400" t="s">
        <v>1454</v>
      </c>
      <c r="M518" s="399"/>
      <c r="N518" s="399"/>
      <c r="O518" s="432" t="s">
        <v>1171</v>
      </c>
      <c r="P518" s="373"/>
      <c r="Q518" s="373"/>
      <c r="R518" s="373"/>
      <c r="S518" s="373"/>
    </row>
    <row r="519" spans="1:19" ht="15.75" thickBot="1" x14ac:dyDescent="0.25">
      <c r="A519" s="379"/>
      <c r="B519" s="369"/>
      <c r="C519" s="369"/>
      <c r="D519" s="396" t="s">
        <v>1171</v>
      </c>
      <c r="G519" s="373"/>
      <c r="H519" s="410"/>
      <c r="I519" s="411"/>
      <c r="J519" s="412">
        <v>6</v>
      </c>
      <c r="K519" s="413"/>
      <c r="L519" s="414" t="s">
        <v>1446</v>
      </c>
      <c r="M519" s="413"/>
      <c r="N519" s="413"/>
      <c r="O519" s="498" t="s">
        <v>1171</v>
      </c>
      <c r="P519" s="373"/>
      <c r="Q519" s="373"/>
      <c r="R519" s="373"/>
      <c r="S519" s="373"/>
    </row>
    <row r="520" spans="1:19" ht="15.75" thickTop="1" x14ac:dyDescent="0.2">
      <c r="A520" s="379">
        <v>46</v>
      </c>
      <c r="B520" s="369" t="s">
        <v>1474</v>
      </c>
      <c r="C520" s="369" t="s">
        <v>1475</v>
      </c>
      <c r="D520" s="396"/>
      <c r="G520" s="373"/>
      <c r="H520" s="417">
        <v>46</v>
      </c>
      <c r="I520" s="419"/>
      <c r="J520" s="430"/>
      <c r="K520" s="487" t="s">
        <v>1475</v>
      </c>
      <c r="L520" s="430"/>
      <c r="M520" s="430"/>
      <c r="N520" s="430"/>
      <c r="O520" s="441"/>
      <c r="P520" s="373"/>
      <c r="Q520" s="388">
        <f>H520</f>
        <v>46</v>
      </c>
      <c r="R520" s="378" t="str">
        <f>CONCATENATE("II-",TEXT(Q520,"0000"))</f>
        <v>II-0046</v>
      </c>
      <c r="S520" s="389" t="str">
        <f>K520</f>
        <v>IMPERMEABILIZACION</v>
      </c>
    </row>
    <row r="521" spans="1:19" x14ac:dyDescent="0.2">
      <c r="A521" s="379"/>
      <c r="B521" s="369"/>
      <c r="C521" s="369"/>
      <c r="D521" s="396" t="s">
        <v>1254</v>
      </c>
      <c r="G521" s="373"/>
      <c r="H521" s="390"/>
      <c r="I521" s="391" t="s">
        <v>1060</v>
      </c>
      <c r="J521" s="399"/>
      <c r="K521" s="400" t="s">
        <v>1476</v>
      </c>
      <c r="L521" s="399"/>
      <c r="M521" s="399"/>
      <c r="N521" s="399"/>
      <c r="O521" s="432" t="s">
        <v>1254</v>
      </c>
      <c r="P521" s="373"/>
      <c r="Q521" s="373"/>
      <c r="R521" s="373"/>
      <c r="S521" s="373"/>
    </row>
    <row r="522" spans="1:19" x14ac:dyDescent="0.2">
      <c r="A522" s="379"/>
      <c r="B522" s="369"/>
      <c r="C522" s="369"/>
      <c r="D522" s="396"/>
      <c r="G522" s="373"/>
      <c r="H522" s="390"/>
      <c r="I522" s="391" t="s">
        <v>1087</v>
      </c>
      <c r="J522" s="392"/>
      <c r="K522" s="408" t="s">
        <v>1477</v>
      </c>
      <c r="L522" s="394"/>
      <c r="M522" s="394"/>
      <c r="N522" s="394"/>
      <c r="O522" s="442"/>
      <c r="P522" s="373"/>
      <c r="Q522" s="373"/>
      <c r="R522" s="373"/>
      <c r="S522" s="373"/>
    </row>
    <row r="523" spans="1:19" x14ac:dyDescent="0.2">
      <c r="A523" s="379"/>
      <c r="B523" s="369"/>
      <c r="C523" s="369"/>
      <c r="D523" s="396" t="s">
        <v>1254</v>
      </c>
      <c r="G523" s="373"/>
      <c r="H523" s="390"/>
      <c r="I523" s="397"/>
      <c r="J523" s="398">
        <v>1</v>
      </c>
      <c r="K523" s="399"/>
      <c r="L523" s="400" t="s">
        <v>1478</v>
      </c>
      <c r="M523" s="399"/>
      <c r="N523" s="399"/>
      <c r="O523" s="432" t="s">
        <v>1254</v>
      </c>
      <c r="P523" s="373"/>
      <c r="Q523" s="373"/>
      <c r="R523" s="373"/>
      <c r="S523" s="373"/>
    </row>
    <row r="524" spans="1:19" ht="15.75" thickBot="1" x14ac:dyDescent="0.25">
      <c r="A524" s="379"/>
      <c r="B524" s="369"/>
      <c r="C524" s="369"/>
      <c r="D524" s="396" t="s">
        <v>1254</v>
      </c>
      <c r="G524" s="373"/>
      <c r="H524" s="410"/>
      <c r="I524" s="411"/>
      <c r="J524" s="412">
        <v>2</v>
      </c>
      <c r="K524" s="413"/>
      <c r="L524" s="414" t="s">
        <v>1479</v>
      </c>
      <c r="M524" s="413"/>
      <c r="N524" s="413"/>
      <c r="O524" s="498" t="s">
        <v>1254</v>
      </c>
      <c r="P524" s="373"/>
      <c r="Q524" s="373"/>
      <c r="R524" s="373"/>
      <c r="S524" s="373"/>
    </row>
    <row r="525" spans="1:19" ht="15.75" thickTop="1" x14ac:dyDescent="0.2">
      <c r="A525" s="379">
        <v>47</v>
      </c>
      <c r="B525" s="369" t="s">
        <v>1480</v>
      </c>
      <c r="C525" s="369" t="s">
        <v>1481</v>
      </c>
      <c r="D525" s="396"/>
      <c r="G525" s="373"/>
      <c r="H525" s="417">
        <v>47</v>
      </c>
      <c r="I525" s="419"/>
      <c r="J525" s="430"/>
      <c r="K525" s="487" t="s">
        <v>1481</v>
      </c>
      <c r="L525" s="430"/>
      <c r="M525" s="430"/>
      <c r="N525" s="430"/>
      <c r="O525" s="441"/>
      <c r="P525" s="373"/>
      <c r="Q525" s="388">
        <f>H525</f>
        <v>47</v>
      </c>
      <c r="R525" s="378" t="str">
        <f>CONCATENATE("II-",TEXT(Q525,"0000"))</f>
        <v>II-0047</v>
      </c>
      <c r="S525" s="389" t="str">
        <f>K525</f>
        <v>IMPRIMACIÒN CON MATERIAL BITUMINOSO</v>
      </c>
    </row>
    <row r="526" spans="1:19" x14ac:dyDescent="0.2">
      <c r="A526" s="379"/>
      <c r="B526" s="369"/>
      <c r="C526" s="369"/>
      <c r="D526" s="396" t="s">
        <v>1254</v>
      </c>
      <c r="G526" s="373"/>
      <c r="H526" s="390"/>
      <c r="I526" s="391" t="s">
        <v>1060</v>
      </c>
      <c r="J526" s="438"/>
      <c r="K526" s="459" t="s">
        <v>1478</v>
      </c>
      <c r="L526" s="459"/>
      <c r="M526" s="459"/>
      <c r="N526" s="438"/>
      <c r="O526" s="473" t="s">
        <v>1254</v>
      </c>
      <c r="P526" s="373"/>
      <c r="Q526" s="373"/>
      <c r="R526" s="373"/>
      <c r="S526" s="373"/>
    </row>
    <row r="527" spans="1:19" ht="15.75" thickBot="1" x14ac:dyDescent="0.25">
      <c r="A527" s="379"/>
      <c r="B527" s="369"/>
      <c r="C527" s="369"/>
      <c r="D527" s="396" t="s">
        <v>1254</v>
      </c>
      <c r="G527" s="373"/>
      <c r="H527" s="443"/>
      <c r="I527" s="445" t="s">
        <v>1087</v>
      </c>
      <c r="J527" s="446"/>
      <c r="K527" s="447" t="s">
        <v>1479</v>
      </c>
      <c r="L527" s="447"/>
      <c r="M527" s="447"/>
      <c r="N527" s="446"/>
      <c r="O527" s="501" t="s">
        <v>1254</v>
      </c>
      <c r="P527" s="373"/>
      <c r="Q527" s="373"/>
      <c r="R527" s="373"/>
      <c r="S527" s="373"/>
    </row>
    <row r="528" spans="1:19" x14ac:dyDescent="0.2">
      <c r="A528" s="379"/>
      <c r="B528" s="369"/>
      <c r="C528" s="369"/>
      <c r="D528" s="396"/>
      <c r="G528" s="373"/>
      <c r="H528" s="449"/>
      <c r="I528" s="397"/>
      <c r="J528" s="399"/>
      <c r="K528" s="400"/>
      <c r="L528" s="400"/>
      <c r="M528" s="400"/>
      <c r="N528" s="399"/>
      <c r="O528" s="507"/>
      <c r="P528" s="373"/>
      <c r="Q528" s="373"/>
      <c r="R528" s="373"/>
      <c r="S528" s="373"/>
    </row>
    <row r="529" spans="1:19" x14ac:dyDescent="0.2">
      <c r="A529" s="379"/>
      <c r="B529" s="369"/>
      <c r="C529" s="369"/>
      <c r="D529" s="396"/>
      <c r="G529" s="399"/>
      <c r="H529" s="449"/>
      <c r="I529" s="397"/>
      <c r="J529" s="399"/>
      <c r="K529" s="400"/>
      <c r="L529" s="400"/>
      <c r="M529" s="400"/>
      <c r="N529" s="399"/>
      <c r="O529" s="507"/>
      <c r="P529" s="399"/>
      <c r="Q529" s="399"/>
      <c r="R529" s="399"/>
      <c r="S529" s="399"/>
    </row>
    <row r="530" spans="1:19" x14ac:dyDescent="0.2">
      <c r="A530" s="379">
        <v>48</v>
      </c>
      <c r="B530" s="369" t="s">
        <v>1482</v>
      </c>
      <c r="C530" s="369" t="s">
        <v>1483</v>
      </c>
      <c r="D530" s="396"/>
      <c r="G530" s="373"/>
      <c r="H530" s="417">
        <v>48</v>
      </c>
      <c r="I530" s="419"/>
      <c r="J530" s="430"/>
      <c r="K530" s="487" t="s">
        <v>1483</v>
      </c>
      <c r="L530" s="430"/>
      <c r="M530" s="430"/>
      <c r="N530" s="430"/>
      <c r="O530" s="441"/>
      <c r="P530" s="373"/>
      <c r="Q530" s="388">
        <f>H530</f>
        <v>48</v>
      </c>
      <c r="R530" s="378" t="str">
        <f>CONCATENATE("II-",TEXT(Q530,"0000"))</f>
        <v>II-0048</v>
      </c>
      <c r="S530" s="389" t="str">
        <f>K530</f>
        <v>LIMPIEZA</v>
      </c>
    </row>
    <row r="531" spans="1:19" x14ac:dyDescent="0.2">
      <c r="A531" s="379"/>
      <c r="B531" s="369"/>
      <c r="C531" s="369"/>
      <c r="D531" s="396" t="s">
        <v>1484</v>
      </c>
      <c r="G531" s="373"/>
      <c r="H531" s="390"/>
      <c r="I531" s="525" t="s">
        <v>1060</v>
      </c>
      <c r="J531" s="399"/>
      <c r="K531" s="400" t="s">
        <v>1485</v>
      </c>
      <c r="L531" s="400"/>
      <c r="M531" s="400"/>
      <c r="N531" s="399"/>
      <c r="O531" s="432" t="s">
        <v>1484</v>
      </c>
      <c r="P531" s="373"/>
      <c r="Q531" s="373"/>
      <c r="R531" s="373"/>
      <c r="S531" s="373"/>
    </row>
    <row r="532" spans="1:19" x14ac:dyDescent="0.2">
      <c r="A532" s="379"/>
      <c r="B532" s="369"/>
      <c r="C532" s="369"/>
      <c r="D532" s="396" t="s">
        <v>1171</v>
      </c>
      <c r="G532" s="373"/>
      <c r="H532" s="390"/>
      <c r="I532" s="391" t="s">
        <v>1087</v>
      </c>
      <c r="J532" s="438"/>
      <c r="K532" s="459" t="s">
        <v>1486</v>
      </c>
      <c r="L532" s="459"/>
      <c r="M532" s="459"/>
      <c r="N532" s="438"/>
      <c r="O532" s="473" t="s">
        <v>1171</v>
      </c>
      <c r="P532" s="373"/>
      <c r="Q532" s="373"/>
      <c r="R532" s="373"/>
      <c r="S532" s="373"/>
    </row>
    <row r="533" spans="1:19" x14ac:dyDescent="0.2">
      <c r="A533" s="379"/>
      <c r="B533" s="369"/>
      <c r="C533" s="369"/>
      <c r="D533" s="396" t="s">
        <v>1171</v>
      </c>
      <c r="G533" s="373"/>
      <c r="H533" s="390"/>
      <c r="I533" s="398" t="s">
        <v>1097</v>
      </c>
      <c r="J533" s="399"/>
      <c r="K533" s="400" t="s">
        <v>1487</v>
      </c>
      <c r="L533" s="400"/>
      <c r="M533" s="400"/>
      <c r="N533" s="399"/>
      <c r="O533" s="432" t="s">
        <v>1171</v>
      </c>
      <c r="P533" s="373"/>
      <c r="Q533" s="373"/>
      <c r="R533" s="373"/>
      <c r="S533" s="373"/>
    </row>
    <row r="534" spans="1:19" x14ac:dyDescent="0.2">
      <c r="A534" s="379"/>
      <c r="B534" s="369"/>
      <c r="C534" s="369"/>
      <c r="D534" s="396" t="s">
        <v>1171</v>
      </c>
      <c r="G534" s="373"/>
      <c r="H534" s="390"/>
      <c r="I534" s="525" t="s">
        <v>1123</v>
      </c>
      <c r="J534" s="394"/>
      <c r="K534" s="408" t="s">
        <v>1488</v>
      </c>
      <c r="L534" s="408"/>
      <c r="M534" s="408"/>
      <c r="N534" s="394"/>
      <c r="O534" s="442" t="s">
        <v>1171</v>
      </c>
      <c r="P534" s="373"/>
      <c r="Q534" s="373"/>
      <c r="R534" s="373"/>
      <c r="S534" s="373"/>
    </row>
    <row r="535" spans="1:19" x14ac:dyDescent="0.2">
      <c r="A535" s="379"/>
      <c r="B535" s="369"/>
      <c r="C535" s="369"/>
      <c r="D535" s="396" t="s">
        <v>1171</v>
      </c>
      <c r="G535" s="373"/>
      <c r="H535" s="390"/>
      <c r="I535" s="391" t="s">
        <v>1165</v>
      </c>
      <c r="J535" s="438"/>
      <c r="K535" s="459" t="s">
        <v>1489</v>
      </c>
      <c r="L535" s="459"/>
      <c r="M535" s="459"/>
      <c r="N535" s="438"/>
      <c r="O535" s="473" t="s">
        <v>1171</v>
      </c>
      <c r="P535" s="373"/>
      <c r="Q535" s="373"/>
      <c r="R535" s="373"/>
      <c r="S535" s="373"/>
    </row>
    <row r="536" spans="1:19" x14ac:dyDescent="0.2">
      <c r="A536" s="379"/>
      <c r="B536" s="369"/>
      <c r="C536" s="369"/>
      <c r="D536" s="396" t="s">
        <v>1288</v>
      </c>
      <c r="G536" s="373"/>
      <c r="H536" s="390"/>
      <c r="I536" s="398" t="s">
        <v>1168</v>
      </c>
      <c r="J536" s="399"/>
      <c r="K536" s="400" t="s">
        <v>1490</v>
      </c>
      <c r="L536" s="400"/>
      <c r="M536" s="400"/>
      <c r="N536" s="399"/>
      <c r="O536" s="432" t="s">
        <v>1288</v>
      </c>
      <c r="P536" s="373"/>
      <c r="Q536" s="373"/>
      <c r="R536" s="373"/>
      <c r="S536" s="373"/>
    </row>
    <row r="537" spans="1:19" x14ac:dyDescent="0.2">
      <c r="A537" s="379"/>
      <c r="B537" s="369"/>
      <c r="C537" s="369"/>
      <c r="D537" s="396" t="s">
        <v>1031</v>
      </c>
      <c r="G537" s="373"/>
      <c r="H537" s="390"/>
      <c r="I537" s="391" t="s">
        <v>1172</v>
      </c>
      <c r="J537" s="438"/>
      <c r="K537" s="459" t="s">
        <v>1491</v>
      </c>
      <c r="L537" s="459"/>
      <c r="M537" s="459"/>
      <c r="N537" s="438"/>
      <c r="O537" s="473" t="s">
        <v>1031</v>
      </c>
      <c r="P537" s="373"/>
      <c r="Q537" s="373"/>
      <c r="R537" s="373"/>
      <c r="S537" s="373"/>
    </row>
    <row r="538" spans="1:19" ht="15.75" thickBot="1" x14ac:dyDescent="0.25">
      <c r="A538" s="379"/>
      <c r="B538" s="369"/>
      <c r="C538" s="369"/>
      <c r="D538" s="396" t="s">
        <v>1031</v>
      </c>
      <c r="G538" s="373"/>
      <c r="H538" s="410"/>
      <c r="I538" s="412" t="s">
        <v>1175</v>
      </c>
      <c r="J538" s="413"/>
      <c r="K538" s="414" t="s">
        <v>1492</v>
      </c>
      <c r="L538" s="414"/>
      <c r="M538" s="414"/>
      <c r="N538" s="413"/>
      <c r="O538" s="498" t="s">
        <v>1031</v>
      </c>
      <c r="P538" s="373"/>
      <c r="Q538" s="373"/>
      <c r="R538" s="373"/>
      <c r="S538" s="373"/>
    </row>
    <row r="539" spans="1:19" ht="15.75" thickTop="1" x14ac:dyDescent="0.2">
      <c r="A539" s="379">
        <v>49</v>
      </c>
      <c r="B539" s="369" t="s">
        <v>1493</v>
      </c>
      <c r="C539" s="369" t="s">
        <v>1494</v>
      </c>
      <c r="D539" s="396"/>
      <c r="G539" s="373"/>
      <c r="H539" s="417">
        <v>49</v>
      </c>
      <c r="I539" s="419"/>
      <c r="J539" s="430"/>
      <c r="K539" s="487" t="s">
        <v>1494</v>
      </c>
      <c r="L539" s="430"/>
      <c r="M539" s="430"/>
      <c r="N539" s="430"/>
      <c r="O539" s="441"/>
      <c r="P539" s="373"/>
      <c r="Q539" s="388">
        <f>H539</f>
        <v>49</v>
      </c>
      <c r="R539" s="378" t="str">
        <f>CONCATENATE("II-",TEXT(Q539,"0000"))</f>
        <v>II-0049</v>
      </c>
      <c r="S539" s="389" t="str">
        <f>K539</f>
        <v>LOSA DE HORMIGON</v>
      </c>
    </row>
    <row r="540" spans="1:19" ht="15.75" thickBot="1" x14ac:dyDescent="0.25">
      <c r="A540" s="379"/>
      <c r="B540" s="369"/>
      <c r="C540" s="369"/>
      <c r="D540" s="396" t="s">
        <v>1254</v>
      </c>
      <c r="G540" s="373"/>
      <c r="H540" s="421"/>
      <c r="I540" s="422" t="s">
        <v>1060</v>
      </c>
      <c r="J540" s="423"/>
      <c r="K540" s="461" t="s">
        <v>1174</v>
      </c>
      <c r="L540" s="425"/>
      <c r="M540" s="425"/>
      <c r="N540" s="425"/>
      <c r="O540" s="499" t="s">
        <v>1254</v>
      </c>
      <c r="P540" s="373"/>
      <c r="Q540" s="373"/>
      <c r="R540" s="373"/>
      <c r="S540" s="373"/>
    </row>
    <row r="541" spans="1:19" ht="15.75" thickTop="1" x14ac:dyDescent="0.2">
      <c r="A541" s="379">
        <v>50</v>
      </c>
      <c r="B541" s="369" t="s">
        <v>1495</v>
      </c>
      <c r="C541" s="369" t="s">
        <v>1496</v>
      </c>
      <c r="D541" s="396"/>
      <c r="G541" s="373"/>
      <c r="H541" s="417">
        <v>50</v>
      </c>
      <c r="I541" s="419"/>
      <c r="J541" s="430"/>
      <c r="K541" s="487" t="s">
        <v>1496</v>
      </c>
      <c r="L541" s="430"/>
      <c r="M541" s="430"/>
      <c r="N541" s="430"/>
      <c r="O541" s="441"/>
      <c r="P541" s="373"/>
      <c r="Q541" s="388">
        <f>H541</f>
        <v>50</v>
      </c>
      <c r="R541" s="378" t="str">
        <f>CONCATENATE("II-",TEXT(Q541,"0000"))</f>
        <v>II-0050</v>
      </c>
      <c r="S541" s="389" t="str">
        <f>K541</f>
        <v>LOSETAS DE HORMIGON</v>
      </c>
    </row>
    <row r="542" spans="1:19" x14ac:dyDescent="0.2">
      <c r="A542" s="379"/>
      <c r="B542" s="369"/>
      <c r="C542" s="369"/>
      <c r="D542" s="396"/>
      <c r="G542" s="373"/>
      <c r="H542" s="390"/>
      <c r="I542" s="391" t="s">
        <v>1060</v>
      </c>
      <c r="J542" s="392"/>
      <c r="K542" s="408" t="s">
        <v>1497</v>
      </c>
      <c r="L542" s="394"/>
      <c r="M542" s="394"/>
      <c r="N542" s="394"/>
      <c r="O542" s="442"/>
      <c r="P542" s="373"/>
      <c r="Q542" s="373"/>
      <c r="R542" s="373"/>
      <c r="S542" s="373"/>
    </row>
    <row r="543" spans="1:19" x14ac:dyDescent="0.2">
      <c r="A543" s="379"/>
      <c r="B543" s="369"/>
      <c r="C543" s="369"/>
      <c r="D543" s="396" t="s">
        <v>1254</v>
      </c>
      <c r="G543" s="373"/>
      <c r="H543" s="390"/>
      <c r="I543" s="397"/>
      <c r="J543" s="398">
        <v>1</v>
      </c>
      <c r="K543" s="399"/>
      <c r="L543" s="400" t="s">
        <v>1498</v>
      </c>
      <c r="M543" s="399"/>
      <c r="N543" s="399"/>
      <c r="O543" s="432" t="s">
        <v>1254</v>
      </c>
      <c r="P543" s="373"/>
      <c r="Q543" s="373"/>
      <c r="R543" s="373"/>
      <c r="S543" s="373"/>
    </row>
    <row r="544" spans="1:19" x14ac:dyDescent="0.2">
      <c r="A544" s="379"/>
      <c r="B544" s="369"/>
      <c r="C544" s="369"/>
      <c r="D544" s="396" t="s">
        <v>1254</v>
      </c>
      <c r="G544" s="373"/>
      <c r="H544" s="390"/>
      <c r="I544" s="397"/>
      <c r="J544" s="398">
        <v>2</v>
      </c>
      <c r="K544" s="399"/>
      <c r="L544" s="400" t="s">
        <v>1360</v>
      </c>
      <c r="M544" s="399"/>
      <c r="N544" s="399"/>
      <c r="O544" s="432" t="s">
        <v>1254</v>
      </c>
      <c r="P544" s="373"/>
      <c r="Q544" s="373"/>
      <c r="R544" s="373"/>
      <c r="S544" s="373"/>
    </row>
    <row r="545" spans="1:19" x14ac:dyDescent="0.2">
      <c r="A545" s="379"/>
      <c r="B545" s="369"/>
      <c r="C545" s="369"/>
      <c r="D545" s="396" t="s">
        <v>1254</v>
      </c>
      <c r="G545" s="373"/>
      <c r="H545" s="390"/>
      <c r="I545" s="397"/>
      <c r="J545" s="398">
        <v>3</v>
      </c>
      <c r="K545" s="399"/>
      <c r="L545" s="400" t="s">
        <v>1380</v>
      </c>
      <c r="M545" s="399"/>
      <c r="N545" s="399"/>
      <c r="O545" s="432" t="s">
        <v>1254</v>
      </c>
      <c r="P545" s="373"/>
      <c r="Q545" s="373"/>
      <c r="R545" s="373"/>
      <c r="S545" s="373"/>
    </row>
    <row r="546" spans="1:19" x14ac:dyDescent="0.2">
      <c r="A546" s="379"/>
      <c r="B546" s="369"/>
      <c r="C546" s="369"/>
      <c r="D546" s="396" t="s">
        <v>1254</v>
      </c>
      <c r="G546" s="373"/>
      <c r="H546" s="390"/>
      <c r="I546" s="397"/>
      <c r="J546" s="398">
        <v>4</v>
      </c>
      <c r="K546" s="399"/>
      <c r="L546" s="400" t="s">
        <v>1499</v>
      </c>
      <c r="M546" s="399"/>
      <c r="N546" s="399"/>
      <c r="O546" s="432" t="s">
        <v>1254</v>
      </c>
      <c r="P546" s="373"/>
      <c r="Q546" s="373"/>
      <c r="R546" s="373"/>
      <c r="S546" s="373"/>
    </row>
    <row r="547" spans="1:19" x14ac:dyDescent="0.2">
      <c r="A547" s="379"/>
      <c r="B547" s="369"/>
      <c r="C547" s="369"/>
      <c r="D547" s="396" t="s">
        <v>1254</v>
      </c>
      <c r="G547" s="373"/>
      <c r="H547" s="390"/>
      <c r="I547" s="397"/>
      <c r="J547" s="398">
        <v>5</v>
      </c>
      <c r="K547" s="399"/>
      <c r="L547" s="400" t="s">
        <v>1500</v>
      </c>
      <c r="M547" s="399"/>
      <c r="N547" s="399"/>
      <c r="O547" s="432" t="s">
        <v>1254</v>
      </c>
      <c r="P547" s="373"/>
      <c r="Q547" s="373"/>
      <c r="R547" s="373"/>
      <c r="S547" s="373"/>
    </row>
    <row r="548" spans="1:19" x14ac:dyDescent="0.2">
      <c r="A548" s="379"/>
      <c r="B548" s="369"/>
      <c r="C548" s="369"/>
      <c r="D548" s="396" t="s">
        <v>1254</v>
      </c>
      <c r="G548" s="373"/>
      <c r="H548" s="390"/>
      <c r="I548" s="391" t="s">
        <v>1087</v>
      </c>
      <c r="J548" s="526"/>
      <c r="K548" s="459" t="s">
        <v>1129</v>
      </c>
      <c r="L548" s="459"/>
      <c r="M548" s="438"/>
      <c r="N548" s="438"/>
      <c r="O548" s="473" t="s">
        <v>1254</v>
      </c>
      <c r="P548" s="373"/>
      <c r="Q548" s="373"/>
      <c r="R548" s="373"/>
      <c r="S548" s="373"/>
    </row>
    <row r="549" spans="1:19" ht="15.75" thickBot="1" x14ac:dyDescent="0.25">
      <c r="A549" s="379"/>
      <c r="B549" s="369"/>
      <c r="C549" s="369"/>
      <c r="D549" s="396" t="s">
        <v>1254</v>
      </c>
      <c r="G549" s="373"/>
      <c r="H549" s="390"/>
      <c r="I549" s="412" t="s">
        <v>1097</v>
      </c>
      <c r="J549" s="397"/>
      <c r="K549" s="400" t="s">
        <v>1235</v>
      </c>
      <c r="L549" s="400"/>
      <c r="M549" s="399"/>
      <c r="N549" s="399"/>
      <c r="O549" s="432" t="s">
        <v>1254</v>
      </c>
      <c r="P549" s="373"/>
      <c r="Q549" s="373"/>
      <c r="R549" s="373"/>
      <c r="S549" s="373"/>
    </row>
    <row r="550" spans="1:19" ht="16.5" thickTop="1" thickBot="1" x14ac:dyDescent="0.25">
      <c r="A550" s="379">
        <v>51</v>
      </c>
      <c r="B550" s="369" t="s">
        <v>1501</v>
      </c>
      <c r="C550" s="369" t="s">
        <v>1502</v>
      </c>
      <c r="D550" s="396" t="s">
        <v>1254</v>
      </c>
      <c r="G550" s="373"/>
      <c r="H550" s="468">
        <v>51</v>
      </c>
      <c r="I550" s="418"/>
      <c r="J550" s="478"/>
      <c r="K550" s="479" t="s">
        <v>1502</v>
      </c>
      <c r="L550" s="478"/>
      <c r="M550" s="478"/>
      <c r="N550" s="478"/>
      <c r="O550" s="420" t="s">
        <v>1254</v>
      </c>
      <c r="P550" s="373"/>
      <c r="Q550" s="388">
        <f t="shared" ref="Q550:Q551" si="48">H550</f>
        <v>51</v>
      </c>
      <c r="R550" s="378" t="str">
        <f t="shared" ref="R550:R551" si="49">CONCATENATE("II-",TEXT(Q550,"0000"))</f>
        <v>II-0051</v>
      </c>
      <c r="S550" s="389" t="str">
        <f t="shared" ref="S550:S551" si="50">K550</f>
        <v>MAMPOSTERIA DE PIEDRA</v>
      </c>
    </row>
    <row r="551" spans="1:19" ht="16.5" thickTop="1" thickBot="1" x14ac:dyDescent="0.25">
      <c r="A551" s="379">
        <v>52</v>
      </c>
      <c r="B551" s="369" t="s">
        <v>1503</v>
      </c>
      <c r="C551" s="369" t="s">
        <v>1504</v>
      </c>
      <c r="D551" s="396"/>
      <c r="G551" s="373"/>
      <c r="H551" s="468">
        <v>52</v>
      </c>
      <c r="I551" s="418"/>
      <c r="J551" s="478"/>
      <c r="K551" s="479" t="s">
        <v>1504</v>
      </c>
      <c r="L551" s="478"/>
      <c r="M551" s="478"/>
      <c r="N551" s="478"/>
      <c r="O551" s="420"/>
      <c r="P551" s="373"/>
      <c r="Q551" s="388">
        <f t="shared" si="48"/>
        <v>52</v>
      </c>
      <c r="R551" s="378" t="str">
        <f t="shared" si="49"/>
        <v>II-0052</v>
      </c>
      <c r="S551" s="389" t="str">
        <f t="shared" si="50"/>
        <v>MANTENIMIENTO INVERNAL</v>
      </c>
    </row>
    <row r="552" spans="1:19" ht="15.75" thickTop="1" x14ac:dyDescent="0.2">
      <c r="A552" s="379"/>
      <c r="B552" s="369"/>
      <c r="C552" s="369"/>
      <c r="D552" s="396" t="s">
        <v>1031</v>
      </c>
      <c r="G552" s="452"/>
      <c r="H552" s="527"/>
      <c r="I552" s="528" t="s">
        <v>1060</v>
      </c>
      <c r="J552" s="529"/>
      <c r="K552" s="530" t="s">
        <v>1505</v>
      </c>
      <c r="L552" s="529"/>
      <c r="M552" s="529"/>
      <c r="N552" s="529"/>
      <c r="O552" s="531" t="s">
        <v>1031</v>
      </c>
      <c r="P552" s="452"/>
      <c r="Q552" s="452"/>
      <c r="R552" s="452"/>
      <c r="S552" s="452"/>
    </row>
    <row r="553" spans="1:19" ht="15.75" thickBot="1" x14ac:dyDescent="0.25">
      <c r="A553" s="379"/>
      <c r="B553" s="369"/>
      <c r="C553" s="369"/>
      <c r="D553" s="396" t="s">
        <v>1506</v>
      </c>
      <c r="G553" s="452"/>
      <c r="H553" s="532"/>
      <c r="I553" s="492" t="s">
        <v>1087</v>
      </c>
      <c r="J553" s="491"/>
      <c r="K553" s="490" t="s">
        <v>1507</v>
      </c>
      <c r="L553" s="491"/>
      <c r="M553" s="491"/>
      <c r="N553" s="491"/>
      <c r="O553" s="457" t="s">
        <v>1506</v>
      </c>
      <c r="P553" s="452"/>
      <c r="Q553" s="452"/>
      <c r="R553" s="452"/>
      <c r="S553" s="452"/>
    </row>
    <row r="554" spans="1:19" ht="15.75" thickTop="1" x14ac:dyDescent="0.2">
      <c r="A554" s="379">
        <v>53</v>
      </c>
      <c r="B554" s="369" t="s">
        <v>1508</v>
      </c>
      <c r="C554" s="369" t="s">
        <v>1509</v>
      </c>
      <c r="D554" s="396"/>
      <c r="G554" s="373"/>
      <c r="H554" s="468">
        <v>53</v>
      </c>
      <c r="I554" s="418"/>
      <c r="J554" s="478"/>
      <c r="K554" s="533" t="s">
        <v>1509</v>
      </c>
      <c r="L554" s="478"/>
      <c r="M554" s="478"/>
      <c r="N554" s="478"/>
      <c r="O554" s="420"/>
      <c r="P554" s="373"/>
      <c r="Q554" s="388">
        <f>H554</f>
        <v>53</v>
      </c>
      <c r="R554" s="378" t="str">
        <f>CONCATENATE("II-",TEXT(Q554,"0000"))</f>
        <v>II-0053</v>
      </c>
      <c r="S554" s="389" t="str">
        <f>K554</f>
        <v>MEMBRANA PVC</v>
      </c>
    </row>
    <row r="555" spans="1:19" x14ac:dyDescent="0.2">
      <c r="A555" s="379"/>
      <c r="B555" s="369"/>
      <c r="C555" s="369"/>
      <c r="D555" s="396" t="s">
        <v>1254</v>
      </c>
      <c r="G555" s="373"/>
      <c r="H555" s="390"/>
      <c r="I555" s="525" t="s">
        <v>1060</v>
      </c>
      <c r="J555" s="399"/>
      <c r="K555" s="505" t="s">
        <v>1510</v>
      </c>
      <c r="L555" s="399"/>
      <c r="M555" s="399"/>
      <c r="N555" s="399"/>
      <c r="O555" s="432" t="s">
        <v>1254</v>
      </c>
      <c r="P555" s="373"/>
      <c r="Q555" s="373"/>
      <c r="R555" s="373"/>
      <c r="S555" s="373"/>
    </row>
    <row r="556" spans="1:19" x14ac:dyDescent="0.2">
      <c r="A556" s="379"/>
      <c r="B556" s="369"/>
      <c r="C556" s="369"/>
      <c r="D556" s="396" t="s">
        <v>1254</v>
      </c>
      <c r="G556" s="373"/>
      <c r="H556" s="390"/>
      <c r="I556" s="391" t="s">
        <v>1087</v>
      </c>
      <c r="J556" s="526"/>
      <c r="K556" s="400" t="s">
        <v>1511</v>
      </c>
      <c r="L556" s="459"/>
      <c r="M556" s="438"/>
      <c r="N556" s="438"/>
      <c r="O556" s="473" t="s">
        <v>1254</v>
      </c>
      <c r="P556" s="373"/>
      <c r="Q556" s="373"/>
      <c r="R556" s="373"/>
      <c r="S556" s="373"/>
    </row>
    <row r="557" spans="1:19" x14ac:dyDescent="0.2">
      <c r="A557" s="379"/>
      <c r="B557" s="369"/>
      <c r="C557" s="369"/>
      <c r="D557" s="396" t="s">
        <v>1254</v>
      </c>
      <c r="G557" s="373"/>
      <c r="H557" s="390"/>
      <c r="I557" s="391" t="s">
        <v>1097</v>
      </c>
      <c r="J557" s="526"/>
      <c r="K557" s="459" t="s">
        <v>1179</v>
      </c>
      <c r="L557" s="459"/>
      <c r="M557" s="459"/>
      <c r="N557" s="438"/>
      <c r="O557" s="473" t="s">
        <v>1254</v>
      </c>
      <c r="P557" s="373"/>
      <c r="Q557" s="373"/>
      <c r="R557" s="373"/>
      <c r="S557" s="373"/>
    </row>
    <row r="558" spans="1:19" ht="15.75" thickBot="1" x14ac:dyDescent="0.25">
      <c r="A558" s="379"/>
      <c r="B558" s="369"/>
      <c r="C558" s="369"/>
      <c r="D558" s="396" t="s">
        <v>1254</v>
      </c>
      <c r="G558" s="373"/>
      <c r="H558" s="390"/>
      <c r="I558" s="412" t="s">
        <v>1123</v>
      </c>
      <c r="J558" s="397"/>
      <c r="K558" s="461" t="s">
        <v>1177</v>
      </c>
      <c r="L558" s="400"/>
      <c r="M558" s="400"/>
      <c r="N558" s="399"/>
      <c r="O558" s="432" t="s">
        <v>1254</v>
      </c>
      <c r="P558" s="373"/>
      <c r="Q558" s="373"/>
      <c r="R558" s="373"/>
      <c r="S558" s="373"/>
    </row>
    <row r="559" spans="1:19" ht="15.75" thickTop="1" x14ac:dyDescent="0.2">
      <c r="A559" s="379">
        <v>54</v>
      </c>
      <c r="B559" s="369" t="s">
        <v>1512</v>
      </c>
      <c r="C559" s="369" t="s">
        <v>1513</v>
      </c>
      <c r="D559" s="396"/>
      <c r="G559" s="373"/>
      <c r="H559" s="468">
        <v>54</v>
      </c>
      <c r="I559" s="418"/>
      <c r="J559" s="478"/>
      <c r="K559" s="487" t="s">
        <v>1513</v>
      </c>
      <c r="L559" s="478"/>
      <c r="M559" s="478"/>
      <c r="N559" s="478"/>
      <c r="O559" s="420"/>
      <c r="P559" s="373"/>
      <c r="Q559" s="388">
        <f>H559</f>
        <v>54</v>
      </c>
      <c r="R559" s="378" t="str">
        <f>CONCATENATE("II-",TEXT(Q559,"0000"))</f>
        <v>II-0054</v>
      </c>
      <c r="S559" s="389" t="str">
        <f>K559</f>
        <v>MOVILIDAD PARA EL PERSONAL AUXILIAR DE SUPERVISION</v>
      </c>
    </row>
    <row r="560" spans="1:19" x14ac:dyDescent="0.2">
      <c r="A560" s="379">
        <v>1</v>
      </c>
      <c r="B560" s="380" t="str">
        <f>CONCATENATE($B$559,".",TEXT(A560,"0000"))</f>
        <v>II-0054.0001</v>
      </c>
      <c r="C560" s="369" t="str">
        <f>K560</f>
        <v xml:space="preserve">CUOTA FIJA </v>
      </c>
      <c r="D560" s="396" t="s">
        <v>1514</v>
      </c>
      <c r="G560" s="373"/>
      <c r="H560" s="390"/>
      <c r="I560" s="391" t="s">
        <v>1060</v>
      </c>
      <c r="J560" s="438"/>
      <c r="K560" s="459" t="s">
        <v>1515</v>
      </c>
      <c r="L560" s="459"/>
      <c r="M560" s="459"/>
      <c r="N560" s="438"/>
      <c r="O560" s="473" t="s">
        <v>1514</v>
      </c>
      <c r="P560" s="373"/>
      <c r="Q560" s="373"/>
      <c r="R560" s="373"/>
      <c r="S560" s="373"/>
    </row>
    <row r="561" spans="1:19" ht="15.75" thickBot="1" x14ac:dyDescent="0.25">
      <c r="A561" s="379">
        <v>2</v>
      </c>
      <c r="B561" s="380" t="str">
        <f>CONCATENATE($B$559,".",TEXT(A561,"0000"))</f>
        <v>II-0054.0002</v>
      </c>
      <c r="C561" s="369" t="str">
        <f>K561</f>
        <v>ADICIONAL POR KM</v>
      </c>
      <c r="D561" s="396" t="s">
        <v>1516</v>
      </c>
      <c r="G561" s="373"/>
      <c r="H561" s="410"/>
      <c r="I561" s="412" t="s">
        <v>1087</v>
      </c>
      <c r="J561" s="413"/>
      <c r="K561" s="414" t="s">
        <v>1517</v>
      </c>
      <c r="L561" s="414"/>
      <c r="M561" s="414"/>
      <c r="N561" s="413"/>
      <c r="O561" s="498" t="s">
        <v>1516</v>
      </c>
      <c r="P561" s="373"/>
      <c r="Q561" s="373"/>
      <c r="R561" s="373"/>
      <c r="S561" s="373"/>
    </row>
    <row r="562" spans="1:19" ht="16.5" thickTop="1" thickBot="1" x14ac:dyDescent="0.25">
      <c r="A562" s="379">
        <v>55</v>
      </c>
      <c r="B562" s="369" t="s">
        <v>1518</v>
      </c>
      <c r="C562" s="369" t="s">
        <v>1519</v>
      </c>
      <c r="D562" s="396" t="s">
        <v>5</v>
      </c>
      <c r="G562" s="373"/>
      <c r="H562" s="417">
        <v>55</v>
      </c>
      <c r="I562" s="419"/>
      <c r="J562" s="430"/>
      <c r="K562" s="487" t="s">
        <v>1519</v>
      </c>
      <c r="L562" s="430"/>
      <c r="M562" s="430"/>
      <c r="N562" s="430"/>
      <c r="O562" s="441" t="s">
        <v>5</v>
      </c>
      <c r="P562" s="373"/>
      <c r="Q562" s="388">
        <f t="shared" ref="Q562:Q563" si="51">H562</f>
        <v>55</v>
      </c>
      <c r="R562" s="378" t="str">
        <f t="shared" ref="R562:R563" si="52">CONCATENATE("II-",TEXT(Q562,"0000"))</f>
        <v>II-0055</v>
      </c>
      <c r="S562" s="389" t="str">
        <f t="shared" ref="S562:S563" si="53">K562</f>
        <v>MOVILIZACION DE OBRA</v>
      </c>
    </row>
    <row r="563" spans="1:19" ht="15.75" thickTop="1" x14ac:dyDescent="0.2">
      <c r="A563" s="379">
        <v>56</v>
      </c>
      <c r="B563" s="369" t="s">
        <v>1520</v>
      </c>
      <c r="C563" s="369" t="s">
        <v>1521</v>
      </c>
      <c r="D563" s="396"/>
      <c r="G563" s="373"/>
      <c r="H563" s="468">
        <v>56</v>
      </c>
      <c r="I563" s="418"/>
      <c r="J563" s="478"/>
      <c r="K563" s="479" t="s">
        <v>1521</v>
      </c>
      <c r="L563" s="478"/>
      <c r="M563" s="478"/>
      <c r="N563" s="478"/>
      <c r="O563" s="420"/>
      <c r="P563" s="373"/>
      <c r="Q563" s="388">
        <f t="shared" si="51"/>
        <v>56</v>
      </c>
      <c r="R563" s="378" t="str">
        <f t="shared" si="52"/>
        <v>II-0056</v>
      </c>
      <c r="S563" s="389" t="str">
        <f t="shared" si="53"/>
        <v xml:space="preserve">PASARELA </v>
      </c>
    </row>
    <row r="564" spans="1:19" x14ac:dyDescent="0.2">
      <c r="A564" s="379"/>
      <c r="B564" s="369"/>
      <c r="C564" s="369"/>
      <c r="D564" s="396" t="s">
        <v>1030</v>
      </c>
      <c r="G564" s="373"/>
      <c r="H564" s="390"/>
      <c r="I564" s="525" t="s">
        <v>1060</v>
      </c>
      <c r="J564" s="399"/>
      <c r="K564" s="400" t="s">
        <v>1284</v>
      </c>
      <c r="L564" s="399"/>
      <c r="M564" s="399"/>
      <c r="N564" s="399"/>
      <c r="O564" s="432" t="s">
        <v>1030</v>
      </c>
      <c r="P564" s="373"/>
      <c r="Q564" s="373"/>
      <c r="R564" s="373"/>
      <c r="S564" s="373"/>
    </row>
    <row r="565" spans="1:19" x14ac:dyDescent="0.2">
      <c r="A565" s="379"/>
      <c r="B565" s="369"/>
      <c r="C565" s="369"/>
      <c r="D565" s="396"/>
      <c r="G565" s="373"/>
      <c r="H565" s="390"/>
      <c r="I565" s="391" t="s">
        <v>1087</v>
      </c>
      <c r="J565" s="394"/>
      <c r="K565" s="408" t="s">
        <v>1285</v>
      </c>
      <c r="L565" s="394"/>
      <c r="M565" s="394"/>
      <c r="N565" s="394"/>
      <c r="O565" s="442"/>
      <c r="P565" s="373"/>
      <c r="Q565" s="373"/>
      <c r="R565" s="373"/>
      <c r="S565" s="373"/>
    </row>
    <row r="566" spans="1:19" x14ac:dyDescent="0.2">
      <c r="A566" s="379"/>
      <c r="B566" s="369"/>
      <c r="C566" s="369"/>
      <c r="D566" s="396" t="s">
        <v>1296</v>
      </c>
      <c r="G566" s="373"/>
      <c r="H566" s="390"/>
      <c r="I566" s="397"/>
      <c r="J566" s="398">
        <v>1</v>
      </c>
      <c r="K566" s="399"/>
      <c r="L566" s="400" t="s">
        <v>1522</v>
      </c>
      <c r="M566" s="399"/>
      <c r="N566" s="399"/>
      <c r="O566" s="432" t="s">
        <v>1296</v>
      </c>
      <c r="P566" s="373"/>
      <c r="Q566" s="373"/>
      <c r="R566" s="373"/>
      <c r="S566" s="373"/>
    </row>
    <row r="567" spans="1:19" x14ac:dyDescent="0.2">
      <c r="A567" s="379"/>
      <c r="B567" s="369"/>
      <c r="C567" s="369"/>
      <c r="D567" s="396" t="s">
        <v>1296</v>
      </c>
      <c r="G567" s="373"/>
      <c r="H567" s="390"/>
      <c r="I567" s="397"/>
      <c r="J567" s="398">
        <v>2</v>
      </c>
      <c r="K567" s="399"/>
      <c r="L567" s="400" t="s">
        <v>1523</v>
      </c>
      <c r="M567" s="399"/>
      <c r="N567" s="399"/>
      <c r="O567" s="432" t="s">
        <v>1296</v>
      </c>
      <c r="P567" s="373"/>
      <c r="Q567" s="373"/>
      <c r="R567" s="373"/>
      <c r="S567" s="373"/>
    </row>
    <row r="568" spans="1:19" x14ac:dyDescent="0.2">
      <c r="A568" s="379"/>
      <c r="B568" s="369"/>
      <c r="C568" s="369"/>
      <c r="D568" s="396" t="s">
        <v>1030</v>
      </c>
      <c r="G568" s="373"/>
      <c r="H568" s="390"/>
      <c r="I568" s="409"/>
      <c r="J568" s="404">
        <v>3</v>
      </c>
      <c r="K568" s="405"/>
      <c r="L568" s="406" t="s">
        <v>1524</v>
      </c>
      <c r="M568" s="405"/>
      <c r="N568" s="405"/>
      <c r="O568" s="451" t="s">
        <v>1030</v>
      </c>
      <c r="P568" s="373"/>
      <c r="Q568" s="373"/>
      <c r="R568" s="373"/>
      <c r="S568" s="373"/>
    </row>
    <row r="569" spans="1:19" ht="15.75" thickBot="1" x14ac:dyDescent="0.25">
      <c r="A569" s="379"/>
      <c r="B569" s="369"/>
      <c r="C569" s="369"/>
      <c r="D569" s="396" t="s">
        <v>1030</v>
      </c>
      <c r="G569" s="373"/>
      <c r="H569" s="390"/>
      <c r="I569" s="412" t="s">
        <v>1097</v>
      </c>
      <c r="J569" s="399"/>
      <c r="K569" s="400" t="s">
        <v>1525</v>
      </c>
      <c r="L569" s="399"/>
      <c r="M569" s="399"/>
      <c r="N569" s="399"/>
      <c r="O569" s="432" t="s">
        <v>1030</v>
      </c>
      <c r="P569" s="373"/>
      <c r="Q569" s="373"/>
      <c r="R569" s="373"/>
      <c r="S569" s="373"/>
    </row>
    <row r="570" spans="1:19" ht="15.75" thickTop="1" x14ac:dyDescent="0.2">
      <c r="A570" s="379">
        <v>57</v>
      </c>
      <c r="B570" s="369" t="s">
        <v>1526</v>
      </c>
      <c r="C570" s="369" t="s">
        <v>1527</v>
      </c>
      <c r="D570" s="396"/>
      <c r="G570" s="373"/>
      <c r="H570" s="468">
        <v>57</v>
      </c>
      <c r="I570" s="418"/>
      <c r="J570" s="478"/>
      <c r="K570" s="479" t="s">
        <v>1527</v>
      </c>
      <c r="L570" s="478"/>
      <c r="M570" s="478"/>
      <c r="N570" s="478"/>
      <c r="O570" s="420"/>
      <c r="P570" s="373"/>
      <c r="Q570" s="388">
        <f>H570</f>
        <v>57</v>
      </c>
      <c r="R570" s="378" t="str">
        <f>CONCATENATE("II-",TEXT(Q570,"0000"))</f>
        <v>II-0057</v>
      </c>
      <c r="S570" s="389" t="str">
        <f>K570</f>
        <v>PASO A NIVEL</v>
      </c>
    </row>
    <row r="571" spans="1:19" ht="15.75" thickBot="1" x14ac:dyDescent="0.25">
      <c r="A571" s="379"/>
      <c r="B571" s="369"/>
      <c r="C571" s="369"/>
      <c r="D571" s="396" t="s">
        <v>5</v>
      </c>
      <c r="G571" s="373"/>
      <c r="H571" s="421"/>
      <c r="I571" s="423" t="s">
        <v>1060</v>
      </c>
      <c r="J571" s="425"/>
      <c r="K571" s="461" t="s">
        <v>1528</v>
      </c>
      <c r="L571" s="461"/>
      <c r="M571" s="461"/>
      <c r="N571" s="461"/>
      <c r="O571" s="499" t="s">
        <v>5</v>
      </c>
      <c r="P571" s="373"/>
      <c r="Q571" s="373"/>
      <c r="R571" s="373"/>
      <c r="S571" s="373"/>
    </row>
    <row r="572" spans="1:19" ht="15.75" thickTop="1" x14ac:dyDescent="0.2">
      <c r="A572" s="379">
        <v>58</v>
      </c>
      <c r="B572" s="369" t="s">
        <v>1529</v>
      </c>
      <c r="C572" s="369" t="s">
        <v>1530</v>
      </c>
      <c r="D572" s="396"/>
      <c r="G572" s="373"/>
      <c r="H572" s="468">
        <v>58</v>
      </c>
      <c r="I572" s="418"/>
      <c r="J572" s="478"/>
      <c r="K572" s="479" t="s">
        <v>1530</v>
      </c>
      <c r="L572" s="479"/>
      <c r="M572" s="479"/>
      <c r="N572" s="479"/>
      <c r="O572" s="420"/>
      <c r="P572" s="373"/>
      <c r="Q572" s="388">
        <f>H572</f>
        <v>58</v>
      </c>
      <c r="R572" s="378" t="str">
        <f>CONCATENATE("II-",TEXT(Q572,"0000"))</f>
        <v>II-0058</v>
      </c>
      <c r="S572" s="389" t="str">
        <f>K572</f>
        <v>PAVIMENTO DE HORMIGON</v>
      </c>
    </row>
    <row r="573" spans="1:19" x14ac:dyDescent="0.2">
      <c r="A573" s="379"/>
      <c r="B573" s="369"/>
      <c r="C573" s="369"/>
      <c r="D573" s="396" t="s">
        <v>1254</v>
      </c>
      <c r="G573" s="373"/>
      <c r="H573" s="390"/>
      <c r="I573" s="525" t="s">
        <v>1060</v>
      </c>
      <c r="J573" s="399"/>
      <c r="K573" s="400" t="s">
        <v>1531</v>
      </c>
      <c r="L573" s="400"/>
      <c r="M573" s="400"/>
      <c r="N573" s="400"/>
      <c r="O573" s="432" t="s">
        <v>1254</v>
      </c>
      <c r="P573" s="373"/>
      <c r="Q573" s="373"/>
      <c r="R573" s="373"/>
      <c r="S573" s="373"/>
    </row>
    <row r="574" spans="1:19" x14ac:dyDescent="0.2">
      <c r="A574" s="379"/>
      <c r="B574" s="369"/>
      <c r="C574" s="369"/>
      <c r="D574" s="396" t="s">
        <v>1254</v>
      </c>
      <c r="G574" s="373"/>
      <c r="H574" s="390"/>
      <c r="I574" s="391" t="s">
        <v>1087</v>
      </c>
      <c r="J574" s="438"/>
      <c r="K574" s="459" t="s">
        <v>1530</v>
      </c>
      <c r="L574" s="459"/>
      <c r="M574" s="459"/>
      <c r="N574" s="459"/>
      <c r="O574" s="473" t="s">
        <v>1254</v>
      </c>
      <c r="P574" s="373"/>
      <c r="Q574" s="373"/>
      <c r="R574" s="373"/>
      <c r="S574" s="373"/>
    </row>
    <row r="575" spans="1:19" x14ac:dyDescent="0.2">
      <c r="A575" s="379"/>
      <c r="B575" s="369"/>
      <c r="C575" s="369"/>
      <c r="D575" s="396" t="s">
        <v>1254</v>
      </c>
      <c r="G575" s="373"/>
      <c r="H575" s="390"/>
      <c r="I575" s="404" t="s">
        <v>1097</v>
      </c>
      <c r="J575" s="405"/>
      <c r="K575" s="459" t="s">
        <v>1532</v>
      </c>
      <c r="L575" s="406"/>
      <c r="M575" s="406"/>
      <c r="N575" s="406"/>
      <c r="O575" s="451" t="s">
        <v>1254</v>
      </c>
      <c r="P575" s="373"/>
      <c r="Q575" s="373"/>
      <c r="R575" s="373"/>
      <c r="S575" s="373"/>
    </row>
    <row r="576" spans="1:19" x14ac:dyDescent="0.2">
      <c r="A576" s="379"/>
      <c r="B576" s="369"/>
      <c r="C576" s="369"/>
      <c r="D576" s="396" t="s">
        <v>1254</v>
      </c>
      <c r="G576" s="373"/>
      <c r="H576" s="390"/>
      <c r="I576" s="398" t="s">
        <v>1123</v>
      </c>
      <c r="J576" s="399"/>
      <c r="K576" s="408" t="s">
        <v>1174</v>
      </c>
      <c r="L576" s="400"/>
      <c r="M576" s="400"/>
      <c r="N576" s="400"/>
      <c r="O576" s="432" t="s">
        <v>1254</v>
      </c>
      <c r="P576" s="373"/>
      <c r="Q576" s="373"/>
      <c r="R576" s="373"/>
      <c r="S576" s="373"/>
    </row>
    <row r="577" spans="1:19" ht="15.75" thickBot="1" x14ac:dyDescent="0.25">
      <c r="A577" s="379">
        <v>59</v>
      </c>
      <c r="B577" s="369" t="s">
        <v>1533</v>
      </c>
      <c r="C577" s="369" t="s">
        <v>1534</v>
      </c>
      <c r="D577" s="396" t="s">
        <v>1171</v>
      </c>
      <c r="G577" s="373"/>
      <c r="H577" s="509">
        <v>59</v>
      </c>
      <c r="I577" s="510"/>
      <c r="J577" s="511"/>
      <c r="K577" s="534" t="s">
        <v>1534</v>
      </c>
      <c r="L577" s="511"/>
      <c r="M577" s="511"/>
      <c r="N577" s="511"/>
      <c r="O577" s="513" t="s">
        <v>1171</v>
      </c>
      <c r="P577" s="373"/>
      <c r="Q577" s="388">
        <f t="shared" ref="Q577:Q578" si="54">H577</f>
        <v>59</v>
      </c>
      <c r="R577" s="378" t="str">
        <f t="shared" ref="R577:R578" si="55">CONCATENATE("II-",TEXT(Q577,"0000"))</f>
        <v>II-0059</v>
      </c>
      <c r="S577" s="389" t="str">
        <f t="shared" ref="S577:S578" si="56">K577</f>
        <v>PEDRAPLEN</v>
      </c>
    </row>
    <row r="578" spans="1:19" ht="15.75" thickTop="1" x14ac:dyDescent="0.2">
      <c r="A578" s="379">
        <v>60</v>
      </c>
      <c r="B578" s="369" t="s">
        <v>1535</v>
      </c>
      <c r="C578" s="369" t="s">
        <v>1536</v>
      </c>
      <c r="D578" s="396"/>
      <c r="G578" s="373"/>
      <c r="H578" s="417">
        <v>60</v>
      </c>
      <c r="I578" s="419"/>
      <c r="J578" s="430"/>
      <c r="K578" s="487" t="s">
        <v>1536</v>
      </c>
      <c r="L578" s="430"/>
      <c r="M578" s="430"/>
      <c r="N578" s="430"/>
      <c r="O578" s="441"/>
      <c r="P578" s="373"/>
      <c r="Q578" s="388">
        <f t="shared" si="54"/>
        <v>60</v>
      </c>
      <c r="R578" s="378" t="str">
        <f t="shared" si="55"/>
        <v>II-0060</v>
      </c>
      <c r="S578" s="389" t="str">
        <f t="shared" si="56"/>
        <v>PERFILADO</v>
      </c>
    </row>
    <row r="579" spans="1:19" x14ac:dyDescent="0.2">
      <c r="A579" s="379"/>
      <c r="B579" s="369"/>
      <c r="C579" s="369"/>
      <c r="D579" s="396" t="s">
        <v>1254</v>
      </c>
      <c r="G579" s="373"/>
      <c r="H579" s="390"/>
      <c r="I579" s="525" t="s">
        <v>1060</v>
      </c>
      <c r="J579" s="399"/>
      <c r="K579" s="400" t="s">
        <v>1537</v>
      </c>
      <c r="L579" s="399"/>
      <c r="M579" s="399"/>
      <c r="N579" s="399"/>
      <c r="O579" s="432" t="s">
        <v>1254</v>
      </c>
      <c r="P579" s="373"/>
      <c r="Q579" s="373"/>
      <c r="R579" s="373"/>
      <c r="S579" s="373"/>
    </row>
    <row r="580" spans="1:19" x14ac:dyDescent="0.2">
      <c r="A580" s="379"/>
      <c r="B580" s="369"/>
      <c r="C580" s="369"/>
      <c r="D580" s="396" t="s">
        <v>1254</v>
      </c>
      <c r="G580" s="373"/>
      <c r="H580" s="390"/>
      <c r="I580" s="391" t="s">
        <v>1087</v>
      </c>
      <c r="J580" s="438"/>
      <c r="K580" s="459" t="s">
        <v>1380</v>
      </c>
      <c r="L580" s="438"/>
      <c r="M580" s="438"/>
      <c r="N580" s="438"/>
      <c r="O580" s="473" t="s">
        <v>1254</v>
      </c>
      <c r="P580" s="373"/>
      <c r="Q580" s="373"/>
      <c r="R580" s="373"/>
      <c r="S580" s="373"/>
    </row>
    <row r="581" spans="1:19" ht="15.75" thickBot="1" x14ac:dyDescent="0.25">
      <c r="A581" s="379"/>
      <c r="B581" s="369"/>
      <c r="C581" s="369"/>
      <c r="D581" s="396" t="s">
        <v>1254</v>
      </c>
      <c r="G581" s="373"/>
      <c r="H581" s="390"/>
      <c r="I581" s="412" t="s">
        <v>1097</v>
      </c>
      <c r="J581" s="399"/>
      <c r="K581" s="400" t="s">
        <v>1499</v>
      </c>
      <c r="L581" s="399"/>
      <c r="M581" s="399"/>
      <c r="N581" s="399"/>
      <c r="O581" s="432" t="s">
        <v>1254</v>
      </c>
      <c r="P581" s="373"/>
      <c r="Q581" s="373"/>
      <c r="R581" s="373"/>
      <c r="S581" s="373"/>
    </row>
    <row r="582" spans="1:19" ht="16.5" thickTop="1" thickBot="1" x14ac:dyDescent="0.25">
      <c r="A582" s="379">
        <v>61</v>
      </c>
      <c r="B582" s="369" t="s">
        <v>1538</v>
      </c>
      <c r="C582" s="369" t="s">
        <v>1539</v>
      </c>
      <c r="D582" s="396" t="s">
        <v>1254</v>
      </c>
      <c r="G582" s="373"/>
      <c r="H582" s="514">
        <v>61</v>
      </c>
      <c r="I582" s="515"/>
      <c r="J582" s="516"/>
      <c r="K582" s="517" t="s">
        <v>1539</v>
      </c>
      <c r="L582" s="516"/>
      <c r="M582" s="516"/>
      <c r="N582" s="516"/>
      <c r="O582" s="518" t="s">
        <v>1254</v>
      </c>
      <c r="P582" s="373"/>
      <c r="Q582" s="388">
        <f t="shared" ref="Q582:Q583" si="57">H582</f>
        <v>61</v>
      </c>
      <c r="R582" s="378" t="str">
        <f t="shared" ref="R582:R583" si="58">CONCATENATE("II-",TEXT(Q582,"0000"))</f>
        <v>II-0061</v>
      </c>
      <c r="S582" s="389" t="str">
        <f t="shared" ref="S582:S583" si="59">K582</f>
        <v>PIEDRA COLOCADA</v>
      </c>
    </row>
    <row r="583" spans="1:19" ht="15.75" thickTop="1" x14ac:dyDescent="0.2">
      <c r="A583" s="379">
        <v>62</v>
      </c>
      <c r="B583" s="369" t="s">
        <v>1540</v>
      </c>
      <c r="C583" s="369" t="s">
        <v>1541</v>
      </c>
      <c r="D583" s="396"/>
      <c r="G583" s="373"/>
      <c r="H583" s="417">
        <v>62</v>
      </c>
      <c r="I583" s="419"/>
      <c r="J583" s="430"/>
      <c r="K583" s="487" t="s">
        <v>1541</v>
      </c>
      <c r="L583" s="430"/>
      <c r="M583" s="430"/>
      <c r="N583" s="430"/>
      <c r="O583" s="441"/>
      <c r="P583" s="373"/>
      <c r="Q583" s="388">
        <f t="shared" si="57"/>
        <v>62</v>
      </c>
      <c r="R583" s="378" t="str">
        <f t="shared" si="58"/>
        <v>II-0062</v>
      </c>
      <c r="S583" s="389" t="str">
        <f t="shared" si="59"/>
        <v>PRADERIZACION</v>
      </c>
    </row>
    <row r="584" spans="1:19" x14ac:dyDescent="0.2">
      <c r="A584" s="379"/>
      <c r="B584" s="369"/>
      <c r="C584" s="369"/>
      <c r="D584" s="396" t="s">
        <v>1254</v>
      </c>
      <c r="G584" s="373"/>
      <c r="H584" s="390"/>
      <c r="I584" s="525" t="s">
        <v>1060</v>
      </c>
      <c r="J584" s="399"/>
      <c r="K584" s="400" t="s">
        <v>1542</v>
      </c>
      <c r="L584" s="399"/>
      <c r="M584" s="399"/>
      <c r="N584" s="399"/>
      <c r="O584" s="432" t="s">
        <v>1254</v>
      </c>
      <c r="P584" s="373"/>
      <c r="Q584" s="373"/>
      <c r="R584" s="373"/>
      <c r="S584" s="373"/>
    </row>
    <row r="585" spans="1:19" x14ac:dyDescent="0.2">
      <c r="A585" s="379"/>
      <c r="B585" s="369"/>
      <c r="C585" s="369"/>
      <c r="D585" s="396" t="s">
        <v>1254</v>
      </c>
      <c r="G585" s="373"/>
      <c r="H585" s="390"/>
      <c r="I585" s="391" t="s">
        <v>1087</v>
      </c>
      <c r="J585" s="438"/>
      <c r="K585" s="459" t="s">
        <v>1543</v>
      </c>
      <c r="L585" s="438"/>
      <c r="M585" s="438"/>
      <c r="N585" s="438"/>
      <c r="O585" s="473" t="s">
        <v>1254</v>
      </c>
      <c r="P585" s="373"/>
      <c r="Q585" s="373"/>
      <c r="R585" s="373"/>
      <c r="S585" s="373"/>
    </row>
    <row r="586" spans="1:19" ht="15.75" thickBot="1" x14ac:dyDescent="0.25">
      <c r="A586" s="379"/>
      <c r="B586" s="369"/>
      <c r="C586" s="369"/>
      <c r="D586" s="396" t="s">
        <v>1544</v>
      </c>
      <c r="G586" s="373"/>
      <c r="H586" s="390"/>
      <c r="I586" s="412" t="s">
        <v>1097</v>
      </c>
      <c r="J586" s="399"/>
      <c r="K586" s="400" t="s">
        <v>1545</v>
      </c>
      <c r="L586" s="399"/>
      <c r="M586" s="399"/>
      <c r="N586" s="399"/>
      <c r="O586" s="432" t="s">
        <v>1544</v>
      </c>
      <c r="P586" s="373"/>
      <c r="Q586" s="373"/>
      <c r="R586" s="373"/>
      <c r="S586" s="373"/>
    </row>
    <row r="587" spans="1:19" ht="15.75" thickTop="1" x14ac:dyDescent="0.2">
      <c r="A587" s="379">
        <v>63</v>
      </c>
      <c r="B587" s="369" t="s">
        <v>1546</v>
      </c>
      <c r="C587" s="369" t="s">
        <v>1547</v>
      </c>
      <c r="D587" s="396"/>
      <c r="G587" s="373"/>
      <c r="H587" s="468">
        <v>63</v>
      </c>
      <c r="I587" s="418"/>
      <c r="J587" s="478"/>
      <c r="K587" s="479" t="s">
        <v>1547</v>
      </c>
      <c r="L587" s="478"/>
      <c r="M587" s="478"/>
      <c r="N587" s="478"/>
      <c r="O587" s="420"/>
      <c r="P587" s="373"/>
      <c r="Q587" s="388">
        <f>H587</f>
        <v>63</v>
      </c>
      <c r="R587" s="378" t="str">
        <f>CONCATENATE("II-",TEXT(Q587,"0000"))</f>
        <v>II-0063</v>
      </c>
      <c r="S587" s="389" t="str">
        <f>K587</f>
        <v>PRETILES</v>
      </c>
    </row>
    <row r="588" spans="1:19" x14ac:dyDescent="0.2">
      <c r="A588" s="379"/>
      <c r="B588" s="369"/>
      <c r="C588" s="369"/>
      <c r="D588" s="396" t="s">
        <v>1288</v>
      </c>
      <c r="G588" s="373"/>
      <c r="H588" s="390"/>
      <c r="I588" s="391" t="s">
        <v>1060</v>
      </c>
      <c r="J588" s="438"/>
      <c r="K588" s="535" t="s">
        <v>1548</v>
      </c>
      <c r="L588" s="536"/>
      <c r="M588" s="536"/>
      <c r="N588" s="438"/>
      <c r="O588" s="473" t="s">
        <v>1288</v>
      </c>
      <c r="P588" s="373"/>
      <c r="Q588" s="373"/>
      <c r="R588" s="373"/>
      <c r="S588" s="373"/>
    </row>
    <row r="589" spans="1:19" ht="15.75" thickBot="1" x14ac:dyDescent="0.25">
      <c r="A589" s="379"/>
      <c r="B589" s="369"/>
      <c r="C589" s="369"/>
      <c r="D589" s="396" t="s">
        <v>1288</v>
      </c>
      <c r="G589" s="373"/>
      <c r="H589" s="410"/>
      <c r="I589" s="412" t="s">
        <v>1087</v>
      </c>
      <c r="J589" s="413"/>
      <c r="K589" s="537" t="s">
        <v>1549</v>
      </c>
      <c r="L589" s="538"/>
      <c r="M589" s="538"/>
      <c r="N589" s="413"/>
      <c r="O589" s="498" t="s">
        <v>1288</v>
      </c>
      <c r="P589" s="373"/>
      <c r="Q589" s="373"/>
      <c r="R589" s="373"/>
      <c r="S589" s="373"/>
    </row>
    <row r="590" spans="1:19" ht="15.75" thickTop="1" x14ac:dyDescent="0.2">
      <c r="A590" s="379">
        <v>64</v>
      </c>
      <c r="B590" s="369" t="s">
        <v>1550</v>
      </c>
      <c r="C590" s="369" t="s">
        <v>1551</v>
      </c>
      <c r="D590" s="396"/>
      <c r="G590" s="373"/>
      <c r="H590" s="417">
        <v>64</v>
      </c>
      <c r="I590" s="419"/>
      <c r="J590" s="430"/>
      <c r="K590" s="487" t="s">
        <v>1551</v>
      </c>
      <c r="L590" s="430"/>
      <c r="M590" s="430"/>
      <c r="N590" s="430"/>
      <c r="O590" s="441"/>
      <c r="P590" s="373"/>
      <c r="Q590" s="388">
        <f>H590</f>
        <v>64</v>
      </c>
      <c r="R590" s="378" t="str">
        <f>CONCATENATE("II-",TEXT(Q590,"0000"))</f>
        <v>II-0064</v>
      </c>
      <c r="S590" s="389" t="str">
        <f>K590</f>
        <v>PROTECCION DE DUCTOS</v>
      </c>
    </row>
    <row r="591" spans="1:19" ht="15.75" thickBot="1" x14ac:dyDescent="0.25">
      <c r="A591" s="379"/>
      <c r="B591" s="369"/>
      <c r="C591" s="369"/>
      <c r="D591" s="396" t="s">
        <v>1296</v>
      </c>
      <c r="G591" s="373"/>
      <c r="H591" s="390"/>
      <c r="I591" s="422" t="s">
        <v>1060</v>
      </c>
      <c r="J591" s="399"/>
      <c r="K591" s="400" t="s">
        <v>1552</v>
      </c>
      <c r="L591" s="400"/>
      <c r="M591" s="400"/>
      <c r="N591" s="399"/>
      <c r="O591" s="432" t="s">
        <v>1296</v>
      </c>
      <c r="P591" s="373"/>
      <c r="Q591" s="373"/>
      <c r="R591" s="373"/>
      <c r="S591" s="373"/>
    </row>
    <row r="592" spans="1:19" ht="15.75" thickTop="1" x14ac:dyDescent="0.2">
      <c r="A592" s="379">
        <v>65</v>
      </c>
      <c r="B592" s="369" t="s">
        <v>1553</v>
      </c>
      <c r="C592" s="369" t="s">
        <v>1554</v>
      </c>
      <c r="D592" s="396"/>
      <c r="G592" s="373"/>
      <c r="H592" s="468">
        <v>65</v>
      </c>
      <c r="I592" s="418"/>
      <c r="J592" s="478"/>
      <c r="K592" s="479" t="s">
        <v>1554</v>
      </c>
      <c r="L592" s="478"/>
      <c r="M592" s="478"/>
      <c r="N592" s="478"/>
      <c r="O592" s="420"/>
      <c r="P592" s="373"/>
      <c r="Q592" s="388">
        <f>H592</f>
        <v>65</v>
      </c>
      <c r="R592" s="378" t="str">
        <f>CONCATENATE("II-",TEXT(Q592,"0000"))</f>
        <v>II-0065</v>
      </c>
      <c r="S592" s="389" t="str">
        <f>K592</f>
        <v xml:space="preserve">PUENTE </v>
      </c>
    </row>
    <row r="593" spans="1:19" x14ac:dyDescent="0.2">
      <c r="A593" s="379"/>
      <c r="B593" s="369"/>
      <c r="C593" s="369"/>
      <c r="D593" s="396" t="s">
        <v>1171</v>
      </c>
      <c r="G593" s="373"/>
      <c r="H593" s="539"/>
      <c r="I593" s="525" t="s">
        <v>1060</v>
      </c>
      <c r="J593" s="399"/>
      <c r="K593" s="400" t="s">
        <v>1555</v>
      </c>
      <c r="L593" s="400"/>
      <c r="M593" s="400"/>
      <c r="N593" s="399"/>
      <c r="O593" s="432" t="s">
        <v>1171</v>
      </c>
      <c r="P593" s="373"/>
      <c r="Q593" s="373"/>
      <c r="R593" s="373"/>
      <c r="S593" s="373"/>
    </row>
    <row r="594" spans="1:19" x14ac:dyDescent="0.2">
      <c r="A594" s="379"/>
      <c r="B594" s="369"/>
      <c r="C594" s="369"/>
      <c r="D594" s="396" t="s">
        <v>1171</v>
      </c>
      <c r="G594" s="373"/>
      <c r="H594" s="539"/>
      <c r="I594" s="391" t="s">
        <v>1087</v>
      </c>
      <c r="J594" s="438"/>
      <c r="K594" s="459" t="s">
        <v>1170</v>
      </c>
      <c r="L594" s="459"/>
      <c r="M594" s="459"/>
      <c r="N594" s="438"/>
      <c r="O594" s="473" t="s">
        <v>1171</v>
      </c>
      <c r="P594" s="373"/>
      <c r="Q594" s="373"/>
      <c r="R594" s="373"/>
      <c r="S594" s="373"/>
    </row>
    <row r="595" spans="1:19" x14ac:dyDescent="0.2">
      <c r="A595" s="379"/>
      <c r="B595" s="369"/>
      <c r="C595" s="369"/>
      <c r="D595" s="396" t="s">
        <v>1064</v>
      </c>
      <c r="G595" s="373"/>
      <c r="H595" s="539"/>
      <c r="I595" s="391" t="s">
        <v>1097</v>
      </c>
      <c r="J595" s="438"/>
      <c r="K595" s="459" t="s">
        <v>1174</v>
      </c>
      <c r="L595" s="459"/>
      <c r="M595" s="459"/>
      <c r="N595" s="438"/>
      <c r="O595" s="473" t="s">
        <v>1064</v>
      </c>
      <c r="P595" s="373"/>
      <c r="Q595" s="373"/>
      <c r="R595" s="373"/>
      <c r="S595" s="373"/>
    </row>
    <row r="596" spans="1:19" x14ac:dyDescent="0.2">
      <c r="A596" s="379"/>
      <c r="B596" s="369"/>
      <c r="C596" s="369"/>
      <c r="D596" s="396"/>
      <c r="G596" s="373"/>
      <c r="H596" s="539"/>
      <c r="I596" s="391" t="s">
        <v>1123</v>
      </c>
      <c r="J596" s="394"/>
      <c r="K596" s="400" t="s">
        <v>1556</v>
      </c>
      <c r="L596" s="400"/>
      <c r="M596" s="400"/>
      <c r="N596" s="399"/>
      <c r="O596" s="432"/>
      <c r="P596" s="373"/>
      <c r="Q596" s="373"/>
      <c r="R596" s="373"/>
      <c r="S596" s="373"/>
    </row>
    <row r="597" spans="1:19" x14ac:dyDescent="0.2">
      <c r="A597" s="379"/>
      <c r="B597" s="369"/>
      <c r="C597" s="369"/>
      <c r="D597" s="396" t="s">
        <v>1254</v>
      </c>
      <c r="G597" s="373"/>
      <c r="H597" s="539"/>
      <c r="I597" s="397"/>
      <c r="J597" s="540">
        <v>1</v>
      </c>
      <c r="K597" s="400"/>
      <c r="L597" s="400" t="s">
        <v>1164</v>
      </c>
      <c r="M597" s="400"/>
      <c r="N597" s="399"/>
      <c r="O597" s="432" t="s">
        <v>1254</v>
      </c>
      <c r="P597" s="373"/>
      <c r="Q597" s="373"/>
      <c r="R597" s="373"/>
      <c r="S597" s="373"/>
    </row>
    <row r="598" spans="1:19" ht="15.75" thickBot="1" x14ac:dyDescent="0.25">
      <c r="A598" s="379"/>
      <c r="B598" s="369"/>
      <c r="C598" s="369"/>
      <c r="D598" s="396" t="s">
        <v>1557</v>
      </c>
      <c r="G598" s="373"/>
      <c r="H598" s="541"/>
      <c r="I598" s="411"/>
      <c r="J598" s="542">
        <v>2</v>
      </c>
      <c r="K598" s="414"/>
      <c r="L598" s="414" t="s">
        <v>1558</v>
      </c>
      <c r="M598" s="414"/>
      <c r="N598" s="413"/>
      <c r="O598" s="498" t="s">
        <v>1557</v>
      </c>
      <c r="P598" s="373"/>
      <c r="Q598" s="373"/>
      <c r="R598" s="373"/>
      <c r="S598" s="373"/>
    </row>
    <row r="599" spans="1:19" ht="15.75" thickTop="1" x14ac:dyDescent="0.2">
      <c r="A599" s="379">
        <v>66</v>
      </c>
      <c r="B599" s="369" t="s">
        <v>1559</v>
      </c>
      <c r="C599" s="369" t="s">
        <v>1560</v>
      </c>
      <c r="D599" s="396"/>
      <c r="G599" s="373"/>
      <c r="H599" s="417">
        <v>66</v>
      </c>
      <c r="I599" s="419"/>
      <c r="J599" s="430"/>
      <c r="K599" s="487" t="s">
        <v>1560</v>
      </c>
      <c r="L599" s="430"/>
      <c r="M599" s="430"/>
      <c r="N599" s="430"/>
      <c r="O599" s="441"/>
      <c r="P599" s="373"/>
      <c r="Q599" s="388">
        <f>H599</f>
        <v>66</v>
      </c>
      <c r="R599" s="378" t="str">
        <f>CONCATENATE("II-",TEXT(Q599,"0000"))</f>
        <v>II-0066</v>
      </c>
      <c r="S599" s="389" t="str">
        <f>K599</f>
        <v>PUENTE BAYLEY / FM</v>
      </c>
    </row>
    <row r="600" spans="1:19" x14ac:dyDescent="0.2">
      <c r="A600" s="379"/>
      <c r="B600" s="369"/>
      <c r="C600" s="369"/>
      <c r="D600" s="396" t="s">
        <v>1296</v>
      </c>
      <c r="G600" s="373"/>
      <c r="H600" s="390"/>
      <c r="I600" s="525" t="s">
        <v>1060</v>
      </c>
      <c r="J600" s="399"/>
      <c r="K600" s="400" t="s">
        <v>1561</v>
      </c>
      <c r="L600" s="399"/>
      <c r="M600" s="399"/>
      <c r="N600" s="399"/>
      <c r="O600" s="432" t="s">
        <v>1296</v>
      </c>
      <c r="P600" s="373"/>
      <c r="Q600" s="373"/>
      <c r="R600" s="373"/>
      <c r="S600" s="373"/>
    </row>
    <row r="601" spans="1:19" x14ac:dyDescent="0.2">
      <c r="A601" s="379"/>
      <c r="B601" s="369"/>
      <c r="C601" s="369"/>
      <c r="D601" s="396" t="s">
        <v>1296</v>
      </c>
      <c r="G601" s="373"/>
      <c r="H601" s="390"/>
      <c r="I601" s="391" t="s">
        <v>1087</v>
      </c>
      <c r="J601" s="438"/>
      <c r="K601" s="459" t="s">
        <v>1562</v>
      </c>
      <c r="L601" s="438"/>
      <c r="M601" s="438"/>
      <c r="N601" s="438"/>
      <c r="O601" s="473" t="s">
        <v>1296</v>
      </c>
      <c r="P601" s="373"/>
      <c r="Q601" s="373"/>
      <c r="R601" s="373"/>
      <c r="S601" s="373"/>
    </row>
    <row r="602" spans="1:19" x14ac:dyDescent="0.2">
      <c r="A602" s="379"/>
      <c r="B602" s="369"/>
      <c r="C602" s="369"/>
      <c r="D602" s="396" t="s">
        <v>1296</v>
      </c>
      <c r="G602" s="373"/>
      <c r="H602" s="390"/>
      <c r="I602" s="391" t="s">
        <v>1097</v>
      </c>
      <c r="J602" s="399"/>
      <c r="K602" s="459" t="s">
        <v>1174</v>
      </c>
      <c r="L602" s="438"/>
      <c r="M602" s="438"/>
      <c r="N602" s="438"/>
      <c r="O602" s="473" t="s">
        <v>1296</v>
      </c>
      <c r="P602" s="373"/>
      <c r="Q602" s="373"/>
      <c r="R602" s="373"/>
      <c r="S602" s="373"/>
    </row>
    <row r="603" spans="1:19" x14ac:dyDescent="0.2">
      <c r="A603" s="379"/>
      <c r="B603" s="369"/>
      <c r="C603" s="369"/>
      <c r="D603" s="396"/>
      <c r="G603" s="373"/>
      <c r="H603" s="390"/>
      <c r="I603" s="404" t="s">
        <v>1123</v>
      </c>
      <c r="J603" s="394"/>
      <c r="K603" s="400" t="s">
        <v>1556</v>
      </c>
      <c r="L603" s="400"/>
      <c r="M603" s="400"/>
      <c r="N603" s="399"/>
      <c r="O603" s="432"/>
      <c r="P603" s="373"/>
      <c r="Q603" s="373"/>
      <c r="R603" s="373"/>
      <c r="S603" s="373"/>
    </row>
    <row r="604" spans="1:19" ht="15.75" thickBot="1" x14ac:dyDescent="0.25">
      <c r="A604" s="379"/>
      <c r="B604" s="369"/>
      <c r="C604" s="369"/>
      <c r="D604" s="396" t="s">
        <v>1030</v>
      </c>
      <c r="G604" s="373"/>
      <c r="H604" s="390"/>
      <c r="I604" s="397"/>
      <c r="J604" s="540">
        <v>1</v>
      </c>
      <c r="K604" s="400"/>
      <c r="L604" s="400" t="s">
        <v>1164</v>
      </c>
      <c r="M604" s="400"/>
      <c r="N604" s="399"/>
      <c r="O604" s="432" t="s">
        <v>1030</v>
      </c>
      <c r="P604" s="373"/>
      <c r="Q604" s="373"/>
      <c r="R604" s="373"/>
      <c r="S604" s="373"/>
    </row>
    <row r="605" spans="1:19" ht="15.75" thickTop="1" x14ac:dyDescent="0.2">
      <c r="A605" s="379">
        <v>67</v>
      </c>
      <c r="B605" s="369" t="s">
        <v>1563</v>
      </c>
      <c r="C605" s="369" t="s">
        <v>1564</v>
      </c>
      <c r="D605" s="396"/>
      <c r="G605" s="373"/>
      <c r="H605" s="468">
        <v>67</v>
      </c>
      <c r="I605" s="418"/>
      <c r="J605" s="478"/>
      <c r="K605" s="479" t="s">
        <v>1564</v>
      </c>
      <c r="L605" s="478"/>
      <c r="M605" s="478"/>
      <c r="N605" s="478"/>
      <c r="O605" s="420"/>
      <c r="P605" s="373"/>
      <c r="Q605" s="388">
        <f>H605</f>
        <v>67</v>
      </c>
      <c r="R605" s="378" t="str">
        <f>CONCATENATE("II-",TEXT(Q605,"0000"))</f>
        <v>II-0067</v>
      </c>
      <c r="S605" s="389" t="str">
        <f>K605</f>
        <v>PUENTE CANAL</v>
      </c>
    </row>
    <row r="606" spans="1:19" ht="15.75" thickBot="1" x14ac:dyDescent="0.25">
      <c r="A606" s="379"/>
      <c r="B606" s="369"/>
      <c r="C606" s="369"/>
      <c r="D606" s="396" t="s">
        <v>1296</v>
      </c>
      <c r="G606" s="373"/>
      <c r="H606" s="421"/>
      <c r="I606" s="422" t="s">
        <v>1060</v>
      </c>
      <c r="J606" s="425"/>
      <c r="K606" s="461" t="s">
        <v>1565</v>
      </c>
      <c r="L606" s="425"/>
      <c r="M606" s="425"/>
      <c r="N606" s="425"/>
      <c r="O606" s="499" t="s">
        <v>1296</v>
      </c>
      <c r="P606" s="373"/>
      <c r="Q606" s="373"/>
      <c r="R606" s="373"/>
      <c r="S606" s="373"/>
    </row>
    <row r="607" spans="1:19" ht="15.75" thickTop="1" x14ac:dyDescent="0.2">
      <c r="A607" s="379">
        <v>68</v>
      </c>
      <c r="B607" s="369" t="s">
        <v>1566</v>
      </c>
      <c r="C607" s="369" t="s">
        <v>1567</v>
      </c>
      <c r="D607" s="396"/>
      <c r="G607" s="373"/>
      <c r="H607" s="417">
        <v>68</v>
      </c>
      <c r="I607" s="419"/>
      <c r="J607" s="430"/>
      <c r="K607" s="487" t="s">
        <v>1567</v>
      </c>
      <c r="L607" s="430"/>
      <c r="M607" s="430"/>
      <c r="N607" s="430"/>
      <c r="O607" s="441"/>
      <c r="P607" s="373"/>
      <c r="Q607" s="388">
        <f>H607</f>
        <v>68</v>
      </c>
      <c r="R607" s="378" t="str">
        <f>CONCATENATE("II-",TEXT(Q607,"0000"))</f>
        <v>II-0068</v>
      </c>
      <c r="S607" s="389" t="str">
        <f>K607</f>
        <v>REACONDICIONAMIENTO</v>
      </c>
    </row>
    <row r="608" spans="1:19" x14ac:dyDescent="0.2">
      <c r="A608" s="379"/>
      <c r="B608" s="369"/>
      <c r="C608" s="369"/>
      <c r="D608" s="396" t="s">
        <v>1296</v>
      </c>
      <c r="G608" s="373"/>
      <c r="H608" s="390"/>
      <c r="I608" s="525" t="s">
        <v>1060</v>
      </c>
      <c r="J608" s="399"/>
      <c r="K608" s="400" t="s">
        <v>1113</v>
      </c>
      <c r="L608" s="399"/>
      <c r="M608" s="399"/>
      <c r="N608" s="399"/>
      <c r="O608" s="432" t="s">
        <v>1296</v>
      </c>
      <c r="P608" s="373"/>
      <c r="Q608" s="373"/>
      <c r="R608" s="373"/>
      <c r="S608" s="373"/>
    </row>
    <row r="609" spans="1:19" x14ac:dyDescent="0.2">
      <c r="A609" s="379"/>
      <c r="B609" s="369"/>
      <c r="C609" s="369"/>
      <c r="D609" s="396" t="s">
        <v>1171</v>
      </c>
      <c r="G609" s="373"/>
      <c r="H609" s="390"/>
      <c r="I609" s="391" t="s">
        <v>1087</v>
      </c>
      <c r="J609" s="438"/>
      <c r="K609" s="459" t="s">
        <v>1568</v>
      </c>
      <c r="L609" s="438"/>
      <c r="M609" s="438"/>
      <c r="N609" s="438"/>
      <c r="O609" s="473" t="s">
        <v>1171</v>
      </c>
      <c r="P609" s="373"/>
      <c r="Q609" s="373"/>
      <c r="R609" s="373"/>
      <c r="S609" s="373"/>
    </row>
    <row r="610" spans="1:19" ht="15.75" thickBot="1" x14ac:dyDescent="0.25">
      <c r="A610" s="379"/>
      <c r="B610" s="369"/>
      <c r="C610" s="369"/>
      <c r="D610" s="396" t="s">
        <v>1296</v>
      </c>
      <c r="G610" s="373"/>
      <c r="H610" s="390"/>
      <c r="I610" s="412" t="s">
        <v>1097</v>
      </c>
      <c r="J610" s="399"/>
      <c r="K610" s="477" t="s">
        <v>1569</v>
      </c>
      <c r="L610" s="399"/>
      <c r="M610" s="399"/>
      <c r="N610" s="399"/>
      <c r="O610" s="432" t="s">
        <v>1296</v>
      </c>
      <c r="P610" s="373"/>
      <c r="Q610" s="373"/>
      <c r="R610" s="373"/>
      <c r="S610" s="373"/>
    </row>
    <row r="611" spans="1:19" ht="15.75" thickTop="1" x14ac:dyDescent="0.2">
      <c r="A611" s="379">
        <v>69</v>
      </c>
      <c r="B611" s="369" t="s">
        <v>1570</v>
      </c>
      <c r="C611" s="369" t="s">
        <v>1571</v>
      </c>
      <c r="D611" s="396"/>
      <c r="G611" s="373"/>
      <c r="H611" s="468">
        <v>69</v>
      </c>
      <c r="I611" s="418"/>
      <c r="J611" s="478"/>
      <c r="K611" s="479" t="s">
        <v>1571</v>
      </c>
      <c r="L611" s="478"/>
      <c r="M611" s="478"/>
      <c r="N611" s="478"/>
      <c r="O611" s="420"/>
      <c r="P611" s="373"/>
      <c r="Q611" s="388">
        <f>H611</f>
        <v>69</v>
      </c>
      <c r="R611" s="378" t="str">
        <f>CONCATENATE("II-",TEXT(Q611,"0000"))</f>
        <v>II-0069</v>
      </c>
      <c r="S611" s="389" t="str">
        <f>K611</f>
        <v>RECICLADO DE PAVIMENTO</v>
      </c>
    </row>
    <row r="612" spans="1:19" x14ac:dyDescent="0.2">
      <c r="A612" s="379"/>
      <c r="B612" s="369"/>
      <c r="C612" s="369"/>
      <c r="D612" s="396" t="s">
        <v>1171</v>
      </c>
      <c r="G612" s="476"/>
      <c r="H612" s="543"/>
      <c r="I612" s="404" t="s">
        <v>1060</v>
      </c>
      <c r="J612" s="438"/>
      <c r="K612" s="459" t="s">
        <v>1572</v>
      </c>
      <c r="L612" s="459"/>
      <c r="M612" s="459"/>
      <c r="N612" s="438"/>
      <c r="O612" s="473" t="s">
        <v>1171</v>
      </c>
      <c r="P612" s="476"/>
      <c r="Q612" s="476"/>
      <c r="R612" s="476"/>
      <c r="S612" s="476"/>
    </row>
    <row r="613" spans="1:19" x14ac:dyDescent="0.2">
      <c r="A613" s="379"/>
      <c r="B613" s="369"/>
      <c r="C613" s="369"/>
      <c r="D613" s="396"/>
      <c r="G613" s="476"/>
      <c r="H613" s="543"/>
      <c r="I613" s="391" t="s">
        <v>1087</v>
      </c>
      <c r="J613" s="397"/>
      <c r="K613" s="400" t="s">
        <v>1573</v>
      </c>
      <c r="L613" s="400"/>
      <c r="M613" s="400"/>
      <c r="N613" s="399"/>
      <c r="O613" s="432"/>
      <c r="P613" s="476"/>
      <c r="Q613" s="476"/>
      <c r="R613" s="476"/>
      <c r="S613" s="476"/>
    </row>
    <row r="614" spans="1:19" x14ac:dyDescent="0.2">
      <c r="A614" s="379"/>
      <c r="B614" s="369"/>
      <c r="C614" s="369"/>
      <c r="D614" s="396" t="s">
        <v>1171</v>
      </c>
      <c r="G614" s="476"/>
      <c r="H614" s="543"/>
      <c r="I614" s="396"/>
      <c r="J614" s="398">
        <v>1</v>
      </c>
      <c r="K614" s="400"/>
      <c r="L614" s="400" t="s">
        <v>1574</v>
      </c>
      <c r="M614" s="399"/>
      <c r="N614" s="399"/>
      <c r="O614" s="432" t="s">
        <v>1171</v>
      </c>
      <c r="P614" s="476"/>
      <c r="Q614" s="476"/>
      <c r="R614" s="476"/>
      <c r="S614" s="476"/>
    </row>
    <row r="615" spans="1:19" ht="15.75" thickBot="1" x14ac:dyDescent="0.25">
      <c r="A615" s="379"/>
      <c r="B615" s="369"/>
      <c r="C615" s="369"/>
      <c r="D615" s="396" t="s">
        <v>1171</v>
      </c>
      <c r="G615" s="476"/>
      <c r="H615" s="544"/>
      <c r="I615" s="494"/>
      <c r="J615" s="412">
        <v>2</v>
      </c>
      <c r="K615" s="414"/>
      <c r="L615" s="414" t="s">
        <v>1575</v>
      </c>
      <c r="M615" s="413"/>
      <c r="N615" s="413"/>
      <c r="O615" s="498" t="s">
        <v>1171</v>
      </c>
      <c r="P615" s="476"/>
      <c r="Q615" s="476"/>
      <c r="R615" s="476"/>
      <c r="S615" s="476"/>
    </row>
    <row r="616" spans="1:19" ht="16.5" thickTop="1" thickBot="1" x14ac:dyDescent="0.25">
      <c r="A616" s="379">
        <v>70</v>
      </c>
      <c r="B616" s="369" t="s">
        <v>1576</v>
      </c>
      <c r="C616" s="369" t="s">
        <v>1577</v>
      </c>
      <c r="D616" s="396" t="s">
        <v>1254</v>
      </c>
      <c r="G616" s="373"/>
      <c r="H616" s="417">
        <v>70</v>
      </c>
      <c r="I616" s="419"/>
      <c r="J616" s="430"/>
      <c r="K616" s="487" t="s">
        <v>1577</v>
      </c>
      <c r="L616" s="430"/>
      <c r="M616" s="430"/>
      <c r="N616" s="430"/>
      <c r="O616" s="441" t="s">
        <v>1254</v>
      </c>
      <c r="P616" s="373"/>
      <c r="Q616" s="388">
        <f t="shared" ref="Q616:Q617" si="60">H616</f>
        <v>70</v>
      </c>
      <c r="R616" s="378" t="str">
        <f t="shared" ref="R616:R617" si="61">CONCATENATE("II-",TEXT(Q616,"0000"))</f>
        <v>II-0070</v>
      </c>
      <c r="S616" s="389" t="str">
        <f t="shared" ref="S616:S617" si="62">K616</f>
        <v>RECLAMADO</v>
      </c>
    </row>
    <row r="617" spans="1:19" ht="15.75" thickTop="1" x14ac:dyDescent="0.2">
      <c r="A617" s="379">
        <v>71</v>
      </c>
      <c r="B617" s="369" t="s">
        <v>1578</v>
      </c>
      <c r="C617" s="369" t="s">
        <v>1579</v>
      </c>
      <c r="D617" s="396"/>
      <c r="G617" s="373"/>
      <c r="H617" s="468">
        <v>71</v>
      </c>
      <c r="I617" s="418"/>
      <c r="J617" s="478"/>
      <c r="K617" s="533" t="s">
        <v>1579</v>
      </c>
      <c r="L617" s="478"/>
      <c r="M617" s="478"/>
      <c r="N617" s="478"/>
      <c r="O617" s="420"/>
      <c r="P617" s="373"/>
      <c r="Q617" s="388">
        <f t="shared" si="60"/>
        <v>71</v>
      </c>
      <c r="R617" s="378" t="str">
        <f t="shared" si="61"/>
        <v>II-0071</v>
      </c>
      <c r="S617" s="389" t="str">
        <f t="shared" si="62"/>
        <v>RECUBRIMIENTO VEGETAL</v>
      </c>
    </row>
    <row r="618" spans="1:19" x14ac:dyDescent="0.2">
      <c r="A618" s="379"/>
      <c r="B618" s="369"/>
      <c r="C618" s="369"/>
      <c r="D618" s="396" t="s">
        <v>1254</v>
      </c>
      <c r="G618" s="373"/>
      <c r="H618" s="390"/>
      <c r="I618" s="391" t="s">
        <v>1060</v>
      </c>
      <c r="J618" s="438"/>
      <c r="K618" s="459" t="s">
        <v>1360</v>
      </c>
      <c r="L618" s="459"/>
      <c r="M618" s="459"/>
      <c r="N618" s="438"/>
      <c r="O618" s="473" t="s">
        <v>1254</v>
      </c>
      <c r="P618" s="373"/>
      <c r="Q618" s="373"/>
      <c r="R618" s="373"/>
      <c r="S618" s="373"/>
    </row>
    <row r="619" spans="1:19" ht="15.75" thickBot="1" x14ac:dyDescent="0.25">
      <c r="A619" s="379"/>
      <c r="B619" s="369"/>
      <c r="C619" s="369"/>
      <c r="D619" s="396" t="s">
        <v>1031</v>
      </c>
      <c r="G619" s="373"/>
      <c r="H619" s="390"/>
      <c r="I619" s="412" t="s">
        <v>1087</v>
      </c>
      <c r="J619" s="399"/>
      <c r="K619" s="414" t="s">
        <v>1362</v>
      </c>
      <c r="L619" s="400"/>
      <c r="M619" s="400"/>
      <c r="N619" s="399"/>
      <c r="O619" s="432" t="s">
        <v>1031</v>
      </c>
      <c r="P619" s="373"/>
      <c r="Q619" s="373"/>
      <c r="R619" s="373"/>
      <c r="S619" s="373"/>
    </row>
    <row r="620" spans="1:19" ht="16.5" thickTop="1" thickBot="1" x14ac:dyDescent="0.25">
      <c r="A620" s="379">
        <v>72</v>
      </c>
      <c r="B620" s="369" t="s">
        <v>1580</v>
      </c>
      <c r="C620" s="369" t="s">
        <v>1581</v>
      </c>
      <c r="D620" s="396" t="s">
        <v>5</v>
      </c>
      <c r="G620" s="373"/>
      <c r="H620" s="480">
        <v>72</v>
      </c>
      <c r="I620" s="481"/>
      <c r="J620" s="482"/>
      <c r="K620" s="483" t="s">
        <v>1581</v>
      </c>
      <c r="L620" s="482"/>
      <c r="M620" s="482"/>
      <c r="N620" s="482"/>
      <c r="O620" s="484" t="s">
        <v>5</v>
      </c>
      <c r="P620" s="373"/>
      <c r="Q620" s="388">
        <f>H620</f>
        <v>72</v>
      </c>
      <c r="R620" s="378" t="str">
        <f>CONCATENATE("II-",TEXT(Q620,"0000"))</f>
        <v>II-0072</v>
      </c>
      <c r="S620" s="389" t="str">
        <f>K620</f>
        <v>RESTITUCION DE GALIVO</v>
      </c>
    </row>
    <row r="621" spans="1:19" x14ac:dyDescent="0.2">
      <c r="A621" s="379"/>
      <c r="B621" s="369"/>
      <c r="C621" s="369"/>
      <c r="D621" s="396"/>
      <c r="G621" s="476"/>
      <c r="H621" s="485"/>
      <c r="I621" s="396"/>
      <c r="J621" s="476"/>
      <c r="K621" s="477"/>
      <c r="L621" s="476"/>
      <c r="M621" s="476"/>
      <c r="N621" s="476"/>
      <c r="O621" s="486"/>
      <c r="P621" s="476"/>
      <c r="Q621" s="476"/>
      <c r="R621" s="476"/>
      <c r="S621" s="476"/>
    </row>
    <row r="622" spans="1:19" x14ac:dyDescent="0.2">
      <c r="A622" s="379"/>
      <c r="B622" s="369"/>
      <c r="C622" s="369"/>
      <c r="D622" s="396"/>
      <c r="G622" s="476"/>
      <c r="H622" s="485"/>
      <c r="I622" s="396"/>
      <c r="J622" s="476"/>
      <c r="K622" s="477"/>
      <c r="L622" s="476"/>
      <c r="M622" s="476"/>
      <c r="N622" s="476"/>
      <c r="O622" s="486"/>
      <c r="P622" s="476"/>
      <c r="Q622" s="476"/>
      <c r="R622" s="476"/>
      <c r="S622" s="476"/>
    </row>
    <row r="623" spans="1:19" x14ac:dyDescent="0.2">
      <c r="A623" s="379"/>
      <c r="B623" s="369"/>
      <c r="C623" s="369"/>
      <c r="D623" s="396"/>
      <c r="G623" s="373"/>
      <c r="H623" s="417">
        <v>73</v>
      </c>
      <c r="I623" s="419"/>
      <c r="J623" s="430"/>
      <c r="K623" s="487" t="s">
        <v>1582</v>
      </c>
      <c r="L623" s="430"/>
      <c r="M623" s="430"/>
      <c r="N623" s="430"/>
      <c r="O623" s="441"/>
      <c r="P623" s="373"/>
      <c r="Q623" s="373"/>
      <c r="R623" s="373"/>
      <c r="S623" s="373"/>
    </row>
    <row r="624" spans="1:19" x14ac:dyDescent="0.2">
      <c r="A624" s="379"/>
      <c r="B624" s="369"/>
      <c r="C624" s="369"/>
      <c r="D624" s="396"/>
      <c r="G624" s="452"/>
      <c r="H624" s="543"/>
      <c r="I624" s="391" t="s">
        <v>1060</v>
      </c>
      <c r="J624" s="394"/>
      <c r="K624" s="400" t="s">
        <v>1537</v>
      </c>
      <c r="L624" s="400"/>
      <c r="M624" s="400"/>
      <c r="N624" s="399"/>
      <c r="O624" s="432"/>
      <c r="P624" s="452"/>
      <c r="Q624" s="452"/>
      <c r="R624" s="452"/>
      <c r="S624" s="452"/>
    </row>
    <row r="625" spans="1:19" x14ac:dyDescent="0.2">
      <c r="A625" s="379"/>
      <c r="B625" s="369"/>
      <c r="C625" s="369"/>
      <c r="D625" s="396" t="s">
        <v>1254</v>
      </c>
      <c r="G625" s="452"/>
      <c r="H625" s="543"/>
      <c r="I625" s="397"/>
      <c r="J625" s="398">
        <v>1</v>
      </c>
      <c r="K625" s="400"/>
      <c r="L625" s="400" t="s">
        <v>1365</v>
      </c>
      <c r="M625" s="400"/>
      <c r="N625" s="399"/>
      <c r="O625" s="432" t="s">
        <v>1254</v>
      </c>
      <c r="P625" s="452"/>
      <c r="Q625" s="452"/>
      <c r="R625" s="452"/>
      <c r="S625" s="452"/>
    </row>
    <row r="626" spans="1:19" x14ac:dyDescent="0.2">
      <c r="A626" s="379"/>
      <c r="B626" s="369"/>
      <c r="C626" s="369"/>
      <c r="D626" s="396" t="s">
        <v>1254</v>
      </c>
      <c r="G626" s="452"/>
      <c r="H626" s="543"/>
      <c r="I626" s="396"/>
      <c r="J626" s="398">
        <v>2</v>
      </c>
      <c r="K626" s="400"/>
      <c r="L626" s="400" t="s">
        <v>1583</v>
      </c>
      <c r="M626" s="399"/>
      <c r="N626" s="399"/>
      <c r="O626" s="432" t="s">
        <v>1254</v>
      </c>
      <c r="P626" s="452"/>
      <c r="Q626" s="452"/>
      <c r="R626" s="452"/>
      <c r="S626" s="452"/>
    </row>
    <row r="627" spans="1:19" x14ac:dyDescent="0.2">
      <c r="A627" s="379"/>
      <c r="B627" s="369"/>
      <c r="C627" s="369"/>
      <c r="D627" s="396" t="s">
        <v>1254</v>
      </c>
      <c r="G627" s="452"/>
      <c r="H627" s="543"/>
      <c r="I627" s="396"/>
      <c r="J627" s="398">
        <v>3</v>
      </c>
      <c r="K627" s="400"/>
      <c r="L627" s="400" t="s">
        <v>1584</v>
      </c>
      <c r="M627" s="399"/>
      <c r="N627" s="399"/>
      <c r="O627" s="432" t="s">
        <v>1254</v>
      </c>
      <c r="P627" s="452"/>
      <c r="Q627" s="452"/>
      <c r="R627" s="452"/>
      <c r="S627" s="452"/>
    </row>
    <row r="628" spans="1:19" x14ac:dyDescent="0.2">
      <c r="A628" s="379"/>
      <c r="B628" s="369"/>
      <c r="C628" s="369"/>
      <c r="D628" s="396" t="s">
        <v>1254</v>
      </c>
      <c r="G628" s="452"/>
      <c r="H628" s="543"/>
      <c r="I628" s="396"/>
      <c r="J628" s="488">
        <v>4</v>
      </c>
      <c r="K628" s="400"/>
      <c r="L628" s="400" t="s">
        <v>1585</v>
      </c>
      <c r="M628" s="399"/>
      <c r="N628" s="399"/>
      <c r="O628" s="432" t="s">
        <v>1254</v>
      </c>
      <c r="P628" s="452"/>
      <c r="Q628" s="452"/>
      <c r="R628" s="452"/>
      <c r="S628" s="452"/>
    </row>
    <row r="629" spans="1:19" x14ac:dyDescent="0.2">
      <c r="A629" s="379"/>
      <c r="B629" s="369"/>
      <c r="C629" s="369"/>
      <c r="D629" s="396" t="s">
        <v>1254</v>
      </c>
      <c r="G629" s="452"/>
      <c r="H629" s="543"/>
      <c r="I629" s="396"/>
      <c r="J629" s="488">
        <v>5</v>
      </c>
      <c r="K629" s="400"/>
      <c r="L629" s="400" t="s">
        <v>1586</v>
      </c>
      <c r="M629" s="399"/>
      <c r="N629" s="399"/>
      <c r="O629" s="432" t="s">
        <v>1254</v>
      </c>
      <c r="P629" s="452"/>
      <c r="Q629" s="452"/>
      <c r="R629" s="452"/>
      <c r="S629" s="452"/>
    </row>
    <row r="630" spans="1:19" x14ac:dyDescent="0.2">
      <c r="A630" s="379"/>
      <c r="B630" s="369"/>
      <c r="C630" s="369"/>
      <c r="D630" s="396" t="s">
        <v>1254</v>
      </c>
      <c r="G630" s="373"/>
      <c r="H630" s="539"/>
      <c r="I630" s="391" t="s">
        <v>1087</v>
      </c>
      <c r="J630" s="438"/>
      <c r="K630" s="459" t="s">
        <v>1359</v>
      </c>
      <c r="L630" s="438"/>
      <c r="M630" s="438"/>
      <c r="N630" s="438"/>
      <c r="O630" s="473" t="s">
        <v>1254</v>
      </c>
      <c r="P630" s="373"/>
      <c r="Q630" s="400"/>
      <c r="R630" s="373"/>
      <c r="S630" s="373"/>
    </row>
    <row r="631" spans="1:19" x14ac:dyDescent="0.2">
      <c r="A631" s="379"/>
      <c r="B631" s="369"/>
      <c r="C631" s="369"/>
      <c r="D631" s="396"/>
      <c r="G631" s="373"/>
      <c r="H631" s="539"/>
      <c r="I631" s="391" t="s">
        <v>1097</v>
      </c>
      <c r="J631" s="397"/>
      <c r="K631" s="400" t="s">
        <v>1380</v>
      </c>
      <c r="L631" s="400"/>
      <c r="M631" s="399"/>
      <c r="N631" s="399"/>
      <c r="O631" s="432"/>
      <c r="P631" s="373"/>
      <c r="Q631" s="373"/>
      <c r="R631" s="373"/>
      <c r="S631" s="373"/>
    </row>
    <row r="632" spans="1:19" x14ac:dyDescent="0.2">
      <c r="A632" s="379"/>
      <c r="B632" s="369"/>
      <c r="C632" s="369"/>
      <c r="D632" s="396" t="s">
        <v>1254</v>
      </c>
      <c r="G632" s="373"/>
      <c r="H632" s="539"/>
      <c r="I632" s="397"/>
      <c r="J632" s="398">
        <v>1</v>
      </c>
      <c r="K632" s="400"/>
      <c r="L632" s="400" t="s">
        <v>1365</v>
      </c>
      <c r="M632" s="399"/>
      <c r="N632" s="399"/>
      <c r="O632" s="432" t="s">
        <v>1254</v>
      </c>
      <c r="P632" s="373"/>
      <c r="Q632" s="373"/>
      <c r="R632" s="373"/>
      <c r="S632" s="373"/>
    </row>
    <row r="633" spans="1:19" x14ac:dyDescent="0.2">
      <c r="A633" s="379"/>
      <c r="B633" s="369"/>
      <c r="C633" s="369"/>
      <c r="D633" s="396" t="s">
        <v>1254</v>
      </c>
      <c r="G633" s="373"/>
      <c r="H633" s="539"/>
      <c r="I633" s="397"/>
      <c r="J633" s="398">
        <v>2</v>
      </c>
      <c r="K633" s="400"/>
      <c r="L633" s="400" t="s">
        <v>1583</v>
      </c>
      <c r="M633" s="399"/>
      <c r="N633" s="399"/>
      <c r="O633" s="432" t="s">
        <v>1254</v>
      </c>
      <c r="P633" s="373"/>
      <c r="Q633" s="373"/>
      <c r="R633" s="373"/>
      <c r="S633" s="373"/>
    </row>
    <row r="634" spans="1:19" x14ac:dyDescent="0.2">
      <c r="A634" s="379"/>
      <c r="B634" s="369"/>
      <c r="C634" s="369"/>
      <c r="D634" s="396" t="s">
        <v>1254</v>
      </c>
      <c r="G634" s="373"/>
      <c r="H634" s="539"/>
      <c r="I634" s="397"/>
      <c r="J634" s="398">
        <v>3</v>
      </c>
      <c r="K634" s="400"/>
      <c r="L634" s="400" t="s">
        <v>1584</v>
      </c>
      <c r="M634" s="399"/>
      <c r="N634" s="399"/>
      <c r="O634" s="432" t="s">
        <v>1254</v>
      </c>
      <c r="P634" s="373"/>
      <c r="Q634" s="373"/>
      <c r="R634" s="373"/>
      <c r="S634" s="373"/>
    </row>
    <row r="635" spans="1:19" x14ac:dyDescent="0.2">
      <c r="A635" s="379"/>
      <c r="B635" s="369"/>
      <c r="C635" s="369"/>
      <c r="D635" s="396" t="s">
        <v>1254</v>
      </c>
      <c r="G635" s="373"/>
      <c r="H635" s="539"/>
      <c r="I635" s="397"/>
      <c r="J635" s="488">
        <v>4</v>
      </c>
      <c r="K635" s="400"/>
      <c r="L635" s="400" t="s">
        <v>1585</v>
      </c>
      <c r="M635" s="399"/>
      <c r="N635" s="399"/>
      <c r="O635" s="432" t="s">
        <v>1254</v>
      </c>
      <c r="P635" s="373"/>
      <c r="Q635" s="373"/>
      <c r="R635" s="373"/>
      <c r="S635" s="373"/>
    </row>
    <row r="636" spans="1:19" x14ac:dyDescent="0.2">
      <c r="A636" s="379"/>
      <c r="B636" s="369"/>
      <c r="C636" s="369"/>
      <c r="D636" s="396" t="s">
        <v>1254</v>
      </c>
      <c r="G636" s="373"/>
      <c r="H636" s="539"/>
      <c r="I636" s="450"/>
      <c r="J636" s="489">
        <v>5</v>
      </c>
      <c r="K636" s="406"/>
      <c r="L636" s="406" t="s">
        <v>1586</v>
      </c>
      <c r="M636" s="405"/>
      <c r="N636" s="405"/>
      <c r="O636" s="451" t="s">
        <v>1254</v>
      </c>
      <c r="P636" s="373"/>
      <c r="Q636" s="373"/>
      <c r="R636" s="373"/>
      <c r="S636" s="373"/>
    </row>
    <row r="637" spans="1:19" ht="15.75" thickBot="1" x14ac:dyDescent="0.25">
      <c r="A637" s="379"/>
      <c r="B637" s="369"/>
      <c r="C637" s="369"/>
      <c r="D637" s="396" t="s">
        <v>1254</v>
      </c>
      <c r="G637" s="373"/>
      <c r="H637" s="539"/>
      <c r="I637" s="412" t="s">
        <v>1123</v>
      </c>
      <c r="J637" s="396"/>
      <c r="K637" s="400" t="s">
        <v>1362</v>
      </c>
      <c r="L637" s="400"/>
      <c r="M637" s="399"/>
      <c r="N637" s="399"/>
      <c r="O637" s="432" t="s">
        <v>1254</v>
      </c>
      <c r="P637" s="373"/>
      <c r="Q637" s="373"/>
      <c r="R637" s="373"/>
      <c r="S637" s="373"/>
    </row>
    <row r="638" spans="1:19" ht="15.75" thickTop="1" x14ac:dyDescent="0.2">
      <c r="A638" s="379">
        <v>74</v>
      </c>
      <c r="B638" s="369" t="s">
        <v>1587</v>
      </c>
      <c r="C638" s="369" t="s">
        <v>1588</v>
      </c>
      <c r="D638" s="396"/>
      <c r="G638" s="373"/>
      <c r="H638" s="468">
        <v>74</v>
      </c>
      <c r="I638" s="418"/>
      <c r="J638" s="478"/>
      <c r="K638" s="479" t="s">
        <v>1588</v>
      </c>
      <c r="L638" s="478"/>
      <c r="M638" s="478"/>
      <c r="N638" s="478"/>
      <c r="O638" s="420"/>
      <c r="P638" s="373"/>
      <c r="Q638" s="388">
        <f>H638</f>
        <v>74</v>
      </c>
      <c r="R638" s="378" t="str">
        <f>CONCATENATE("II-",TEXT(Q638,"0000"))</f>
        <v>II-0074</v>
      </c>
      <c r="S638" s="389" t="str">
        <f>K638</f>
        <v>RIEGO</v>
      </c>
    </row>
    <row r="639" spans="1:19" x14ac:dyDescent="0.2">
      <c r="A639" s="379"/>
      <c r="B639" s="369"/>
      <c r="C639" s="369"/>
      <c r="D639" s="396" t="s">
        <v>1254</v>
      </c>
      <c r="G639" s="373"/>
      <c r="H639" s="390"/>
      <c r="I639" s="391" t="s">
        <v>1060</v>
      </c>
      <c r="J639" s="438"/>
      <c r="K639" s="459" t="s">
        <v>1589</v>
      </c>
      <c r="L639" s="438"/>
      <c r="M639" s="438"/>
      <c r="N639" s="438"/>
      <c r="O639" s="473" t="s">
        <v>1254</v>
      </c>
      <c r="P639" s="373"/>
      <c r="Q639" s="373"/>
      <c r="R639" s="373"/>
      <c r="S639" s="373"/>
    </row>
    <row r="640" spans="1:19" ht="15.75" thickBot="1" x14ac:dyDescent="0.25">
      <c r="A640" s="379"/>
      <c r="B640" s="369"/>
      <c r="C640" s="369"/>
      <c r="D640" s="396" t="s">
        <v>1254</v>
      </c>
      <c r="G640" s="373"/>
      <c r="H640" s="410"/>
      <c r="I640" s="412" t="s">
        <v>1087</v>
      </c>
      <c r="J640" s="413"/>
      <c r="K640" s="414" t="s">
        <v>1590</v>
      </c>
      <c r="L640" s="413"/>
      <c r="M640" s="413"/>
      <c r="N640" s="413"/>
      <c r="O640" s="498" t="s">
        <v>1254</v>
      </c>
      <c r="P640" s="373"/>
      <c r="Q640" s="373"/>
      <c r="R640" s="373"/>
      <c r="S640" s="373"/>
    </row>
    <row r="641" spans="1:19" ht="15.75" thickTop="1" x14ac:dyDescent="0.2">
      <c r="A641" s="379">
        <v>75</v>
      </c>
      <c r="B641" s="369" t="s">
        <v>1591</v>
      </c>
      <c r="C641" s="369" t="s">
        <v>1592</v>
      </c>
      <c r="D641" s="396"/>
      <c r="G641" s="452"/>
      <c r="H641" s="417">
        <v>75</v>
      </c>
      <c r="I641" s="419"/>
      <c r="J641" s="430"/>
      <c r="K641" s="487" t="s">
        <v>1592</v>
      </c>
      <c r="L641" s="430"/>
      <c r="M641" s="430"/>
      <c r="N641" s="430"/>
      <c r="O641" s="441"/>
      <c r="P641" s="373"/>
      <c r="Q641" s="388">
        <f>H641</f>
        <v>75</v>
      </c>
      <c r="R641" s="378" t="str">
        <f>CONCATENATE("II-",TEXT(Q641,"0000"))</f>
        <v>II-0075</v>
      </c>
      <c r="S641" s="389" t="str">
        <f>K641</f>
        <v>SALTO</v>
      </c>
    </row>
    <row r="642" spans="1:19" x14ac:dyDescent="0.2">
      <c r="A642" s="379"/>
      <c r="B642" s="369"/>
      <c r="C642" s="369"/>
      <c r="D642" s="396" t="s">
        <v>1296</v>
      </c>
      <c r="G642" s="373"/>
      <c r="H642" s="390"/>
      <c r="I642" s="391" t="s">
        <v>1060</v>
      </c>
      <c r="J642" s="438"/>
      <c r="K642" s="459" t="s">
        <v>1593</v>
      </c>
      <c r="L642" s="438"/>
      <c r="M642" s="438"/>
      <c r="N642" s="438"/>
      <c r="O642" s="473" t="s">
        <v>1296</v>
      </c>
      <c r="P642" s="373"/>
      <c r="Q642" s="373"/>
      <c r="R642" s="373"/>
      <c r="S642" s="373"/>
    </row>
    <row r="643" spans="1:19" ht="15.75" thickBot="1" x14ac:dyDescent="0.25">
      <c r="A643" s="379"/>
      <c r="B643" s="369"/>
      <c r="C643" s="369"/>
      <c r="D643" s="396" t="s">
        <v>1296</v>
      </c>
      <c r="G643" s="373"/>
      <c r="H643" s="390"/>
      <c r="I643" s="412" t="s">
        <v>1087</v>
      </c>
      <c r="J643" s="399"/>
      <c r="K643" s="400" t="s">
        <v>1292</v>
      </c>
      <c r="L643" s="399"/>
      <c r="M643" s="399"/>
      <c r="N643" s="399"/>
      <c r="O643" s="432" t="s">
        <v>1296</v>
      </c>
      <c r="P643" s="373"/>
      <c r="Q643" s="373"/>
      <c r="R643" s="373"/>
      <c r="S643" s="373"/>
    </row>
    <row r="644" spans="1:19" ht="16.5" thickTop="1" thickBot="1" x14ac:dyDescent="0.25">
      <c r="A644" s="379">
        <v>76</v>
      </c>
      <c r="B644" s="369" t="s">
        <v>1594</v>
      </c>
      <c r="C644" s="369" t="s">
        <v>1595</v>
      </c>
      <c r="D644" s="396" t="s">
        <v>723</v>
      </c>
      <c r="G644" s="373"/>
      <c r="H644" s="468">
        <v>76</v>
      </c>
      <c r="I644" s="418"/>
      <c r="J644" s="478"/>
      <c r="K644" s="479" t="s">
        <v>1595</v>
      </c>
      <c r="L644" s="478"/>
      <c r="M644" s="478"/>
      <c r="N644" s="478"/>
      <c r="O644" s="420" t="s">
        <v>723</v>
      </c>
      <c r="P644" s="373"/>
      <c r="Q644" s="388">
        <f t="shared" ref="Q644:Q645" si="63">H644</f>
        <v>76</v>
      </c>
      <c r="R644" s="378" t="str">
        <f t="shared" ref="R644:R645" si="64">CONCATENATE("II-",TEXT(Q644,"0000"))</f>
        <v>II-0076</v>
      </c>
      <c r="S644" s="389" t="str">
        <f t="shared" ref="S644:S645" si="65">K644</f>
        <v>SELLADO DE FISURA</v>
      </c>
    </row>
    <row r="645" spans="1:19" ht="15.75" thickTop="1" x14ac:dyDescent="0.2">
      <c r="A645" s="379">
        <v>77</v>
      </c>
      <c r="B645" s="369" t="s">
        <v>1596</v>
      </c>
      <c r="C645" s="369" t="s">
        <v>1597</v>
      </c>
      <c r="D645" s="396"/>
      <c r="G645" s="373"/>
      <c r="H645" s="468">
        <v>77</v>
      </c>
      <c r="I645" s="418"/>
      <c r="J645" s="478"/>
      <c r="K645" s="479" t="s">
        <v>1597</v>
      </c>
      <c r="L645" s="478"/>
      <c r="M645" s="478"/>
      <c r="N645" s="478"/>
      <c r="O645" s="420"/>
      <c r="P645" s="373"/>
      <c r="Q645" s="388">
        <f t="shared" si="63"/>
        <v>77</v>
      </c>
      <c r="R645" s="378" t="str">
        <f t="shared" si="64"/>
        <v>II-0077</v>
      </c>
      <c r="S645" s="389" t="str">
        <f t="shared" si="65"/>
        <v>SIFON</v>
      </c>
    </row>
    <row r="646" spans="1:19" ht="15.75" thickBot="1" x14ac:dyDescent="0.25">
      <c r="A646" s="379"/>
      <c r="B646" s="369"/>
      <c r="C646" s="369"/>
      <c r="D646" s="396" t="s">
        <v>5</v>
      </c>
      <c r="G646" s="373"/>
      <c r="H646" s="390"/>
      <c r="I646" s="422" t="s">
        <v>1060</v>
      </c>
      <c r="J646" s="399"/>
      <c r="K646" s="400" t="s">
        <v>1598</v>
      </c>
      <c r="L646" s="399"/>
      <c r="M646" s="399"/>
      <c r="N646" s="399"/>
      <c r="O646" s="432" t="s">
        <v>5</v>
      </c>
      <c r="P646" s="373"/>
      <c r="Q646" s="373"/>
      <c r="R646" s="373"/>
      <c r="S646" s="373"/>
    </row>
    <row r="647" spans="1:19" ht="15.75" thickTop="1" x14ac:dyDescent="0.2">
      <c r="A647" s="379">
        <v>78</v>
      </c>
      <c r="B647" s="369" t="s">
        <v>1599</v>
      </c>
      <c r="C647" s="369" t="s">
        <v>1600</v>
      </c>
      <c r="D647" s="396"/>
      <c r="G647" s="452"/>
      <c r="H647" s="468">
        <v>78</v>
      </c>
      <c r="I647" s="418"/>
      <c r="J647" s="478"/>
      <c r="K647" s="479" t="s">
        <v>1600</v>
      </c>
      <c r="L647" s="478"/>
      <c r="M647" s="478"/>
      <c r="N647" s="478"/>
      <c r="O647" s="420"/>
      <c r="P647" s="373"/>
      <c r="Q647" s="388">
        <f>H647</f>
        <v>78</v>
      </c>
      <c r="R647" s="378" t="str">
        <f>CONCATENATE("II-",TEXT(Q647,"0000"))</f>
        <v>II-0078</v>
      </c>
      <c r="S647" s="389" t="str">
        <f>K647</f>
        <v>SUB BASE</v>
      </c>
    </row>
    <row r="648" spans="1:19" x14ac:dyDescent="0.2">
      <c r="A648" s="379"/>
      <c r="B648" s="369"/>
      <c r="C648" s="369"/>
      <c r="D648" s="396" t="s">
        <v>1171</v>
      </c>
      <c r="G648" s="452"/>
      <c r="H648" s="474"/>
      <c r="I648" s="545" t="s">
        <v>1060</v>
      </c>
      <c r="J648" s="476"/>
      <c r="K648" s="477" t="s">
        <v>1319</v>
      </c>
      <c r="L648" s="476"/>
      <c r="M648" s="476"/>
      <c r="N648" s="476"/>
      <c r="O648" s="463" t="s">
        <v>1171</v>
      </c>
      <c r="P648" s="452"/>
      <c r="Q648" s="452"/>
      <c r="R648" s="452"/>
      <c r="S648" s="452"/>
    </row>
    <row r="649" spans="1:19" x14ac:dyDescent="0.2">
      <c r="A649" s="379"/>
      <c r="B649" s="369"/>
      <c r="C649" s="369"/>
      <c r="D649" s="396" t="s">
        <v>1171</v>
      </c>
      <c r="G649" s="373"/>
      <c r="H649" s="390"/>
      <c r="I649" s="391" t="s">
        <v>1087</v>
      </c>
      <c r="J649" s="526"/>
      <c r="K649" s="459" t="s">
        <v>1429</v>
      </c>
      <c r="L649" s="459"/>
      <c r="M649" s="438"/>
      <c r="N649" s="438"/>
      <c r="O649" s="473" t="s">
        <v>1171</v>
      </c>
      <c r="P649" s="373"/>
      <c r="Q649" s="373"/>
      <c r="R649" s="373"/>
      <c r="S649" s="373"/>
    </row>
    <row r="650" spans="1:19" x14ac:dyDescent="0.2">
      <c r="A650" s="379"/>
      <c r="B650" s="369"/>
      <c r="C650" s="369"/>
      <c r="D650" s="396"/>
      <c r="G650" s="373"/>
      <c r="H650" s="390"/>
      <c r="I650" s="404" t="s">
        <v>1097</v>
      </c>
      <c r="J650" s="397"/>
      <c r="K650" s="400" t="s">
        <v>1316</v>
      </c>
      <c r="L650" s="400"/>
      <c r="M650" s="399"/>
      <c r="N650" s="399"/>
      <c r="O650" s="432"/>
      <c r="P650" s="373"/>
      <c r="Q650" s="373"/>
      <c r="R650" s="373"/>
      <c r="S650" s="373"/>
    </row>
    <row r="651" spans="1:19" x14ac:dyDescent="0.2">
      <c r="A651" s="379"/>
      <c r="B651" s="369"/>
      <c r="C651" s="369"/>
      <c r="D651" s="396" t="s">
        <v>1171</v>
      </c>
      <c r="G651" s="373"/>
      <c r="H651" s="390"/>
      <c r="I651" s="397"/>
      <c r="J651" s="398">
        <v>1</v>
      </c>
      <c r="K651" s="400"/>
      <c r="L651" s="400" t="s">
        <v>1601</v>
      </c>
      <c r="M651" s="399"/>
      <c r="N651" s="399"/>
      <c r="O651" s="432" t="s">
        <v>1171</v>
      </c>
      <c r="P651" s="373"/>
      <c r="Q651" s="373"/>
      <c r="R651" s="373"/>
      <c r="S651" s="373"/>
    </row>
    <row r="652" spans="1:19" x14ac:dyDescent="0.2">
      <c r="A652" s="379"/>
      <c r="B652" s="369"/>
      <c r="C652" s="369"/>
      <c r="D652" s="396" t="s">
        <v>1171</v>
      </c>
      <c r="G652" s="373"/>
      <c r="H652" s="390"/>
      <c r="I652" s="397"/>
      <c r="J652" s="398">
        <v>2</v>
      </c>
      <c r="K652" s="400"/>
      <c r="L652" s="400" t="s">
        <v>1602</v>
      </c>
      <c r="M652" s="399"/>
      <c r="N652" s="399"/>
      <c r="O652" s="432" t="s">
        <v>1171</v>
      </c>
      <c r="P652" s="373"/>
      <c r="Q652" s="373"/>
      <c r="R652" s="373"/>
      <c r="S652" s="373"/>
    </row>
    <row r="653" spans="1:19" x14ac:dyDescent="0.2">
      <c r="A653" s="379"/>
      <c r="B653" s="369"/>
      <c r="C653" s="369"/>
      <c r="D653" s="396" t="s">
        <v>1171</v>
      </c>
      <c r="G653" s="373"/>
      <c r="H653" s="390"/>
      <c r="I653" s="397"/>
      <c r="J653" s="404">
        <v>3</v>
      </c>
      <c r="K653" s="399"/>
      <c r="L653" s="400" t="s">
        <v>1316</v>
      </c>
      <c r="M653" s="399"/>
      <c r="N653" s="399"/>
      <c r="O653" s="432" t="s">
        <v>1171</v>
      </c>
      <c r="P653" s="373"/>
      <c r="Q653" s="373"/>
      <c r="R653" s="373"/>
      <c r="S653" s="373"/>
    </row>
    <row r="654" spans="1:19" x14ac:dyDescent="0.2">
      <c r="A654" s="379"/>
      <c r="B654" s="369"/>
      <c r="C654" s="369"/>
      <c r="D654" s="396" t="s">
        <v>1171</v>
      </c>
      <c r="G654" s="373"/>
      <c r="H654" s="390"/>
      <c r="I654" s="391" t="s">
        <v>1123</v>
      </c>
      <c r="J654" s="526"/>
      <c r="K654" s="459" t="s">
        <v>1255</v>
      </c>
      <c r="L654" s="459"/>
      <c r="M654" s="438"/>
      <c r="N654" s="438"/>
      <c r="O654" s="473" t="s">
        <v>1171</v>
      </c>
      <c r="P654" s="373"/>
      <c r="Q654" s="373"/>
      <c r="R654" s="373"/>
      <c r="S654" s="373"/>
    </row>
    <row r="655" spans="1:19" x14ac:dyDescent="0.2">
      <c r="A655" s="379"/>
      <c r="B655" s="369"/>
      <c r="C655" s="369"/>
      <c r="D655" s="396" t="s">
        <v>1171</v>
      </c>
      <c r="G655" s="373"/>
      <c r="H655" s="390"/>
      <c r="I655" s="398" t="s">
        <v>1165</v>
      </c>
      <c r="J655" s="397"/>
      <c r="K655" s="400" t="s">
        <v>1258</v>
      </c>
      <c r="L655" s="400"/>
      <c r="M655" s="399"/>
      <c r="N655" s="399"/>
      <c r="O655" s="432" t="s">
        <v>1171</v>
      </c>
      <c r="P655" s="373"/>
      <c r="Q655" s="373"/>
      <c r="R655" s="373"/>
      <c r="S655" s="373"/>
    </row>
    <row r="656" spans="1:19" x14ac:dyDescent="0.2">
      <c r="A656" s="379"/>
      <c r="B656" s="369"/>
      <c r="C656" s="369"/>
      <c r="D656" s="396" t="s">
        <v>1171</v>
      </c>
      <c r="G656" s="373"/>
      <c r="H656" s="390"/>
      <c r="I656" s="391" t="s">
        <v>1168</v>
      </c>
      <c r="J656" s="526"/>
      <c r="K656" s="505" t="s">
        <v>1320</v>
      </c>
      <c r="L656" s="459"/>
      <c r="M656" s="438"/>
      <c r="N656" s="438"/>
      <c r="O656" s="473" t="s">
        <v>1171</v>
      </c>
      <c r="P656" s="373"/>
      <c r="Q656" s="373"/>
      <c r="R656" s="373"/>
      <c r="S656" s="373"/>
    </row>
    <row r="657" spans="1:19" ht="15.75" thickBot="1" x14ac:dyDescent="0.25">
      <c r="A657" s="379"/>
      <c r="B657" s="369"/>
      <c r="C657" s="369"/>
      <c r="D657" s="396" t="s">
        <v>1171</v>
      </c>
      <c r="G657" s="373"/>
      <c r="H657" s="410"/>
      <c r="I657" s="412" t="s">
        <v>1172</v>
      </c>
      <c r="J657" s="411"/>
      <c r="K657" s="414" t="s">
        <v>1261</v>
      </c>
      <c r="L657" s="414"/>
      <c r="M657" s="413"/>
      <c r="N657" s="413"/>
      <c r="O657" s="498" t="s">
        <v>1171</v>
      </c>
      <c r="P657" s="373"/>
      <c r="Q657" s="373"/>
      <c r="R657" s="373"/>
      <c r="S657" s="373"/>
    </row>
    <row r="658" spans="1:19" ht="15.75" thickTop="1" x14ac:dyDescent="0.2">
      <c r="A658" s="379">
        <v>79</v>
      </c>
      <c r="B658" s="369" t="s">
        <v>1603</v>
      </c>
      <c r="C658" s="369" t="s">
        <v>1426</v>
      </c>
      <c r="D658" s="396"/>
      <c r="G658" s="373"/>
      <c r="H658" s="417">
        <v>79</v>
      </c>
      <c r="I658" s="419"/>
      <c r="J658" s="430"/>
      <c r="K658" s="471" t="s">
        <v>1426</v>
      </c>
      <c r="L658" s="430"/>
      <c r="M658" s="430"/>
      <c r="N658" s="430"/>
      <c r="O658" s="441"/>
      <c r="P658" s="373"/>
      <c r="Q658" s="388">
        <f>H658</f>
        <v>79</v>
      </c>
      <c r="R658" s="378" t="str">
        <f>CONCATENATE("II-",TEXT(Q658,"0000"))</f>
        <v>II-0079</v>
      </c>
      <c r="S658" s="389" t="str">
        <f>K658</f>
        <v>SUELO</v>
      </c>
    </row>
    <row r="659" spans="1:19" x14ac:dyDescent="0.2">
      <c r="A659" s="379"/>
      <c r="B659" s="369"/>
      <c r="C659" s="369"/>
      <c r="D659" s="396" t="s">
        <v>1171</v>
      </c>
      <c r="G659" s="373"/>
      <c r="H659" s="390"/>
      <c r="I659" s="525" t="s">
        <v>1060</v>
      </c>
      <c r="J659" s="399"/>
      <c r="K659" s="459" t="s">
        <v>1604</v>
      </c>
      <c r="L659" s="400"/>
      <c r="M659" s="400"/>
      <c r="N659" s="399"/>
      <c r="O659" s="432" t="s">
        <v>1171</v>
      </c>
      <c r="P659" s="373"/>
      <c r="Q659" s="373"/>
      <c r="R659" s="373"/>
      <c r="S659" s="373"/>
    </row>
    <row r="660" spans="1:19" x14ac:dyDescent="0.2">
      <c r="A660" s="379"/>
      <c r="B660" s="369"/>
      <c r="C660" s="369"/>
      <c r="D660" s="396" t="s">
        <v>1171</v>
      </c>
      <c r="G660" s="373"/>
      <c r="H660" s="390"/>
      <c r="I660" s="391" t="s">
        <v>1087</v>
      </c>
      <c r="J660" s="438"/>
      <c r="K660" s="400" t="s">
        <v>1605</v>
      </c>
      <c r="L660" s="459"/>
      <c r="M660" s="459"/>
      <c r="N660" s="438"/>
      <c r="O660" s="473" t="s">
        <v>1171</v>
      </c>
      <c r="P660" s="373"/>
      <c r="Q660" s="373"/>
      <c r="R660" s="373"/>
      <c r="S660" s="373"/>
    </row>
    <row r="661" spans="1:19" ht="15.75" thickBot="1" x14ac:dyDescent="0.25">
      <c r="A661" s="379"/>
      <c r="B661" s="369"/>
      <c r="C661" s="369"/>
      <c r="D661" s="396" t="s">
        <v>1171</v>
      </c>
      <c r="G661" s="373"/>
      <c r="H661" s="390"/>
      <c r="I661" s="412" t="s">
        <v>1097</v>
      </c>
      <c r="J661" s="399"/>
      <c r="K661" s="461" t="s">
        <v>1606</v>
      </c>
      <c r="L661" s="400"/>
      <c r="M661" s="400"/>
      <c r="N661" s="399"/>
      <c r="O661" s="432" t="s">
        <v>1171</v>
      </c>
      <c r="P661" s="373"/>
      <c r="Q661" s="373"/>
      <c r="R661" s="373"/>
      <c r="S661" s="373"/>
    </row>
    <row r="662" spans="1:19" ht="15.75" thickTop="1" x14ac:dyDescent="0.2">
      <c r="A662" s="379">
        <v>80</v>
      </c>
      <c r="B662" s="369" t="s">
        <v>1607</v>
      </c>
      <c r="C662" s="369" t="s">
        <v>1608</v>
      </c>
      <c r="D662" s="396"/>
      <c r="G662" s="373"/>
      <c r="H662" s="468">
        <v>80</v>
      </c>
      <c r="I662" s="418"/>
      <c r="J662" s="478"/>
      <c r="K662" s="487" t="s">
        <v>1608</v>
      </c>
      <c r="L662" s="478"/>
      <c r="M662" s="478"/>
      <c r="N662" s="478"/>
      <c r="O662" s="420"/>
      <c r="P662" s="373"/>
      <c r="Q662" s="388">
        <f>H662</f>
        <v>80</v>
      </c>
      <c r="R662" s="378" t="str">
        <f>CONCATENATE("II-",TEXT(Q662,"0000"))</f>
        <v>II-0080</v>
      </c>
      <c r="S662" s="389" t="str">
        <f>K662</f>
        <v>SUMIDEROS</v>
      </c>
    </row>
    <row r="663" spans="1:19" x14ac:dyDescent="0.2">
      <c r="A663" s="379"/>
      <c r="B663" s="369"/>
      <c r="C663" s="369"/>
      <c r="D663" s="396" t="s">
        <v>5</v>
      </c>
      <c r="G663" s="373"/>
      <c r="H663" s="390"/>
      <c r="I663" s="398" t="s">
        <v>1060</v>
      </c>
      <c r="J663" s="399"/>
      <c r="K663" s="400" t="s">
        <v>1609</v>
      </c>
      <c r="L663" s="400"/>
      <c r="M663" s="400"/>
      <c r="N663" s="399"/>
      <c r="O663" s="432" t="s">
        <v>5</v>
      </c>
      <c r="P663" s="373"/>
      <c r="Q663" s="373"/>
      <c r="R663" s="373"/>
      <c r="S663" s="373"/>
    </row>
    <row r="664" spans="1:19" x14ac:dyDescent="0.2">
      <c r="A664" s="379"/>
      <c r="B664" s="369"/>
      <c r="C664" s="369"/>
      <c r="D664" s="396" t="s">
        <v>5</v>
      </c>
      <c r="G664" s="373"/>
      <c r="H664" s="390"/>
      <c r="I664" s="391" t="s">
        <v>1087</v>
      </c>
      <c r="J664" s="438"/>
      <c r="K664" s="459" t="s">
        <v>1610</v>
      </c>
      <c r="L664" s="459"/>
      <c r="M664" s="459"/>
      <c r="N664" s="438"/>
      <c r="O664" s="473" t="s">
        <v>5</v>
      </c>
      <c r="P664" s="373"/>
      <c r="Q664" s="373"/>
      <c r="R664" s="373"/>
      <c r="S664" s="373"/>
    </row>
    <row r="665" spans="1:19" x14ac:dyDescent="0.2">
      <c r="A665" s="379"/>
      <c r="B665" s="369"/>
      <c r="C665" s="369"/>
      <c r="D665" s="396" t="s">
        <v>5</v>
      </c>
      <c r="G665" s="373"/>
      <c r="H665" s="390"/>
      <c r="I665" s="391" t="s">
        <v>1097</v>
      </c>
      <c r="J665" s="438"/>
      <c r="K665" s="459" t="s">
        <v>1611</v>
      </c>
      <c r="L665" s="459"/>
      <c r="M665" s="459"/>
      <c r="N665" s="438"/>
      <c r="O665" s="473" t="s">
        <v>5</v>
      </c>
      <c r="P665" s="373"/>
      <c r="Q665" s="373"/>
      <c r="R665" s="373"/>
      <c r="S665" s="373"/>
    </row>
    <row r="666" spans="1:19" ht="15.75" thickBot="1" x14ac:dyDescent="0.25">
      <c r="A666" s="379"/>
      <c r="B666" s="369"/>
      <c r="C666" s="369"/>
      <c r="D666" s="396" t="s">
        <v>5</v>
      </c>
      <c r="G666" s="373"/>
      <c r="H666" s="443"/>
      <c r="I666" s="445" t="s">
        <v>1123</v>
      </c>
      <c r="J666" s="446"/>
      <c r="K666" s="447" t="s">
        <v>1612</v>
      </c>
      <c r="L666" s="447"/>
      <c r="M666" s="447"/>
      <c r="N666" s="446"/>
      <c r="O666" s="501" t="s">
        <v>5</v>
      </c>
      <c r="P666" s="373"/>
      <c r="Q666" s="373"/>
      <c r="R666" s="373"/>
      <c r="S666" s="373"/>
    </row>
    <row r="667" spans="1:19" x14ac:dyDescent="0.2">
      <c r="A667" s="379"/>
      <c r="B667" s="369"/>
      <c r="C667" s="369"/>
      <c r="D667" s="396"/>
      <c r="G667" s="399"/>
      <c r="H667" s="449"/>
      <c r="I667" s="397"/>
      <c r="J667" s="399"/>
      <c r="K667" s="400"/>
      <c r="L667" s="400"/>
      <c r="M667" s="400"/>
      <c r="N667" s="399"/>
      <c r="O667" s="507"/>
      <c r="P667" s="399"/>
      <c r="Q667" s="399"/>
      <c r="R667" s="399"/>
      <c r="S667" s="399"/>
    </row>
    <row r="668" spans="1:19" x14ac:dyDescent="0.2">
      <c r="A668" s="379"/>
      <c r="B668" s="369"/>
      <c r="C668" s="369"/>
      <c r="D668" s="396"/>
      <c r="G668" s="399"/>
      <c r="H668" s="449"/>
      <c r="I668" s="397"/>
      <c r="J668" s="399"/>
      <c r="K668" s="400"/>
      <c r="L668" s="400"/>
      <c r="M668" s="400"/>
      <c r="N668" s="399"/>
      <c r="O668" s="507"/>
      <c r="P668" s="399"/>
      <c r="Q668" s="399"/>
      <c r="R668" s="399"/>
      <c r="S668" s="399"/>
    </row>
    <row r="669" spans="1:19" x14ac:dyDescent="0.2">
      <c r="A669" s="379"/>
      <c r="B669" s="369"/>
      <c r="C669" s="369"/>
      <c r="D669" s="396"/>
      <c r="G669" s="399"/>
      <c r="H669" s="449"/>
      <c r="I669" s="397"/>
      <c r="J669" s="399"/>
      <c r="K669" s="400"/>
      <c r="L669" s="400"/>
      <c r="M669" s="400"/>
      <c r="N669" s="399"/>
      <c r="O669" s="507"/>
      <c r="P669" s="399"/>
      <c r="Q669" s="399"/>
      <c r="R669" s="399"/>
      <c r="S669" s="399"/>
    </row>
    <row r="670" spans="1:19" x14ac:dyDescent="0.2">
      <c r="A670" s="379">
        <v>81</v>
      </c>
      <c r="B670" s="369" t="s">
        <v>1613</v>
      </c>
      <c r="C670" s="369" t="s">
        <v>1614</v>
      </c>
      <c r="D670" s="396"/>
      <c r="G670" s="546"/>
      <c r="H670" s="417">
        <v>81</v>
      </c>
      <c r="I670" s="419"/>
      <c r="J670" s="430"/>
      <c r="K670" s="487" t="s">
        <v>1614</v>
      </c>
      <c r="L670" s="430"/>
      <c r="M670" s="430"/>
      <c r="N670" s="430"/>
      <c r="O670" s="441"/>
      <c r="P670" s="373"/>
      <c r="Q670" s="388">
        <f>H670</f>
        <v>81</v>
      </c>
      <c r="R670" s="378" t="str">
        <f>CONCATENATE("II-",TEXT(Q670,"0000"))</f>
        <v>II-0081</v>
      </c>
      <c r="S670" s="389" t="str">
        <f>K670</f>
        <v>TERRAPLEN</v>
      </c>
    </row>
    <row r="671" spans="1:19" x14ac:dyDescent="0.2">
      <c r="A671" s="379"/>
      <c r="B671" s="369"/>
      <c r="C671" s="369"/>
      <c r="D671" s="396"/>
      <c r="G671" s="373"/>
      <c r="H671" s="390"/>
      <c r="I671" s="391" t="s">
        <v>1060</v>
      </c>
      <c r="J671" s="399"/>
      <c r="K671" s="400" t="s">
        <v>1615</v>
      </c>
      <c r="L671" s="399"/>
      <c r="M671" s="399"/>
      <c r="N671" s="399"/>
      <c r="O671" s="432"/>
      <c r="P671" s="373"/>
      <c r="Q671" s="373"/>
      <c r="R671" s="373"/>
      <c r="S671" s="373"/>
    </row>
    <row r="672" spans="1:19" x14ac:dyDescent="0.2">
      <c r="A672" s="379"/>
      <c r="B672" s="369"/>
      <c r="C672" s="369"/>
      <c r="D672" s="396" t="s">
        <v>1171</v>
      </c>
      <c r="G672" s="373"/>
      <c r="H672" s="390"/>
      <c r="I672" s="397"/>
      <c r="J672" s="398">
        <v>1</v>
      </c>
      <c r="K672" s="399"/>
      <c r="L672" s="400" t="s">
        <v>1616</v>
      </c>
      <c r="M672" s="399"/>
      <c r="N672" s="399"/>
      <c r="O672" s="432" t="s">
        <v>1171</v>
      </c>
      <c r="P672" s="373"/>
      <c r="Q672" s="373"/>
      <c r="R672" s="373"/>
      <c r="S672" s="373"/>
    </row>
    <row r="673" spans="1:19" x14ac:dyDescent="0.2">
      <c r="A673" s="379"/>
      <c r="B673" s="369"/>
      <c r="C673" s="369"/>
      <c r="D673" s="396" t="s">
        <v>1171</v>
      </c>
      <c r="G673" s="373"/>
      <c r="H673" s="390"/>
      <c r="I673" s="409"/>
      <c r="J673" s="404">
        <v>2</v>
      </c>
      <c r="K673" s="405"/>
      <c r="L673" s="406" t="s">
        <v>1617</v>
      </c>
      <c r="M673" s="405"/>
      <c r="N673" s="405"/>
      <c r="O673" s="451" t="s">
        <v>1171</v>
      </c>
      <c r="P673" s="373"/>
      <c r="Q673" s="373"/>
      <c r="R673" s="373"/>
      <c r="S673" s="373"/>
    </row>
    <row r="674" spans="1:19" x14ac:dyDescent="0.2">
      <c r="A674" s="379"/>
      <c r="B674" s="369"/>
      <c r="C674" s="369"/>
      <c r="D674" s="396"/>
      <c r="G674" s="373"/>
      <c r="H674" s="390"/>
      <c r="I674" s="391" t="s">
        <v>1087</v>
      </c>
      <c r="J674" s="399"/>
      <c r="K674" s="400" t="s">
        <v>1618</v>
      </c>
      <c r="L674" s="399"/>
      <c r="M674" s="399"/>
      <c r="N674" s="399"/>
      <c r="O674" s="432"/>
      <c r="P674" s="373"/>
      <c r="Q674" s="373"/>
      <c r="R674" s="373"/>
      <c r="S674" s="373"/>
    </row>
    <row r="675" spans="1:19" x14ac:dyDescent="0.2">
      <c r="A675" s="379"/>
      <c r="B675" s="369"/>
      <c r="C675" s="369"/>
      <c r="D675" s="396" t="s">
        <v>1171</v>
      </c>
      <c r="G675" s="373"/>
      <c r="H675" s="390"/>
      <c r="I675" s="397"/>
      <c r="J675" s="398">
        <v>1</v>
      </c>
      <c r="K675" s="399"/>
      <c r="L675" s="400" t="s">
        <v>1619</v>
      </c>
      <c r="M675" s="399"/>
      <c r="N675" s="399"/>
      <c r="O675" s="432" t="s">
        <v>1171</v>
      </c>
      <c r="P675" s="373"/>
      <c r="Q675" s="373"/>
      <c r="R675" s="373"/>
      <c r="S675" s="373"/>
    </row>
    <row r="676" spans="1:19" ht="15.75" thickBot="1" x14ac:dyDescent="0.25">
      <c r="A676" s="379"/>
      <c r="B676" s="369"/>
      <c r="C676" s="369"/>
      <c r="D676" s="396" t="s">
        <v>1171</v>
      </c>
      <c r="G676" s="373"/>
      <c r="H676" s="390"/>
      <c r="I676" s="397"/>
      <c r="J676" s="412">
        <v>2</v>
      </c>
      <c r="K676" s="399"/>
      <c r="L676" s="400" t="s">
        <v>1617</v>
      </c>
      <c r="M676" s="399"/>
      <c r="N676" s="399"/>
      <c r="O676" s="432" t="s">
        <v>1171</v>
      </c>
      <c r="P676" s="373"/>
      <c r="Q676" s="373"/>
      <c r="R676" s="373"/>
      <c r="S676" s="373"/>
    </row>
    <row r="677" spans="1:19" ht="16.5" thickTop="1" thickBot="1" x14ac:dyDescent="0.25">
      <c r="A677" s="379">
        <v>82</v>
      </c>
      <c r="B677" s="369" t="s">
        <v>1620</v>
      </c>
      <c r="C677" s="369" t="s">
        <v>1621</v>
      </c>
      <c r="D677" s="396" t="s">
        <v>1254</v>
      </c>
      <c r="G677" s="373"/>
      <c r="H677" s="514">
        <v>82</v>
      </c>
      <c r="I677" s="515"/>
      <c r="J677" s="516"/>
      <c r="K677" s="517" t="s">
        <v>1621</v>
      </c>
      <c r="L677" s="516"/>
      <c r="M677" s="516"/>
      <c r="N677" s="516"/>
      <c r="O677" s="518" t="s">
        <v>1254</v>
      </c>
      <c r="P677" s="373"/>
      <c r="Q677" s="388">
        <f t="shared" ref="Q677:Q678" si="66">H677</f>
        <v>82</v>
      </c>
      <c r="R677" s="378" t="str">
        <f t="shared" ref="R677:R678" si="67">CONCATENATE("II-",TEXT(Q677,"0000"))</f>
        <v>II-0082</v>
      </c>
      <c r="S677" s="389" t="str">
        <f t="shared" ref="S677:S678" si="68">K677</f>
        <v>TEXTURIZADO (SUPERFICIE DE RODAMIENTO)</v>
      </c>
    </row>
    <row r="678" spans="1:19" ht="15.75" thickTop="1" x14ac:dyDescent="0.2">
      <c r="A678" s="379">
        <v>83</v>
      </c>
      <c r="B678" s="369" t="s">
        <v>1622</v>
      </c>
      <c r="C678" s="369" t="s">
        <v>1623</v>
      </c>
      <c r="D678" s="396"/>
      <c r="G678" s="373"/>
      <c r="H678" s="417">
        <v>83</v>
      </c>
      <c r="I678" s="419"/>
      <c r="J678" s="419"/>
      <c r="K678" s="429" t="s">
        <v>1623</v>
      </c>
      <c r="L678" s="430"/>
      <c r="M678" s="430"/>
      <c r="N678" s="430"/>
      <c r="O678" s="441"/>
      <c r="P678" s="373"/>
      <c r="Q678" s="388">
        <f t="shared" si="66"/>
        <v>83</v>
      </c>
      <c r="R678" s="378" t="str">
        <f t="shared" si="67"/>
        <v>II-0083</v>
      </c>
      <c r="S678" s="389" t="str">
        <f t="shared" si="68"/>
        <v>TRABAJOS NO ESPECIFICADOS O DE EMERGENCIA</v>
      </c>
    </row>
    <row r="679" spans="1:19" x14ac:dyDescent="0.2">
      <c r="A679" s="379"/>
      <c r="B679" s="369"/>
      <c r="C679" s="369"/>
      <c r="D679" s="396" t="s">
        <v>921</v>
      </c>
      <c r="G679" s="373"/>
      <c r="H679" s="390"/>
      <c r="I679" s="525" t="s">
        <v>1060</v>
      </c>
      <c r="J679" s="397"/>
      <c r="K679" s="547" t="s">
        <v>1624</v>
      </c>
      <c r="L679" s="399"/>
      <c r="M679" s="399"/>
      <c r="N679" s="399"/>
      <c r="O679" s="432" t="s">
        <v>921</v>
      </c>
      <c r="P679" s="373"/>
      <c r="Q679" s="373"/>
      <c r="R679" s="373"/>
      <c r="S679" s="373"/>
    </row>
    <row r="680" spans="1:19" x14ac:dyDescent="0.2">
      <c r="A680" s="379"/>
      <c r="B680" s="369"/>
      <c r="C680" s="369"/>
      <c r="D680" s="396" t="s">
        <v>921</v>
      </c>
      <c r="G680" s="373"/>
      <c r="H680" s="390"/>
      <c r="I680" s="391" t="s">
        <v>1087</v>
      </c>
      <c r="J680" s="526"/>
      <c r="K680" s="459" t="s">
        <v>1625</v>
      </c>
      <c r="L680" s="459"/>
      <c r="M680" s="438"/>
      <c r="N680" s="438"/>
      <c r="O680" s="473" t="s">
        <v>921</v>
      </c>
      <c r="P680" s="373"/>
      <c r="Q680" s="373"/>
      <c r="R680" s="373"/>
      <c r="S680" s="373"/>
    </row>
    <row r="681" spans="1:19" x14ac:dyDescent="0.2">
      <c r="A681" s="379"/>
      <c r="B681" s="369"/>
      <c r="C681" s="369"/>
      <c r="D681" s="396" t="s">
        <v>921</v>
      </c>
      <c r="G681" s="373"/>
      <c r="H681" s="390"/>
      <c r="I681" s="398" t="s">
        <v>1097</v>
      </c>
      <c r="J681" s="397"/>
      <c r="K681" s="547" t="s">
        <v>1626</v>
      </c>
      <c r="L681" s="400"/>
      <c r="M681" s="399"/>
      <c r="N681" s="399"/>
      <c r="O681" s="432" t="s">
        <v>921</v>
      </c>
      <c r="P681" s="373"/>
      <c r="Q681" s="373"/>
      <c r="R681" s="373"/>
      <c r="S681" s="373"/>
    </row>
    <row r="682" spans="1:19" x14ac:dyDescent="0.2">
      <c r="A682" s="379"/>
      <c r="B682" s="369"/>
      <c r="C682" s="369"/>
      <c r="D682" s="396" t="s">
        <v>921</v>
      </c>
      <c r="G682" s="373"/>
      <c r="H682" s="390"/>
      <c r="I682" s="391" t="s">
        <v>1123</v>
      </c>
      <c r="J682" s="526"/>
      <c r="K682" s="548" t="s">
        <v>1627</v>
      </c>
      <c r="L682" s="459"/>
      <c r="M682" s="438"/>
      <c r="N682" s="438"/>
      <c r="O682" s="473" t="s">
        <v>921</v>
      </c>
      <c r="P682" s="373"/>
      <c r="Q682" s="373"/>
      <c r="R682" s="373"/>
      <c r="S682" s="373"/>
    </row>
    <row r="683" spans="1:19" x14ac:dyDescent="0.2">
      <c r="A683" s="379"/>
      <c r="B683" s="369"/>
      <c r="C683" s="369"/>
      <c r="D683" s="396" t="s">
        <v>921</v>
      </c>
      <c r="G683" s="373"/>
      <c r="H683" s="390"/>
      <c r="I683" s="398" t="s">
        <v>1165</v>
      </c>
      <c r="J683" s="397"/>
      <c r="K683" s="547" t="s">
        <v>1628</v>
      </c>
      <c r="L683" s="477"/>
      <c r="M683" s="399"/>
      <c r="N683" s="399"/>
      <c r="O683" s="432" t="s">
        <v>921</v>
      </c>
      <c r="P683" s="373"/>
      <c r="Q683" s="373"/>
      <c r="R683" s="373"/>
      <c r="S683" s="373"/>
    </row>
    <row r="684" spans="1:19" ht="15.75" thickBot="1" x14ac:dyDescent="0.25">
      <c r="A684" s="379"/>
      <c r="B684" s="369"/>
      <c r="C684" s="369"/>
      <c r="D684" s="396" t="s">
        <v>921</v>
      </c>
      <c r="G684" s="373"/>
      <c r="H684" s="410"/>
      <c r="I684" s="422" t="s">
        <v>1168</v>
      </c>
      <c r="J684" s="423"/>
      <c r="K684" s="549" t="s">
        <v>1629</v>
      </c>
      <c r="L684" s="550"/>
      <c r="M684" s="425"/>
      <c r="N684" s="425"/>
      <c r="O684" s="499" t="s">
        <v>921</v>
      </c>
      <c r="P684" s="373"/>
      <c r="Q684" s="373"/>
      <c r="R684" s="373"/>
      <c r="S684" s="373"/>
    </row>
    <row r="685" spans="1:19" ht="15.75" thickTop="1" x14ac:dyDescent="0.2">
      <c r="A685" s="379">
        <v>84</v>
      </c>
      <c r="B685" s="369" t="s">
        <v>1630</v>
      </c>
      <c r="C685" s="369" t="s">
        <v>1631</v>
      </c>
      <c r="D685" s="396"/>
      <c r="G685" s="373"/>
      <c r="H685" s="417">
        <v>84</v>
      </c>
      <c r="I685" s="419"/>
      <c r="J685" s="430"/>
      <c r="K685" s="487" t="s">
        <v>1631</v>
      </c>
      <c r="L685" s="430"/>
      <c r="M685" s="430"/>
      <c r="N685" s="430"/>
      <c r="O685" s="441"/>
      <c r="P685" s="373"/>
      <c r="Q685" s="388">
        <f>H685</f>
        <v>84</v>
      </c>
      <c r="R685" s="378" t="str">
        <f>CONCATENATE("II-",TEXT(Q685,"0000"))</f>
        <v>II-0084</v>
      </c>
      <c r="S685" s="389" t="str">
        <f>K685</f>
        <v xml:space="preserve">TRANSPORTE </v>
      </c>
    </row>
    <row r="686" spans="1:19" x14ac:dyDescent="0.2">
      <c r="A686" s="379"/>
      <c r="B686" s="369"/>
      <c r="C686" s="369"/>
      <c r="D686" s="396" t="s">
        <v>1632</v>
      </c>
      <c r="G686" s="373"/>
      <c r="H686" s="390"/>
      <c r="I686" s="391" t="s">
        <v>1060</v>
      </c>
      <c r="J686" s="526"/>
      <c r="K686" s="459" t="s">
        <v>1425</v>
      </c>
      <c r="L686" s="438"/>
      <c r="M686" s="438"/>
      <c r="N686" s="438"/>
      <c r="O686" s="473" t="s">
        <v>1632</v>
      </c>
      <c r="P686" s="373"/>
      <c r="Q686" s="373"/>
      <c r="R686" s="373"/>
      <c r="S686" s="373"/>
    </row>
    <row r="687" spans="1:19" ht="15.75" thickBot="1" x14ac:dyDescent="0.25">
      <c r="A687" s="379"/>
      <c r="B687" s="369"/>
      <c r="C687" s="369"/>
      <c r="D687" s="396" t="s">
        <v>1633</v>
      </c>
      <c r="G687" s="373"/>
      <c r="H687" s="390"/>
      <c r="I687" s="412" t="s">
        <v>1087</v>
      </c>
      <c r="J687" s="397"/>
      <c r="K687" s="400" t="s">
        <v>1426</v>
      </c>
      <c r="L687" s="399"/>
      <c r="M687" s="399"/>
      <c r="N687" s="399"/>
      <c r="O687" s="432" t="s">
        <v>1633</v>
      </c>
      <c r="P687" s="373"/>
      <c r="Q687" s="373"/>
      <c r="R687" s="373"/>
      <c r="S687" s="373"/>
    </row>
    <row r="688" spans="1:19" ht="15.75" thickTop="1" x14ac:dyDescent="0.2">
      <c r="A688" s="379">
        <v>85</v>
      </c>
      <c r="B688" s="369" t="s">
        <v>1634</v>
      </c>
      <c r="C688" s="369" t="s">
        <v>1635</v>
      </c>
      <c r="D688" s="396"/>
      <c r="G688" s="373"/>
      <c r="H688" s="468">
        <v>85</v>
      </c>
      <c r="I688" s="418"/>
      <c r="J688" s="478"/>
      <c r="K688" s="479" t="s">
        <v>1635</v>
      </c>
      <c r="L688" s="478"/>
      <c r="M688" s="478"/>
      <c r="N688" s="478"/>
      <c r="O688" s="420"/>
      <c r="P688" s="373"/>
      <c r="Q688" s="388">
        <f>H688</f>
        <v>85</v>
      </c>
      <c r="R688" s="378" t="str">
        <f>CONCATENATE("II-",TEXT(Q688,"0000"))</f>
        <v>II-0085</v>
      </c>
      <c r="S688" s="389" t="str">
        <f>K688</f>
        <v>TRANQUERA</v>
      </c>
    </row>
    <row r="689" spans="1:19" x14ac:dyDescent="0.2">
      <c r="A689" s="379">
        <v>1</v>
      </c>
      <c r="B689" s="380" t="str">
        <f>CONCATENATE($B$688,".",TEXT(A689,"0000"))</f>
        <v>II-0085.0001</v>
      </c>
      <c r="C689" s="369" t="s">
        <v>1636</v>
      </c>
      <c r="D689" s="396" t="s">
        <v>1288</v>
      </c>
      <c r="G689" s="373"/>
      <c r="H689" s="390"/>
      <c r="I689" s="391" t="s">
        <v>1060</v>
      </c>
      <c r="J689" s="438"/>
      <c r="K689" s="459" t="s">
        <v>1637</v>
      </c>
      <c r="L689" s="459"/>
      <c r="M689" s="459"/>
      <c r="N689" s="459"/>
      <c r="O689" s="473" t="s">
        <v>1288</v>
      </c>
      <c r="P689" s="373"/>
      <c r="Q689" s="373"/>
      <c r="R689" s="373"/>
      <c r="S689" s="373"/>
    </row>
    <row r="690" spans="1:19" ht="15.75" thickBot="1" x14ac:dyDescent="0.25">
      <c r="A690" s="379">
        <v>2</v>
      </c>
      <c r="B690" s="380" t="str">
        <f>CONCATENATE($B$688,".",TEXT(A690,"0000"))</f>
        <v>II-0085.0002</v>
      </c>
      <c r="C690" s="369" t="s">
        <v>1638</v>
      </c>
      <c r="D690" s="396" t="s">
        <v>1288</v>
      </c>
      <c r="G690" s="373"/>
      <c r="H690" s="410"/>
      <c r="I690" s="412" t="s">
        <v>1087</v>
      </c>
      <c r="J690" s="413"/>
      <c r="K690" s="414" t="s">
        <v>1639</v>
      </c>
      <c r="L690" s="414"/>
      <c r="M690" s="414"/>
      <c r="N690" s="414"/>
      <c r="O690" s="498" t="s">
        <v>1288</v>
      </c>
      <c r="P690" s="373"/>
      <c r="Q690" s="373"/>
      <c r="R690" s="373"/>
      <c r="S690" s="373"/>
    </row>
    <row r="691" spans="1:19" ht="15.75" thickTop="1" x14ac:dyDescent="0.2">
      <c r="A691" s="379">
        <v>86</v>
      </c>
      <c r="B691" s="369" t="s">
        <v>1640</v>
      </c>
      <c r="C691" s="369" t="s">
        <v>1641</v>
      </c>
      <c r="D691" s="396"/>
      <c r="G691" s="373"/>
      <c r="H691" s="468">
        <v>86</v>
      </c>
      <c r="I691" s="418"/>
      <c r="J691" s="478"/>
      <c r="K691" s="479" t="s">
        <v>1641</v>
      </c>
      <c r="L691" s="478"/>
      <c r="M691" s="478"/>
      <c r="N691" s="478"/>
      <c r="O691" s="420"/>
      <c r="P691" s="373"/>
      <c r="Q691" s="388">
        <f>H691</f>
        <v>86</v>
      </c>
      <c r="R691" s="378" t="str">
        <f>CONCATENATE("II-",TEXT(Q691,"0000"))</f>
        <v>II-0086</v>
      </c>
      <c r="S691" s="389" t="str">
        <f>K691</f>
        <v>TRATAMIENTO BITUMINOSO</v>
      </c>
    </row>
    <row r="692" spans="1:19" x14ac:dyDescent="0.2">
      <c r="A692" s="379"/>
      <c r="B692" s="369"/>
      <c r="C692" s="369"/>
      <c r="D692" s="396" t="s">
        <v>1254</v>
      </c>
      <c r="G692" s="373"/>
      <c r="H692" s="390"/>
      <c r="I692" s="391" t="s">
        <v>1060</v>
      </c>
      <c r="J692" s="438"/>
      <c r="K692" s="459" t="s">
        <v>1642</v>
      </c>
      <c r="L692" s="438"/>
      <c r="M692" s="438"/>
      <c r="N692" s="438"/>
      <c r="O692" s="473" t="s">
        <v>1254</v>
      </c>
      <c r="P692" s="373"/>
      <c r="Q692" s="373"/>
      <c r="R692" s="373"/>
      <c r="S692" s="373"/>
    </row>
    <row r="693" spans="1:19" x14ac:dyDescent="0.2">
      <c r="A693" s="379"/>
      <c r="B693" s="369"/>
      <c r="C693" s="369"/>
      <c r="D693" s="396" t="s">
        <v>1254</v>
      </c>
      <c r="G693" s="373"/>
      <c r="H693" s="390"/>
      <c r="I693" s="398" t="s">
        <v>1087</v>
      </c>
      <c r="J693" s="399"/>
      <c r="K693" s="400" t="s">
        <v>1643</v>
      </c>
      <c r="L693" s="399"/>
      <c r="M693" s="399"/>
      <c r="N693" s="399"/>
      <c r="O693" s="432" t="s">
        <v>1254</v>
      </c>
      <c r="P693" s="373"/>
      <c r="Q693" s="373"/>
      <c r="R693" s="373"/>
      <c r="S693" s="373"/>
    </row>
    <row r="694" spans="1:19" x14ac:dyDescent="0.2">
      <c r="A694" s="379"/>
      <c r="B694" s="369"/>
      <c r="C694" s="369"/>
      <c r="D694" s="396" t="s">
        <v>1254</v>
      </c>
      <c r="G694" s="373"/>
      <c r="H694" s="390"/>
      <c r="I694" s="391" t="s">
        <v>1097</v>
      </c>
      <c r="J694" s="438"/>
      <c r="K694" s="459" t="s">
        <v>1644</v>
      </c>
      <c r="L694" s="438"/>
      <c r="M694" s="438"/>
      <c r="N694" s="438"/>
      <c r="O694" s="473" t="s">
        <v>1254</v>
      </c>
      <c r="P694" s="373"/>
      <c r="Q694" s="373"/>
      <c r="R694" s="373"/>
      <c r="S694" s="373"/>
    </row>
    <row r="695" spans="1:19" x14ac:dyDescent="0.2">
      <c r="A695" s="379"/>
      <c r="B695" s="369"/>
      <c r="C695" s="369"/>
      <c r="D695" s="396" t="s">
        <v>1254</v>
      </c>
      <c r="G695" s="373"/>
      <c r="H695" s="390"/>
      <c r="I695" s="398" t="s">
        <v>1123</v>
      </c>
      <c r="J695" s="399"/>
      <c r="K695" s="400" t="s">
        <v>1353</v>
      </c>
      <c r="L695" s="399"/>
      <c r="M695" s="399"/>
      <c r="N695" s="399"/>
      <c r="O695" s="432" t="s">
        <v>1254</v>
      </c>
      <c r="P695" s="373"/>
      <c r="Q695" s="373"/>
      <c r="R695" s="373"/>
      <c r="S695" s="373"/>
    </row>
    <row r="696" spans="1:19" x14ac:dyDescent="0.2">
      <c r="A696" s="379"/>
      <c r="B696" s="369"/>
      <c r="C696" s="369"/>
      <c r="D696" s="396" t="s">
        <v>1254</v>
      </c>
      <c r="G696" s="373"/>
      <c r="H696" s="390"/>
      <c r="I696" s="391" t="s">
        <v>1165</v>
      </c>
      <c r="J696" s="438"/>
      <c r="K696" s="459" t="s">
        <v>1645</v>
      </c>
      <c r="L696" s="438"/>
      <c r="M696" s="438"/>
      <c r="N696" s="438"/>
      <c r="O696" s="473" t="s">
        <v>1254</v>
      </c>
      <c r="P696" s="373"/>
      <c r="Q696" s="373"/>
      <c r="R696" s="373"/>
      <c r="S696" s="373"/>
    </row>
    <row r="697" spans="1:19" x14ac:dyDescent="0.2">
      <c r="A697" s="379"/>
      <c r="B697" s="369"/>
      <c r="C697" s="369"/>
      <c r="D697" s="396" t="s">
        <v>1254</v>
      </c>
      <c r="G697" s="373"/>
      <c r="H697" s="390"/>
      <c r="I697" s="391" t="s">
        <v>1168</v>
      </c>
      <c r="J697" s="438"/>
      <c r="K697" s="459" t="s">
        <v>1646</v>
      </c>
      <c r="L697" s="438"/>
      <c r="M697" s="438"/>
      <c r="N697" s="438"/>
      <c r="O697" s="473" t="s">
        <v>1254</v>
      </c>
      <c r="P697" s="373"/>
      <c r="Q697" s="373"/>
      <c r="R697" s="373"/>
      <c r="S697" s="373"/>
    </row>
    <row r="698" spans="1:19" ht="15.75" thickBot="1" x14ac:dyDescent="0.25">
      <c r="A698" s="379"/>
      <c r="B698" s="369"/>
      <c r="C698" s="369"/>
      <c r="D698" s="396" t="s">
        <v>1254</v>
      </c>
      <c r="G698" s="373"/>
      <c r="H698" s="390"/>
      <c r="I698" s="412" t="s">
        <v>1172</v>
      </c>
      <c r="J698" s="399"/>
      <c r="K698" s="400" t="s">
        <v>1647</v>
      </c>
      <c r="L698" s="399"/>
      <c r="M698" s="399"/>
      <c r="N698" s="399"/>
      <c r="O698" s="432" t="s">
        <v>1254</v>
      </c>
      <c r="P698" s="373"/>
      <c r="Q698" s="373"/>
      <c r="R698" s="373"/>
      <c r="S698" s="373"/>
    </row>
    <row r="699" spans="1:19" ht="15.75" thickTop="1" x14ac:dyDescent="0.2">
      <c r="A699" s="379">
        <v>87</v>
      </c>
      <c r="B699" s="369" t="s">
        <v>1648</v>
      </c>
      <c r="C699" s="369" t="s">
        <v>1649</v>
      </c>
      <c r="D699" s="396"/>
      <c r="G699" s="373"/>
      <c r="H699" s="468">
        <v>87</v>
      </c>
      <c r="I699" s="469"/>
      <c r="J699" s="470"/>
      <c r="K699" s="533" t="s">
        <v>1649</v>
      </c>
      <c r="L699" s="470"/>
      <c r="M699" s="470"/>
      <c r="N699" s="470"/>
      <c r="O699" s="472"/>
      <c r="P699" s="373"/>
      <c r="Q699" s="388">
        <f>H699</f>
        <v>87</v>
      </c>
      <c r="R699" s="378" t="str">
        <f>CONCATENATE("II-",TEXT(Q699,"0000"))</f>
        <v>II-0087</v>
      </c>
      <c r="S699" s="389" t="str">
        <f>K699</f>
        <v>TOMA DE JUNTA</v>
      </c>
    </row>
    <row r="700" spans="1:19" x14ac:dyDescent="0.2">
      <c r="A700" s="379"/>
      <c r="B700" s="369"/>
      <c r="C700" s="369"/>
      <c r="D700" s="396" t="s">
        <v>1296</v>
      </c>
      <c r="G700" s="452"/>
      <c r="H700" s="390"/>
      <c r="I700" s="391" t="s">
        <v>1060</v>
      </c>
      <c r="J700" s="438"/>
      <c r="K700" s="459" t="s">
        <v>1650</v>
      </c>
      <c r="L700" s="459"/>
      <c r="M700" s="459"/>
      <c r="N700" s="459"/>
      <c r="O700" s="473" t="s">
        <v>1296</v>
      </c>
      <c r="P700" s="452"/>
      <c r="Q700" s="452"/>
      <c r="R700" s="452"/>
      <c r="S700" s="452"/>
    </row>
    <row r="701" spans="1:19" ht="15.75" thickBot="1" x14ac:dyDescent="0.25">
      <c r="A701" s="379"/>
      <c r="B701" s="369"/>
      <c r="C701" s="369"/>
      <c r="D701" s="396" t="s">
        <v>1296</v>
      </c>
      <c r="G701" s="452"/>
      <c r="H701" s="460"/>
      <c r="I701" s="412" t="s">
        <v>1087</v>
      </c>
      <c r="J701" s="413"/>
      <c r="K701" s="414" t="s">
        <v>1476</v>
      </c>
      <c r="L701" s="414"/>
      <c r="M701" s="414"/>
      <c r="N701" s="414"/>
      <c r="O701" s="498" t="s">
        <v>1296</v>
      </c>
      <c r="P701" s="452"/>
      <c r="Q701" s="452"/>
      <c r="R701" s="452"/>
      <c r="S701" s="452"/>
    </row>
    <row r="702" spans="1:19" ht="16.5" thickTop="1" thickBot="1" x14ac:dyDescent="0.25">
      <c r="A702" s="379">
        <v>88</v>
      </c>
      <c r="B702" s="369" t="s">
        <v>1651</v>
      </c>
      <c r="C702" s="369" t="s">
        <v>1652</v>
      </c>
      <c r="D702" s="396" t="s">
        <v>1171</v>
      </c>
      <c r="G702" s="373"/>
      <c r="H702" s="417">
        <v>88</v>
      </c>
      <c r="I702" s="419"/>
      <c r="J702" s="430"/>
      <c r="K702" s="487" t="s">
        <v>1652</v>
      </c>
      <c r="L702" s="430"/>
      <c r="M702" s="430"/>
      <c r="N702" s="430"/>
      <c r="O702" s="441" t="s">
        <v>1171</v>
      </c>
      <c r="P702" s="373"/>
      <c r="Q702" s="388">
        <f t="shared" ref="Q702:Q703" si="69">H702</f>
        <v>88</v>
      </c>
      <c r="R702" s="378" t="str">
        <f t="shared" ref="R702:R703" si="70">CONCATENATE("II-",TEXT(Q702,"0000"))</f>
        <v>II-0088</v>
      </c>
      <c r="S702" s="389" t="str">
        <f t="shared" ref="S702:S703" si="71">K702</f>
        <v>TOSCAPLEN</v>
      </c>
    </row>
    <row r="703" spans="1:19" ht="16.5" thickTop="1" thickBot="1" x14ac:dyDescent="0.25">
      <c r="A703" s="379">
        <v>89</v>
      </c>
      <c r="B703" s="369" t="s">
        <v>1653</v>
      </c>
      <c r="C703" s="369" t="s">
        <v>1654</v>
      </c>
      <c r="D703" s="396" t="s">
        <v>1514</v>
      </c>
      <c r="G703" s="373"/>
      <c r="H703" s="480">
        <v>89</v>
      </c>
      <c r="I703" s="481"/>
      <c r="J703" s="482"/>
      <c r="K703" s="483" t="s">
        <v>1654</v>
      </c>
      <c r="L703" s="482"/>
      <c r="M703" s="482"/>
      <c r="N703" s="482"/>
      <c r="O703" s="484" t="s">
        <v>1514</v>
      </c>
      <c r="P703" s="373"/>
      <c r="Q703" s="388">
        <f t="shared" si="69"/>
        <v>89</v>
      </c>
      <c r="R703" s="378" t="str">
        <f t="shared" si="70"/>
        <v>II-0089</v>
      </c>
      <c r="S703" s="389" t="str">
        <f t="shared" si="71"/>
        <v>VIVENDA PERSONAL DE SUPERVICION</v>
      </c>
    </row>
    <row r="704" spans="1:19" x14ac:dyDescent="0.2">
      <c r="A704" s="379"/>
      <c r="B704" s="369"/>
      <c r="C704" s="369"/>
      <c r="D704" s="396"/>
      <c r="G704" s="373"/>
      <c r="H704" s="551"/>
      <c r="I704" s="378"/>
      <c r="J704" s="373"/>
      <c r="K704" s="373"/>
      <c r="L704" s="373"/>
      <c r="M704" s="373"/>
      <c r="N704" s="373"/>
      <c r="O704" s="376"/>
      <c r="P704" s="373"/>
      <c r="Q704" s="373"/>
      <c r="R704" s="373"/>
      <c r="S704" s="373"/>
    </row>
    <row r="705" spans="1:19" x14ac:dyDescent="0.2">
      <c r="A705" s="379"/>
      <c r="B705" s="369"/>
      <c r="C705" s="369"/>
      <c r="D705" s="396"/>
      <c r="G705" s="373"/>
      <c r="H705" s="551"/>
      <c r="I705" s="378"/>
      <c r="J705" s="373"/>
      <c r="K705" s="373"/>
      <c r="L705" s="373"/>
      <c r="M705" s="373"/>
      <c r="N705" s="373"/>
      <c r="O705" s="376"/>
      <c r="P705" s="373"/>
      <c r="Q705" s="373"/>
      <c r="R705" s="373"/>
      <c r="S705" s="373"/>
    </row>
    <row r="706" spans="1:19" x14ac:dyDescent="0.2">
      <c r="A706" s="379"/>
      <c r="B706" s="369"/>
      <c r="C706" s="369"/>
      <c r="D706" s="396"/>
      <c r="G706" s="373"/>
      <c r="H706" s="551"/>
      <c r="I706" s="378"/>
      <c r="J706" s="373"/>
      <c r="K706" s="373"/>
      <c r="L706" s="373"/>
      <c r="M706" s="373"/>
      <c r="N706" s="373"/>
      <c r="O706" s="376"/>
      <c r="P706" s="373"/>
      <c r="Q706" s="373"/>
      <c r="R706" s="373"/>
      <c r="S706" s="373"/>
    </row>
    <row r="707" spans="1:19" x14ac:dyDescent="0.2">
      <c r="A707" s="379"/>
      <c r="B707" s="369"/>
      <c r="C707" s="369"/>
      <c r="D707" s="396"/>
      <c r="G707" s="373"/>
      <c r="H707" s="551"/>
      <c r="I707" s="378"/>
      <c r="J707" s="373"/>
      <c r="K707" s="373"/>
      <c r="L707" s="373"/>
      <c r="M707" s="373"/>
      <c r="N707" s="373"/>
      <c r="O707" s="376"/>
      <c r="P707" s="373"/>
      <c r="Q707" s="373"/>
      <c r="R707" s="373"/>
      <c r="S707" s="373"/>
    </row>
    <row r="708" spans="1:19" x14ac:dyDescent="0.2">
      <c r="A708" s="379"/>
      <c r="B708" s="369"/>
      <c r="C708" s="369"/>
      <c r="D708" s="396"/>
      <c r="G708" s="373"/>
      <c r="H708" s="551"/>
      <c r="I708" s="378"/>
      <c r="J708" s="373"/>
      <c r="K708" s="373"/>
      <c r="L708" s="373"/>
      <c r="M708" s="373"/>
      <c r="N708" s="373"/>
      <c r="O708" s="376"/>
      <c r="P708" s="373"/>
      <c r="Q708" s="373"/>
      <c r="R708" s="373"/>
      <c r="S708" s="373"/>
    </row>
    <row r="709" spans="1:19" x14ac:dyDescent="0.2">
      <c r="A709" s="379"/>
      <c r="B709" s="369"/>
      <c r="C709" s="369"/>
      <c r="D709" s="396"/>
      <c r="G709" s="373"/>
      <c r="H709" s="551"/>
      <c r="I709" s="378"/>
      <c r="J709" s="373"/>
      <c r="K709" s="373"/>
      <c r="L709" s="373"/>
      <c r="M709" s="373"/>
      <c r="N709" s="373"/>
      <c r="O709" s="376"/>
      <c r="P709" s="373"/>
      <c r="Q709" s="373"/>
      <c r="R709" s="373"/>
      <c r="S709" s="373"/>
    </row>
    <row r="710" spans="1:19" x14ac:dyDescent="0.2">
      <c r="A710" s="379"/>
      <c r="B710" s="369"/>
      <c r="C710" s="369"/>
      <c r="D710" s="396"/>
      <c r="G710" s="373"/>
      <c r="H710" s="551"/>
      <c r="I710" s="378"/>
      <c r="J710" s="373"/>
      <c r="K710" s="373"/>
      <c r="L710" s="373"/>
      <c r="M710" s="373"/>
      <c r="N710" s="373"/>
      <c r="O710" s="376"/>
      <c r="P710" s="373"/>
      <c r="Q710" s="373"/>
      <c r="R710" s="373"/>
      <c r="S710" s="373"/>
    </row>
    <row r="711" spans="1:19" x14ac:dyDescent="0.2">
      <c r="A711" s="379"/>
      <c r="B711" s="369"/>
      <c r="C711" s="369"/>
      <c r="D711" s="396"/>
      <c r="G711" s="373"/>
      <c r="H711" s="551"/>
      <c r="I711" s="378"/>
      <c r="J711" s="373"/>
      <c r="K711" s="373"/>
      <c r="L711" s="373"/>
      <c r="M711" s="373"/>
      <c r="N711" s="373"/>
      <c r="O711" s="376"/>
      <c r="P711" s="373"/>
      <c r="Q711" s="373"/>
      <c r="R711" s="373"/>
      <c r="S711" s="373"/>
    </row>
    <row r="712" spans="1:19" x14ac:dyDescent="0.2">
      <c r="A712" s="379"/>
      <c r="B712" s="369"/>
      <c r="C712" s="369"/>
      <c r="D712" s="396"/>
      <c r="G712" s="373"/>
      <c r="H712" s="551"/>
      <c r="I712" s="378"/>
      <c r="J712" s="373"/>
      <c r="K712" s="373"/>
      <c r="L712" s="373"/>
      <c r="M712" s="373"/>
      <c r="N712" s="373"/>
      <c r="O712" s="376"/>
      <c r="P712" s="373"/>
      <c r="Q712" s="373"/>
      <c r="R712" s="373"/>
      <c r="S712" s="373"/>
    </row>
    <row r="713" spans="1:19" x14ac:dyDescent="0.2">
      <c r="A713" s="379"/>
      <c r="B713" s="369"/>
      <c r="C713" s="369"/>
      <c r="D713" s="396"/>
      <c r="G713" s="373"/>
      <c r="H713" s="551"/>
      <c r="I713" s="378"/>
      <c r="J713" s="373"/>
      <c r="K713" s="373"/>
      <c r="L713" s="373"/>
      <c r="M713" s="373"/>
      <c r="N713" s="373"/>
      <c r="O713" s="376"/>
      <c r="P713" s="373"/>
      <c r="Q713" s="373"/>
      <c r="R713" s="373"/>
      <c r="S713" s="373"/>
    </row>
    <row r="714" spans="1:19" x14ac:dyDescent="0.2">
      <c r="A714" s="379"/>
      <c r="B714" s="369"/>
      <c r="C714" s="369"/>
      <c r="D714" s="396"/>
      <c r="G714" s="373"/>
      <c r="H714" s="551"/>
      <c r="I714" s="378"/>
      <c r="J714" s="373"/>
      <c r="K714" s="373"/>
      <c r="L714" s="373"/>
      <c r="M714" s="373"/>
      <c r="N714" s="373"/>
      <c r="O714" s="376"/>
      <c r="P714" s="373"/>
      <c r="Q714" s="373"/>
      <c r="R714" s="373"/>
      <c r="S714" s="373"/>
    </row>
    <row r="715" spans="1:19" x14ac:dyDescent="0.2">
      <c r="A715" s="379"/>
      <c r="B715" s="369"/>
      <c r="C715" s="369"/>
      <c r="D715" s="396"/>
      <c r="G715" s="373"/>
      <c r="H715" s="551"/>
      <c r="I715" s="378"/>
      <c r="J715" s="373"/>
      <c r="K715" s="373"/>
      <c r="L715" s="373"/>
      <c r="M715" s="373"/>
      <c r="N715" s="373"/>
      <c r="O715" s="376"/>
      <c r="P715" s="373"/>
      <c r="Q715" s="373"/>
      <c r="R715" s="373"/>
      <c r="S715" s="373"/>
    </row>
    <row r="716" spans="1:19" x14ac:dyDescent="0.2">
      <c r="A716" s="379"/>
      <c r="B716" s="369"/>
      <c r="C716" s="369"/>
      <c r="D716" s="396"/>
      <c r="G716" s="373"/>
      <c r="H716" s="551"/>
      <c r="I716" s="378"/>
      <c r="J716" s="373"/>
      <c r="K716" s="373"/>
      <c r="L716" s="373"/>
      <c r="M716" s="373"/>
      <c r="N716" s="373"/>
      <c r="O716" s="376"/>
      <c r="P716" s="373"/>
      <c r="Q716" s="373"/>
      <c r="R716" s="373"/>
      <c r="S716" s="373"/>
    </row>
    <row r="717" spans="1:19" x14ac:dyDescent="0.2">
      <c r="A717" s="379"/>
      <c r="B717" s="369"/>
      <c r="C717" s="369"/>
      <c r="D717" s="396"/>
      <c r="G717" s="373"/>
      <c r="H717" s="551"/>
      <c r="I717" s="378"/>
      <c r="J717" s="373"/>
      <c r="K717" s="373"/>
      <c r="L717" s="373"/>
      <c r="M717" s="373"/>
      <c r="N717" s="373"/>
      <c r="O717" s="376"/>
      <c r="P717" s="373"/>
      <c r="Q717" s="373"/>
      <c r="R717" s="373"/>
      <c r="S717" s="373"/>
    </row>
    <row r="718" spans="1:19" x14ac:dyDescent="0.2">
      <c r="A718" s="379"/>
      <c r="B718" s="369"/>
      <c r="C718" s="369"/>
      <c r="D718" s="396"/>
      <c r="G718" s="373"/>
      <c r="H718" s="551"/>
      <c r="I718" s="378"/>
      <c r="J718" s="373"/>
      <c r="K718" s="373"/>
      <c r="L718" s="373"/>
      <c r="M718" s="373"/>
      <c r="N718" s="373"/>
      <c r="O718" s="376"/>
      <c r="P718" s="373"/>
      <c r="Q718" s="373"/>
      <c r="R718" s="373"/>
      <c r="S718" s="373"/>
    </row>
    <row r="719" spans="1:19" x14ac:dyDescent="0.2">
      <c r="A719" s="379"/>
      <c r="B719" s="369"/>
      <c r="C719" s="369"/>
      <c r="D719" s="396"/>
      <c r="G719" s="373"/>
      <c r="H719" s="551"/>
      <c r="I719" s="378"/>
      <c r="J719" s="373"/>
      <c r="K719" s="373"/>
      <c r="L719" s="373"/>
      <c r="M719" s="373"/>
      <c r="N719" s="373"/>
      <c r="O719" s="376"/>
      <c r="P719" s="373"/>
      <c r="Q719" s="373"/>
      <c r="R719" s="373"/>
      <c r="S719" s="373"/>
    </row>
    <row r="720" spans="1:19" x14ac:dyDescent="0.2">
      <c r="A720" s="379"/>
      <c r="B720" s="369"/>
      <c r="C720" s="369"/>
      <c r="D720" s="396"/>
      <c r="G720" s="373"/>
      <c r="H720" s="551"/>
      <c r="I720" s="378"/>
      <c r="J720" s="373"/>
      <c r="K720" s="373"/>
      <c r="L720" s="373"/>
      <c r="M720" s="373"/>
      <c r="N720" s="373"/>
      <c r="O720" s="376"/>
      <c r="P720" s="373"/>
      <c r="Q720" s="373"/>
      <c r="R720" s="373"/>
      <c r="S720" s="373"/>
    </row>
    <row r="721" spans="1:19" x14ac:dyDescent="0.2">
      <c r="A721" s="379"/>
      <c r="B721" s="369"/>
      <c r="C721" s="369"/>
      <c r="D721" s="396"/>
      <c r="G721" s="373"/>
      <c r="H721" s="551"/>
      <c r="I721" s="378"/>
      <c r="J721" s="373"/>
      <c r="K721" s="373"/>
      <c r="L721" s="373"/>
      <c r="M721" s="373"/>
      <c r="N721" s="373"/>
      <c r="O721" s="376"/>
      <c r="P721" s="373"/>
      <c r="Q721" s="373"/>
      <c r="R721" s="373"/>
      <c r="S721" s="373"/>
    </row>
    <row r="722" spans="1:19" x14ac:dyDescent="0.2">
      <c r="A722" s="379"/>
      <c r="B722" s="369"/>
      <c r="C722" s="369"/>
      <c r="D722" s="396"/>
      <c r="G722" s="373"/>
      <c r="H722" s="551"/>
      <c r="I722" s="378"/>
      <c r="J722" s="373"/>
      <c r="K722" s="373"/>
      <c r="L722" s="373"/>
      <c r="M722" s="373"/>
      <c r="N722" s="373"/>
      <c r="O722" s="376"/>
      <c r="P722" s="373"/>
      <c r="Q722" s="373"/>
      <c r="R722" s="373"/>
      <c r="S722" s="373"/>
    </row>
    <row r="723" spans="1:19" x14ac:dyDescent="0.2">
      <c r="A723" s="379"/>
      <c r="B723" s="369"/>
      <c r="C723" s="369"/>
      <c r="D723" s="396"/>
      <c r="G723" s="373"/>
      <c r="H723" s="551"/>
      <c r="I723" s="378"/>
      <c r="J723" s="373"/>
      <c r="K723" s="373"/>
      <c r="L723" s="373"/>
      <c r="M723" s="373"/>
      <c r="N723" s="373"/>
      <c r="O723" s="376"/>
      <c r="P723" s="373"/>
      <c r="Q723" s="373"/>
      <c r="R723" s="373"/>
      <c r="S723" s="373"/>
    </row>
    <row r="724" spans="1:19" x14ac:dyDescent="0.2">
      <c r="A724" s="379"/>
      <c r="B724" s="369"/>
      <c r="C724" s="369"/>
      <c r="D724" s="396"/>
      <c r="G724" s="373"/>
      <c r="H724" s="551"/>
      <c r="I724" s="378"/>
      <c r="J724" s="373"/>
      <c r="K724" s="373"/>
      <c r="L724" s="373"/>
      <c r="M724" s="373"/>
      <c r="N724" s="373"/>
      <c r="O724" s="376"/>
      <c r="P724" s="373"/>
      <c r="Q724" s="373"/>
      <c r="R724" s="373"/>
      <c r="S724" s="373"/>
    </row>
    <row r="725" spans="1:19" x14ac:dyDescent="0.2">
      <c r="A725" s="379"/>
      <c r="B725" s="369"/>
      <c r="C725" s="369"/>
      <c r="D725" s="396"/>
      <c r="G725" s="373"/>
      <c r="H725" s="551"/>
      <c r="I725" s="378"/>
      <c r="J725" s="373"/>
      <c r="K725" s="373"/>
      <c r="L725" s="373"/>
      <c r="M725" s="373"/>
      <c r="N725" s="373"/>
      <c r="O725" s="376"/>
      <c r="P725" s="373"/>
      <c r="Q725" s="373"/>
      <c r="R725" s="373"/>
      <c r="S725" s="373"/>
    </row>
    <row r="726" spans="1:19" x14ac:dyDescent="0.2">
      <c r="A726" s="379"/>
      <c r="B726" s="369"/>
      <c r="C726" s="369"/>
      <c r="D726" s="396"/>
      <c r="G726" s="373"/>
      <c r="H726" s="551"/>
      <c r="I726" s="378"/>
      <c r="J726" s="373"/>
      <c r="K726" s="373"/>
      <c r="L726" s="373"/>
      <c r="M726" s="373"/>
      <c r="N726" s="373"/>
      <c r="O726" s="376"/>
      <c r="P726" s="373"/>
      <c r="Q726" s="373"/>
      <c r="R726" s="373"/>
      <c r="S726" s="373"/>
    </row>
    <row r="727" spans="1:19" x14ac:dyDescent="0.2">
      <c r="A727" s="379"/>
      <c r="B727" s="369"/>
      <c r="C727" s="369"/>
      <c r="D727" s="396"/>
      <c r="G727" s="373"/>
      <c r="H727" s="551"/>
      <c r="I727" s="378"/>
      <c r="J727" s="373"/>
      <c r="K727" s="373"/>
      <c r="L727" s="373"/>
      <c r="M727" s="373"/>
      <c r="N727" s="373"/>
      <c r="O727" s="376"/>
      <c r="P727" s="373"/>
      <c r="Q727" s="373"/>
      <c r="R727" s="373"/>
      <c r="S727" s="373"/>
    </row>
    <row r="728" spans="1:19" x14ac:dyDescent="0.2">
      <c r="A728" s="379"/>
      <c r="B728" s="369"/>
      <c r="C728" s="369"/>
      <c r="D728" s="396"/>
      <c r="G728" s="373"/>
      <c r="H728" s="551"/>
      <c r="I728" s="378"/>
      <c r="J728" s="373"/>
      <c r="K728" s="373"/>
      <c r="L728" s="373"/>
      <c r="M728" s="373"/>
      <c r="N728" s="373"/>
      <c r="O728" s="376"/>
      <c r="P728" s="373"/>
      <c r="Q728" s="373"/>
      <c r="R728" s="373"/>
      <c r="S728" s="373"/>
    </row>
    <row r="729" spans="1:19" x14ac:dyDescent="0.2">
      <c r="A729" s="379"/>
      <c r="B729" s="369"/>
      <c r="C729" s="369"/>
      <c r="D729" s="396"/>
      <c r="G729" s="373"/>
      <c r="H729" s="551"/>
      <c r="I729" s="378"/>
      <c r="J729" s="373"/>
      <c r="K729" s="373"/>
      <c r="L729" s="373"/>
      <c r="M729" s="373"/>
      <c r="N729" s="373"/>
      <c r="O729" s="376"/>
      <c r="P729" s="373"/>
      <c r="Q729" s="373"/>
      <c r="R729" s="373"/>
      <c r="S729" s="373"/>
    </row>
    <row r="730" spans="1:19" x14ac:dyDescent="0.2">
      <c r="A730" s="379"/>
      <c r="B730" s="369"/>
      <c r="C730" s="369"/>
      <c r="D730" s="396"/>
      <c r="G730" s="373"/>
      <c r="H730" s="551"/>
      <c r="I730" s="378"/>
      <c r="J730" s="373"/>
      <c r="K730" s="373"/>
      <c r="L730" s="373"/>
      <c r="M730" s="373"/>
      <c r="N730" s="373"/>
      <c r="O730" s="376"/>
      <c r="P730" s="373"/>
      <c r="Q730" s="373"/>
      <c r="R730" s="373"/>
      <c r="S730" s="373"/>
    </row>
    <row r="731" spans="1:19" x14ac:dyDescent="0.2">
      <c r="A731" s="379"/>
      <c r="B731" s="369"/>
      <c r="C731" s="369"/>
      <c r="D731" s="396"/>
      <c r="G731" s="373"/>
      <c r="H731" s="551"/>
      <c r="I731" s="378"/>
      <c r="J731" s="373"/>
      <c r="K731" s="373"/>
      <c r="L731" s="373"/>
      <c r="M731" s="373"/>
      <c r="N731" s="373"/>
      <c r="O731" s="376"/>
      <c r="P731" s="373"/>
      <c r="Q731" s="373"/>
      <c r="R731" s="373"/>
      <c r="S731" s="373"/>
    </row>
    <row r="732" spans="1:19" x14ac:dyDescent="0.2">
      <c r="A732" s="379"/>
      <c r="B732" s="369"/>
      <c r="C732" s="369"/>
      <c r="D732" s="396"/>
      <c r="G732" s="373"/>
      <c r="H732" s="551"/>
      <c r="I732" s="378"/>
      <c r="J732" s="373"/>
      <c r="K732" s="373"/>
      <c r="L732" s="373"/>
      <c r="M732" s="373"/>
      <c r="N732" s="373"/>
      <c r="O732" s="376"/>
      <c r="P732" s="373"/>
      <c r="Q732" s="373"/>
      <c r="R732" s="373"/>
      <c r="S732" s="373"/>
    </row>
    <row r="733" spans="1:19" x14ac:dyDescent="0.2">
      <c r="A733" s="379"/>
      <c r="B733" s="369"/>
      <c r="C733" s="369"/>
      <c r="D733" s="396"/>
      <c r="G733" s="373"/>
      <c r="H733" s="551"/>
      <c r="I733" s="378"/>
      <c r="J733" s="373"/>
      <c r="K733" s="373"/>
      <c r="L733" s="373"/>
      <c r="M733" s="373"/>
      <c r="N733" s="373"/>
      <c r="O733" s="376"/>
      <c r="P733" s="373"/>
      <c r="Q733" s="373"/>
      <c r="R733" s="373"/>
      <c r="S733" s="373"/>
    </row>
    <row r="734" spans="1:19" x14ac:dyDescent="0.2">
      <c r="A734" s="379"/>
      <c r="B734" s="369"/>
      <c r="C734" s="369"/>
      <c r="D734" s="396"/>
      <c r="G734" s="373"/>
      <c r="H734" s="551"/>
      <c r="I734" s="378"/>
      <c r="J734" s="373"/>
      <c r="K734" s="373"/>
      <c r="L734" s="373"/>
      <c r="M734" s="373"/>
      <c r="N734" s="373"/>
      <c r="O734" s="376"/>
      <c r="P734" s="373"/>
      <c r="Q734" s="373"/>
      <c r="R734" s="373"/>
      <c r="S734" s="373"/>
    </row>
    <row r="735" spans="1:19" x14ac:dyDescent="0.2">
      <c r="A735" s="379"/>
      <c r="B735" s="369"/>
      <c r="C735" s="369"/>
      <c r="D735" s="396"/>
      <c r="G735" s="373"/>
      <c r="H735" s="551"/>
      <c r="I735" s="378"/>
      <c r="J735" s="373"/>
      <c r="K735" s="373"/>
      <c r="L735" s="373"/>
      <c r="M735" s="373"/>
      <c r="N735" s="373"/>
      <c r="O735" s="376"/>
      <c r="P735" s="373"/>
      <c r="Q735" s="373"/>
      <c r="R735" s="373"/>
      <c r="S735" s="373"/>
    </row>
    <row r="736" spans="1:19" x14ac:dyDescent="0.2">
      <c r="A736" s="379"/>
      <c r="B736" s="369"/>
      <c r="C736" s="369"/>
      <c r="D736" s="396"/>
      <c r="G736" s="373"/>
      <c r="H736" s="551"/>
      <c r="I736" s="378"/>
      <c r="J736" s="373"/>
      <c r="K736" s="373"/>
      <c r="L736" s="373"/>
      <c r="M736" s="373"/>
      <c r="N736" s="373"/>
      <c r="O736" s="376"/>
      <c r="P736" s="373"/>
      <c r="Q736" s="373"/>
      <c r="R736" s="373"/>
      <c r="S736" s="373"/>
    </row>
    <row r="737" spans="1:19" x14ac:dyDescent="0.2">
      <c r="A737" s="379"/>
      <c r="B737" s="369"/>
      <c r="C737" s="369"/>
      <c r="D737" s="396"/>
      <c r="G737" s="373"/>
      <c r="H737" s="551"/>
      <c r="I737" s="378"/>
      <c r="J737" s="373"/>
      <c r="K737" s="373"/>
      <c r="L737" s="373"/>
      <c r="M737" s="373"/>
      <c r="N737" s="373"/>
      <c r="O737" s="376"/>
      <c r="P737" s="373"/>
      <c r="Q737" s="373"/>
      <c r="R737" s="373"/>
      <c r="S737" s="373"/>
    </row>
    <row r="738" spans="1:19" x14ac:dyDescent="0.2">
      <c r="A738" s="379"/>
      <c r="B738" s="369"/>
      <c r="C738" s="369"/>
      <c r="D738" s="396"/>
      <c r="G738" s="373"/>
      <c r="H738" s="551"/>
      <c r="I738" s="378"/>
      <c r="J738" s="373"/>
      <c r="K738" s="373"/>
      <c r="L738" s="373"/>
      <c r="M738" s="373"/>
      <c r="N738" s="373"/>
      <c r="O738" s="376"/>
      <c r="P738" s="373"/>
      <c r="Q738" s="373"/>
      <c r="R738" s="373"/>
      <c r="S738" s="373"/>
    </row>
    <row r="739" spans="1:19" x14ac:dyDescent="0.2">
      <c r="A739" s="379"/>
      <c r="B739" s="369"/>
      <c r="C739" s="369"/>
      <c r="D739" s="396"/>
      <c r="G739" s="373"/>
      <c r="H739" s="551"/>
      <c r="I739" s="378"/>
      <c r="J739" s="373"/>
      <c r="K739" s="373"/>
      <c r="L739" s="373"/>
      <c r="M739" s="373"/>
      <c r="N739" s="373"/>
      <c r="O739" s="376"/>
      <c r="P739" s="373"/>
      <c r="Q739" s="373"/>
      <c r="R739" s="373"/>
      <c r="S739" s="373"/>
    </row>
    <row r="740" spans="1:19" x14ac:dyDescent="0.2">
      <c r="A740" s="379"/>
      <c r="B740" s="369"/>
      <c r="C740" s="369"/>
      <c r="D740" s="396"/>
      <c r="G740" s="373"/>
      <c r="H740" s="551"/>
      <c r="I740" s="378"/>
      <c r="J740" s="373"/>
      <c r="K740" s="373"/>
      <c r="L740" s="373"/>
      <c r="M740" s="373"/>
      <c r="N740" s="373"/>
      <c r="O740" s="376"/>
      <c r="P740" s="373"/>
      <c r="Q740" s="373"/>
      <c r="R740" s="373"/>
      <c r="S740" s="373"/>
    </row>
    <row r="741" spans="1:19" x14ac:dyDescent="0.2">
      <c r="A741" s="379"/>
      <c r="B741" s="369"/>
      <c r="C741" s="369"/>
      <c r="D741" s="396"/>
      <c r="G741" s="373"/>
      <c r="H741" s="551"/>
      <c r="I741" s="378"/>
      <c r="J741" s="373"/>
      <c r="K741" s="373"/>
      <c r="L741" s="373"/>
      <c r="M741" s="373"/>
      <c r="N741" s="373"/>
      <c r="O741" s="376"/>
      <c r="P741" s="373"/>
      <c r="Q741" s="373"/>
      <c r="R741" s="373"/>
      <c r="S741" s="373"/>
    </row>
    <row r="742" spans="1:19" x14ac:dyDescent="0.2">
      <c r="A742" s="379"/>
      <c r="B742" s="369"/>
      <c r="C742" s="369"/>
      <c r="D742" s="396"/>
      <c r="G742" s="373"/>
      <c r="H742" s="551"/>
      <c r="I742" s="378"/>
      <c r="J742" s="373"/>
      <c r="K742" s="373"/>
      <c r="L742" s="373"/>
      <c r="M742" s="373"/>
      <c r="N742" s="373"/>
      <c r="O742" s="376"/>
      <c r="P742" s="373"/>
      <c r="Q742" s="373"/>
      <c r="R742" s="373"/>
      <c r="S742" s="373"/>
    </row>
    <row r="743" spans="1:19" x14ac:dyDescent="0.2">
      <c r="A743" s="379"/>
      <c r="B743" s="369"/>
      <c r="C743" s="369"/>
      <c r="D743" s="396"/>
      <c r="G743" s="373"/>
      <c r="H743" s="551"/>
      <c r="I743" s="378"/>
      <c r="J743" s="373"/>
      <c r="K743" s="373"/>
      <c r="L743" s="373"/>
      <c r="M743" s="373"/>
      <c r="N743" s="373"/>
      <c r="O743" s="376"/>
      <c r="P743" s="373"/>
      <c r="Q743" s="373"/>
      <c r="R743" s="373"/>
      <c r="S743" s="373"/>
    </row>
    <row r="744" spans="1:19" x14ac:dyDescent="0.2">
      <c r="A744" s="379"/>
      <c r="B744" s="369"/>
      <c r="C744" s="369"/>
      <c r="D744" s="396"/>
      <c r="G744" s="373"/>
      <c r="H744" s="551"/>
      <c r="I744" s="378"/>
      <c r="J744" s="373"/>
      <c r="K744" s="373"/>
      <c r="L744" s="373"/>
      <c r="M744" s="373"/>
      <c r="N744" s="373"/>
      <c r="O744" s="376"/>
      <c r="P744" s="373"/>
      <c r="Q744" s="373"/>
      <c r="R744" s="373"/>
      <c r="S744" s="373"/>
    </row>
    <row r="745" spans="1:19" x14ac:dyDescent="0.2">
      <c r="A745" s="379"/>
      <c r="B745" s="369"/>
      <c r="C745" s="369"/>
      <c r="D745" s="396"/>
      <c r="G745" s="373"/>
      <c r="H745" s="551"/>
      <c r="I745" s="378"/>
      <c r="J745" s="373"/>
      <c r="K745" s="373"/>
      <c r="L745" s="373"/>
      <c r="M745" s="373"/>
      <c r="N745" s="373"/>
      <c r="O745" s="376"/>
      <c r="P745" s="373"/>
      <c r="Q745" s="373"/>
      <c r="R745" s="373"/>
      <c r="S745" s="373"/>
    </row>
    <row r="746" spans="1:19" x14ac:dyDescent="0.2">
      <c r="A746" s="379"/>
      <c r="B746" s="369"/>
      <c r="C746" s="369"/>
      <c r="D746" s="396"/>
      <c r="G746" s="373"/>
      <c r="H746" s="551"/>
      <c r="I746" s="378"/>
      <c r="J746" s="373"/>
      <c r="K746" s="373"/>
      <c r="L746" s="373"/>
      <c r="M746" s="373"/>
      <c r="N746" s="373"/>
      <c r="O746" s="376"/>
      <c r="P746" s="373"/>
      <c r="Q746" s="373"/>
      <c r="R746" s="373"/>
      <c r="S746" s="373"/>
    </row>
    <row r="747" spans="1:19" x14ac:dyDescent="0.2">
      <c r="A747" s="379"/>
      <c r="B747" s="369"/>
      <c r="C747" s="369"/>
      <c r="D747" s="396"/>
      <c r="G747" s="373"/>
      <c r="H747" s="551"/>
      <c r="I747" s="378"/>
      <c r="J747" s="373"/>
      <c r="K747" s="373"/>
      <c r="L747" s="373"/>
      <c r="M747" s="373"/>
      <c r="N747" s="373"/>
      <c r="O747" s="376"/>
      <c r="P747" s="373"/>
      <c r="Q747" s="373"/>
      <c r="R747" s="373"/>
      <c r="S747" s="373"/>
    </row>
    <row r="748" spans="1:19" x14ac:dyDescent="0.2">
      <c r="A748" s="379"/>
      <c r="B748" s="369"/>
      <c r="C748" s="369"/>
      <c r="D748" s="396"/>
      <c r="G748" s="373"/>
      <c r="H748" s="551"/>
      <c r="I748" s="378"/>
      <c r="J748" s="373"/>
      <c r="K748" s="373"/>
      <c r="L748" s="373"/>
      <c r="M748" s="373"/>
      <c r="N748" s="373"/>
      <c r="O748" s="376"/>
      <c r="P748" s="373"/>
      <c r="Q748" s="373"/>
      <c r="R748" s="373"/>
      <c r="S748" s="373"/>
    </row>
    <row r="749" spans="1:19" x14ac:dyDescent="0.2">
      <c r="A749" s="379"/>
      <c r="B749" s="369"/>
      <c r="C749" s="369"/>
      <c r="D749" s="396"/>
      <c r="G749" s="373"/>
      <c r="H749" s="551"/>
      <c r="I749" s="378"/>
      <c r="J749" s="373"/>
      <c r="K749" s="373"/>
      <c r="L749" s="373"/>
      <c r="M749" s="373"/>
      <c r="N749" s="373"/>
      <c r="O749" s="376"/>
      <c r="P749" s="373"/>
      <c r="Q749" s="373"/>
      <c r="R749" s="373"/>
      <c r="S749" s="373"/>
    </row>
    <row r="750" spans="1:19" x14ac:dyDescent="0.2">
      <c r="A750" s="379"/>
      <c r="B750" s="369"/>
      <c r="C750" s="369"/>
      <c r="D750" s="396"/>
      <c r="G750" s="373"/>
      <c r="H750" s="551"/>
      <c r="I750" s="378"/>
      <c r="J750" s="373"/>
      <c r="K750" s="373"/>
      <c r="L750" s="373"/>
      <c r="M750" s="373"/>
      <c r="N750" s="373"/>
      <c r="O750" s="376"/>
      <c r="P750" s="373"/>
      <c r="Q750" s="373"/>
      <c r="R750" s="373"/>
      <c r="S750" s="373"/>
    </row>
    <row r="751" spans="1:19" x14ac:dyDescent="0.2">
      <c r="A751" s="379"/>
      <c r="B751" s="369"/>
      <c r="C751" s="369"/>
      <c r="D751" s="396"/>
      <c r="G751" s="373"/>
      <c r="H751" s="551"/>
      <c r="I751" s="378"/>
      <c r="J751" s="373"/>
      <c r="K751" s="373"/>
      <c r="L751" s="373"/>
      <c r="M751" s="373"/>
      <c r="N751" s="373"/>
      <c r="O751" s="376"/>
      <c r="P751" s="373"/>
      <c r="Q751" s="373"/>
      <c r="R751" s="373"/>
      <c r="S751" s="373"/>
    </row>
    <row r="752" spans="1:19" x14ac:dyDescent="0.2">
      <c r="A752" s="379"/>
      <c r="B752" s="369"/>
      <c r="C752" s="369"/>
      <c r="D752" s="396"/>
      <c r="G752" s="373"/>
      <c r="H752" s="551"/>
      <c r="I752" s="378"/>
      <c r="J752" s="373"/>
      <c r="K752" s="373"/>
      <c r="L752" s="373"/>
      <c r="M752" s="373"/>
      <c r="N752" s="373"/>
      <c r="O752" s="376"/>
      <c r="P752" s="373"/>
      <c r="Q752" s="373"/>
      <c r="R752" s="373"/>
      <c r="S752" s="373"/>
    </row>
    <row r="753" spans="1:19" x14ac:dyDescent="0.2">
      <c r="A753" s="379"/>
      <c r="B753" s="369"/>
      <c r="C753" s="369"/>
      <c r="D753" s="396"/>
      <c r="G753" s="373"/>
      <c r="H753" s="551"/>
      <c r="I753" s="378"/>
      <c r="J753" s="373"/>
      <c r="K753" s="373"/>
      <c r="L753" s="373"/>
      <c r="M753" s="373"/>
      <c r="N753" s="373"/>
      <c r="O753" s="376"/>
      <c r="P753" s="373"/>
      <c r="Q753" s="373"/>
      <c r="R753" s="373"/>
      <c r="S753" s="373"/>
    </row>
    <row r="754" spans="1:19" x14ac:dyDescent="0.2">
      <c r="A754" s="379"/>
      <c r="B754" s="369"/>
      <c r="C754" s="369"/>
      <c r="D754" s="396"/>
      <c r="G754" s="373"/>
      <c r="H754" s="551"/>
      <c r="I754" s="378"/>
      <c r="J754" s="373"/>
      <c r="K754" s="373"/>
      <c r="L754" s="373"/>
      <c r="M754" s="373"/>
      <c r="N754" s="373"/>
      <c r="O754" s="376"/>
      <c r="P754" s="373"/>
      <c r="Q754" s="373"/>
      <c r="R754" s="373"/>
      <c r="S754" s="373"/>
    </row>
    <row r="755" spans="1:19" x14ac:dyDescent="0.2">
      <c r="A755" s="379"/>
      <c r="B755" s="369"/>
      <c r="C755" s="369"/>
      <c r="D755" s="396"/>
      <c r="G755" s="373"/>
      <c r="H755" s="551"/>
      <c r="I755" s="378"/>
      <c r="J755" s="373"/>
      <c r="K755" s="373"/>
      <c r="L755" s="373"/>
      <c r="M755" s="373"/>
      <c r="N755" s="373"/>
      <c r="O755" s="376"/>
      <c r="P755" s="373"/>
      <c r="Q755" s="373"/>
      <c r="R755" s="373"/>
      <c r="S755" s="373"/>
    </row>
    <row r="756" spans="1:19" x14ac:dyDescent="0.2">
      <c r="A756" s="379"/>
      <c r="B756" s="369"/>
      <c r="C756" s="369"/>
      <c r="D756" s="396"/>
      <c r="G756" s="373"/>
      <c r="H756" s="551"/>
      <c r="I756" s="378"/>
      <c r="J756" s="373"/>
      <c r="K756" s="373"/>
      <c r="L756" s="373"/>
      <c r="M756" s="373"/>
      <c r="N756" s="373"/>
      <c r="O756" s="376"/>
      <c r="P756" s="373"/>
      <c r="Q756" s="373"/>
      <c r="R756" s="373"/>
      <c r="S756" s="373"/>
    </row>
    <row r="757" spans="1:19" x14ac:dyDescent="0.2">
      <c r="A757" s="379"/>
      <c r="B757" s="369"/>
      <c r="C757" s="369"/>
      <c r="D757" s="396"/>
      <c r="G757" s="373"/>
      <c r="H757" s="551"/>
      <c r="I757" s="378"/>
      <c r="J757" s="373"/>
      <c r="K757" s="373"/>
      <c r="L757" s="373"/>
      <c r="M757" s="373"/>
      <c r="N757" s="373"/>
      <c r="O757" s="376"/>
      <c r="P757" s="373"/>
      <c r="Q757" s="373"/>
      <c r="R757" s="373"/>
      <c r="S757" s="373"/>
    </row>
    <row r="758" spans="1:19" x14ac:dyDescent="0.2">
      <c r="A758" s="379"/>
      <c r="B758" s="369"/>
      <c r="C758" s="369"/>
      <c r="D758" s="396"/>
      <c r="G758" s="373"/>
      <c r="H758" s="551"/>
      <c r="I758" s="378"/>
      <c r="J758" s="373"/>
      <c r="K758" s="373"/>
      <c r="L758" s="373"/>
      <c r="M758" s="373"/>
      <c r="N758" s="373"/>
      <c r="O758" s="376"/>
      <c r="P758" s="373"/>
      <c r="Q758" s="373"/>
      <c r="R758" s="373"/>
      <c r="S758" s="373"/>
    </row>
    <row r="759" spans="1:19" x14ac:dyDescent="0.2">
      <c r="A759" s="379"/>
      <c r="B759" s="369"/>
      <c r="C759" s="369"/>
      <c r="D759" s="396"/>
      <c r="G759" s="373"/>
      <c r="H759" s="551"/>
      <c r="I759" s="378"/>
      <c r="J759" s="373"/>
      <c r="K759" s="373"/>
      <c r="L759" s="373"/>
      <c r="M759" s="373"/>
      <c r="N759" s="373"/>
      <c r="O759" s="376"/>
      <c r="P759" s="373"/>
      <c r="Q759" s="373"/>
      <c r="R759" s="373"/>
      <c r="S759" s="373"/>
    </row>
    <row r="760" spans="1:19" x14ac:dyDescent="0.2">
      <c r="A760" s="379"/>
      <c r="B760" s="369"/>
      <c r="C760" s="369"/>
      <c r="D760" s="396"/>
      <c r="G760" s="373"/>
      <c r="H760" s="551"/>
      <c r="I760" s="378"/>
      <c r="J760" s="373"/>
      <c r="K760" s="373"/>
      <c r="L760" s="373"/>
      <c r="M760" s="373"/>
      <c r="N760" s="373"/>
      <c r="O760" s="376"/>
      <c r="P760" s="373"/>
      <c r="Q760" s="373"/>
      <c r="R760" s="373"/>
      <c r="S760" s="373"/>
    </row>
    <row r="761" spans="1:19" x14ac:dyDescent="0.2">
      <c r="A761" s="379"/>
      <c r="B761" s="369"/>
      <c r="C761" s="369"/>
      <c r="D761" s="396"/>
      <c r="G761" s="373"/>
      <c r="H761" s="551"/>
      <c r="I761" s="378"/>
      <c r="J761" s="373"/>
      <c r="K761" s="373"/>
      <c r="L761" s="373"/>
      <c r="M761" s="373"/>
      <c r="N761" s="373"/>
      <c r="O761" s="376"/>
      <c r="P761" s="373"/>
      <c r="Q761" s="373"/>
      <c r="R761" s="373"/>
      <c r="S761" s="373"/>
    </row>
    <row r="762" spans="1:19" x14ac:dyDescent="0.2">
      <c r="A762" s="379"/>
      <c r="B762" s="369"/>
      <c r="C762" s="369"/>
      <c r="D762" s="396"/>
      <c r="G762" s="373"/>
      <c r="H762" s="551"/>
      <c r="I762" s="378"/>
      <c r="J762" s="373"/>
      <c r="K762" s="373"/>
      <c r="L762" s="373"/>
      <c r="M762" s="373"/>
      <c r="N762" s="373"/>
      <c r="O762" s="376"/>
      <c r="P762" s="373"/>
      <c r="Q762" s="373"/>
      <c r="R762" s="373"/>
      <c r="S762" s="373"/>
    </row>
    <row r="763" spans="1:19" x14ac:dyDescent="0.2">
      <c r="A763" s="379"/>
      <c r="B763" s="369"/>
      <c r="C763" s="369"/>
      <c r="D763" s="396"/>
      <c r="G763" s="373"/>
      <c r="H763" s="551"/>
      <c r="I763" s="378"/>
      <c r="J763" s="373"/>
      <c r="K763" s="373"/>
      <c r="L763" s="373"/>
      <c r="M763" s="373"/>
      <c r="N763" s="373"/>
      <c r="O763" s="376"/>
      <c r="P763" s="373"/>
      <c r="Q763" s="373"/>
      <c r="R763" s="373"/>
      <c r="S763" s="373"/>
    </row>
    <row r="764" spans="1:19" x14ac:dyDescent="0.2">
      <c r="A764" s="379"/>
      <c r="B764" s="369"/>
      <c r="C764" s="369"/>
      <c r="D764" s="396"/>
      <c r="G764" s="373"/>
      <c r="H764" s="551"/>
      <c r="I764" s="378"/>
      <c r="J764" s="373"/>
      <c r="K764" s="373"/>
      <c r="L764" s="373"/>
      <c r="M764" s="373"/>
      <c r="N764" s="373"/>
      <c r="O764" s="376"/>
      <c r="P764" s="373"/>
      <c r="Q764" s="373"/>
      <c r="R764" s="373"/>
      <c r="S764" s="373"/>
    </row>
    <row r="765" spans="1:19" x14ac:dyDescent="0.2">
      <c r="A765" s="379"/>
      <c r="B765" s="369"/>
      <c r="C765" s="369"/>
      <c r="D765" s="396"/>
      <c r="G765" s="373"/>
      <c r="H765" s="377"/>
      <c r="I765" s="378"/>
      <c r="J765" s="373"/>
      <c r="K765" s="373"/>
      <c r="L765" s="373"/>
      <c r="M765" s="373"/>
      <c r="N765" s="373"/>
      <c r="O765" s="376"/>
      <c r="P765" s="373"/>
      <c r="Q765" s="373"/>
      <c r="R765" s="373"/>
      <c r="S765" s="373"/>
    </row>
    <row r="766" spans="1:19" x14ac:dyDescent="0.2">
      <c r="A766" s="379"/>
      <c r="B766" s="369"/>
      <c r="C766" s="369"/>
      <c r="D766" s="396"/>
      <c r="G766" s="373"/>
      <c r="H766" s="377"/>
      <c r="I766" s="378"/>
      <c r="J766" s="373"/>
      <c r="K766" s="373"/>
      <c r="L766" s="373"/>
      <c r="M766" s="373"/>
      <c r="N766" s="373"/>
      <c r="O766" s="376"/>
      <c r="P766" s="373"/>
      <c r="Q766" s="373"/>
      <c r="R766" s="373"/>
      <c r="S766" s="373"/>
    </row>
    <row r="767" spans="1:19" x14ac:dyDescent="0.2">
      <c r="A767" s="379"/>
      <c r="B767" s="369"/>
      <c r="C767" s="369"/>
      <c r="D767" s="396"/>
      <c r="G767" s="373"/>
      <c r="H767" s="377"/>
      <c r="I767" s="378"/>
      <c r="J767" s="373"/>
      <c r="K767" s="373"/>
      <c r="L767" s="373"/>
      <c r="M767" s="373"/>
      <c r="N767" s="373"/>
      <c r="O767" s="376"/>
      <c r="P767" s="373"/>
      <c r="Q767" s="373"/>
      <c r="R767" s="373"/>
      <c r="S767" s="373"/>
    </row>
    <row r="768" spans="1:19" x14ac:dyDescent="0.2">
      <c r="A768" s="379"/>
      <c r="B768" s="369"/>
      <c r="C768" s="369"/>
      <c r="D768" s="396"/>
      <c r="G768" s="373"/>
      <c r="H768" s="377"/>
      <c r="I768" s="378"/>
      <c r="J768" s="373"/>
      <c r="K768" s="373"/>
      <c r="L768" s="373"/>
      <c r="M768" s="373"/>
      <c r="N768" s="373"/>
      <c r="O768" s="376"/>
      <c r="P768" s="373"/>
      <c r="Q768" s="373"/>
      <c r="R768" s="373"/>
      <c r="S768" s="373"/>
    </row>
    <row r="769" spans="1:19" x14ac:dyDescent="0.2">
      <c r="A769" s="379"/>
      <c r="B769" s="369"/>
      <c r="C769" s="369"/>
      <c r="D769" s="396"/>
      <c r="G769" s="373"/>
      <c r="H769" s="377"/>
      <c r="I769" s="378"/>
      <c r="J769" s="373"/>
      <c r="K769" s="373"/>
      <c r="L769" s="373"/>
      <c r="M769" s="373"/>
      <c r="N769" s="373"/>
      <c r="O769" s="376"/>
      <c r="P769" s="373"/>
      <c r="Q769" s="373"/>
      <c r="R769" s="373"/>
      <c r="S769" s="373"/>
    </row>
    <row r="770" spans="1:19" x14ac:dyDescent="0.2">
      <c r="A770" s="379"/>
      <c r="B770" s="369"/>
      <c r="C770" s="369"/>
      <c r="D770" s="396"/>
      <c r="G770" s="373"/>
      <c r="H770" s="377"/>
      <c r="I770" s="378"/>
      <c r="J770" s="373"/>
      <c r="K770" s="373"/>
      <c r="L770" s="373"/>
      <c r="M770" s="373"/>
      <c r="N770" s="373"/>
      <c r="O770" s="376"/>
      <c r="P770" s="373"/>
      <c r="Q770" s="373"/>
      <c r="R770" s="373"/>
      <c r="S770" s="373"/>
    </row>
    <row r="771" spans="1:19" x14ac:dyDescent="0.2">
      <c r="A771" s="379"/>
      <c r="B771" s="369"/>
      <c r="C771" s="369"/>
      <c r="D771" s="396"/>
      <c r="G771" s="373"/>
      <c r="H771" s="377"/>
      <c r="I771" s="378"/>
      <c r="J771" s="373"/>
      <c r="K771" s="373"/>
      <c r="L771" s="373"/>
      <c r="M771" s="373"/>
      <c r="N771" s="373"/>
      <c r="O771" s="376"/>
      <c r="P771" s="373"/>
      <c r="Q771" s="373"/>
      <c r="R771" s="373"/>
      <c r="S771" s="373"/>
    </row>
    <row r="772" spans="1:19" x14ac:dyDescent="0.2">
      <c r="A772" s="379"/>
      <c r="B772" s="369"/>
      <c r="C772" s="369"/>
      <c r="D772" s="396"/>
      <c r="G772" s="373"/>
      <c r="H772" s="377"/>
      <c r="I772" s="378"/>
      <c r="J772" s="373"/>
      <c r="K772" s="373"/>
      <c r="L772" s="373"/>
      <c r="M772" s="373"/>
      <c r="N772" s="373"/>
      <c r="O772" s="376"/>
      <c r="P772" s="373"/>
      <c r="Q772" s="373"/>
      <c r="R772" s="373"/>
      <c r="S772" s="373"/>
    </row>
    <row r="773" spans="1:19" x14ac:dyDescent="0.2">
      <c r="A773" s="379"/>
      <c r="B773" s="369"/>
      <c r="C773" s="369"/>
      <c r="D773" s="396"/>
      <c r="G773" s="373"/>
      <c r="H773" s="377"/>
      <c r="I773" s="378"/>
      <c r="J773" s="373"/>
      <c r="K773" s="373"/>
      <c r="L773" s="373"/>
      <c r="M773" s="373"/>
      <c r="N773" s="373"/>
      <c r="O773" s="376"/>
      <c r="P773" s="373"/>
      <c r="Q773" s="373"/>
      <c r="R773" s="373"/>
      <c r="S773" s="373"/>
    </row>
    <row r="774" spans="1:19" x14ac:dyDescent="0.2">
      <c r="A774" s="379"/>
      <c r="B774" s="369"/>
      <c r="C774" s="369"/>
      <c r="D774" s="396"/>
      <c r="G774" s="373"/>
      <c r="H774" s="377"/>
      <c r="I774" s="378"/>
      <c r="J774" s="373"/>
      <c r="K774" s="373"/>
      <c r="L774" s="373"/>
      <c r="M774" s="373"/>
      <c r="N774" s="373"/>
      <c r="O774" s="376"/>
      <c r="P774" s="373"/>
      <c r="Q774" s="373"/>
      <c r="R774" s="373"/>
      <c r="S774" s="373"/>
    </row>
    <row r="775" spans="1:19" x14ac:dyDescent="0.2">
      <c r="A775" s="379"/>
      <c r="B775" s="369"/>
      <c r="C775" s="369"/>
      <c r="D775" s="396"/>
      <c r="G775" s="373"/>
      <c r="H775" s="377"/>
      <c r="I775" s="378"/>
      <c r="J775" s="373"/>
      <c r="K775" s="373"/>
      <c r="L775" s="373"/>
      <c r="M775" s="373"/>
      <c r="N775" s="373"/>
      <c r="O775" s="376"/>
      <c r="P775" s="373"/>
      <c r="Q775" s="373"/>
      <c r="R775" s="373"/>
      <c r="S775" s="373"/>
    </row>
    <row r="776" spans="1:19" x14ac:dyDescent="0.2">
      <c r="A776" s="379"/>
      <c r="B776" s="369"/>
      <c r="C776" s="369"/>
      <c r="D776" s="396"/>
      <c r="G776" s="373"/>
      <c r="H776" s="377"/>
      <c r="I776" s="378"/>
      <c r="J776" s="373"/>
      <c r="K776" s="373"/>
      <c r="L776" s="373"/>
      <c r="M776" s="373"/>
      <c r="N776" s="373"/>
      <c r="O776" s="376"/>
      <c r="P776" s="373"/>
      <c r="Q776" s="373"/>
      <c r="R776" s="373"/>
      <c r="S776" s="373"/>
    </row>
    <row r="777" spans="1:19" x14ac:dyDescent="0.2">
      <c r="A777" s="379"/>
      <c r="B777" s="369"/>
      <c r="C777" s="369"/>
      <c r="D777" s="396"/>
      <c r="G777" s="373"/>
      <c r="H777" s="377"/>
      <c r="I777" s="378"/>
      <c r="J777" s="373"/>
      <c r="K777" s="373"/>
      <c r="L777" s="373"/>
      <c r="M777" s="373"/>
      <c r="N777" s="373"/>
      <c r="O777" s="376"/>
      <c r="P777" s="373"/>
      <c r="Q777" s="373"/>
      <c r="R777" s="373"/>
      <c r="S777" s="373"/>
    </row>
    <row r="778" spans="1:19" x14ac:dyDescent="0.2">
      <c r="A778" s="379"/>
      <c r="B778" s="369"/>
      <c r="C778" s="369"/>
      <c r="D778" s="396"/>
      <c r="G778" s="373"/>
      <c r="H778" s="377"/>
      <c r="I778" s="378"/>
      <c r="J778" s="373"/>
      <c r="K778" s="373"/>
      <c r="L778" s="373"/>
      <c r="M778" s="373"/>
      <c r="N778" s="373"/>
      <c r="O778" s="376"/>
      <c r="P778" s="373"/>
      <c r="Q778" s="373"/>
      <c r="R778" s="373"/>
      <c r="S778" s="373"/>
    </row>
    <row r="779" spans="1:19" x14ac:dyDescent="0.2">
      <c r="A779" s="379"/>
      <c r="B779" s="369"/>
      <c r="C779" s="369"/>
      <c r="D779" s="396"/>
      <c r="G779" s="373"/>
      <c r="H779" s="377"/>
      <c r="I779" s="378"/>
      <c r="J779" s="373"/>
      <c r="K779" s="373"/>
      <c r="L779" s="373"/>
      <c r="M779" s="373"/>
      <c r="N779" s="373"/>
      <c r="O779" s="376"/>
      <c r="P779" s="373"/>
      <c r="Q779" s="373"/>
      <c r="R779" s="373"/>
      <c r="S779" s="373"/>
    </row>
    <row r="780" spans="1:19" x14ac:dyDescent="0.2">
      <c r="A780" s="379"/>
      <c r="B780" s="369"/>
      <c r="C780" s="369"/>
      <c r="D780" s="396"/>
      <c r="G780" s="373"/>
      <c r="H780" s="377"/>
      <c r="I780" s="378"/>
      <c r="J780" s="373"/>
      <c r="K780" s="373"/>
      <c r="L780" s="373"/>
      <c r="M780" s="373"/>
      <c r="N780" s="373"/>
      <c r="O780" s="376"/>
      <c r="P780" s="373"/>
      <c r="Q780" s="373"/>
      <c r="R780" s="373"/>
      <c r="S780" s="373"/>
    </row>
    <row r="781" spans="1:19" x14ac:dyDescent="0.2">
      <c r="A781" s="379"/>
      <c r="B781" s="369"/>
      <c r="C781" s="369"/>
      <c r="D781" s="396"/>
      <c r="G781" s="373"/>
      <c r="H781" s="377"/>
      <c r="I781" s="378"/>
      <c r="J781" s="373"/>
      <c r="K781" s="373"/>
      <c r="L781" s="373"/>
      <c r="M781" s="373"/>
      <c r="N781" s="373"/>
      <c r="O781" s="376"/>
      <c r="P781" s="373"/>
      <c r="Q781" s="373"/>
      <c r="R781" s="373"/>
      <c r="S781" s="373"/>
    </row>
    <row r="782" spans="1:19" x14ac:dyDescent="0.2">
      <c r="A782" s="379"/>
      <c r="B782" s="369"/>
      <c r="C782" s="369"/>
      <c r="D782" s="396"/>
      <c r="G782" s="373"/>
      <c r="H782" s="377"/>
      <c r="I782" s="378"/>
      <c r="J782" s="373"/>
      <c r="K782" s="373"/>
      <c r="L782" s="373"/>
      <c r="M782" s="373"/>
      <c r="N782" s="373"/>
      <c r="O782" s="376"/>
      <c r="P782" s="373"/>
      <c r="Q782" s="373"/>
      <c r="R782" s="373"/>
      <c r="S782" s="373"/>
    </row>
    <row r="783" spans="1:19" x14ac:dyDescent="0.2">
      <c r="A783" s="379"/>
      <c r="B783" s="369"/>
      <c r="C783" s="369"/>
      <c r="D783" s="396"/>
      <c r="G783" s="373"/>
      <c r="H783" s="377"/>
      <c r="I783" s="378"/>
      <c r="J783" s="373"/>
      <c r="K783" s="373"/>
      <c r="L783" s="373"/>
      <c r="M783" s="373"/>
      <c r="N783" s="373"/>
      <c r="O783" s="376"/>
      <c r="P783" s="373"/>
      <c r="Q783" s="373"/>
      <c r="R783" s="373"/>
      <c r="S783" s="373"/>
    </row>
    <row r="784" spans="1:19" x14ac:dyDescent="0.2">
      <c r="A784" s="379"/>
      <c r="B784" s="369"/>
      <c r="C784" s="369"/>
      <c r="D784" s="396"/>
      <c r="G784" s="373"/>
      <c r="H784" s="377"/>
      <c r="I784" s="378"/>
      <c r="J784" s="373"/>
      <c r="K784" s="373"/>
      <c r="L784" s="373"/>
      <c r="M784" s="373"/>
      <c r="N784" s="373"/>
      <c r="O784" s="376"/>
      <c r="P784" s="373"/>
      <c r="Q784" s="373"/>
      <c r="R784" s="373"/>
      <c r="S784" s="373"/>
    </row>
    <row r="785" spans="1:19" x14ac:dyDescent="0.2">
      <c r="A785" s="379"/>
      <c r="B785" s="369"/>
      <c r="C785" s="369"/>
      <c r="D785" s="396"/>
      <c r="G785" s="373"/>
      <c r="H785" s="377"/>
      <c r="I785" s="378"/>
      <c r="J785" s="373"/>
      <c r="K785" s="373"/>
      <c r="L785" s="373"/>
      <c r="M785" s="373"/>
      <c r="N785" s="373"/>
      <c r="O785" s="376"/>
      <c r="P785" s="373"/>
      <c r="Q785" s="373"/>
      <c r="R785" s="373"/>
      <c r="S785" s="373"/>
    </row>
    <row r="786" spans="1:19" x14ac:dyDescent="0.2">
      <c r="A786" s="379"/>
      <c r="B786" s="369"/>
      <c r="C786" s="369"/>
      <c r="D786" s="396"/>
      <c r="G786" s="373"/>
      <c r="H786" s="377"/>
      <c r="I786" s="378"/>
      <c r="J786" s="373"/>
      <c r="K786" s="373"/>
      <c r="L786" s="373"/>
      <c r="M786" s="373"/>
      <c r="N786" s="373"/>
      <c r="O786" s="376"/>
      <c r="P786" s="373"/>
      <c r="Q786" s="373"/>
      <c r="R786" s="373"/>
      <c r="S786" s="373"/>
    </row>
    <row r="787" spans="1:19" x14ac:dyDescent="0.2">
      <c r="A787" s="379"/>
      <c r="B787" s="369"/>
      <c r="C787" s="369"/>
      <c r="D787" s="396"/>
      <c r="G787" s="373"/>
      <c r="H787" s="377"/>
      <c r="I787" s="378"/>
      <c r="J787" s="373"/>
      <c r="K787" s="373"/>
      <c r="L787" s="373"/>
      <c r="M787" s="373"/>
      <c r="N787" s="373"/>
      <c r="O787" s="376"/>
      <c r="P787" s="373"/>
      <c r="Q787" s="373"/>
      <c r="R787" s="373"/>
      <c r="S787" s="373"/>
    </row>
    <row r="788" spans="1:19" x14ac:dyDescent="0.2">
      <c r="A788" s="379"/>
      <c r="B788" s="369"/>
      <c r="C788" s="369"/>
      <c r="D788" s="396"/>
      <c r="G788" s="373"/>
      <c r="H788" s="377"/>
      <c r="I788" s="378"/>
      <c r="J788" s="373"/>
      <c r="K788" s="373"/>
      <c r="L788" s="373"/>
      <c r="M788" s="373"/>
      <c r="N788" s="373"/>
      <c r="O788" s="376"/>
      <c r="P788" s="373"/>
      <c r="Q788" s="373"/>
      <c r="R788" s="373"/>
      <c r="S788" s="373"/>
    </row>
    <row r="789" spans="1:19" x14ac:dyDescent="0.2">
      <c r="A789" s="379"/>
      <c r="B789" s="369"/>
      <c r="C789" s="369"/>
      <c r="D789" s="396"/>
      <c r="G789" s="373"/>
      <c r="H789" s="377"/>
      <c r="I789" s="378"/>
      <c r="J789" s="373"/>
      <c r="K789" s="373"/>
      <c r="L789" s="373"/>
      <c r="M789" s="373"/>
      <c r="N789" s="373"/>
      <c r="O789" s="376"/>
      <c r="P789" s="373"/>
      <c r="Q789" s="373"/>
      <c r="R789" s="373"/>
      <c r="S789" s="373"/>
    </row>
    <row r="790" spans="1:19" x14ac:dyDescent="0.2">
      <c r="A790" s="379"/>
      <c r="B790" s="369"/>
      <c r="C790" s="369"/>
      <c r="D790" s="396"/>
      <c r="G790" s="373"/>
      <c r="H790" s="377"/>
      <c r="I790" s="378"/>
      <c r="J790" s="373"/>
      <c r="K790" s="373"/>
      <c r="L790" s="373"/>
      <c r="M790" s="373"/>
      <c r="N790" s="373"/>
      <c r="O790" s="376"/>
      <c r="P790" s="373"/>
      <c r="Q790" s="373"/>
      <c r="R790" s="373"/>
      <c r="S790" s="373"/>
    </row>
    <row r="791" spans="1:19" x14ac:dyDescent="0.2">
      <c r="A791" s="379"/>
      <c r="B791" s="369"/>
      <c r="C791" s="369"/>
      <c r="D791" s="396"/>
      <c r="G791" s="373"/>
      <c r="H791" s="377"/>
      <c r="I791" s="378"/>
      <c r="J791" s="373"/>
      <c r="K791" s="373"/>
      <c r="L791" s="373"/>
      <c r="M791" s="373"/>
      <c r="N791" s="373"/>
      <c r="O791" s="376"/>
      <c r="P791" s="373"/>
      <c r="Q791" s="373"/>
      <c r="R791" s="373"/>
      <c r="S791" s="373"/>
    </row>
    <row r="792" spans="1:19" x14ac:dyDescent="0.2">
      <c r="A792" s="379"/>
      <c r="B792" s="369"/>
      <c r="C792" s="369"/>
      <c r="D792" s="396"/>
      <c r="G792" s="373"/>
      <c r="H792" s="377"/>
      <c r="I792" s="378"/>
      <c r="J792" s="373"/>
      <c r="K792" s="373"/>
      <c r="L792" s="373"/>
      <c r="M792" s="373"/>
      <c r="N792" s="373"/>
      <c r="O792" s="376"/>
      <c r="P792" s="373"/>
      <c r="Q792" s="373"/>
      <c r="R792" s="373"/>
      <c r="S792" s="373"/>
    </row>
    <row r="793" spans="1:19" x14ac:dyDescent="0.2">
      <c r="A793" s="379"/>
      <c r="B793" s="369"/>
      <c r="C793" s="369"/>
      <c r="D793" s="396"/>
      <c r="G793" s="373"/>
      <c r="H793" s="377"/>
      <c r="I793" s="378"/>
      <c r="J793" s="373"/>
      <c r="K793" s="373"/>
      <c r="L793" s="373"/>
      <c r="M793" s="373"/>
      <c r="N793" s="373"/>
      <c r="O793" s="376"/>
      <c r="P793" s="373"/>
      <c r="Q793" s="373"/>
      <c r="R793" s="373"/>
      <c r="S793" s="373"/>
    </row>
    <row r="794" spans="1:19" x14ac:dyDescent="0.2">
      <c r="A794" s="379"/>
      <c r="B794" s="369"/>
      <c r="C794" s="369"/>
      <c r="D794" s="396"/>
      <c r="G794" s="373"/>
      <c r="H794" s="377"/>
      <c r="I794" s="378"/>
      <c r="J794" s="373"/>
      <c r="K794" s="373"/>
      <c r="L794" s="373"/>
      <c r="M794" s="373"/>
      <c r="N794" s="373"/>
      <c r="O794" s="376"/>
      <c r="P794" s="373"/>
      <c r="Q794" s="373"/>
      <c r="R794" s="373"/>
      <c r="S794" s="373"/>
    </row>
    <row r="795" spans="1:19" x14ac:dyDescent="0.2">
      <c r="A795" s="379"/>
      <c r="B795" s="369"/>
      <c r="C795" s="369"/>
      <c r="D795" s="396"/>
      <c r="G795" s="373"/>
      <c r="H795" s="377"/>
      <c r="I795" s="378"/>
      <c r="J795" s="373"/>
      <c r="K795" s="373"/>
      <c r="L795" s="373"/>
      <c r="M795" s="373"/>
      <c r="N795" s="373"/>
      <c r="O795" s="376"/>
      <c r="P795" s="373"/>
      <c r="Q795" s="373"/>
      <c r="R795" s="373"/>
      <c r="S795" s="373"/>
    </row>
    <row r="796" spans="1:19" x14ac:dyDescent="0.2">
      <c r="A796" s="379"/>
      <c r="B796" s="369"/>
      <c r="C796" s="369"/>
      <c r="D796" s="396"/>
      <c r="G796" s="373"/>
      <c r="H796" s="377"/>
      <c r="I796" s="378"/>
      <c r="J796" s="373"/>
      <c r="K796" s="373"/>
      <c r="L796" s="373"/>
      <c r="M796" s="373"/>
      <c r="N796" s="373"/>
      <c r="O796" s="376"/>
      <c r="P796" s="373"/>
      <c r="Q796" s="373"/>
      <c r="R796" s="373"/>
      <c r="S796" s="373"/>
    </row>
    <row r="797" spans="1:19" x14ac:dyDescent="0.2">
      <c r="A797" s="379"/>
      <c r="B797" s="369"/>
      <c r="C797" s="369"/>
      <c r="D797" s="396"/>
      <c r="G797" s="373"/>
      <c r="H797" s="377"/>
      <c r="I797" s="378"/>
      <c r="J797" s="373"/>
      <c r="K797" s="373"/>
      <c r="L797" s="373"/>
      <c r="M797" s="373"/>
      <c r="N797" s="373"/>
      <c r="O797" s="376"/>
      <c r="P797" s="373"/>
      <c r="Q797" s="373"/>
      <c r="R797" s="373"/>
      <c r="S797" s="373"/>
    </row>
    <row r="798" spans="1:19" x14ac:dyDescent="0.2">
      <c r="A798" s="379"/>
      <c r="B798" s="369"/>
      <c r="C798" s="369"/>
      <c r="D798" s="396"/>
      <c r="G798" s="373"/>
      <c r="H798" s="377"/>
      <c r="I798" s="378"/>
      <c r="J798" s="373"/>
      <c r="K798" s="373"/>
      <c r="L798" s="373"/>
      <c r="M798" s="373"/>
      <c r="N798" s="373"/>
      <c r="O798" s="376"/>
      <c r="P798" s="373"/>
      <c r="Q798" s="373"/>
      <c r="R798" s="373"/>
      <c r="S798" s="373"/>
    </row>
    <row r="799" spans="1:19" x14ac:dyDescent="0.2">
      <c r="A799" s="379"/>
      <c r="B799" s="369"/>
      <c r="C799" s="369"/>
      <c r="D799" s="396"/>
      <c r="G799" s="373"/>
      <c r="H799" s="377"/>
      <c r="I799" s="378"/>
      <c r="J799" s="373"/>
      <c r="K799" s="373"/>
      <c r="L799" s="373"/>
      <c r="M799" s="373"/>
      <c r="N799" s="373"/>
      <c r="O799" s="376"/>
      <c r="P799" s="373"/>
      <c r="Q799" s="373"/>
      <c r="R799" s="373"/>
      <c r="S799" s="373"/>
    </row>
    <row r="800" spans="1:19" x14ac:dyDescent="0.2">
      <c r="A800" s="379"/>
      <c r="B800" s="369"/>
      <c r="C800" s="369"/>
      <c r="D800" s="396"/>
      <c r="G800" s="373"/>
      <c r="H800" s="377"/>
      <c r="I800" s="378"/>
      <c r="J800" s="373"/>
      <c r="K800" s="373"/>
      <c r="L800" s="373"/>
      <c r="M800" s="373"/>
      <c r="N800" s="373"/>
      <c r="O800" s="376"/>
      <c r="P800" s="373"/>
      <c r="Q800" s="373"/>
      <c r="R800" s="373"/>
      <c r="S800" s="373"/>
    </row>
    <row r="801" spans="1:19" x14ac:dyDescent="0.2">
      <c r="A801" s="379"/>
      <c r="B801" s="369"/>
      <c r="C801" s="369"/>
      <c r="D801" s="396"/>
      <c r="G801" s="373"/>
      <c r="H801" s="377"/>
      <c r="I801" s="378"/>
      <c r="J801" s="373"/>
      <c r="K801" s="373"/>
      <c r="L801" s="373"/>
      <c r="M801" s="373"/>
      <c r="N801" s="373"/>
      <c r="O801" s="376"/>
      <c r="P801" s="373"/>
      <c r="Q801" s="373"/>
      <c r="R801" s="373"/>
      <c r="S801" s="373"/>
    </row>
    <row r="802" spans="1:19" x14ac:dyDescent="0.2">
      <c r="A802" s="379"/>
      <c r="B802" s="369"/>
      <c r="C802" s="369"/>
      <c r="D802" s="396"/>
      <c r="G802" s="373"/>
      <c r="H802" s="377"/>
      <c r="I802" s="378"/>
      <c r="J802" s="373"/>
      <c r="K802" s="373"/>
      <c r="L802" s="373"/>
      <c r="M802" s="373"/>
      <c r="N802" s="373"/>
      <c r="O802" s="376"/>
      <c r="P802" s="373"/>
      <c r="Q802" s="373"/>
      <c r="R802" s="373"/>
      <c r="S802" s="373"/>
    </row>
    <row r="803" spans="1:19" x14ac:dyDescent="0.2">
      <c r="A803" s="379"/>
      <c r="B803" s="369"/>
      <c r="C803" s="369"/>
      <c r="D803" s="396"/>
      <c r="G803" s="373"/>
      <c r="H803" s="377"/>
      <c r="I803" s="378"/>
      <c r="J803" s="373"/>
      <c r="K803" s="373"/>
      <c r="L803" s="373"/>
      <c r="M803" s="373"/>
      <c r="N803" s="373"/>
      <c r="O803" s="376"/>
      <c r="P803" s="373"/>
      <c r="Q803" s="373"/>
      <c r="R803" s="373"/>
      <c r="S803" s="373"/>
    </row>
    <row r="804" spans="1:19" x14ac:dyDescent="0.2">
      <c r="A804" s="379"/>
      <c r="B804" s="369"/>
      <c r="C804" s="369"/>
      <c r="D804" s="396"/>
      <c r="G804" s="373"/>
      <c r="H804" s="377"/>
      <c r="I804" s="378"/>
      <c r="J804" s="373"/>
      <c r="K804" s="373"/>
      <c r="L804" s="373"/>
      <c r="M804" s="373"/>
      <c r="N804" s="373"/>
      <c r="O804" s="376"/>
      <c r="P804" s="373"/>
      <c r="Q804" s="373"/>
      <c r="R804" s="373"/>
      <c r="S804" s="373"/>
    </row>
    <row r="805" spans="1:19" x14ac:dyDescent="0.2">
      <c r="A805" s="379"/>
      <c r="B805" s="369"/>
      <c r="C805" s="369"/>
      <c r="D805" s="396"/>
      <c r="G805" s="373"/>
      <c r="H805" s="377"/>
      <c r="I805" s="378"/>
      <c r="J805" s="373"/>
      <c r="K805" s="373"/>
      <c r="L805" s="373"/>
      <c r="M805" s="373"/>
      <c r="N805" s="373"/>
      <c r="O805" s="376"/>
      <c r="P805" s="373"/>
      <c r="Q805" s="373"/>
      <c r="R805" s="373"/>
      <c r="S805" s="373"/>
    </row>
    <row r="806" spans="1:19" x14ac:dyDescent="0.2">
      <c r="A806" s="379"/>
      <c r="B806" s="369"/>
      <c r="C806" s="369"/>
      <c r="D806" s="396"/>
      <c r="G806" s="373"/>
      <c r="H806" s="377"/>
      <c r="I806" s="378"/>
      <c r="J806" s="373"/>
      <c r="K806" s="373"/>
      <c r="L806" s="373"/>
      <c r="M806" s="373"/>
      <c r="N806" s="373"/>
      <c r="O806" s="376"/>
      <c r="P806" s="373"/>
      <c r="Q806" s="373"/>
      <c r="R806" s="373"/>
      <c r="S806" s="373"/>
    </row>
    <row r="807" spans="1:19" x14ac:dyDescent="0.2">
      <c r="A807" s="379"/>
      <c r="B807" s="369"/>
      <c r="C807" s="369"/>
      <c r="D807" s="396"/>
      <c r="G807" s="373"/>
      <c r="H807" s="377"/>
      <c r="I807" s="378"/>
      <c r="J807" s="373"/>
      <c r="K807" s="373"/>
      <c r="L807" s="373"/>
      <c r="M807" s="373"/>
      <c r="N807" s="373"/>
      <c r="O807" s="376"/>
      <c r="P807" s="373"/>
      <c r="Q807" s="373"/>
      <c r="R807" s="373"/>
      <c r="S807" s="373"/>
    </row>
    <row r="808" spans="1:19" x14ac:dyDescent="0.2">
      <c r="A808" s="379"/>
      <c r="B808" s="369"/>
      <c r="C808" s="369"/>
      <c r="D808" s="369"/>
      <c r="G808" s="373"/>
      <c r="H808" s="377"/>
      <c r="I808" s="378"/>
      <c r="J808" s="373"/>
      <c r="K808" s="373"/>
      <c r="L808" s="373"/>
      <c r="M808" s="373"/>
      <c r="N808" s="373"/>
      <c r="O808" s="376"/>
      <c r="P808" s="373"/>
      <c r="Q808" s="373"/>
      <c r="R808" s="373"/>
      <c r="S808" s="373"/>
    </row>
    <row r="809" spans="1:19" x14ac:dyDescent="0.2">
      <c r="A809" s="379"/>
      <c r="B809" s="369"/>
      <c r="C809" s="369"/>
      <c r="D809" s="369"/>
      <c r="G809" s="373"/>
      <c r="H809" s="377"/>
      <c r="I809" s="378"/>
      <c r="J809" s="373"/>
      <c r="K809" s="373"/>
      <c r="L809" s="373"/>
      <c r="M809" s="373"/>
      <c r="N809" s="373"/>
      <c r="O809" s="376"/>
      <c r="P809" s="373"/>
      <c r="Q809" s="373"/>
      <c r="R809" s="373"/>
      <c r="S809" s="373"/>
    </row>
    <row r="810" spans="1:19" x14ac:dyDescent="0.2">
      <c r="A810" s="379"/>
      <c r="B810" s="369"/>
      <c r="C810" s="369"/>
      <c r="D810" s="369"/>
      <c r="G810" s="373"/>
      <c r="H810" s="377"/>
      <c r="I810" s="378"/>
      <c r="J810" s="373"/>
      <c r="K810" s="373"/>
      <c r="L810" s="373"/>
      <c r="M810" s="373"/>
      <c r="N810" s="373"/>
      <c r="O810" s="376"/>
      <c r="P810" s="373"/>
      <c r="Q810" s="373"/>
      <c r="R810" s="373"/>
      <c r="S810" s="373"/>
    </row>
    <row r="811" spans="1:19" x14ac:dyDescent="0.2">
      <c r="A811" s="379"/>
      <c r="B811" s="369"/>
      <c r="C811" s="369"/>
      <c r="D811" s="369"/>
      <c r="G811" s="373"/>
      <c r="H811" s="377"/>
      <c r="I811" s="378"/>
      <c r="J811" s="373"/>
      <c r="K811" s="373"/>
      <c r="L811" s="373"/>
      <c r="M811" s="373"/>
      <c r="N811" s="373"/>
      <c r="O811" s="376"/>
      <c r="P811" s="373"/>
      <c r="Q811" s="373"/>
      <c r="R811" s="373"/>
      <c r="S811" s="373"/>
    </row>
    <row r="812" spans="1:19" x14ac:dyDescent="0.2">
      <c r="A812" s="379"/>
      <c r="B812" s="369"/>
      <c r="C812" s="369"/>
      <c r="D812" s="369"/>
      <c r="G812" s="373"/>
      <c r="H812" s="377"/>
      <c r="I812" s="378"/>
      <c r="J812" s="373"/>
      <c r="K812" s="373"/>
      <c r="L812" s="373"/>
      <c r="M812" s="373"/>
      <c r="N812" s="373"/>
      <c r="O812" s="376"/>
      <c r="P812" s="373"/>
      <c r="Q812" s="373"/>
      <c r="R812" s="373"/>
      <c r="S812" s="373"/>
    </row>
    <row r="813" spans="1:19" x14ac:dyDescent="0.2">
      <c r="A813" s="379"/>
      <c r="B813" s="369"/>
      <c r="C813" s="369"/>
      <c r="D813" s="369"/>
      <c r="G813" s="373"/>
      <c r="H813" s="377"/>
      <c r="I813" s="378"/>
      <c r="J813" s="373"/>
      <c r="K813" s="373"/>
      <c r="L813" s="373"/>
      <c r="M813" s="373"/>
      <c r="N813" s="373"/>
      <c r="O813" s="376"/>
      <c r="P813" s="373"/>
      <c r="Q813" s="373"/>
      <c r="R813" s="373"/>
      <c r="S813" s="373"/>
    </row>
    <row r="814" spans="1:19" x14ac:dyDescent="0.2">
      <c r="A814" s="379"/>
      <c r="B814" s="369"/>
      <c r="C814" s="369"/>
      <c r="D814" s="369"/>
      <c r="G814" s="373"/>
      <c r="H814" s="377"/>
      <c r="I814" s="378"/>
      <c r="J814" s="373"/>
      <c r="K814" s="373"/>
      <c r="L814" s="373"/>
      <c r="M814" s="373"/>
      <c r="N814" s="373"/>
      <c r="O814" s="376"/>
      <c r="P814" s="373"/>
      <c r="Q814" s="373"/>
      <c r="R814" s="373"/>
      <c r="S814" s="373"/>
    </row>
    <row r="815" spans="1:19" x14ac:dyDescent="0.2">
      <c r="A815" s="379"/>
      <c r="B815" s="369"/>
      <c r="C815" s="369"/>
      <c r="D815" s="369"/>
      <c r="G815" s="373"/>
      <c r="H815" s="377"/>
      <c r="I815" s="378"/>
      <c r="J815" s="373"/>
      <c r="K815" s="373"/>
      <c r="L815" s="373"/>
      <c r="M815" s="373"/>
      <c r="N815" s="373"/>
      <c r="O815" s="376"/>
      <c r="P815" s="373"/>
      <c r="Q815" s="373"/>
      <c r="R815" s="373"/>
      <c r="S815" s="373"/>
    </row>
    <row r="816" spans="1:19" x14ac:dyDescent="0.2">
      <c r="A816" s="379"/>
      <c r="B816" s="369"/>
      <c r="C816" s="369"/>
      <c r="D816" s="369"/>
      <c r="G816" s="373"/>
      <c r="H816" s="377"/>
      <c r="I816" s="378"/>
      <c r="J816" s="373"/>
      <c r="K816" s="373"/>
      <c r="L816" s="373"/>
      <c r="M816" s="373"/>
      <c r="N816" s="373"/>
      <c r="O816" s="376"/>
      <c r="P816" s="373"/>
      <c r="Q816" s="373"/>
      <c r="R816" s="373"/>
      <c r="S816" s="373"/>
    </row>
    <row r="817" spans="1:19" x14ac:dyDescent="0.2">
      <c r="A817" s="379"/>
      <c r="B817" s="369"/>
      <c r="C817" s="369"/>
      <c r="D817" s="369"/>
      <c r="G817" s="373"/>
      <c r="H817" s="377"/>
      <c r="I817" s="378"/>
      <c r="J817" s="373"/>
      <c r="K817" s="373"/>
      <c r="L817" s="373"/>
      <c r="M817" s="373"/>
      <c r="N817" s="373"/>
      <c r="O817" s="376"/>
      <c r="P817" s="373"/>
      <c r="Q817" s="373"/>
      <c r="R817" s="373"/>
      <c r="S817" s="373"/>
    </row>
    <row r="818" spans="1:19" x14ac:dyDescent="0.2">
      <c r="A818" s="369"/>
      <c r="B818" s="369"/>
      <c r="C818" s="369"/>
      <c r="D818" s="369"/>
      <c r="G818" s="373"/>
      <c r="H818" s="377"/>
      <c r="I818" s="378"/>
      <c r="J818" s="373"/>
      <c r="K818" s="373"/>
      <c r="L818" s="373"/>
      <c r="M818" s="373"/>
      <c r="N818" s="373"/>
      <c r="O818" s="376"/>
      <c r="P818" s="373"/>
      <c r="Q818" s="373"/>
      <c r="R818" s="373"/>
      <c r="S818" s="373"/>
    </row>
    <row r="819" spans="1:19" x14ac:dyDescent="0.2">
      <c r="A819" s="369"/>
      <c r="B819" s="369"/>
      <c r="C819" s="369"/>
      <c r="D819" s="369"/>
      <c r="G819" s="373"/>
      <c r="H819" s="377"/>
      <c r="I819" s="378"/>
      <c r="J819" s="373"/>
      <c r="K819" s="373"/>
      <c r="L819" s="373"/>
      <c r="M819" s="373"/>
      <c r="N819" s="373"/>
      <c r="O819" s="376"/>
      <c r="P819" s="373"/>
      <c r="Q819" s="373"/>
      <c r="R819" s="373"/>
      <c r="S819" s="373"/>
    </row>
    <row r="820" spans="1:19" x14ac:dyDescent="0.2">
      <c r="A820" s="369"/>
      <c r="B820" s="369"/>
      <c r="C820" s="369"/>
      <c r="D820" s="369"/>
      <c r="G820" s="373"/>
      <c r="H820" s="377"/>
      <c r="I820" s="378"/>
      <c r="J820" s="373"/>
      <c r="K820" s="373"/>
      <c r="L820" s="373"/>
      <c r="M820" s="373"/>
      <c r="N820" s="373"/>
      <c r="O820" s="376"/>
      <c r="P820" s="373"/>
      <c r="Q820" s="373"/>
      <c r="R820" s="373"/>
      <c r="S820" s="373"/>
    </row>
    <row r="821" spans="1:19" x14ac:dyDescent="0.2">
      <c r="A821" s="369"/>
      <c r="B821" s="369"/>
      <c r="C821" s="369"/>
      <c r="D821" s="369"/>
      <c r="G821" s="373"/>
      <c r="H821" s="377"/>
      <c r="I821" s="378"/>
      <c r="J821" s="373"/>
      <c r="K821" s="373"/>
      <c r="L821" s="373"/>
      <c r="M821" s="373"/>
      <c r="N821" s="373"/>
      <c r="O821" s="376"/>
      <c r="P821" s="373"/>
      <c r="Q821" s="373"/>
      <c r="R821" s="373"/>
      <c r="S821" s="373"/>
    </row>
    <row r="822" spans="1:19" x14ac:dyDescent="0.2">
      <c r="A822" s="369"/>
      <c r="B822" s="369"/>
      <c r="C822" s="369"/>
      <c r="D822" s="369"/>
      <c r="G822" s="373"/>
      <c r="H822" s="377"/>
      <c r="I822" s="378"/>
      <c r="J822" s="373"/>
      <c r="K822" s="373"/>
      <c r="L822" s="373"/>
      <c r="M822" s="373"/>
      <c r="N822" s="373"/>
      <c r="O822" s="376"/>
      <c r="P822" s="373"/>
      <c r="Q822" s="373"/>
      <c r="R822" s="373"/>
      <c r="S822" s="373"/>
    </row>
    <row r="823" spans="1:19" x14ac:dyDescent="0.2">
      <c r="A823" s="369"/>
      <c r="B823" s="369"/>
      <c r="C823" s="369"/>
      <c r="D823" s="369"/>
      <c r="G823" s="373"/>
      <c r="H823" s="377"/>
      <c r="I823" s="378"/>
      <c r="J823" s="373"/>
      <c r="K823" s="373"/>
      <c r="L823" s="373"/>
      <c r="M823" s="373"/>
      <c r="N823" s="373"/>
      <c r="O823" s="376"/>
      <c r="P823" s="373"/>
      <c r="Q823" s="373"/>
      <c r="R823" s="373"/>
      <c r="S823" s="373"/>
    </row>
    <row r="824" spans="1:19" x14ac:dyDescent="0.2">
      <c r="A824" s="369"/>
      <c r="B824" s="369"/>
      <c r="C824" s="369"/>
      <c r="D824" s="369"/>
      <c r="G824" s="373"/>
      <c r="H824" s="377"/>
      <c r="I824" s="378"/>
      <c r="J824" s="373"/>
      <c r="K824" s="373"/>
      <c r="L824" s="373"/>
      <c r="M824" s="373"/>
      <c r="N824" s="373"/>
      <c r="O824" s="376"/>
      <c r="P824" s="373"/>
      <c r="Q824" s="373"/>
      <c r="R824" s="373"/>
      <c r="S824" s="373"/>
    </row>
    <row r="825" spans="1:19" x14ac:dyDescent="0.2">
      <c r="A825" s="369"/>
      <c r="B825" s="369"/>
      <c r="C825" s="369"/>
      <c r="D825" s="369"/>
      <c r="G825" s="373"/>
      <c r="H825" s="377"/>
      <c r="I825" s="378"/>
      <c r="J825" s="373"/>
      <c r="K825" s="373"/>
      <c r="L825" s="373"/>
      <c r="M825" s="373"/>
      <c r="N825" s="373"/>
      <c r="O825" s="376"/>
      <c r="P825" s="373"/>
      <c r="Q825" s="373"/>
      <c r="R825" s="373"/>
      <c r="S825" s="373"/>
    </row>
    <row r="826" spans="1:19" x14ac:dyDescent="0.2">
      <c r="A826" s="369"/>
      <c r="B826" s="369"/>
      <c r="C826" s="369"/>
      <c r="D826" s="369"/>
      <c r="G826" s="373"/>
      <c r="H826" s="377"/>
      <c r="I826" s="378"/>
      <c r="J826" s="373"/>
      <c r="K826" s="373"/>
      <c r="L826" s="373"/>
      <c r="M826" s="373"/>
      <c r="N826" s="373"/>
      <c r="O826" s="376"/>
      <c r="P826" s="373"/>
      <c r="Q826" s="373"/>
      <c r="R826" s="373"/>
      <c r="S826" s="373"/>
    </row>
    <row r="827" spans="1:19" x14ac:dyDescent="0.2">
      <c r="A827" s="369"/>
      <c r="B827" s="369"/>
      <c r="C827" s="369"/>
      <c r="D827" s="369"/>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91" customWidth="1"/>
    <col min="2" max="16384" width="11.42578125" style="191"/>
  </cols>
  <sheetData>
    <row r="1" spans="1:7" ht="30" customHeight="1" x14ac:dyDescent="0.2">
      <c r="A1" s="190" t="s">
        <v>959</v>
      </c>
    </row>
    <row r="2" spans="1:7" ht="30" customHeight="1" x14ac:dyDescent="0.2">
      <c r="A2" s="190" t="s">
        <v>997</v>
      </c>
    </row>
    <row r="3" spans="1:7" ht="150" x14ac:dyDescent="0.2">
      <c r="A3" s="192" t="s">
        <v>998</v>
      </c>
    </row>
    <row r="4" spans="1:7" ht="30" customHeight="1" x14ac:dyDescent="0.2">
      <c r="A4" s="190" t="s">
        <v>960</v>
      </c>
    </row>
    <row r="5" spans="1:7" ht="150" x14ac:dyDescent="0.2">
      <c r="A5" s="192" t="s">
        <v>1000</v>
      </c>
    </row>
    <row r="6" spans="1:7" ht="45" customHeight="1" x14ac:dyDescent="0.2">
      <c r="A6" s="192" t="s">
        <v>1001</v>
      </c>
      <c r="B6" s="193"/>
      <c r="C6" s="193"/>
      <c r="D6" s="193"/>
      <c r="E6" s="193"/>
      <c r="F6" s="193"/>
      <c r="G6" s="193"/>
    </row>
    <row r="7" spans="1:7" ht="30" customHeight="1" x14ac:dyDescent="0.2">
      <c r="A7" s="190" t="s">
        <v>961</v>
      </c>
    </row>
    <row r="8" spans="1:7" ht="60" x14ac:dyDescent="0.2">
      <c r="A8" s="192" t="s">
        <v>1003</v>
      </c>
      <c r="B8" s="193"/>
      <c r="C8" s="193"/>
      <c r="D8" s="193"/>
      <c r="E8" s="193"/>
      <c r="F8" s="193"/>
      <c r="G8" s="193"/>
    </row>
    <row r="9" spans="1:7" ht="30" x14ac:dyDescent="0.2">
      <c r="A9" s="192" t="s">
        <v>1002</v>
      </c>
      <c r="B9" s="193"/>
      <c r="C9" s="193"/>
      <c r="D9" s="193"/>
      <c r="E9" s="193"/>
      <c r="F9" s="193"/>
      <c r="G9" s="193"/>
    </row>
    <row r="10" spans="1:7" ht="30" customHeight="1" x14ac:dyDescent="0.2">
      <c r="A10" s="190" t="s">
        <v>962</v>
      </c>
    </row>
    <row r="11" spans="1:7" ht="30" x14ac:dyDescent="0.2">
      <c r="A11" s="192" t="s">
        <v>1004</v>
      </c>
      <c r="B11" s="193"/>
      <c r="C11" s="193"/>
      <c r="D11" s="193"/>
      <c r="E11" s="193"/>
      <c r="F11" s="193"/>
      <c r="G11" s="193"/>
    </row>
    <row r="12" spans="1:7" ht="75" x14ac:dyDescent="0.2">
      <c r="A12" s="192" t="s">
        <v>1005</v>
      </c>
    </row>
    <row r="13" spans="1:7" ht="45" x14ac:dyDescent="0.2">
      <c r="A13" s="192" t="s">
        <v>1006</v>
      </c>
    </row>
    <row r="14" spans="1:7" ht="166.5" x14ac:dyDescent="0.2">
      <c r="A14" s="192" t="s">
        <v>1007</v>
      </c>
    </row>
    <row r="15" spans="1:7" ht="30" customHeight="1" x14ac:dyDescent="0.2">
      <c r="A15" s="190" t="s">
        <v>963</v>
      </c>
    </row>
    <row r="16" spans="1:7" ht="195" x14ac:dyDescent="0.2">
      <c r="A16" s="192" t="s">
        <v>1008</v>
      </c>
    </row>
    <row r="17" spans="1:7" ht="120" x14ac:dyDescent="0.2">
      <c r="A17" s="192" t="s">
        <v>1009</v>
      </c>
    </row>
    <row r="18" spans="1:7" ht="44.25" customHeight="1" x14ac:dyDescent="0.2">
      <c r="A18" s="192" t="s">
        <v>964</v>
      </c>
    </row>
    <row r="19" spans="1:7" ht="30.75" customHeight="1" x14ac:dyDescent="0.2">
      <c r="A19" s="190" t="s">
        <v>965</v>
      </c>
      <c r="B19" s="193"/>
      <c r="C19" s="193"/>
      <c r="D19" s="193"/>
      <c r="E19" s="193"/>
      <c r="F19" s="193"/>
      <c r="G19" s="193"/>
    </row>
    <row r="20" spans="1:7" ht="30" x14ac:dyDescent="0.2">
      <c r="A20" s="192" t="s">
        <v>1010</v>
      </c>
    </row>
    <row r="21" spans="1:7" ht="30" x14ac:dyDescent="0.2">
      <c r="A21" s="192" t="s">
        <v>1011</v>
      </c>
    </row>
    <row r="22" spans="1:7" ht="30" customHeight="1" x14ac:dyDescent="0.2"/>
    <row r="23" spans="1:7" ht="15.75" x14ac:dyDescent="0.2">
      <c r="A23" s="190" t="s">
        <v>966</v>
      </c>
    </row>
    <row r="24" spans="1:7" ht="45" x14ac:dyDescent="0.2">
      <c r="A24" s="192"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1970"/>
  <sheetViews>
    <sheetView showGridLines="0" showZeros="0" tabSelected="1" zoomScale="90" zoomScaleNormal="90" zoomScaleSheetLayoutView="90" workbookViewId="0">
      <selection activeCell="B14" sqref="B14"/>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08"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6" customWidth="1"/>
    <col min="16" max="16384" width="11.42578125" style="134"/>
  </cols>
  <sheetData>
    <row r="1" spans="1:15" ht="20.100000000000001" customHeight="1" x14ac:dyDescent="0.2">
      <c r="A1" s="710" t="s">
        <v>955</v>
      </c>
      <c r="B1" s="711"/>
      <c r="C1" s="711"/>
      <c r="D1" s="712"/>
      <c r="E1" s="157"/>
      <c r="F1" s="157"/>
    </row>
    <row r="2" spans="1:15" s="170" customFormat="1" ht="20.100000000000001" customHeight="1" x14ac:dyDescent="0.2">
      <c r="A2" s="133" t="s">
        <v>8</v>
      </c>
      <c r="B2" s="133" t="s">
        <v>1052</v>
      </c>
      <c r="C2" s="209"/>
      <c r="D2" s="133"/>
      <c r="E2" s="133"/>
      <c r="F2" s="133"/>
      <c r="I2" s="696"/>
      <c r="L2" s="217"/>
      <c r="M2" s="217"/>
      <c r="N2" s="217"/>
      <c r="O2" s="217"/>
    </row>
    <row r="3" spans="1:15" s="172" customFormat="1" ht="20.100000000000001" customHeight="1" x14ac:dyDescent="0.2">
      <c r="A3" s="171" t="s">
        <v>9</v>
      </c>
      <c r="B3" s="173" t="s">
        <v>1925</v>
      </c>
      <c r="C3" s="210"/>
      <c r="D3" s="174"/>
      <c r="E3" s="174"/>
      <c r="F3" s="174"/>
      <c r="I3" s="697"/>
      <c r="L3" s="218"/>
      <c r="M3" s="218"/>
      <c r="N3" s="218"/>
      <c r="O3" s="218"/>
    </row>
    <row r="4" spans="1:15" s="298" customFormat="1" ht="19.5" customHeight="1" x14ac:dyDescent="0.2">
      <c r="A4" s="296" t="s">
        <v>1012</v>
      </c>
      <c r="B4" s="297" t="s">
        <v>1926</v>
      </c>
      <c r="D4" s="87"/>
      <c r="E4" s="87"/>
      <c r="I4" s="698"/>
    </row>
    <row r="5" spans="1:15" s="298" customFormat="1" ht="19.5" customHeight="1" x14ac:dyDescent="0.2">
      <c r="A5" s="296" t="s">
        <v>1013</v>
      </c>
      <c r="B5" s="297"/>
      <c r="D5" s="87"/>
      <c r="E5" s="87"/>
      <c r="I5" s="698"/>
    </row>
    <row r="6" spans="1:15" s="298" customFormat="1" ht="19.5" customHeight="1" x14ac:dyDescent="0.2">
      <c r="A6" s="296" t="s">
        <v>1014</v>
      </c>
      <c r="B6" s="297"/>
      <c r="D6" s="87"/>
      <c r="E6" s="87"/>
      <c r="I6" s="698"/>
    </row>
    <row r="7" spans="1:15" s="298" customFormat="1" ht="19.5" customHeight="1" x14ac:dyDescent="0.2">
      <c r="A7" s="296" t="s">
        <v>1015</v>
      </c>
      <c r="B7" s="297"/>
      <c r="D7" s="87"/>
      <c r="E7" s="87"/>
      <c r="I7" s="698"/>
    </row>
    <row r="8" spans="1:15" s="172" customFormat="1" ht="20.100000000000001" customHeight="1" x14ac:dyDescent="0.2">
      <c r="A8" s="171" t="s">
        <v>15</v>
      </c>
      <c r="B8" s="175" t="s">
        <v>1874</v>
      </c>
      <c r="C8" s="210"/>
      <c r="D8" s="174"/>
      <c r="E8" s="174"/>
      <c r="F8" s="174"/>
      <c r="I8" s="697"/>
      <c r="L8" s="218"/>
      <c r="M8" s="218"/>
      <c r="N8" s="218"/>
      <c r="O8" s="218"/>
    </row>
    <row r="9" spans="1:15" s="172" customFormat="1" ht="20.100000000000001" customHeight="1" x14ac:dyDescent="0.2">
      <c r="A9" s="171" t="s">
        <v>14</v>
      </c>
      <c r="B9" s="176" t="s">
        <v>1927</v>
      </c>
      <c r="C9" s="211"/>
      <c r="I9" s="697"/>
      <c r="L9" s="218"/>
      <c r="M9" s="218"/>
      <c r="N9" s="218"/>
      <c r="O9" s="218"/>
    </row>
    <row r="10" spans="1:15" s="172" customFormat="1" ht="20.100000000000001" customHeight="1" x14ac:dyDescent="0.2">
      <c r="A10" s="171" t="s">
        <v>32</v>
      </c>
      <c r="B10" s="177" t="s">
        <v>1928</v>
      </c>
      <c r="C10" s="211"/>
      <c r="I10" s="697"/>
      <c r="L10" s="218"/>
      <c r="M10" s="218"/>
      <c r="N10" s="218"/>
      <c r="O10" s="218"/>
    </row>
    <row r="11" spans="1:15" s="172" customFormat="1" ht="20.100000000000001" customHeight="1" x14ac:dyDescent="0.2">
      <c r="A11" s="171" t="s">
        <v>17</v>
      </c>
      <c r="B11" s="178">
        <v>52700000</v>
      </c>
      <c r="C11" s="211"/>
      <c r="I11" s="697"/>
      <c r="L11" s="218"/>
      <c r="M11" s="218"/>
      <c r="N11" s="218"/>
      <c r="O11" s="218"/>
    </row>
    <row r="12" spans="1:15" s="172" customFormat="1" ht="20.100000000000001" customHeight="1" x14ac:dyDescent="0.2">
      <c r="A12" s="171" t="s">
        <v>905</v>
      </c>
      <c r="B12" s="179">
        <v>0.1</v>
      </c>
      <c r="C12" s="211"/>
      <c r="I12" s="697"/>
      <c r="L12" s="218"/>
      <c r="M12" s="218"/>
      <c r="N12" s="218"/>
      <c r="O12" s="218"/>
    </row>
    <row r="13" spans="1:15" s="172" customFormat="1" ht="20.100000000000001" customHeight="1" x14ac:dyDescent="0.2">
      <c r="A13" s="171" t="s">
        <v>904</v>
      </c>
      <c r="B13" s="180">
        <v>43444</v>
      </c>
      <c r="C13" s="211"/>
      <c r="I13" s="697"/>
      <c r="L13" s="218"/>
      <c r="M13" s="218"/>
      <c r="N13" s="218"/>
      <c r="O13" s="218"/>
    </row>
    <row r="14" spans="1:15" s="172" customFormat="1" ht="20.100000000000001" customHeight="1" x14ac:dyDescent="0.2">
      <c r="A14" s="171" t="s">
        <v>16</v>
      </c>
      <c r="B14" s="181">
        <v>180</v>
      </c>
      <c r="C14" s="211"/>
      <c r="I14" s="697"/>
      <c r="L14" s="218"/>
      <c r="M14" s="218"/>
      <c r="N14" s="218"/>
      <c r="O14" s="218"/>
    </row>
    <row r="15" spans="1:15" s="172" customFormat="1" ht="20.100000000000001" customHeight="1" x14ac:dyDescent="0.2">
      <c r="A15" s="171"/>
      <c r="B15" s="182"/>
      <c r="C15" s="211"/>
      <c r="I15" s="697"/>
      <c r="L15" s="218"/>
      <c r="M15" s="218"/>
      <c r="N15" s="218"/>
      <c r="O15" s="218"/>
    </row>
    <row r="16" spans="1:15" ht="20.100000000000001" customHeight="1" x14ac:dyDescent="0.2">
      <c r="A16" s="710" t="s">
        <v>956</v>
      </c>
      <c r="B16" s="711"/>
      <c r="C16" s="711"/>
      <c r="D16" s="712"/>
      <c r="E16" s="157"/>
      <c r="F16" s="157"/>
    </row>
    <row r="17" spans="1:15" s="172" customFormat="1" ht="20.100000000000001" customHeight="1" x14ac:dyDescent="0.2">
      <c r="A17" s="171" t="s">
        <v>10</v>
      </c>
      <c r="B17" s="288"/>
      <c r="C17" s="211"/>
      <c r="I17" s="697"/>
      <c r="L17" s="218"/>
      <c r="M17" s="218"/>
      <c r="N17" s="218"/>
      <c r="O17" s="218"/>
    </row>
    <row r="18" spans="1:15" s="298" customFormat="1" ht="20.100000000000001" customHeight="1" x14ac:dyDescent="0.2">
      <c r="A18" s="296" t="s">
        <v>1016</v>
      </c>
      <c r="B18" s="288"/>
      <c r="D18" s="87"/>
      <c r="E18" s="87"/>
      <c r="I18" s="698"/>
    </row>
    <row r="19" spans="1:15" s="298" customFormat="1" ht="20.100000000000001" customHeight="1" x14ac:dyDescent="0.2">
      <c r="A19" s="296" t="s">
        <v>1017</v>
      </c>
      <c r="B19" s="288"/>
      <c r="D19" s="87"/>
      <c r="E19" s="87"/>
      <c r="I19" s="698"/>
    </row>
    <row r="20" spans="1:15" s="298" customFormat="1" ht="20.100000000000001" customHeight="1" x14ac:dyDescent="0.2">
      <c r="A20" s="296" t="s">
        <v>1018</v>
      </c>
      <c r="B20" s="288"/>
      <c r="D20" s="87"/>
      <c r="E20" s="87"/>
      <c r="I20" s="698"/>
    </row>
    <row r="21" spans="1:15" s="298" customFormat="1" ht="20.100000000000001" customHeight="1" x14ac:dyDescent="0.2">
      <c r="A21" s="296" t="s">
        <v>1017</v>
      </c>
      <c r="B21" s="288"/>
      <c r="D21" s="87"/>
      <c r="E21" s="87"/>
      <c r="I21" s="698"/>
    </row>
    <row r="22" spans="1:15" s="298" customFormat="1" ht="20.100000000000001" customHeight="1" x14ac:dyDescent="0.2">
      <c r="A22" s="296" t="s">
        <v>1018</v>
      </c>
      <c r="B22" s="288"/>
      <c r="D22" s="87"/>
      <c r="E22" s="87"/>
      <c r="I22" s="698"/>
    </row>
    <row r="23" spans="1:15" ht="20.100000000000001" customHeight="1" x14ac:dyDescent="0.2">
      <c r="A23" s="171" t="s">
        <v>950</v>
      </c>
      <c r="B23" s="183">
        <f>IFERROR(GG_Pesos/Costo_Obra,D23)</f>
        <v>0</v>
      </c>
      <c r="C23" s="212"/>
      <c r="D23" s="205"/>
      <c r="E23" s="205"/>
      <c r="F23" s="205"/>
      <c r="J23" s="184"/>
    </row>
    <row r="24" spans="1:15" ht="20.100000000000001" customHeight="1" x14ac:dyDescent="0.2">
      <c r="A24" s="171" t="s">
        <v>949</v>
      </c>
      <c r="B24" s="289"/>
      <c r="C24" s="212"/>
      <c r="J24" s="184"/>
    </row>
    <row r="25" spans="1:15" ht="20.100000000000001" customHeight="1" x14ac:dyDescent="0.2">
      <c r="A25" s="171" t="s">
        <v>975</v>
      </c>
      <c r="B25" s="289"/>
      <c r="C25" s="212"/>
      <c r="J25" s="184"/>
    </row>
    <row r="26" spans="1:15" ht="20.100000000000001" customHeight="1" x14ac:dyDescent="0.2">
      <c r="A26" s="171" t="s">
        <v>948</v>
      </c>
      <c r="B26" s="289"/>
      <c r="C26" s="212"/>
      <c r="J26" s="184"/>
    </row>
    <row r="27" spans="1:15" ht="20.100000000000001" customHeight="1" x14ac:dyDescent="0.2">
      <c r="A27" s="171" t="s">
        <v>952</v>
      </c>
      <c r="B27" s="136" t="e">
        <f ca="1">PrecioUnitario(1,GG_Porcentaje,Beneficio,Ingresos_Brutos,IVA)</f>
        <v>#NAME?</v>
      </c>
    </row>
    <row r="28" spans="1:15" ht="20.100000000000001" customHeight="1" x14ac:dyDescent="0.2">
      <c r="B28" s="136"/>
    </row>
    <row r="29" spans="1:15" ht="20.100000000000001" customHeight="1" x14ac:dyDescent="0.2">
      <c r="A29" s="710" t="s">
        <v>974</v>
      </c>
      <c r="B29" s="711"/>
      <c r="C29" s="711"/>
      <c r="D29" s="712"/>
      <c r="E29" s="157"/>
      <c r="F29" s="157"/>
    </row>
    <row r="31" spans="1:15" ht="20.100000000000001" customHeight="1" x14ac:dyDescent="0.2">
      <c r="A31" s="715" t="s">
        <v>906</v>
      </c>
      <c r="B31" s="708" t="s">
        <v>0</v>
      </c>
      <c r="C31" s="716" t="s">
        <v>1</v>
      </c>
      <c r="D31" s="715" t="s">
        <v>2</v>
      </c>
      <c r="E31" s="215"/>
      <c r="F31" s="713" t="s">
        <v>976</v>
      </c>
      <c r="H31" s="708" t="s">
        <v>977</v>
      </c>
      <c r="I31" s="708"/>
      <c r="L31" s="709" t="s">
        <v>979</v>
      </c>
      <c r="M31" s="709"/>
      <c r="N31" s="709"/>
      <c r="O31" s="709"/>
    </row>
    <row r="32" spans="1:15" ht="20.100000000000001" customHeight="1" x14ac:dyDescent="0.2">
      <c r="A32" s="715"/>
      <c r="B32" s="708"/>
      <c r="C32" s="716"/>
      <c r="D32" s="715"/>
      <c r="E32" s="215"/>
      <c r="F32" s="714"/>
      <c r="H32" s="207" t="s">
        <v>978</v>
      </c>
      <c r="I32" s="692" t="s">
        <v>1</v>
      </c>
      <c r="L32" s="709"/>
      <c r="M32" s="709"/>
      <c r="N32" s="709"/>
      <c r="O32" s="709"/>
    </row>
    <row r="33" spans="1:15" ht="20.100000000000001" customHeight="1" x14ac:dyDescent="0.2">
      <c r="A33" s="131"/>
      <c r="B33" s="206"/>
      <c r="C33" s="213"/>
      <c r="D33" s="131"/>
      <c r="E33" s="215"/>
      <c r="F33" s="185"/>
      <c r="L33" s="114"/>
      <c r="M33" s="114">
        <v>0</v>
      </c>
      <c r="N33" s="114">
        <v>0</v>
      </c>
      <c r="O33" s="114"/>
    </row>
    <row r="34" spans="1:15" ht="20.100000000000001" customHeight="1" x14ac:dyDescent="0.2">
      <c r="A34" s="219">
        <v>1</v>
      </c>
      <c r="B34" s="132" t="str">
        <f t="shared" ref="B34:B66" si="0">IFERROR(VLOOKUP(F34,Tabla_Items,2,FALSE),H34)</f>
        <v>FRESADO DE PAVIMENTO EXISTENTE</v>
      </c>
      <c r="C34" s="214" t="str">
        <f t="shared" ref="C34:C66" si="1">IFERROR(VLOOKUP(F34,Tabla_Items,3,FALSE),I34)</f>
        <v>m2</v>
      </c>
      <c r="D34" s="186">
        <v>8435</v>
      </c>
      <c r="E34" s="284"/>
      <c r="F34" s="285"/>
      <c r="H34" s="286" t="s">
        <v>1875</v>
      </c>
      <c r="I34" s="699" t="s">
        <v>6</v>
      </c>
      <c r="L34" s="114">
        <f t="shared" ref="L34" si="2">IF(C34=0,L33,L33+1)</f>
        <v>1</v>
      </c>
      <c r="M34" s="114">
        <f t="shared" ref="M34" si="3">IF(C34=0,M33+1,M33)</f>
        <v>0</v>
      </c>
      <c r="N34" s="114">
        <f t="shared" ref="N34" si="4">IF(C34=0,0,N33+1)</f>
        <v>1</v>
      </c>
      <c r="O34" s="114">
        <v>1</v>
      </c>
    </row>
    <row r="35" spans="1:15" ht="20.100000000000001" customHeight="1" x14ac:dyDescent="0.2">
      <c r="A35" s="219">
        <v>2</v>
      </c>
      <c r="B35" s="132" t="str">
        <f t="shared" ref="B35" si="5">IFERROR(VLOOKUP(F35,Tabla_Items,2,FALSE),H35)</f>
        <v xml:space="preserve">EXCAVACIÓN NO CLASIFICADA
</v>
      </c>
      <c r="C35" s="214" t="str">
        <f t="shared" ref="C35" si="6">IFERROR(VLOOKUP(F35,Tabla_Items,3,FALSE),I35)</f>
        <v>m3</v>
      </c>
      <c r="D35" s="186">
        <v>5487.75</v>
      </c>
      <c r="E35" s="284"/>
      <c r="F35" s="285"/>
      <c r="H35" s="286" t="s">
        <v>1876</v>
      </c>
      <c r="I35" s="699" t="s">
        <v>1877</v>
      </c>
      <c r="L35" s="114">
        <f t="shared" ref="L35:L74" si="7">IF(C35=0,L34,L34+1)</f>
        <v>2</v>
      </c>
      <c r="M35" s="114">
        <f t="shared" ref="M35:M74" si="8">IF(C35=0,M34+1,M34)</f>
        <v>0</v>
      </c>
      <c r="N35" s="114">
        <f t="shared" ref="N35:N74" si="9">IF(C35=0,0,N34+1)</f>
        <v>2</v>
      </c>
      <c r="O35" s="114">
        <v>2</v>
      </c>
    </row>
    <row r="36" spans="1:15" ht="20.100000000000001" customHeight="1" x14ac:dyDescent="0.2">
      <c r="A36" s="219">
        <v>3</v>
      </c>
      <c r="B36" s="132" t="str">
        <f t="shared" si="0"/>
        <v>CONSTRUCCIÓN DE TERRAPLENES RIPIOSOS CON COMPACTACIÓN ESPECIAL</v>
      </c>
      <c r="C36" s="214" t="str">
        <f t="shared" si="1"/>
        <v>m3</v>
      </c>
      <c r="D36" s="187">
        <v>449.21</v>
      </c>
      <c r="E36" s="287"/>
      <c r="F36" s="285"/>
      <c r="G36" s="188"/>
      <c r="H36" s="286" t="s">
        <v>1878</v>
      </c>
      <c r="I36" s="699" t="s">
        <v>1877</v>
      </c>
      <c r="K36" s="189"/>
      <c r="L36" s="114">
        <f t="shared" si="7"/>
        <v>3</v>
      </c>
      <c r="M36" s="114">
        <f t="shared" si="8"/>
        <v>0</v>
      </c>
      <c r="N36" s="114">
        <f t="shared" si="9"/>
        <v>3</v>
      </c>
      <c r="O36" s="114">
        <v>3</v>
      </c>
    </row>
    <row r="37" spans="1:15" ht="20.100000000000001" customHeight="1" x14ac:dyDescent="0.2">
      <c r="A37" s="219">
        <v>4</v>
      </c>
      <c r="B37" s="132" t="str">
        <f t="shared" si="0"/>
        <v>CONSTRUCCIÓN DE TERRAPLENES RIPIOSOS SIN COMPACTACIÓN ESPECIAL</v>
      </c>
      <c r="C37" s="214" t="str">
        <f t="shared" si="1"/>
        <v>m3</v>
      </c>
      <c r="D37" s="187">
        <v>1550</v>
      </c>
      <c r="E37" s="287"/>
      <c r="F37" s="285"/>
      <c r="G37" s="188"/>
      <c r="H37" s="286" t="s">
        <v>1879</v>
      </c>
      <c r="I37" s="699" t="s">
        <v>1877</v>
      </c>
      <c r="K37" s="189"/>
      <c r="L37" s="114">
        <f t="shared" si="7"/>
        <v>4</v>
      </c>
      <c r="M37" s="114">
        <f t="shared" si="8"/>
        <v>0</v>
      </c>
      <c r="N37" s="114">
        <f t="shared" si="9"/>
        <v>4</v>
      </c>
      <c r="O37" s="114">
        <v>4</v>
      </c>
    </row>
    <row r="38" spans="1:15" ht="20.100000000000001" customHeight="1" x14ac:dyDescent="0.2">
      <c r="A38" s="219">
        <v>5</v>
      </c>
      <c r="B38" s="132" t="str">
        <f t="shared" si="0"/>
        <v>CONSTRUCCIÓN DE SUB-BASE ESTABILIZADA GRANULAR</v>
      </c>
      <c r="C38" s="214" t="str">
        <f t="shared" si="1"/>
        <v>m3</v>
      </c>
      <c r="D38" s="187">
        <v>14610.26</v>
      </c>
      <c r="E38" s="287"/>
      <c r="F38" s="285"/>
      <c r="G38" s="188"/>
      <c r="H38" s="286" t="s">
        <v>1880</v>
      </c>
      <c r="I38" s="699" t="s">
        <v>1877</v>
      </c>
      <c r="K38" s="189"/>
      <c r="L38" s="114">
        <f t="shared" si="7"/>
        <v>5</v>
      </c>
      <c r="M38" s="114">
        <f t="shared" si="8"/>
        <v>0</v>
      </c>
      <c r="N38" s="114">
        <f t="shared" si="9"/>
        <v>5</v>
      </c>
      <c r="O38" s="114">
        <v>5</v>
      </c>
    </row>
    <row r="39" spans="1:15" ht="20.100000000000001" customHeight="1" x14ac:dyDescent="0.2">
      <c r="A39" s="219">
        <v>6</v>
      </c>
      <c r="B39" s="132" t="str">
        <f t="shared" si="0"/>
        <v>CONSTRUCCIÓN DE BASE ESTABILIZADA GRANULAR</v>
      </c>
      <c r="C39" s="214" t="str">
        <f t="shared" si="1"/>
        <v>m3</v>
      </c>
      <c r="D39" s="187">
        <v>6903.84</v>
      </c>
      <c r="E39" s="287"/>
      <c r="F39" s="285"/>
      <c r="G39" s="188"/>
      <c r="H39" s="286" t="s">
        <v>1881</v>
      </c>
      <c r="I39" s="699" t="s">
        <v>1877</v>
      </c>
      <c r="K39" s="189"/>
      <c r="L39" s="114">
        <f t="shared" si="7"/>
        <v>6</v>
      </c>
      <c r="M39" s="114">
        <f t="shared" si="8"/>
        <v>0</v>
      </c>
      <c r="N39" s="114">
        <f t="shared" si="9"/>
        <v>6</v>
      </c>
      <c r="O39" s="114">
        <v>6</v>
      </c>
    </row>
    <row r="40" spans="1:15" ht="20.100000000000001" customHeight="1" x14ac:dyDescent="0.2">
      <c r="A40" s="219">
        <v>7</v>
      </c>
      <c r="B40" s="132" t="str">
        <f t="shared" si="0"/>
        <v>RIEGO DE IMPRIMACÓN CON EMULSIÓN
CATIÓNICA CI</v>
      </c>
      <c r="C40" s="214" t="str">
        <f t="shared" si="1"/>
        <v>m2</v>
      </c>
      <c r="D40" s="187">
        <v>25043.919999999998</v>
      </c>
      <c r="E40" s="287"/>
      <c r="F40" s="285"/>
      <c r="G40" s="188"/>
      <c r="H40" s="286" t="s">
        <v>1882</v>
      </c>
      <c r="I40" s="699" t="s">
        <v>6</v>
      </c>
      <c r="K40" s="189"/>
      <c r="L40" s="114">
        <f t="shared" si="7"/>
        <v>7</v>
      </c>
      <c r="M40" s="114">
        <f t="shared" si="8"/>
        <v>0</v>
      </c>
      <c r="N40" s="114">
        <f t="shared" si="9"/>
        <v>7</v>
      </c>
      <c r="O40" s="114">
        <v>7</v>
      </c>
    </row>
    <row r="41" spans="1:15" ht="20.100000000000001" customHeight="1" x14ac:dyDescent="0.2">
      <c r="A41" s="219">
        <v>8</v>
      </c>
      <c r="B41" s="132" t="str">
        <f t="shared" si="0"/>
        <v>RIEGO DE LIGA CON EMULSIÓN
CATIÓNICA E.R.1</v>
      </c>
      <c r="C41" s="214" t="str">
        <f t="shared" si="1"/>
        <v>m2</v>
      </c>
      <c r="D41" s="187">
        <v>25043.919999999998</v>
      </c>
      <c r="E41" s="287"/>
      <c r="F41" s="285"/>
      <c r="G41" s="188"/>
      <c r="H41" s="286" t="s">
        <v>1883</v>
      </c>
      <c r="I41" s="699" t="s">
        <v>6</v>
      </c>
      <c r="K41" s="189"/>
      <c r="L41" s="114">
        <f t="shared" si="7"/>
        <v>8</v>
      </c>
      <c r="M41" s="114">
        <f t="shared" si="8"/>
        <v>0</v>
      </c>
      <c r="N41" s="114">
        <f t="shared" si="9"/>
        <v>8</v>
      </c>
      <c r="O41" s="114">
        <v>8</v>
      </c>
    </row>
    <row r="42" spans="1:15" ht="20.100000000000001" customHeight="1" x14ac:dyDescent="0.2">
      <c r="A42" s="219">
        <v>9</v>
      </c>
      <c r="B42" s="132" t="str">
        <f t="shared" si="0"/>
        <v>CARPETA CON MEZCLA BITUMINOSA TIPO CONCRETO ASFÁLTICO
Incluído materiales, colocación y transporte. En 0,05m de espesor</v>
      </c>
      <c r="C42" s="214" t="str">
        <f t="shared" si="1"/>
        <v>m2</v>
      </c>
      <c r="D42" s="187">
        <v>25043.919999999998</v>
      </c>
      <c r="E42" s="287"/>
      <c r="F42" s="285"/>
      <c r="G42" s="188"/>
      <c r="H42" s="286" t="s">
        <v>1884</v>
      </c>
      <c r="I42" s="699" t="s">
        <v>6</v>
      </c>
      <c r="K42" s="189"/>
      <c r="L42" s="114">
        <f t="shared" si="7"/>
        <v>9</v>
      </c>
      <c r="M42" s="114">
        <f t="shared" si="8"/>
        <v>0</v>
      </c>
      <c r="N42" s="114">
        <f t="shared" si="9"/>
        <v>9</v>
      </c>
      <c r="O42" s="114">
        <v>9</v>
      </c>
    </row>
    <row r="43" spans="1:15" ht="20.100000000000001" customHeight="1" x14ac:dyDescent="0.2">
      <c r="A43" s="219">
        <v>10</v>
      </c>
      <c r="B43" s="132" t="str">
        <f t="shared" si="0"/>
        <v>EXCAVACIÓN PARA FUNDACIONES</v>
      </c>
      <c r="C43" s="214" t="str">
        <f t="shared" si="1"/>
        <v>m3</v>
      </c>
      <c r="D43" s="187">
        <v>380.32000000000005</v>
      </c>
      <c r="E43" s="287"/>
      <c r="F43" s="285"/>
      <c r="G43" s="188"/>
      <c r="H43" s="286" t="s">
        <v>1885</v>
      </c>
      <c r="I43" s="699" t="s">
        <v>1877</v>
      </c>
      <c r="K43" s="189"/>
      <c r="L43" s="114">
        <f t="shared" si="7"/>
        <v>10</v>
      </c>
      <c r="M43" s="114">
        <f t="shared" si="8"/>
        <v>0</v>
      </c>
      <c r="N43" s="114">
        <f t="shared" si="9"/>
        <v>10</v>
      </c>
      <c r="O43" s="114">
        <v>10</v>
      </c>
    </row>
    <row r="44" spans="1:15" ht="20.100000000000001" customHeight="1" x14ac:dyDescent="0.2">
      <c r="A44" s="219">
        <v>11</v>
      </c>
      <c r="B44" s="132" t="str">
        <f t="shared" si="0"/>
        <v>HORMIGÓN DE CEMENTO PORTLAND TIPO H-21, EXCLUIDO ARMADURA</v>
      </c>
      <c r="C44" s="214" t="str">
        <f t="shared" si="1"/>
        <v>m3</v>
      </c>
      <c r="D44" s="187">
        <v>24.24</v>
      </c>
      <c r="E44" s="287"/>
      <c r="F44" s="285"/>
      <c r="G44" s="188"/>
      <c r="H44" s="286" t="s">
        <v>1886</v>
      </c>
      <c r="I44" s="699" t="s">
        <v>1877</v>
      </c>
      <c r="K44" s="189"/>
      <c r="L44" s="114">
        <f t="shared" si="7"/>
        <v>11</v>
      </c>
      <c r="M44" s="114">
        <f t="shared" si="8"/>
        <v>0</v>
      </c>
      <c r="N44" s="114">
        <f t="shared" si="9"/>
        <v>11</v>
      </c>
      <c r="O44" s="114">
        <v>11</v>
      </c>
    </row>
    <row r="45" spans="1:15" ht="20.100000000000001" customHeight="1" x14ac:dyDescent="0.2">
      <c r="A45" s="219">
        <v>12</v>
      </c>
      <c r="B45" s="132" t="str">
        <f t="shared" si="0"/>
        <v>HORMIGÓN DE CEMENTO PORTLAND TIPO H-17, EXCLUIDO ARMADURA</v>
      </c>
      <c r="C45" s="214" t="str">
        <f t="shared" si="1"/>
        <v>m3</v>
      </c>
      <c r="D45" s="187">
        <v>57.6</v>
      </c>
      <c r="E45" s="287"/>
      <c r="F45" s="285"/>
      <c r="G45" s="188"/>
      <c r="H45" s="286" t="s">
        <v>1887</v>
      </c>
      <c r="I45" s="699" t="s">
        <v>1877</v>
      </c>
      <c r="K45" s="189"/>
      <c r="L45" s="114">
        <f t="shared" si="7"/>
        <v>12</v>
      </c>
      <c r="M45" s="114">
        <f t="shared" si="8"/>
        <v>0</v>
      </c>
      <c r="N45" s="114">
        <f t="shared" si="9"/>
        <v>12</v>
      </c>
      <c r="O45" s="114">
        <v>12</v>
      </c>
    </row>
    <row r="46" spans="1:15" ht="20.100000000000001" customHeight="1" x14ac:dyDescent="0.2">
      <c r="A46" s="219">
        <v>13</v>
      </c>
      <c r="B46" s="132" t="str">
        <f t="shared" si="0"/>
        <v>HORMIGÓN DE CEMENTO PORTLAND TIPO H-13</v>
      </c>
      <c r="C46" s="214" t="str">
        <f t="shared" si="1"/>
        <v>m3</v>
      </c>
      <c r="D46" s="187">
        <v>241.23999999999998</v>
      </c>
      <c r="E46" s="287"/>
      <c r="F46" s="285"/>
      <c r="G46" s="188"/>
      <c r="H46" s="286" t="s">
        <v>1888</v>
      </c>
      <c r="I46" s="699" t="s">
        <v>1877</v>
      </c>
      <c r="K46" s="189"/>
      <c r="L46" s="114">
        <f t="shared" si="7"/>
        <v>13</v>
      </c>
      <c r="M46" s="114">
        <f t="shared" si="8"/>
        <v>0</v>
      </c>
      <c r="N46" s="114">
        <f t="shared" si="9"/>
        <v>13</v>
      </c>
      <c r="O46" s="114">
        <v>13</v>
      </c>
    </row>
    <row r="47" spans="1:15" ht="20.100000000000001" customHeight="1" x14ac:dyDescent="0.2">
      <c r="A47" s="219">
        <v>14</v>
      </c>
      <c r="B47" s="132" t="str">
        <f t="shared" si="0"/>
        <v>HORMIGÓN DE CEMENTO PORTLAND TIPO H-8</v>
      </c>
      <c r="C47" s="214" t="str">
        <f t="shared" si="1"/>
        <v>m3</v>
      </c>
      <c r="D47" s="187">
        <v>2.61</v>
      </c>
      <c r="E47" s="287"/>
      <c r="F47" s="285"/>
      <c r="G47" s="188"/>
      <c r="H47" s="286" t="s">
        <v>1889</v>
      </c>
      <c r="I47" s="699" t="s">
        <v>1877</v>
      </c>
      <c r="K47" s="189"/>
      <c r="L47" s="114">
        <f t="shared" si="7"/>
        <v>14</v>
      </c>
      <c r="M47" s="114">
        <f t="shared" si="8"/>
        <v>0</v>
      </c>
      <c r="N47" s="114">
        <f t="shared" si="9"/>
        <v>14</v>
      </c>
      <c r="O47" s="114">
        <v>14</v>
      </c>
    </row>
    <row r="48" spans="1:15" ht="20.100000000000001" customHeight="1" x14ac:dyDescent="0.2">
      <c r="A48" s="219">
        <v>15</v>
      </c>
      <c r="B48" s="132" t="str">
        <f t="shared" si="0"/>
        <v>CONSTRUCCIÓN DE SIFÓN</v>
      </c>
      <c r="C48" s="214" t="str">
        <f t="shared" si="1"/>
        <v>Un</v>
      </c>
      <c r="D48" s="187">
        <v>1</v>
      </c>
      <c r="E48" s="287"/>
      <c r="F48" s="285"/>
      <c r="G48" s="188"/>
      <c r="H48" s="286" t="s">
        <v>1890</v>
      </c>
      <c r="I48" s="699" t="s">
        <v>1655</v>
      </c>
      <c r="K48" s="189"/>
      <c r="L48" s="114">
        <f t="shared" si="7"/>
        <v>15</v>
      </c>
      <c r="M48" s="114">
        <f t="shared" si="8"/>
        <v>0</v>
      </c>
      <c r="N48" s="114">
        <f t="shared" si="9"/>
        <v>15</v>
      </c>
      <c r="O48" s="114">
        <v>15</v>
      </c>
    </row>
    <row r="49" spans="1:15" ht="20.100000000000001" customHeight="1" x14ac:dyDescent="0.2">
      <c r="A49" s="219">
        <v>16</v>
      </c>
      <c r="B49" s="132" t="str">
        <f t="shared" si="0"/>
        <v>CONSTRUCCIÓN DE CORDÓN CUNETA</v>
      </c>
      <c r="C49" s="214" t="str">
        <f t="shared" si="1"/>
        <v>m</v>
      </c>
      <c r="D49" s="187">
        <v>7971.85</v>
      </c>
      <c r="E49" s="287"/>
      <c r="F49" s="285"/>
      <c r="G49" s="188"/>
      <c r="H49" s="286" t="s">
        <v>1891</v>
      </c>
      <c r="I49" s="699" t="s">
        <v>1030</v>
      </c>
      <c r="K49" s="189"/>
      <c r="L49" s="114">
        <f t="shared" si="7"/>
        <v>16</v>
      </c>
      <c r="M49" s="114">
        <f t="shared" si="8"/>
        <v>0</v>
      </c>
      <c r="N49" s="114">
        <f t="shared" si="9"/>
        <v>16</v>
      </c>
      <c r="O49" s="114">
        <v>16</v>
      </c>
    </row>
    <row r="50" spans="1:15" ht="20.100000000000001" customHeight="1" x14ac:dyDescent="0.2">
      <c r="A50" s="219">
        <v>17</v>
      </c>
      <c r="B50" s="132" t="str">
        <f t="shared" si="0"/>
        <v>ACERO ESPECIAL EN BARRA COLOCADO</v>
      </c>
      <c r="C50" s="214" t="str">
        <f t="shared" si="1"/>
        <v>Tn</v>
      </c>
      <c r="D50" s="187">
        <v>3.621</v>
      </c>
      <c r="E50" s="287"/>
      <c r="F50" s="285"/>
      <c r="G50" s="188"/>
      <c r="H50" s="286" t="s">
        <v>1892</v>
      </c>
      <c r="I50" s="699" t="s">
        <v>1893</v>
      </c>
      <c r="K50" s="189"/>
      <c r="L50" s="114">
        <f t="shared" si="7"/>
        <v>17</v>
      </c>
      <c r="M50" s="114">
        <f t="shared" si="8"/>
        <v>0</v>
      </c>
      <c r="N50" s="114">
        <f t="shared" si="9"/>
        <v>17</v>
      </c>
      <c r="O50" s="114">
        <v>17</v>
      </c>
    </row>
    <row r="51" spans="1:15" ht="20.100000000000001" customHeight="1" x14ac:dyDescent="0.2">
      <c r="A51" s="219">
        <v>18</v>
      </c>
      <c r="B51" s="132" t="str">
        <f t="shared" si="0"/>
        <v>CONSTRUCCIÓN DE CANAL IMPERMEABILIZADO DE HORMIGÓN</v>
      </c>
      <c r="C51" s="214" t="str">
        <f t="shared" si="1"/>
        <v>m</v>
      </c>
      <c r="D51" s="187">
        <v>693.5</v>
      </c>
      <c r="E51" s="287"/>
      <c r="F51" s="285"/>
      <c r="G51" s="188"/>
      <c r="H51" s="286" t="s">
        <v>1894</v>
      </c>
      <c r="I51" s="699" t="s">
        <v>1030</v>
      </c>
      <c r="K51" s="189"/>
      <c r="L51" s="114">
        <f t="shared" si="7"/>
        <v>18</v>
      </c>
      <c r="M51" s="114">
        <f t="shared" si="8"/>
        <v>0</v>
      </c>
      <c r="N51" s="114">
        <f t="shared" si="9"/>
        <v>18</v>
      </c>
      <c r="O51" s="114">
        <v>18</v>
      </c>
    </row>
    <row r="52" spans="1:15" ht="20.100000000000001" customHeight="1" x14ac:dyDescent="0.2">
      <c r="A52" s="219">
        <v>19</v>
      </c>
      <c r="B52" s="132" t="str">
        <f t="shared" si="0"/>
        <v>CONSTRUCCIÓN DE CUNETA IMPERMEABILIZADA DE HORMIGÓN</v>
      </c>
      <c r="C52" s="214" t="str">
        <f t="shared" si="1"/>
        <v>m</v>
      </c>
      <c r="D52" s="187">
        <v>6285.5</v>
      </c>
      <c r="E52" s="287"/>
      <c r="F52" s="285"/>
      <c r="G52" s="188"/>
      <c r="H52" s="286" t="s">
        <v>1895</v>
      </c>
      <c r="I52" s="699" t="s">
        <v>1030</v>
      </c>
      <c r="K52" s="189"/>
      <c r="L52" s="114">
        <f t="shared" si="7"/>
        <v>19</v>
      </c>
      <c r="M52" s="114">
        <f t="shared" si="8"/>
        <v>0</v>
      </c>
      <c r="N52" s="114">
        <f t="shared" si="9"/>
        <v>19</v>
      </c>
      <c r="O52" s="114">
        <v>19</v>
      </c>
    </row>
    <row r="53" spans="1:15" ht="20.100000000000001" customHeight="1" x14ac:dyDescent="0.2">
      <c r="A53" s="219">
        <v>20</v>
      </c>
      <c r="B53" s="132" t="str">
        <f t="shared" si="0"/>
        <v>CONSTRUCCIÓN DE COMPARTO</v>
      </c>
      <c r="C53" s="214" t="str">
        <f t="shared" si="1"/>
        <v>N°</v>
      </c>
      <c r="D53" s="187">
        <v>7</v>
      </c>
      <c r="E53" s="287"/>
      <c r="F53" s="285"/>
      <c r="G53" s="188"/>
      <c r="H53" s="286" t="s">
        <v>1896</v>
      </c>
      <c r="I53" s="699" t="s">
        <v>1897</v>
      </c>
      <c r="K53" s="189"/>
      <c r="L53" s="114">
        <f t="shared" si="7"/>
        <v>20</v>
      </c>
      <c r="M53" s="114">
        <f t="shared" si="8"/>
        <v>0</v>
      </c>
      <c r="N53" s="114">
        <f t="shared" si="9"/>
        <v>20</v>
      </c>
      <c r="O53" s="114">
        <v>20</v>
      </c>
    </row>
    <row r="54" spans="1:15" ht="20.100000000000001" customHeight="1" x14ac:dyDescent="0.2">
      <c r="A54" s="219">
        <v>21</v>
      </c>
      <c r="B54" s="132" t="str">
        <f t="shared" si="0"/>
        <v>CONSTRUCCIÓN DE ALAMABRADO SEGÚN PLANO TIPO H-2840-I, TIPO "C"</v>
      </c>
      <c r="C54" s="214" t="str">
        <f t="shared" si="1"/>
        <v>m</v>
      </c>
      <c r="D54" s="187">
        <v>864.5</v>
      </c>
      <c r="E54" s="287"/>
      <c r="F54" s="285"/>
      <c r="G54" s="188"/>
      <c r="H54" s="286" t="s">
        <v>1898</v>
      </c>
      <c r="I54" s="699" t="s">
        <v>1030</v>
      </c>
      <c r="K54" s="189"/>
      <c r="L54" s="114">
        <f t="shared" si="7"/>
        <v>21</v>
      </c>
      <c r="M54" s="114">
        <f t="shared" si="8"/>
        <v>0</v>
      </c>
      <c r="N54" s="114">
        <f t="shared" si="9"/>
        <v>21</v>
      </c>
      <c r="O54" s="114">
        <v>21</v>
      </c>
    </row>
    <row r="55" spans="1:15" ht="20.100000000000001" customHeight="1" x14ac:dyDescent="0.2">
      <c r="A55" s="219">
        <v>22</v>
      </c>
      <c r="B55" s="132" t="str">
        <f t="shared" si="0"/>
        <v>COLOCACIÓN DE TRANQUERA s/PLANO TIPO J-5084 TIPO "A"</v>
      </c>
      <c r="C55" s="214" t="str">
        <f t="shared" si="1"/>
        <v>N°</v>
      </c>
      <c r="D55" s="187">
        <v>8</v>
      </c>
      <c r="E55" s="287"/>
      <c r="F55" s="285"/>
      <c r="G55" s="188"/>
      <c r="H55" s="286" t="s">
        <v>1899</v>
      </c>
      <c r="I55" s="699" t="s">
        <v>1897</v>
      </c>
      <c r="K55" s="189"/>
      <c r="L55" s="114">
        <f t="shared" si="7"/>
        <v>22</v>
      </c>
      <c r="M55" s="114">
        <f t="shared" si="8"/>
        <v>0</v>
      </c>
      <c r="N55" s="114">
        <f t="shared" si="9"/>
        <v>22</v>
      </c>
      <c r="O55" s="114">
        <v>22</v>
      </c>
    </row>
    <row r="56" spans="1:15" ht="20.100000000000001" customHeight="1" x14ac:dyDescent="0.2">
      <c r="A56" s="219">
        <v>23</v>
      </c>
      <c r="B56" s="132" t="str">
        <f t="shared" si="0"/>
        <v>SEÑALAMIENTO VERTICAL REFLECTIVO</v>
      </c>
      <c r="C56" s="214" t="str">
        <f t="shared" si="1"/>
        <v>m²</v>
      </c>
      <c r="D56" s="187">
        <v>7.42</v>
      </c>
      <c r="E56" s="287"/>
      <c r="F56" s="285"/>
      <c r="G56" s="188"/>
      <c r="H56" s="286" t="s">
        <v>1900</v>
      </c>
      <c r="I56" s="699" t="s">
        <v>1254</v>
      </c>
      <c r="K56" s="189"/>
      <c r="L56" s="114">
        <f t="shared" si="7"/>
        <v>23</v>
      </c>
      <c r="M56" s="114">
        <f t="shared" si="8"/>
        <v>0</v>
      </c>
      <c r="N56" s="114">
        <f t="shared" si="9"/>
        <v>23</v>
      </c>
      <c r="O56" s="114">
        <v>23</v>
      </c>
    </row>
    <row r="57" spans="1:15" ht="20.100000000000001" customHeight="1" x14ac:dyDescent="0.2">
      <c r="A57" s="219">
        <v>24</v>
      </c>
      <c r="B57" s="132" t="str">
        <f t="shared" si="0"/>
        <v>SEÑALAMIENTO HORIZONTAL
Con material termoplástico reflectante</v>
      </c>
      <c r="C57" s="214">
        <f t="shared" si="1"/>
        <v>0</v>
      </c>
      <c r="D57" s="187"/>
      <c r="E57" s="287"/>
      <c r="F57" s="285"/>
      <c r="G57" s="188"/>
      <c r="H57" s="286" t="s">
        <v>1901</v>
      </c>
      <c r="I57" s="699"/>
      <c r="K57" s="189"/>
      <c r="L57" s="114">
        <f t="shared" si="7"/>
        <v>23</v>
      </c>
      <c r="M57" s="114">
        <f t="shared" si="8"/>
        <v>1</v>
      </c>
      <c r="N57" s="114">
        <f t="shared" si="9"/>
        <v>0</v>
      </c>
      <c r="O57" s="114">
        <v>24</v>
      </c>
    </row>
    <row r="58" spans="1:15" ht="20.100000000000001" customHeight="1" x14ac:dyDescent="0.2">
      <c r="A58" s="219" t="s">
        <v>1921</v>
      </c>
      <c r="B58" s="132" t="str">
        <f t="shared" si="0"/>
        <v xml:space="preserve">   Por Pulverización</v>
      </c>
      <c r="C58" s="214" t="str">
        <f t="shared" si="1"/>
        <v>m2</v>
      </c>
      <c r="D58" s="187">
        <v>766.46</v>
      </c>
      <c r="E58" s="287"/>
      <c r="F58" s="285"/>
      <c r="G58" s="188"/>
      <c r="H58" s="286" t="s">
        <v>1902</v>
      </c>
      <c r="I58" s="699" t="s">
        <v>6</v>
      </c>
      <c r="K58" s="189"/>
      <c r="L58" s="114">
        <f t="shared" si="7"/>
        <v>24</v>
      </c>
      <c r="M58" s="114">
        <f t="shared" si="8"/>
        <v>1</v>
      </c>
      <c r="N58" s="114">
        <f t="shared" si="9"/>
        <v>1</v>
      </c>
      <c r="O58" s="114" t="s">
        <v>1921</v>
      </c>
    </row>
    <row r="59" spans="1:15" ht="20.100000000000001" customHeight="1" x14ac:dyDescent="0.2">
      <c r="A59" s="219" t="s">
        <v>1922</v>
      </c>
      <c r="B59" s="132" t="str">
        <f t="shared" si="0"/>
        <v xml:space="preserve">   Por Extrusión</v>
      </c>
      <c r="C59" s="214" t="str">
        <f t="shared" si="1"/>
        <v>m2</v>
      </c>
      <c r="D59" s="187">
        <v>117.84</v>
      </c>
      <c r="E59" s="287"/>
      <c r="F59" s="285"/>
      <c r="G59" s="188"/>
      <c r="H59" s="286" t="s">
        <v>1903</v>
      </c>
      <c r="I59" s="699" t="s">
        <v>6</v>
      </c>
      <c r="K59" s="189"/>
      <c r="L59" s="114">
        <f t="shared" si="7"/>
        <v>25</v>
      </c>
      <c r="M59" s="114">
        <f t="shared" si="8"/>
        <v>1</v>
      </c>
      <c r="N59" s="114">
        <f t="shared" si="9"/>
        <v>2</v>
      </c>
      <c r="O59" s="114" t="s">
        <v>1922</v>
      </c>
    </row>
    <row r="60" spans="1:15" ht="20.100000000000001" customHeight="1" x14ac:dyDescent="0.2">
      <c r="A60" s="219">
        <v>25</v>
      </c>
      <c r="B60" s="132" t="str">
        <f t="shared" si="0"/>
        <v>DEMOLICIÓN DE CANAL DE HORMIGÓN Y OBRAS COMPLEMENTARIAS</v>
      </c>
      <c r="C60" s="214" t="str">
        <f t="shared" si="1"/>
        <v>m</v>
      </c>
      <c r="D60" s="187">
        <v>1443</v>
      </c>
      <c r="E60" s="287"/>
      <c r="F60" s="285"/>
      <c r="G60" s="188"/>
      <c r="H60" s="286" t="s">
        <v>1904</v>
      </c>
      <c r="I60" s="699" t="s">
        <v>1030</v>
      </c>
      <c r="K60" s="189"/>
      <c r="L60" s="114">
        <f t="shared" si="7"/>
        <v>26</v>
      </c>
      <c r="M60" s="114">
        <f t="shared" si="8"/>
        <v>1</v>
      </c>
      <c r="N60" s="114">
        <f t="shared" si="9"/>
        <v>3</v>
      </c>
      <c r="O60" s="114">
        <v>25</v>
      </c>
    </row>
    <row r="61" spans="1:15" ht="20.100000000000001" customHeight="1" x14ac:dyDescent="0.2">
      <c r="A61" s="219">
        <v>26</v>
      </c>
      <c r="B61" s="132" t="str">
        <f t="shared" si="0"/>
        <v>RETIRO DE ALAMBRADO EXISTENTE</v>
      </c>
      <c r="C61" s="214" t="str">
        <f t="shared" si="1"/>
        <v>m</v>
      </c>
      <c r="D61" s="187">
        <v>746</v>
      </c>
      <c r="E61" s="287"/>
      <c r="F61" s="285"/>
      <c r="G61" s="188"/>
      <c r="H61" s="286" t="s">
        <v>1905</v>
      </c>
      <c r="I61" s="699" t="s">
        <v>1030</v>
      </c>
      <c r="K61" s="189"/>
      <c r="L61" s="114">
        <f t="shared" si="7"/>
        <v>27</v>
      </c>
      <c r="M61" s="114">
        <f t="shared" si="8"/>
        <v>1</v>
      </c>
      <c r="N61" s="114">
        <f t="shared" si="9"/>
        <v>4</v>
      </c>
      <c r="O61" s="114">
        <v>26</v>
      </c>
    </row>
    <row r="62" spans="1:15" ht="20.100000000000001" customHeight="1" x14ac:dyDescent="0.2">
      <c r="A62" s="219">
        <v>27</v>
      </c>
      <c r="B62" s="132" t="str">
        <f t="shared" si="0"/>
        <v>LIMPIEZA DE CANAL EXISTENTE</v>
      </c>
      <c r="C62" s="214" t="str">
        <f t="shared" si="1"/>
        <v>m</v>
      </c>
      <c r="D62" s="187">
        <v>70</v>
      </c>
      <c r="E62" s="287"/>
      <c r="F62" s="285"/>
      <c r="G62" s="188"/>
      <c r="H62" s="286" t="s">
        <v>1906</v>
      </c>
      <c r="I62" s="699" t="s">
        <v>1030</v>
      </c>
      <c r="K62" s="189"/>
      <c r="L62" s="114">
        <f t="shared" si="7"/>
        <v>28</v>
      </c>
      <c r="M62" s="114">
        <f t="shared" si="8"/>
        <v>1</v>
      </c>
      <c r="N62" s="114">
        <f t="shared" si="9"/>
        <v>5</v>
      </c>
      <c r="O62" s="114">
        <v>27</v>
      </c>
    </row>
    <row r="63" spans="1:15" ht="20.100000000000001" customHeight="1" x14ac:dyDescent="0.2">
      <c r="A63" s="219">
        <v>28</v>
      </c>
      <c r="B63" s="132" t="str">
        <f t="shared" si="0"/>
        <v>DEMOLICIÓN DE OBRAS VARIAS</v>
      </c>
      <c r="C63" s="214" t="str">
        <f t="shared" si="1"/>
        <v>Gl</v>
      </c>
      <c r="D63" s="187">
        <v>1</v>
      </c>
      <c r="E63" s="287"/>
      <c r="F63" s="285"/>
      <c r="G63" s="188"/>
      <c r="H63" s="286" t="s">
        <v>1907</v>
      </c>
      <c r="I63" s="699" t="s">
        <v>1908</v>
      </c>
      <c r="K63" s="189"/>
      <c r="L63" s="114">
        <f t="shared" si="7"/>
        <v>29</v>
      </c>
      <c r="M63" s="114">
        <f t="shared" si="8"/>
        <v>1</v>
      </c>
      <c r="N63" s="114">
        <f t="shared" si="9"/>
        <v>6</v>
      </c>
      <c r="O63" s="114">
        <v>28</v>
      </c>
    </row>
    <row r="64" spans="1:15" ht="20.100000000000001" customHeight="1" x14ac:dyDescent="0.2">
      <c r="A64" s="219">
        <v>29</v>
      </c>
      <c r="B64" s="132" t="str">
        <f t="shared" si="0"/>
        <v>RETIRO Y REUBICACIÓN DE INSTALACIONES DE SEMÁFOROS</v>
      </c>
      <c r="C64" s="214" t="str">
        <f t="shared" si="1"/>
        <v>Gl</v>
      </c>
      <c r="D64" s="187">
        <v>1</v>
      </c>
      <c r="E64" s="287"/>
      <c r="F64" s="285"/>
      <c r="G64" s="188"/>
      <c r="H64" s="286" t="s">
        <v>1909</v>
      </c>
      <c r="I64" s="699" t="s">
        <v>1908</v>
      </c>
      <c r="K64" s="189"/>
      <c r="L64" s="114">
        <f t="shared" si="7"/>
        <v>30</v>
      </c>
      <c r="M64" s="114">
        <f t="shared" si="8"/>
        <v>1</v>
      </c>
      <c r="N64" s="114">
        <f t="shared" si="9"/>
        <v>7</v>
      </c>
      <c r="O64" s="114">
        <v>29</v>
      </c>
    </row>
    <row r="65" spans="1:15" ht="20.100000000000001" customHeight="1" x14ac:dyDescent="0.2">
      <c r="A65" s="219">
        <v>30</v>
      </c>
      <c r="B65" s="132" t="str">
        <f t="shared" si="0"/>
        <v>RETIRO DE LÍNEA ELÉCTRICA Y POSTES DE ALUMBRADO PÚBLICO EXISTENTES</v>
      </c>
      <c r="C65" s="214" t="str">
        <f t="shared" si="1"/>
        <v>Gl</v>
      </c>
      <c r="D65" s="187">
        <v>1</v>
      </c>
      <c r="E65" s="287"/>
      <c r="F65" s="285"/>
      <c r="G65" s="188"/>
      <c r="H65" s="286" t="s">
        <v>1910</v>
      </c>
      <c r="I65" s="699" t="s">
        <v>1908</v>
      </c>
      <c r="K65" s="189"/>
      <c r="L65" s="114">
        <f t="shared" si="7"/>
        <v>31</v>
      </c>
      <c r="M65" s="114">
        <f t="shared" si="8"/>
        <v>1</v>
      </c>
      <c r="N65" s="114">
        <f t="shared" si="9"/>
        <v>8</v>
      </c>
      <c r="O65" s="114">
        <v>30</v>
      </c>
    </row>
    <row r="66" spans="1:15" ht="20.100000000000001" customHeight="1" x14ac:dyDescent="0.2">
      <c r="A66" s="219">
        <v>31</v>
      </c>
      <c r="B66" s="132" t="str">
        <f t="shared" si="0"/>
        <v>TRASLADO Y/O REUBICACIÓN  DE LÍNEAS ELÉCTRICAS</v>
      </c>
      <c r="C66" s="214" t="str">
        <f t="shared" si="1"/>
        <v>Gl</v>
      </c>
      <c r="D66" s="187">
        <v>1</v>
      </c>
      <c r="E66" s="287"/>
      <c r="F66" s="285"/>
      <c r="G66" s="188"/>
      <c r="H66" s="286" t="s">
        <v>1911</v>
      </c>
      <c r="I66" s="699" t="s">
        <v>1908</v>
      </c>
      <c r="K66" s="189"/>
      <c r="L66" s="114">
        <f t="shared" si="7"/>
        <v>32</v>
      </c>
      <c r="M66" s="114">
        <f t="shared" si="8"/>
        <v>1</v>
      </c>
      <c r="N66" s="114">
        <f t="shared" si="9"/>
        <v>9</v>
      </c>
      <c r="O66" s="114">
        <v>31</v>
      </c>
    </row>
    <row r="67" spans="1:15" ht="20.100000000000001" customHeight="1" x14ac:dyDescent="0.2">
      <c r="A67" s="219">
        <v>32</v>
      </c>
      <c r="B67" s="132" t="str">
        <f t="shared" ref="B67:B74" si="10">IFERROR(VLOOKUP(F67,Tabla_Items,2,FALSE),H67)</f>
        <v>PROYECTO Y CONSTRUCCIÓN DE CANAL IMPERMEABILIZADO DE HORMIGÓN</v>
      </c>
      <c r="C67" s="214" t="str">
        <f t="shared" ref="C67:C74" si="11">IFERROR(VLOOKUP(F67,Tabla_Items,3,FALSE),I67)</f>
        <v>Gl</v>
      </c>
      <c r="D67" s="187">
        <v>1</v>
      </c>
      <c r="E67" s="287"/>
      <c r="F67" s="285"/>
      <c r="G67" s="188"/>
      <c r="H67" s="286" t="s">
        <v>1912</v>
      </c>
      <c r="I67" s="699" t="s">
        <v>1908</v>
      </c>
      <c r="K67" s="189"/>
      <c r="L67" s="114">
        <f t="shared" si="7"/>
        <v>33</v>
      </c>
      <c r="M67" s="114">
        <f t="shared" si="8"/>
        <v>1</v>
      </c>
      <c r="N67" s="114">
        <f t="shared" si="9"/>
        <v>10</v>
      </c>
      <c r="O67" s="114">
        <v>32</v>
      </c>
    </row>
    <row r="68" spans="1:15" ht="20.100000000000001" customHeight="1" x14ac:dyDescent="0.2">
      <c r="A68" s="219">
        <v>33</v>
      </c>
      <c r="B68" s="132" t="str">
        <f t="shared" si="10"/>
        <v>AMPLIACIÓN Y MEJORAMIENTO DE RED DE AGUA POTABLE</v>
      </c>
      <c r="C68" s="214" t="str">
        <f t="shared" si="11"/>
        <v>Gl</v>
      </c>
      <c r="D68" s="187">
        <v>1</v>
      </c>
      <c r="E68" s="287"/>
      <c r="F68" s="285"/>
      <c r="G68" s="188"/>
      <c r="H68" s="701" t="s">
        <v>1913</v>
      </c>
      <c r="I68" s="699" t="s">
        <v>1908</v>
      </c>
      <c r="K68" s="189"/>
      <c r="L68" s="114">
        <f t="shared" si="7"/>
        <v>34</v>
      </c>
      <c r="M68" s="114">
        <f t="shared" si="8"/>
        <v>1</v>
      </c>
      <c r="N68" s="114">
        <f t="shared" si="9"/>
        <v>11</v>
      </c>
      <c r="O68" s="114">
        <v>33</v>
      </c>
    </row>
    <row r="69" spans="1:15" ht="20.100000000000001" customHeight="1" x14ac:dyDescent="0.2">
      <c r="A69" s="219">
        <v>34</v>
      </c>
      <c r="B69" s="132" t="str">
        <f t="shared" si="10"/>
        <v>PROYECYO Y CONSTRUCCIÓN DE OBRAS DE ILUMINACIÓN</v>
      </c>
      <c r="C69" s="214" t="str">
        <f t="shared" si="11"/>
        <v>Gl</v>
      </c>
      <c r="D69" s="187">
        <v>1</v>
      </c>
      <c r="E69" s="287"/>
      <c r="F69" s="285"/>
      <c r="G69" s="188"/>
      <c r="H69" s="286" t="s">
        <v>1914</v>
      </c>
      <c r="I69" s="699" t="s">
        <v>1908</v>
      </c>
      <c r="K69" s="189"/>
      <c r="L69" s="114">
        <f t="shared" si="7"/>
        <v>35</v>
      </c>
      <c r="M69" s="114">
        <f t="shared" si="8"/>
        <v>1</v>
      </c>
      <c r="N69" s="114">
        <f t="shared" si="9"/>
        <v>12</v>
      </c>
      <c r="O69" s="114">
        <v>34</v>
      </c>
    </row>
    <row r="70" spans="1:15" ht="20.100000000000001" customHeight="1" x14ac:dyDescent="0.2">
      <c r="A70" s="219">
        <v>35</v>
      </c>
      <c r="B70" s="132" t="str">
        <f t="shared" si="10"/>
        <v>CUMPLIMIENTO MANEJO AMBIENTAL</v>
      </c>
      <c r="C70" s="214" t="str">
        <f t="shared" si="11"/>
        <v>Mes</v>
      </c>
      <c r="D70" s="187">
        <v>12</v>
      </c>
      <c r="E70" s="287"/>
      <c r="F70" s="285"/>
      <c r="G70" s="188"/>
      <c r="H70" s="286" t="s">
        <v>1915</v>
      </c>
      <c r="I70" s="699" t="s">
        <v>1916</v>
      </c>
      <c r="K70" s="189"/>
      <c r="L70" s="114">
        <f t="shared" si="7"/>
        <v>36</v>
      </c>
      <c r="M70" s="114">
        <f t="shared" si="8"/>
        <v>1</v>
      </c>
      <c r="N70" s="114">
        <f t="shared" si="9"/>
        <v>13</v>
      </c>
      <c r="O70" s="114">
        <v>35</v>
      </c>
    </row>
    <row r="71" spans="1:15" ht="20.100000000000001" customHeight="1" x14ac:dyDescent="0.2">
      <c r="A71" s="219">
        <v>36</v>
      </c>
      <c r="B71" s="132" t="str">
        <f t="shared" si="10"/>
        <v>PROVISIÓN DE MOVILIDAD PARA EL PERSONAL DE LA INSPECCIÓN</v>
      </c>
      <c r="C71" s="214">
        <f t="shared" si="11"/>
        <v>0</v>
      </c>
      <c r="D71" s="187"/>
      <c r="E71" s="287"/>
      <c r="F71" s="285"/>
      <c r="G71" s="188"/>
      <c r="H71" s="286" t="s">
        <v>1917</v>
      </c>
      <c r="I71" s="699"/>
      <c r="K71" s="189"/>
      <c r="L71" s="114">
        <f t="shared" si="7"/>
        <v>36</v>
      </c>
      <c r="M71" s="114">
        <f t="shared" si="8"/>
        <v>2</v>
      </c>
      <c r="N71" s="114">
        <f t="shared" si="9"/>
        <v>0</v>
      </c>
      <c r="O71" s="114">
        <v>36</v>
      </c>
    </row>
    <row r="72" spans="1:15" ht="20.100000000000001" customHeight="1" x14ac:dyDescent="0.2">
      <c r="A72" s="219" t="s">
        <v>1923</v>
      </c>
      <c r="B72" s="132" t="str">
        <f t="shared" si="10"/>
        <v>Cuota Mensual</v>
      </c>
      <c r="C72" s="214" t="str">
        <f t="shared" si="11"/>
        <v>Mes</v>
      </c>
      <c r="D72" s="187">
        <v>24</v>
      </c>
      <c r="E72" s="287"/>
      <c r="F72" s="285"/>
      <c r="G72" s="188"/>
      <c r="H72" s="286" t="s">
        <v>1918</v>
      </c>
      <c r="I72" s="699" t="s">
        <v>1916</v>
      </c>
      <c r="K72" s="189"/>
      <c r="L72" s="114">
        <f t="shared" si="7"/>
        <v>37</v>
      </c>
      <c r="M72" s="114">
        <f t="shared" si="8"/>
        <v>2</v>
      </c>
      <c r="N72" s="114">
        <f t="shared" si="9"/>
        <v>1</v>
      </c>
      <c r="O72" s="114" t="s">
        <v>1923</v>
      </c>
    </row>
    <row r="73" spans="1:15" ht="20.100000000000001" customHeight="1" x14ac:dyDescent="0.2">
      <c r="A73" s="219" t="s">
        <v>1924</v>
      </c>
      <c r="B73" s="132" t="str">
        <f t="shared" si="10"/>
        <v>Adicional por Kilómetro</v>
      </c>
      <c r="C73" s="214" t="str">
        <f t="shared" si="11"/>
        <v>km</v>
      </c>
      <c r="D73" s="187">
        <v>40000</v>
      </c>
      <c r="E73" s="287"/>
      <c r="F73" s="285"/>
      <c r="G73" s="188"/>
      <c r="H73" s="286" t="s">
        <v>1919</v>
      </c>
      <c r="I73" s="699" t="s">
        <v>1516</v>
      </c>
      <c r="K73" s="189"/>
      <c r="L73" s="114">
        <f t="shared" si="7"/>
        <v>38</v>
      </c>
      <c r="M73" s="114">
        <f t="shared" si="8"/>
        <v>2</v>
      </c>
      <c r="N73" s="114">
        <f t="shared" si="9"/>
        <v>2</v>
      </c>
      <c r="O73" s="114" t="s">
        <v>1924</v>
      </c>
    </row>
    <row r="74" spans="1:15" ht="20.100000000000001" customHeight="1" x14ac:dyDescent="0.2">
      <c r="A74" s="219">
        <v>37</v>
      </c>
      <c r="B74" s="132" t="str">
        <f t="shared" si="10"/>
        <v>MOVILIZACIÓN DE OBRA</v>
      </c>
      <c r="C74" s="214" t="str">
        <f t="shared" si="11"/>
        <v>Gl</v>
      </c>
      <c r="D74" s="187">
        <v>1</v>
      </c>
      <c r="E74" s="287"/>
      <c r="F74" s="285"/>
      <c r="G74" s="188"/>
      <c r="H74" s="286" t="s">
        <v>1920</v>
      </c>
      <c r="I74" s="699" t="s">
        <v>1908</v>
      </c>
      <c r="K74" s="189"/>
      <c r="L74" s="114">
        <f t="shared" si="7"/>
        <v>39</v>
      </c>
      <c r="M74" s="114">
        <f t="shared" si="8"/>
        <v>2</v>
      </c>
      <c r="N74" s="114">
        <f t="shared" si="9"/>
        <v>3</v>
      </c>
      <c r="O74" s="114">
        <v>37</v>
      </c>
    </row>
    <row r="75" spans="1:15" ht="20.100000000000001" customHeight="1" x14ac:dyDescent="0.2">
      <c r="I75" s="700"/>
    </row>
    <row r="76" spans="1:15" ht="20.100000000000001" customHeight="1" x14ac:dyDescent="0.2">
      <c r="I76" s="700"/>
    </row>
    <row r="77" spans="1:15" ht="20.100000000000001" customHeight="1" x14ac:dyDescent="0.2">
      <c r="I77" s="700"/>
    </row>
    <row r="78" spans="1:15" ht="20.100000000000001" customHeight="1" x14ac:dyDescent="0.2">
      <c r="I78" s="700"/>
    </row>
    <row r="79" spans="1:15" ht="20.100000000000001" customHeight="1" x14ac:dyDescent="0.2">
      <c r="I79" s="700"/>
    </row>
    <row r="80" spans="1:15" ht="20.100000000000001" customHeight="1" x14ac:dyDescent="0.2">
      <c r="I80" s="700"/>
    </row>
    <row r="81" spans="9:9" ht="20.100000000000001" customHeight="1" x14ac:dyDescent="0.2">
      <c r="I81" s="700"/>
    </row>
    <row r="82" spans="9:9" ht="20.100000000000001" customHeight="1" x14ac:dyDescent="0.2">
      <c r="I82" s="700"/>
    </row>
    <row r="83" spans="9:9" ht="20.100000000000001" customHeight="1" x14ac:dyDescent="0.2">
      <c r="I83" s="700"/>
    </row>
    <row r="84" spans="9:9" ht="20.100000000000001" customHeight="1" x14ac:dyDescent="0.2">
      <c r="I84" s="700"/>
    </row>
    <row r="85" spans="9:9" ht="20.100000000000001" customHeight="1" x14ac:dyDescent="0.2">
      <c r="I85" s="700"/>
    </row>
    <row r="86" spans="9:9" ht="20.100000000000001" customHeight="1" x14ac:dyDescent="0.2">
      <c r="I86" s="700"/>
    </row>
    <row r="87" spans="9:9" ht="20.100000000000001" customHeight="1" x14ac:dyDescent="0.2">
      <c r="I87" s="700"/>
    </row>
    <row r="88" spans="9:9" ht="20.100000000000001" customHeight="1" x14ac:dyDescent="0.2">
      <c r="I88" s="700"/>
    </row>
    <row r="89" spans="9:9" ht="20.100000000000001" customHeight="1" x14ac:dyDescent="0.2">
      <c r="I89" s="700"/>
    </row>
    <row r="90" spans="9:9" ht="20.100000000000001" customHeight="1" x14ac:dyDescent="0.2">
      <c r="I90" s="700"/>
    </row>
    <row r="91" spans="9:9" ht="20.100000000000001" customHeight="1" x14ac:dyDescent="0.2">
      <c r="I91" s="700"/>
    </row>
    <row r="92" spans="9:9" ht="20.100000000000001" customHeight="1" x14ac:dyDescent="0.2">
      <c r="I92" s="700"/>
    </row>
    <row r="93" spans="9:9" ht="20.100000000000001" customHeight="1" x14ac:dyDescent="0.2">
      <c r="I93" s="700"/>
    </row>
    <row r="94" spans="9:9" ht="20.100000000000001" customHeight="1" x14ac:dyDescent="0.2">
      <c r="I94" s="700"/>
    </row>
    <row r="95" spans="9:9" ht="20.100000000000001" customHeight="1" x14ac:dyDescent="0.2">
      <c r="I95" s="700"/>
    </row>
    <row r="96" spans="9:9" ht="20.100000000000001" customHeight="1" x14ac:dyDescent="0.2">
      <c r="I96" s="700"/>
    </row>
    <row r="97" spans="9:9" ht="20.100000000000001" customHeight="1" x14ac:dyDescent="0.2">
      <c r="I97" s="700"/>
    </row>
    <row r="98" spans="9:9" ht="20.100000000000001" customHeight="1" x14ac:dyDescent="0.2">
      <c r="I98" s="700"/>
    </row>
    <row r="99" spans="9:9" ht="20.100000000000001" customHeight="1" x14ac:dyDescent="0.2">
      <c r="I99" s="700"/>
    </row>
    <row r="100" spans="9:9" ht="20.100000000000001" customHeight="1" x14ac:dyDescent="0.2">
      <c r="I100" s="700"/>
    </row>
    <row r="101" spans="9:9" ht="20.100000000000001" customHeight="1" x14ac:dyDescent="0.2">
      <c r="I101" s="700"/>
    </row>
    <row r="102" spans="9:9" ht="20.100000000000001" customHeight="1" x14ac:dyDescent="0.2">
      <c r="I102" s="700"/>
    </row>
    <row r="103" spans="9:9" ht="20.100000000000001" customHeight="1" x14ac:dyDescent="0.2">
      <c r="I103" s="700"/>
    </row>
    <row r="104" spans="9:9" ht="20.100000000000001" customHeight="1" x14ac:dyDescent="0.2">
      <c r="I104" s="700"/>
    </row>
    <row r="105" spans="9:9" ht="20.100000000000001" customHeight="1" x14ac:dyDescent="0.2">
      <c r="I105" s="700"/>
    </row>
    <row r="106" spans="9:9" ht="20.100000000000001" customHeight="1" x14ac:dyDescent="0.2">
      <c r="I106" s="700"/>
    </row>
    <row r="107" spans="9:9" ht="20.100000000000001" customHeight="1" x14ac:dyDescent="0.2">
      <c r="I107" s="700"/>
    </row>
    <row r="108" spans="9:9" ht="20.100000000000001" customHeight="1" x14ac:dyDescent="0.2">
      <c r="I108" s="700"/>
    </row>
    <row r="109" spans="9:9" ht="20.100000000000001" customHeight="1" x14ac:dyDescent="0.2">
      <c r="I109" s="700"/>
    </row>
    <row r="110" spans="9:9" ht="20.100000000000001" customHeight="1" x14ac:dyDescent="0.2">
      <c r="I110" s="700"/>
    </row>
    <row r="111" spans="9:9" ht="20.100000000000001" customHeight="1" x14ac:dyDescent="0.2">
      <c r="I111" s="700"/>
    </row>
    <row r="112" spans="9:9" ht="20.100000000000001" customHeight="1" x14ac:dyDescent="0.2">
      <c r="I112" s="700"/>
    </row>
    <row r="113" spans="9:9" ht="20.100000000000001" customHeight="1" x14ac:dyDescent="0.2">
      <c r="I113" s="700"/>
    </row>
    <row r="114" spans="9:9" ht="20.100000000000001" customHeight="1" x14ac:dyDescent="0.2">
      <c r="I114" s="700"/>
    </row>
    <row r="115" spans="9:9" ht="20.100000000000001" customHeight="1" x14ac:dyDescent="0.2">
      <c r="I115" s="700"/>
    </row>
    <row r="116" spans="9:9" ht="20.100000000000001" customHeight="1" x14ac:dyDescent="0.2">
      <c r="I116" s="700"/>
    </row>
    <row r="117" spans="9:9" ht="20.100000000000001" customHeight="1" x14ac:dyDescent="0.2">
      <c r="I117" s="700"/>
    </row>
    <row r="118" spans="9:9" ht="20.100000000000001" customHeight="1" x14ac:dyDescent="0.2">
      <c r="I118" s="700"/>
    </row>
    <row r="119" spans="9:9" ht="20.100000000000001" customHeight="1" x14ac:dyDescent="0.2">
      <c r="I119" s="700"/>
    </row>
    <row r="120" spans="9:9" ht="20.100000000000001" customHeight="1" x14ac:dyDescent="0.2">
      <c r="I120" s="700"/>
    </row>
    <row r="121" spans="9:9" ht="20.100000000000001" customHeight="1" x14ac:dyDescent="0.2">
      <c r="I121" s="700"/>
    </row>
    <row r="122" spans="9:9" ht="20.100000000000001" customHeight="1" x14ac:dyDescent="0.2">
      <c r="I122" s="700"/>
    </row>
    <row r="123" spans="9:9" ht="20.100000000000001" customHeight="1" x14ac:dyDescent="0.2">
      <c r="I123" s="700"/>
    </row>
    <row r="124" spans="9:9" ht="20.100000000000001" customHeight="1" x14ac:dyDescent="0.2">
      <c r="I124" s="700"/>
    </row>
    <row r="125" spans="9:9" ht="20.100000000000001" customHeight="1" x14ac:dyDescent="0.2">
      <c r="I125" s="700"/>
    </row>
    <row r="126" spans="9:9" ht="20.100000000000001" customHeight="1" x14ac:dyDescent="0.2">
      <c r="I126" s="700"/>
    </row>
    <row r="127" spans="9:9" ht="20.100000000000001" customHeight="1" x14ac:dyDescent="0.2">
      <c r="I127" s="700"/>
    </row>
    <row r="128" spans="9:9" ht="20.100000000000001" customHeight="1" x14ac:dyDescent="0.2">
      <c r="I128" s="700"/>
    </row>
    <row r="129" spans="9:9" ht="20.100000000000001" customHeight="1" x14ac:dyDescent="0.2">
      <c r="I129" s="700"/>
    </row>
    <row r="130" spans="9:9" ht="20.100000000000001" customHeight="1" x14ac:dyDescent="0.2">
      <c r="I130" s="700"/>
    </row>
    <row r="131" spans="9:9" ht="20.100000000000001" customHeight="1" x14ac:dyDescent="0.2">
      <c r="I131" s="700"/>
    </row>
    <row r="132" spans="9:9" ht="20.100000000000001" customHeight="1" x14ac:dyDescent="0.2">
      <c r="I132" s="700"/>
    </row>
    <row r="133" spans="9:9" ht="20.100000000000001" customHeight="1" x14ac:dyDescent="0.2">
      <c r="I133" s="700"/>
    </row>
    <row r="134" spans="9:9" ht="20.100000000000001" customHeight="1" x14ac:dyDescent="0.2">
      <c r="I134" s="700"/>
    </row>
    <row r="135" spans="9:9" ht="20.100000000000001" customHeight="1" x14ac:dyDescent="0.2">
      <c r="I135" s="700"/>
    </row>
    <row r="136" spans="9:9" ht="20.100000000000001" customHeight="1" x14ac:dyDescent="0.2">
      <c r="I136" s="700"/>
    </row>
    <row r="137" spans="9:9" ht="20.100000000000001" customHeight="1" x14ac:dyDescent="0.2">
      <c r="I137" s="700"/>
    </row>
    <row r="138" spans="9:9" ht="20.100000000000001" customHeight="1" x14ac:dyDescent="0.2">
      <c r="I138" s="700"/>
    </row>
    <row r="139" spans="9:9" ht="20.100000000000001" customHeight="1" x14ac:dyDescent="0.2">
      <c r="I139" s="700"/>
    </row>
    <row r="140" spans="9:9" ht="20.100000000000001" customHeight="1" x14ac:dyDescent="0.2">
      <c r="I140" s="700"/>
    </row>
    <row r="141" spans="9:9" ht="20.100000000000001" customHeight="1" x14ac:dyDescent="0.2">
      <c r="I141" s="700"/>
    </row>
    <row r="142" spans="9:9" ht="20.100000000000001" customHeight="1" x14ac:dyDescent="0.2">
      <c r="I142" s="700"/>
    </row>
    <row r="143" spans="9:9" ht="20.100000000000001" customHeight="1" x14ac:dyDescent="0.2">
      <c r="I143" s="700"/>
    </row>
    <row r="144" spans="9:9" ht="20.100000000000001" customHeight="1" x14ac:dyDescent="0.2">
      <c r="I144" s="700"/>
    </row>
    <row r="145" spans="9:9" ht="20.100000000000001" customHeight="1" x14ac:dyDescent="0.2">
      <c r="I145" s="700"/>
    </row>
    <row r="146" spans="9:9" ht="20.100000000000001" customHeight="1" x14ac:dyDescent="0.2">
      <c r="I146" s="700"/>
    </row>
    <row r="147" spans="9:9" ht="20.100000000000001" customHeight="1" x14ac:dyDescent="0.2">
      <c r="I147" s="700"/>
    </row>
    <row r="148" spans="9:9" ht="20.100000000000001" customHeight="1" x14ac:dyDescent="0.2">
      <c r="I148" s="700"/>
    </row>
    <row r="149" spans="9:9" ht="20.100000000000001" customHeight="1" x14ac:dyDescent="0.2">
      <c r="I149" s="700"/>
    </row>
    <row r="150" spans="9:9" ht="20.100000000000001" customHeight="1" x14ac:dyDescent="0.2">
      <c r="I150" s="700"/>
    </row>
    <row r="151" spans="9:9" ht="20.100000000000001" customHeight="1" x14ac:dyDescent="0.2">
      <c r="I151" s="700"/>
    </row>
    <row r="152" spans="9:9" ht="20.100000000000001" customHeight="1" x14ac:dyDescent="0.2">
      <c r="I152" s="700"/>
    </row>
    <row r="153" spans="9:9" ht="20.100000000000001" customHeight="1" x14ac:dyDescent="0.2">
      <c r="I153" s="700"/>
    </row>
    <row r="154" spans="9:9" ht="20.100000000000001" customHeight="1" x14ac:dyDescent="0.2">
      <c r="I154" s="700"/>
    </row>
    <row r="155" spans="9:9" ht="20.100000000000001" customHeight="1" x14ac:dyDescent="0.2">
      <c r="I155" s="700"/>
    </row>
    <row r="156" spans="9:9" ht="20.100000000000001" customHeight="1" x14ac:dyDescent="0.2">
      <c r="I156" s="700"/>
    </row>
    <row r="157" spans="9:9" ht="20.100000000000001" customHeight="1" x14ac:dyDescent="0.2">
      <c r="I157" s="700"/>
    </row>
    <row r="158" spans="9:9" ht="20.100000000000001" customHeight="1" x14ac:dyDescent="0.2">
      <c r="I158" s="700"/>
    </row>
    <row r="159" spans="9:9" ht="20.100000000000001" customHeight="1" x14ac:dyDescent="0.2">
      <c r="I159" s="700"/>
    </row>
    <row r="160" spans="9:9" ht="20.100000000000001" customHeight="1" x14ac:dyDescent="0.2">
      <c r="I160" s="700"/>
    </row>
    <row r="161" spans="2:9" ht="20.100000000000001" customHeight="1" x14ac:dyDescent="0.2">
      <c r="I161" s="700"/>
    </row>
    <row r="162" spans="2:9" ht="20.100000000000001" customHeight="1" x14ac:dyDescent="0.2">
      <c r="I162" s="700"/>
    </row>
    <row r="163" spans="2:9" ht="20.100000000000001" customHeight="1" x14ac:dyDescent="0.2">
      <c r="I163" s="700"/>
    </row>
    <row r="164" spans="2:9" ht="20.100000000000001" customHeight="1" x14ac:dyDescent="0.2">
      <c r="I164" s="700"/>
    </row>
    <row r="165" spans="2:9" ht="20.100000000000001" customHeight="1" x14ac:dyDescent="0.2">
      <c r="I165" s="700"/>
    </row>
    <row r="166" spans="2:9" ht="20.100000000000001" customHeight="1" x14ac:dyDescent="0.2">
      <c r="I166" s="700"/>
    </row>
    <row r="167" spans="2:9" ht="20.100000000000001" customHeight="1" x14ac:dyDescent="0.2">
      <c r="I167" s="700"/>
    </row>
    <row r="168" spans="2:9" ht="20.100000000000001" customHeight="1" x14ac:dyDescent="0.2">
      <c r="I168" s="700"/>
    </row>
    <row r="169" spans="2:9" ht="20.100000000000001" customHeight="1" x14ac:dyDescent="0.2">
      <c r="B169" s="134">
        <v>4</v>
      </c>
      <c r="I169" s="700"/>
    </row>
    <row r="170" spans="2:9" ht="20.100000000000001" customHeight="1" x14ac:dyDescent="0.2">
      <c r="I170" s="700"/>
    </row>
    <row r="171" spans="2:9" ht="20.100000000000001" customHeight="1" x14ac:dyDescent="0.2">
      <c r="I171" s="700"/>
    </row>
    <row r="172" spans="2:9" ht="20.100000000000001" customHeight="1" x14ac:dyDescent="0.2">
      <c r="I172" s="700"/>
    </row>
    <row r="173" spans="2:9" ht="20.100000000000001" customHeight="1" x14ac:dyDescent="0.2">
      <c r="I173" s="700"/>
    </row>
    <row r="174" spans="2:9" ht="20.100000000000001" customHeight="1" x14ac:dyDescent="0.2">
      <c r="I174" s="700"/>
    </row>
    <row r="175" spans="2:9" ht="20.100000000000001" customHeight="1" x14ac:dyDescent="0.2">
      <c r="I175" s="700"/>
    </row>
    <row r="176" spans="2:9" ht="20.100000000000001" customHeight="1" x14ac:dyDescent="0.2">
      <c r="I176" s="700"/>
    </row>
    <row r="177" spans="9:9" ht="20.100000000000001" customHeight="1" x14ac:dyDescent="0.2">
      <c r="I177" s="700"/>
    </row>
    <row r="178" spans="9:9" ht="20.100000000000001" customHeight="1" x14ac:dyDescent="0.2">
      <c r="I178" s="700"/>
    </row>
    <row r="179" spans="9:9" ht="20.100000000000001" customHeight="1" x14ac:dyDescent="0.2">
      <c r="I179" s="700"/>
    </row>
    <row r="180" spans="9:9" ht="20.100000000000001" customHeight="1" x14ac:dyDescent="0.2">
      <c r="I180" s="700"/>
    </row>
    <row r="181" spans="9:9" ht="20.100000000000001" customHeight="1" x14ac:dyDescent="0.2">
      <c r="I181" s="700"/>
    </row>
    <row r="182" spans="9:9" ht="20.100000000000001" customHeight="1" x14ac:dyDescent="0.2">
      <c r="I182" s="700"/>
    </row>
    <row r="183" spans="9:9" ht="20.100000000000001" customHeight="1" x14ac:dyDescent="0.2">
      <c r="I183" s="700"/>
    </row>
    <row r="184" spans="9:9" ht="20.100000000000001" customHeight="1" x14ac:dyDescent="0.2">
      <c r="I184" s="700"/>
    </row>
    <row r="185" spans="9:9" ht="20.100000000000001" customHeight="1" x14ac:dyDescent="0.2">
      <c r="I185" s="700"/>
    </row>
    <row r="186" spans="9:9" ht="20.100000000000001" customHeight="1" x14ac:dyDescent="0.2">
      <c r="I186" s="700"/>
    </row>
    <row r="187" spans="9:9" ht="20.100000000000001" customHeight="1" x14ac:dyDescent="0.2">
      <c r="I187" s="700"/>
    </row>
    <row r="188" spans="9:9" ht="20.100000000000001" customHeight="1" x14ac:dyDescent="0.2">
      <c r="I188" s="700"/>
    </row>
    <row r="189" spans="9:9" ht="20.100000000000001" customHeight="1" x14ac:dyDescent="0.2">
      <c r="I189" s="700"/>
    </row>
    <row r="190" spans="9:9" ht="20.100000000000001" customHeight="1" x14ac:dyDescent="0.2">
      <c r="I190" s="700"/>
    </row>
    <row r="191" spans="9:9" ht="20.100000000000001" customHeight="1" x14ac:dyDescent="0.2">
      <c r="I191" s="700"/>
    </row>
    <row r="192" spans="9:9" ht="20.100000000000001" customHeight="1" x14ac:dyDescent="0.2">
      <c r="I192" s="700"/>
    </row>
    <row r="193" spans="9:9" ht="20.100000000000001" customHeight="1" x14ac:dyDescent="0.2">
      <c r="I193" s="700"/>
    </row>
    <row r="194" spans="9:9" ht="20.100000000000001" customHeight="1" x14ac:dyDescent="0.2">
      <c r="I194" s="700"/>
    </row>
    <row r="195" spans="9:9" ht="20.100000000000001" customHeight="1" x14ac:dyDescent="0.2">
      <c r="I195" s="700"/>
    </row>
    <row r="196" spans="9:9" ht="20.100000000000001" customHeight="1" x14ac:dyDescent="0.2">
      <c r="I196" s="700"/>
    </row>
    <row r="197" spans="9:9" ht="20.100000000000001" customHeight="1" x14ac:dyDescent="0.2">
      <c r="I197" s="700"/>
    </row>
    <row r="198" spans="9:9" ht="20.100000000000001" customHeight="1" x14ac:dyDescent="0.2">
      <c r="I198" s="700"/>
    </row>
    <row r="199" spans="9:9" ht="20.100000000000001" customHeight="1" x14ac:dyDescent="0.2">
      <c r="I199" s="700"/>
    </row>
    <row r="200" spans="9:9" ht="20.100000000000001" customHeight="1" x14ac:dyDescent="0.2">
      <c r="I200" s="700"/>
    </row>
    <row r="201" spans="9:9" ht="20.100000000000001" customHeight="1" x14ac:dyDescent="0.2">
      <c r="I201" s="700"/>
    </row>
    <row r="202" spans="9:9" ht="20.100000000000001" customHeight="1" x14ac:dyDescent="0.2">
      <c r="I202" s="700"/>
    </row>
    <row r="203" spans="9:9" ht="20.100000000000001" customHeight="1" x14ac:dyDescent="0.2">
      <c r="I203" s="700"/>
    </row>
    <row r="204" spans="9:9" ht="20.100000000000001" customHeight="1" x14ac:dyDescent="0.2">
      <c r="I204" s="700"/>
    </row>
    <row r="205" spans="9:9" ht="20.100000000000001" customHeight="1" x14ac:dyDescent="0.2">
      <c r="I205" s="700"/>
    </row>
    <row r="206" spans="9:9" ht="20.100000000000001" customHeight="1" x14ac:dyDescent="0.2">
      <c r="I206" s="700"/>
    </row>
    <row r="207" spans="9:9" ht="20.100000000000001" customHeight="1" x14ac:dyDescent="0.2">
      <c r="I207" s="700"/>
    </row>
    <row r="208" spans="9:9" ht="20.100000000000001" customHeight="1" x14ac:dyDescent="0.2">
      <c r="I208" s="700"/>
    </row>
    <row r="209" spans="2:9" ht="20.100000000000001" customHeight="1" x14ac:dyDescent="0.2">
      <c r="I209" s="700"/>
    </row>
    <row r="210" spans="2:9" ht="20.100000000000001" customHeight="1" x14ac:dyDescent="0.2">
      <c r="I210" s="700"/>
    </row>
    <row r="211" spans="2:9" ht="20.100000000000001" customHeight="1" x14ac:dyDescent="0.2">
      <c r="I211" s="700"/>
    </row>
    <row r="212" spans="2:9" ht="20.100000000000001" customHeight="1" x14ac:dyDescent="0.2">
      <c r="I212" s="700"/>
    </row>
    <row r="213" spans="2:9" ht="20.100000000000001" customHeight="1" x14ac:dyDescent="0.2">
      <c r="I213" s="700"/>
    </row>
    <row r="214" spans="2:9" ht="20.100000000000001" customHeight="1" x14ac:dyDescent="0.2">
      <c r="I214" s="700"/>
    </row>
    <row r="215" spans="2:9" ht="20.100000000000001" customHeight="1" x14ac:dyDescent="0.2">
      <c r="I215" s="700"/>
    </row>
    <row r="216" spans="2:9" ht="20.100000000000001" customHeight="1" x14ac:dyDescent="0.2">
      <c r="I216" s="700"/>
    </row>
    <row r="217" spans="2:9" ht="20.100000000000001" customHeight="1" x14ac:dyDescent="0.2">
      <c r="I217" s="700"/>
    </row>
    <row r="218" spans="2:9" ht="20.100000000000001" customHeight="1" x14ac:dyDescent="0.2">
      <c r="I218" s="700"/>
    </row>
    <row r="219" spans="2:9" ht="20.100000000000001" customHeight="1" x14ac:dyDescent="0.2">
      <c r="B219" s="134">
        <v>4</v>
      </c>
      <c r="I219" s="700"/>
    </row>
    <row r="220" spans="2:9" ht="20.100000000000001" customHeight="1" x14ac:dyDescent="0.2">
      <c r="I220" s="700"/>
    </row>
    <row r="221" spans="2:9" ht="20.100000000000001" customHeight="1" x14ac:dyDescent="0.2">
      <c r="I221" s="700"/>
    </row>
    <row r="222" spans="2:9" ht="20.100000000000001" customHeight="1" x14ac:dyDescent="0.2">
      <c r="I222" s="700"/>
    </row>
    <row r="223" spans="2:9" ht="20.100000000000001" customHeight="1" x14ac:dyDescent="0.2">
      <c r="I223" s="700"/>
    </row>
    <row r="224" spans="2:9" ht="20.100000000000001" customHeight="1" x14ac:dyDescent="0.2">
      <c r="I224" s="700"/>
    </row>
    <row r="225" spans="9:9" ht="20.100000000000001" customHeight="1" x14ac:dyDescent="0.2">
      <c r="I225" s="700"/>
    </row>
    <row r="226" spans="9:9" ht="20.100000000000001" customHeight="1" x14ac:dyDescent="0.2">
      <c r="I226" s="700"/>
    </row>
    <row r="227" spans="9:9" ht="20.100000000000001" customHeight="1" x14ac:dyDescent="0.2">
      <c r="I227" s="700"/>
    </row>
    <row r="228" spans="9:9" ht="20.100000000000001" customHeight="1" x14ac:dyDescent="0.2">
      <c r="I228" s="700"/>
    </row>
    <row r="229" spans="9:9" ht="20.100000000000001" customHeight="1" x14ac:dyDescent="0.2">
      <c r="I229" s="700"/>
    </row>
    <row r="230" spans="9:9" ht="20.100000000000001" customHeight="1" x14ac:dyDescent="0.2">
      <c r="I230" s="700"/>
    </row>
    <row r="231" spans="9:9" ht="20.100000000000001" customHeight="1" x14ac:dyDescent="0.2">
      <c r="I231" s="700"/>
    </row>
    <row r="232" spans="9:9" ht="20.100000000000001" customHeight="1" x14ac:dyDescent="0.2">
      <c r="I232" s="700"/>
    </row>
    <row r="233" spans="9:9" ht="20.100000000000001" customHeight="1" x14ac:dyDescent="0.2">
      <c r="I233" s="700"/>
    </row>
    <row r="234" spans="9:9" ht="20.100000000000001" customHeight="1" x14ac:dyDescent="0.2">
      <c r="I234" s="700"/>
    </row>
    <row r="235" spans="9:9" ht="20.100000000000001" customHeight="1" x14ac:dyDescent="0.2">
      <c r="I235" s="700"/>
    </row>
    <row r="236" spans="9:9" ht="20.100000000000001" customHeight="1" x14ac:dyDescent="0.2">
      <c r="I236" s="700"/>
    </row>
    <row r="237" spans="9:9" ht="20.100000000000001" customHeight="1" x14ac:dyDescent="0.2">
      <c r="I237" s="700"/>
    </row>
    <row r="238" spans="9:9" ht="20.100000000000001" customHeight="1" x14ac:dyDescent="0.2">
      <c r="I238" s="700"/>
    </row>
    <row r="239" spans="9:9" ht="20.100000000000001" customHeight="1" x14ac:dyDescent="0.2">
      <c r="I239" s="700"/>
    </row>
    <row r="240" spans="9:9" ht="20.100000000000001" customHeight="1" x14ac:dyDescent="0.2">
      <c r="I240" s="700"/>
    </row>
    <row r="241" spans="9:9" ht="20.100000000000001" customHeight="1" x14ac:dyDescent="0.2">
      <c r="I241" s="700"/>
    </row>
    <row r="242" spans="9:9" ht="20.100000000000001" customHeight="1" x14ac:dyDescent="0.2">
      <c r="I242" s="700"/>
    </row>
    <row r="243" spans="9:9" ht="20.100000000000001" customHeight="1" x14ac:dyDescent="0.2">
      <c r="I243" s="700"/>
    </row>
    <row r="244" spans="9:9" ht="20.100000000000001" customHeight="1" x14ac:dyDescent="0.2">
      <c r="I244" s="700"/>
    </row>
    <row r="245" spans="9:9" ht="20.100000000000001" customHeight="1" x14ac:dyDescent="0.2">
      <c r="I245" s="700"/>
    </row>
    <row r="246" spans="9:9" ht="20.100000000000001" customHeight="1" x14ac:dyDescent="0.2">
      <c r="I246" s="700"/>
    </row>
    <row r="247" spans="9:9" ht="20.100000000000001" customHeight="1" x14ac:dyDescent="0.2">
      <c r="I247" s="700"/>
    </row>
    <row r="248" spans="9:9" ht="20.100000000000001" customHeight="1" x14ac:dyDescent="0.2">
      <c r="I248" s="700"/>
    </row>
    <row r="249" spans="9:9" ht="20.100000000000001" customHeight="1" x14ac:dyDescent="0.2">
      <c r="I249" s="700"/>
    </row>
    <row r="250" spans="9:9" ht="20.100000000000001" customHeight="1" x14ac:dyDescent="0.2">
      <c r="I250" s="700"/>
    </row>
    <row r="251" spans="9:9" ht="20.100000000000001" customHeight="1" x14ac:dyDescent="0.2">
      <c r="I251" s="700"/>
    </row>
    <row r="252" spans="9:9" ht="20.100000000000001" customHeight="1" x14ac:dyDescent="0.2">
      <c r="I252" s="700"/>
    </row>
    <row r="253" spans="9:9" ht="20.100000000000001" customHeight="1" x14ac:dyDescent="0.2">
      <c r="I253" s="700"/>
    </row>
    <row r="254" spans="9:9" ht="20.100000000000001" customHeight="1" x14ac:dyDescent="0.2">
      <c r="I254" s="700"/>
    </row>
    <row r="255" spans="9:9" ht="20.100000000000001" customHeight="1" x14ac:dyDescent="0.2">
      <c r="I255" s="700"/>
    </row>
    <row r="256" spans="9:9" ht="20.100000000000001" customHeight="1" x14ac:dyDescent="0.2">
      <c r="I256" s="700"/>
    </row>
    <row r="257" spans="2:9" ht="20.100000000000001" customHeight="1" x14ac:dyDescent="0.2">
      <c r="I257" s="700"/>
    </row>
    <row r="258" spans="2:9" ht="20.100000000000001" customHeight="1" x14ac:dyDescent="0.2">
      <c r="I258" s="700"/>
    </row>
    <row r="259" spans="2:9" ht="20.100000000000001" customHeight="1" x14ac:dyDescent="0.2">
      <c r="I259" s="700"/>
    </row>
    <row r="260" spans="2:9" ht="20.100000000000001" customHeight="1" x14ac:dyDescent="0.2">
      <c r="I260" s="700"/>
    </row>
    <row r="261" spans="2:9" ht="20.100000000000001" customHeight="1" x14ac:dyDescent="0.2">
      <c r="I261" s="700"/>
    </row>
    <row r="262" spans="2:9" ht="20.100000000000001" customHeight="1" x14ac:dyDescent="0.2">
      <c r="I262" s="700"/>
    </row>
    <row r="263" spans="2:9" ht="20.100000000000001" customHeight="1" x14ac:dyDescent="0.2">
      <c r="I263" s="700"/>
    </row>
    <row r="264" spans="2:9" ht="20.100000000000001" customHeight="1" x14ac:dyDescent="0.2">
      <c r="I264" s="700"/>
    </row>
    <row r="265" spans="2:9" ht="20.100000000000001" customHeight="1" x14ac:dyDescent="0.2">
      <c r="I265" s="700"/>
    </row>
    <row r="266" spans="2:9" ht="20.100000000000001" customHeight="1" x14ac:dyDescent="0.2">
      <c r="I266" s="700"/>
    </row>
    <row r="267" spans="2:9" ht="20.100000000000001" customHeight="1" x14ac:dyDescent="0.2">
      <c r="I267" s="700"/>
    </row>
    <row r="268" spans="2:9" ht="20.100000000000001" customHeight="1" x14ac:dyDescent="0.2">
      <c r="I268" s="700"/>
    </row>
    <row r="269" spans="2:9" ht="20.100000000000001" customHeight="1" x14ac:dyDescent="0.2">
      <c r="B269" s="134">
        <v>4</v>
      </c>
      <c r="I269" s="700"/>
    </row>
    <row r="270" spans="2:9" ht="20.100000000000001" customHeight="1" x14ac:dyDescent="0.2">
      <c r="I270" s="700"/>
    </row>
    <row r="271" spans="2:9" ht="20.100000000000001" customHeight="1" x14ac:dyDescent="0.2">
      <c r="I271" s="700"/>
    </row>
    <row r="272" spans="2:9" ht="20.100000000000001" customHeight="1" x14ac:dyDescent="0.2">
      <c r="I272" s="700"/>
    </row>
    <row r="273" spans="9:9" ht="20.100000000000001" customHeight="1" x14ac:dyDescent="0.2">
      <c r="I273" s="700"/>
    </row>
    <row r="274" spans="9:9" ht="20.100000000000001" customHeight="1" x14ac:dyDescent="0.2">
      <c r="I274" s="700"/>
    </row>
    <row r="275" spans="9:9" ht="20.100000000000001" customHeight="1" x14ac:dyDescent="0.2">
      <c r="I275" s="700"/>
    </row>
    <row r="276" spans="9:9" ht="20.100000000000001" customHeight="1" x14ac:dyDescent="0.2">
      <c r="I276" s="700"/>
    </row>
    <row r="277" spans="9:9" ht="20.100000000000001" customHeight="1" x14ac:dyDescent="0.2">
      <c r="I277" s="700"/>
    </row>
    <row r="278" spans="9:9" ht="20.100000000000001" customHeight="1" x14ac:dyDescent="0.2">
      <c r="I278" s="700"/>
    </row>
    <row r="279" spans="9:9" ht="20.100000000000001" customHeight="1" x14ac:dyDescent="0.2">
      <c r="I279" s="700"/>
    </row>
    <row r="280" spans="9:9" ht="20.100000000000001" customHeight="1" x14ac:dyDescent="0.2">
      <c r="I280" s="700"/>
    </row>
    <row r="281" spans="9:9" ht="20.100000000000001" customHeight="1" x14ac:dyDescent="0.2">
      <c r="I281" s="700"/>
    </row>
    <row r="282" spans="9:9" ht="20.100000000000001" customHeight="1" x14ac:dyDescent="0.2">
      <c r="I282" s="700"/>
    </row>
    <row r="283" spans="9:9" ht="20.100000000000001" customHeight="1" x14ac:dyDescent="0.2">
      <c r="I283" s="700"/>
    </row>
    <row r="284" spans="9:9" ht="20.100000000000001" customHeight="1" x14ac:dyDescent="0.2">
      <c r="I284" s="700"/>
    </row>
    <row r="285" spans="9:9" ht="20.100000000000001" customHeight="1" x14ac:dyDescent="0.2">
      <c r="I285" s="700"/>
    </row>
    <row r="286" spans="9:9" ht="20.100000000000001" customHeight="1" x14ac:dyDescent="0.2">
      <c r="I286" s="700"/>
    </row>
    <row r="287" spans="9:9" ht="20.100000000000001" customHeight="1" x14ac:dyDescent="0.2">
      <c r="I287" s="700"/>
    </row>
    <row r="288" spans="9:9" ht="20.100000000000001" customHeight="1" x14ac:dyDescent="0.2">
      <c r="I288" s="700"/>
    </row>
    <row r="289" spans="9:9" ht="20.100000000000001" customHeight="1" x14ac:dyDescent="0.2">
      <c r="I289" s="700"/>
    </row>
    <row r="290" spans="9:9" ht="20.100000000000001" customHeight="1" x14ac:dyDescent="0.2">
      <c r="I290" s="700"/>
    </row>
    <row r="291" spans="9:9" ht="20.100000000000001" customHeight="1" x14ac:dyDescent="0.2">
      <c r="I291" s="700"/>
    </row>
    <row r="292" spans="9:9" ht="20.100000000000001" customHeight="1" x14ac:dyDescent="0.2">
      <c r="I292" s="700"/>
    </row>
    <row r="293" spans="9:9" ht="20.100000000000001" customHeight="1" x14ac:dyDescent="0.2">
      <c r="I293" s="700"/>
    </row>
    <row r="294" spans="9:9" ht="20.100000000000001" customHeight="1" x14ac:dyDescent="0.2">
      <c r="I294" s="700"/>
    </row>
    <row r="295" spans="9:9" ht="20.100000000000001" customHeight="1" x14ac:dyDescent="0.2">
      <c r="I295" s="700"/>
    </row>
    <row r="296" spans="9:9" ht="20.100000000000001" customHeight="1" x14ac:dyDescent="0.2">
      <c r="I296" s="700"/>
    </row>
    <row r="297" spans="9:9" ht="20.100000000000001" customHeight="1" x14ac:dyDescent="0.2">
      <c r="I297" s="700"/>
    </row>
    <row r="298" spans="9:9" ht="20.100000000000001" customHeight="1" x14ac:dyDescent="0.2">
      <c r="I298" s="700"/>
    </row>
    <row r="299" spans="9:9" ht="20.100000000000001" customHeight="1" x14ac:dyDescent="0.2">
      <c r="I299" s="700"/>
    </row>
    <row r="300" spans="9:9" ht="20.100000000000001" customHeight="1" x14ac:dyDescent="0.2">
      <c r="I300" s="700"/>
    </row>
    <row r="301" spans="9:9" ht="20.100000000000001" customHeight="1" x14ac:dyDescent="0.2">
      <c r="I301" s="700"/>
    </row>
    <row r="302" spans="9:9" ht="20.100000000000001" customHeight="1" x14ac:dyDescent="0.2">
      <c r="I302" s="700"/>
    </row>
    <row r="303" spans="9:9" ht="20.100000000000001" customHeight="1" x14ac:dyDescent="0.2">
      <c r="I303" s="700"/>
    </row>
    <row r="304" spans="9:9" ht="20.100000000000001" customHeight="1" x14ac:dyDescent="0.2">
      <c r="I304" s="700"/>
    </row>
    <row r="305" spans="2:9" ht="20.100000000000001" customHeight="1" x14ac:dyDescent="0.2">
      <c r="I305" s="700"/>
    </row>
    <row r="306" spans="2:9" ht="20.100000000000001" customHeight="1" x14ac:dyDescent="0.2">
      <c r="I306" s="700"/>
    </row>
    <row r="307" spans="2:9" ht="20.100000000000001" customHeight="1" x14ac:dyDescent="0.2">
      <c r="I307" s="700"/>
    </row>
    <row r="308" spans="2:9" ht="20.100000000000001" customHeight="1" x14ac:dyDescent="0.2">
      <c r="I308" s="700"/>
    </row>
    <row r="309" spans="2:9" ht="20.100000000000001" customHeight="1" x14ac:dyDescent="0.2">
      <c r="I309" s="700"/>
    </row>
    <row r="310" spans="2:9" ht="20.100000000000001" customHeight="1" x14ac:dyDescent="0.2">
      <c r="I310" s="700"/>
    </row>
    <row r="311" spans="2:9" ht="20.100000000000001" customHeight="1" x14ac:dyDescent="0.2">
      <c r="I311" s="700"/>
    </row>
    <row r="312" spans="2:9" ht="20.100000000000001" customHeight="1" x14ac:dyDescent="0.2">
      <c r="I312" s="700"/>
    </row>
    <row r="313" spans="2:9" ht="20.100000000000001" customHeight="1" x14ac:dyDescent="0.2">
      <c r="I313" s="700"/>
    </row>
    <row r="314" spans="2:9" ht="20.100000000000001" customHeight="1" x14ac:dyDescent="0.2">
      <c r="I314" s="700"/>
    </row>
    <row r="315" spans="2:9" ht="20.100000000000001" customHeight="1" x14ac:dyDescent="0.2">
      <c r="I315" s="700"/>
    </row>
    <row r="316" spans="2:9" ht="20.100000000000001" customHeight="1" x14ac:dyDescent="0.2">
      <c r="I316" s="700"/>
    </row>
    <row r="317" spans="2:9" ht="20.100000000000001" customHeight="1" x14ac:dyDescent="0.2">
      <c r="I317" s="700"/>
    </row>
    <row r="318" spans="2:9" ht="20.100000000000001" customHeight="1" x14ac:dyDescent="0.2">
      <c r="I318" s="700"/>
    </row>
    <row r="319" spans="2:9" ht="20.100000000000001" customHeight="1" x14ac:dyDescent="0.2">
      <c r="B319" s="134">
        <v>4</v>
      </c>
      <c r="I319" s="700"/>
    </row>
    <row r="320" spans="2:9" ht="20.100000000000001" customHeight="1" x14ac:dyDescent="0.2">
      <c r="I320" s="700"/>
    </row>
    <row r="321" spans="9:9" ht="20.100000000000001" customHeight="1" x14ac:dyDescent="0.2">
      <c r="I321" s="700"/>
    </row>
    <row r="322" spans="9:9" ht="20.100000000000001" customHeight="1" x14ac:dyDescent="0.2">
      <c r="I322" s="700"/>
    </row>
    <row r="323" spans="9:9" ht="20.100000000000001" customHeight="1" x14ac:dyDescent="0.2">
      <c r="I323" s="700"/>
    </row>
    <row r="324" spans="9:9" ht="20.100000000000001" customHeight="1" x14ac:dyDescent="0.2">
      <c r="I324" s="700"/>
    </row>
    <row r="325" spans="9:9" ht="20.100000000000001" customHeight="1" x14ac:dyDescent="0.2">
      <c r="I325" s="700"/>
    </row>
    <row r="326" spans="9:9" ht="20.100000000000001" customHeight="1" x14ac:dyDescent="0.2">
      <c r="I326" s="700"/>
    </row>
    <row r="327" spans="9:9" ht="20.100000000000001" customHeight="1" x14ac:dyDescent="0.2">
      <c r="I327" s="700"/>
    </row>
    <row r="328" spans="9:9" ht="20.100000000000001" customHeight="1" x14ac:dyDescent="0.2">
      <c r="I328" s="700"/>
    </row>
    <row r="329" spans="9:9" ht="20.100000000000001" customHeight="1" x14ac:dyDescent="0.2">
      <c r="I329" s="700"/>
    </row>
    <row r="330" spans="9:9" ht="20.100000000000001" customHeight="1" x14ac:dyDescent="0.2">
      <c r="I330" s="700"/>
    </row>
    <row r="331" spans="9:9" ht="20.100000000000001" customHeight="1" x14ac:dyDescent="0.2">
      <c r="I331" s="700"/>
    </row>
    <row r="332" spans="9:9" ht="20.100000000000001" customHeight="1" x14ac:dyDescent="0.2">
      <c r="I332" s="700"/>
    </row>
    <row r="333" spans="9:9" ht="20.100000000000001" customHeight="1" x14ac:dyDescent="0.2">
      <c r="I333" s="700"/>
    </row>
    <row r="334" spans="9:9" ht="20.100000000000001" customHeight="1" x14ac:dyDescent="0.2">
      <c r="I334" s="700"/>
    </row>
    <row r="335" spans="9:9" ht="20.100000000000001" customHeight="1" x14ac:dyDescent="0.2">
      <c r="I335" s="700"/>
    </row>
    <row r="336" spans="9:9" ht="20.100000000000001" customHeight="1" x14ac:dyDescent="0.2">
      <c r="I336" s="700"/>
    </row>
    <row r="337" spans="9:9" ht="20.100000000000001" customHeight="1" x14ac:dyDescent="0.2">
      <c r="I337" s="700"/>
    </row>
    <row r="338" spans="9:9" ht="20.100000000000001" customHeight="1" x14ac:dyDescent="0.2">
      <c r="I338" s="700"/>
    </row>
    <row r="339" spans="9:9" ht="20.100000000000001" customHeight="1" x14ac:dyDescent="0.2">
      <c r="I339" s="700"/>
    </row>
    <row r="340" spans="9:9" ht="20.100000000000001" customHeight="1" x14ac:dyDescent="0.2">
      <c r="I340" s="700"/>
    </row>
    <row r="341" spans="9:9" ht="20.100000000000001" customHeight="1" x14ac:dyDescent="0.2">
      <c r="I341" s="700"/>
    </row>
    <row r="342" spans="9:9" ht="20.100000000000001" customHeight="1" x14ac:dyDescent="0.2">
      <c r="I342" s="700"/>
    </row>
    <row r="343" spans="9:9" ht="20.100000000000001" customHeight="1" x14ac:dyDescent="0.2">
      <c r="I343" s="700"/>
    </row>
    <row r="344" spans="9:9" ht="20.100000000000001" customHeight="1" x14ac:dyDescent="0.2">
      <c r="I344" s="700"/>
    </row>
    <row r="345" spans="9:9" ht="20.100000000000001" customHeight="1" x14ac:dyDescent="0.2">
      <c r="I345" s="700"/>
    </row>
    <row r="346" spans="9:9" ht="20.100000000000001" customHeight="1" x14ac:dyDescent="0.2">
      <c r="I346" s="700"/>
    </row>
    <row r="347" spans="9:9" ht="20.100000000000001" customHeight="1" x14ac:dyDescent="0.2">
      <c r="I347" s="700"/>
    </row>
    <row r="348" spans="9:9" ht="20.100000000000001" customHeight="1" x14ac:dyDescent="0.2">
      <c r="I348" s="700"/>
    </row>
    <row r="349" spans="9:9" ht="20.100000000000001" customHeight="1" x14ac:dyDescent="0.2">
      <c r="I349" s="700"/>
    </row>
    <row r="350" spans="9:9" ht="20.100000000000001" customHeight="1" x14ac:dyDescent="0.2">
      <c r="I350" s="700"/>
    </row>
    <row r="351" spans="9:9" ht="20.100000000000001" customHeight="1" x14ac:dyDescent="0.2">
      <c r="I351" s="700"/>
    </row>
    <row r="352" spans="9:9" ht="20.100000000000001" customHeight="1" x14ac:dyDescent="0.2">
      <c r="I352" s="700"/>
    </row>
    <row r="353" spans="9:9" ht="20.100000000000001" customHeight="1" x14ac:dyDescent="0.2">
      <c r="I353" s="700"/>
    </row>
    <row r="354" spans="9:9" ht="20.100000000000001" customHeight="1" x14ac:dyDescent="0.2">
      <c r="I354" s="700"/>
    </row>
    <row r="355" spans="9:9" ht="20.100000000000001" customHeight="1" x14ac:dyDescent="0.2">
      <c r="I355" s="700"/>
    </row>
    <row r="356" spans="9:9" ht="20.100000000000001" customHeight="1" x14ac:dyDescent="0.2">
      <c r="I356" s="700"/>
    </row>
    <row r="357" spans="9:9" ht="20.100000000000001" customHeight="1" x14ac:dyDescent="0.2">
      <c r="I357" s="700"/>
    </row>
    <row r="358" spans="9:9" ht="20.100000000000001" customHeight="1" x14ac:dyDescent="0.2">
      <c r="I358" s="700"/>
    </row>
    <row r="359" spans="9:9" ht="20.100000000000001" customHeight="1" x14ac:dyDescent="0.2">
      <c r="I359" s="700"/>
    </row>
    <row r="360" spans="9:9" ht="20.100000000000001" customHeight="1" x14ac:dyDescent="0.2">
      <c r="I360" s="700"/>
    </row>
    <row r="361" spans="9:9" ht="20.100000000000001" customHeight="1" x14ac:dyDescent="0.2">
      <c r="I361" s="700"/>
    </row>
    <row r="362" spans="9:9" ht="20.100000000000001" customHeight="1" x14ac:dyDescent="0.2">
      <c r="I362" s="700"/>
    </row>
    <row r="363" spans="9:9" ht="20.100000000000001" customHeight="1" x14ac:dyDescent="0.2">
      <c r="I363" s="700"/>
    </row>
    <row r="364" spans="9:9" ht="20.100000000000001" customHeight="1" x14ac:dyDescent="0.2">
      <c r="I364" s="700"/>
    </row>
    <row r="365" spans="9:9" ht="20.100000000000001" customHeight="1" x14ac:dyDescent="0.2">
      <c r="I365" s="700"/>
    </row>
    <row r="366" spans="9:9" ht="20.100000000000001" customHeight="1" x14ac:dyDescent="0.2">
      <c r="I366" s="700"/>
    </row>
    <row r="367" spans="9:9" ht="20.100000000000001" customHeight="1" x14ac:dyDescent="0.2">
      <c r="I367" s="700"/>
    </row>
    <row r="368" spans="9:9" ht="20.100000000000001" customHeight="1" x14ac:dyDescent="0.2">
      <c r="I368" s="700"/>
    </row>
    <row r="369" spans="2:9" ht="20.100000000000001" customHeight="1" x14ac:dyDescent="0.2">
      <c r="B369" s="134">
        <v>5</v>
      </c>
      <c r="I369" s="700"/>
    </row>
    <row r="370" spans="2:9" ht="20.100000000000001" customHeight="1" x14ac:dyDescent="0.2">
      <c r="I370" s="700"/>
    </row>
    <row r="371" spans="2:9" ht="20.100000000000001" customHeight="1" x14ac:dyDescent="0.2">
      <c r="I371" s="700"/>
    </row>
    <row r="372" spans="2:9" ht="20.100000000000001" customHeight="1" x14ac:dyDescent="0.2">
      <c r="I372" s="700"/>
    </row>
    <row r="373" spans="2:9" ht="20.100000000000001" customHeight="1" x14ac:dyDescent="0.2">
      <c r="I373" s="700"/>
    </row>
    <row r="374" spans="2:9" ht="20.100000000000001" customHeight="1" x14ac:dyDescent="0.2">
      <c r="I374" s="700"/>
    </row>
    <row r="375" spans="2:9" ht="20.100000000000001" customHeight="1" x14ac:dyDescent="0.2">
      <c r="I375" s="700"/>
    </row>
    <row r="376" spans="2:9" ht="20.100000000000001" customHeight="1" x14ac:dyDescent="0.2">
      <c r="I376" s="700"/>
    </row>
    <row r="377" spans="2:9" ht="20.100000000000001" customHeight="1" x14ac:dyDescent="0.2">
      <c r="I377" s="700"/>
    </row>
    <row r="378" spans="2:9" ht="20.100000000000001" customHeight="1" x14ac:dyDescent="0.2">
      <c r="I378" s="700"/>
    </row>
    <row r="379" spans="2:9" ht="20.100000000000001" customHeight="1" x14ac:dyDescent="0.2">
      <c r="I379" s="700"/>
    </row>
    <row r="380" spans="2:9" ht="20.100000000000001" customHeight="1" x14ac:dyDescent="0.2">
      <c r="I380" s="700"/>
    </row>
    <row r="381" spans="2:9" ht="20.100000000000001" customHeight="1" x14ac:dyDescent="0.2">
      <c r="I381" s="700"/>
    </row>
    <row r="382" spans="2:9" ht="20.100000000000001" customHeight="1" x14ac:dyDescent="0.2">
      <c r="I382" s="700"/>
    </row>
    <row r="383" spans="2:9" ht="20.100000000000001" customHeight="1" x14ac:dyDescent="0.2">
      <c r="I383" s="700"/>
    </row>
    <row r="384" spans="2:9" ht="20.100000000000001" customHeight="1" x14ac:dyDescent="0.2">
      <c r="I384" s="700"/>
    </row>
    <row r="385" spans="9:9" ht="20.100000000000001" customHeight="1" x14ac:dyDescent="0.2">
      <c r="I385" s="700"/>
    </row>
    <row r="386" spans="9:9" ht="20.100000000000001" customHeight="1" x14ac:dyDescent="0.2">
      <c r="I386" s="700"/>
    </row>
    <row r="387" spans="9:9" ht="20.100000000000001" customHeight="1" x14ac:dyDescent="0.2">
      <c r="I387" s="700"/>
    </row>
    <row r="388" spans="9:9" ht="20.100000000000001" customHeight="1" x14ac:dyDescent="0.2">
      <c r="I388" s="700"/>
    </row>
    <row r="389" spans="9:9" ht="20.100000000000001" customHeight="1" x14ac:dyDescent="0.2">
      <c r="I389" s="700"/>
    </row>
    <row r="390" spans="9:9" ht="20.100000000000001" customHeight="1" x14ac:dyDescent="0.2">
      <c r="I390" s="700"/>
    </row>
    <row r="391" spans="9:9" ht="20.100000000000001" customHeight="1" x14ac:dyDescent="0.2">
      <c r="I391" s="700"/>
    </row>
    <row r="392" spans="9:9" ht="20.100000000000001" customHeight="1" x14ac:dyDescent="0.2">
      <c r="I392" s="700"/>
    </row>
    <row r="393" spans="9:9" ht="20.100000000000001" customHeight="1" x14ac:dyDescent="0.2">
      <c r="I393" s="700"/>
    </row>
    <row r="394" spans="9:9" ht="20.100000000000001" customHeight="1" x14ac:dyDescent="0.2">
      <c r="I394" s="700"/>
    </row>
    <row r="395" spans="9:9" ht="20.100000000000001" customHeight="1" x14ac:dyDescent="0.2">
      <c r="I395" s="700"/>
    </row>
    <row r="396" spans="9:9" ht="20.100000000000001" customHeight="1" x14ac:dyDescent="0.2">
      <c r="I396" s="700"/>
    </row>
    <row r="397" spans="9:9" ht="20.100000000000001" customHeight="1" x14ac:dyDescent="0.2">
      <c r="I397" s="700"/>
    </row>
    <row r="398" spans="9:9" ht="20.100000000000001" customHeight="1" x14ac:dyDescent="0.2">
      <c r="I398" s="700"/>
    </row>
    <row r="399" spans="9:9" ht="20.100000000000001" customHeight="1" x14ac:dyDescent="0.2">
      <c r="I399" s="700"/>
    </row>
    <row r="400" spans="9:9" ht="20.100000000000001" customHeight="1" x14ac:dyDescent="0.2">
      <c r="I400" s="700"/>
    </row>
    <row r="401" spans="9:9" ht="20.100000000000001" customHeight="1" x14ac:dyDescent="0.2">
      <c r="I401" s="700"/>
    </row>
    <row r="402" spans="9:9" ht="20.100000000000001" customHeight="1" x14ac:dyDescent="0.2">
      <c r="I402" s="700"/>
    </row>
    <row r="403" spans="9:9" ht="20.100000000000001" customHeight="1" x14ac:dyDescent="0.2">
      <c r="I403" s="700"/>
    </row>
    <row r="404" spans="9:9" ht="20.100000000000001" customHeight="1" x14ac:dyDescent="0.2">
      <c r="I404" s="700"/>
    </row>
    <row r="405" spans="9:9" ht="20.100000000000001" customHeight="1" x14ac:dyDescent="0.2">
      <c r="I405" s="700"/>
    </row>
    <row r="406" spans="9:9" ht="20.100000000000001" customHeight="1" x14ac:dyDescent="0.2">
      <c r="I406" s="700"/>
    </row>
    <row r="407" spans="9:9" ht="20.100000000000001" customHeight="1" x14ac:dyDescent="0.2">
      <c r="I407" s="700"/>
    </row>
    <row r="408" spans="9:9" ht="20.100000000000001" customHeight="1" x14ac:dyDescent="0.2">
      <c r="I408" s="700"/>
    </row>
    <row r="409" spans="9:9" ht="20.100000000000001" customHeight="1" x14ac:dyDescent="0.2">
      <c r="I409" s="700"/>
    </row>
    <row r="410" spans="9:9" ht="20.100000000000001" customHeight="1" x14ac:dyDescent="0.2">
      <c r="I410" s="700"/>
    </row>
    <row r="411" spans="9:9" ht="20.100000000000001" customHeight="1" x14ac:dyDescent="0.2">
      <c r="I411" s="700"/>
    </row>
    <row r="412" spans="9:9" ht="20.100000000000001" customHeight="1" x14ac:dyDescent="0.2">
      <c r="I412" s="700"/>
    </row>
    <row r="413" spans="9:9" ht="20.100000000000001" customHeight="1" x14ac:dyDescent="0.2">
      <c r="I413" s="700"/>
    </row>
    <row r="414" spans="9:9" ht="20.100000000000001" customHeight="1" x14ac:dyDescent="0.2">
      <c r="I414" s="700"/>
    </row>
    <row r="415" spans="9:9" ht="20.100000000000001" customHeight="1" x14ac:dyDescent="0.2">
      <c r="I415" s="700"/>
    </row>
    <row r="416" spans="9:9" ht="20.100000000000001" customHeight="1" x14ac:dyDescent="0.2">
      <c r="I416" s="700"/>
    </row>
    <row r="417" spans="2:9" ht="20.100000000000001" customHeight="1" x14ac:dyDescent="0.2">
      <c r="I417" s="700"/>
    </row>
    <row r="418" spans="2:9" ht="20.100000000000001" customHeight="1" x14ac:dyDescent="0.2">
      <c r="I418" s="700"/>
    </row>
    <row r="419" spans="2:9" ht="20.100000000000001" customHeight="1" x14ac:dyDescent="0.2">
      <c r="B419" s="134">
        <v>5</v>
      </c>
    </row>
    <row r="469" spans="2:2" ht="20.100000000000001" customHeight="1" x14ac:dyDescent="0.2">
      <c r="B469" s="134">
        <v>5</v>
      </c>
    </row>
    <row r="519" spans="2:2" ht="20.100000000000001" customHeight="1" x14ac:dyDescent="0.2">
      <c r="B519" s="134">
        <v>5</v>
      </c>
    </row>
    <row r="569" spans="2:2" ht="20.100000000000001" customHeight="1" x14ac:dyDescent="0.2">
      <c r="B569" s="134">
        <v>5</v>
      </c>
    </row>
    <row r="619" spans="2:2" ht="20.100000000000001" customHeight="1" x14ac:dyDescent="0.2">
      <c r="B619" s="134">
        <v>5</v>
      </c>
    </row>
    <row r="669" spans="2:2" ht="20.100000000000001" customHeight="1" x14ac:dyDescent="0.2">
      <c r="B669" s="134">
        <v>5</v>
      </c>
    </row>
    <row r="719" spans="2:2" ht="20.100000000000001" customHeight="1" x14ac:dyDescent="0.2">
      <c r="B719" s="134">
        <v>5</v>
      </c>
    </row>
    <row r="769" spans="2:2" ht="20.100000000000001" customHeight="1" x14ac:dyDescent="0.2">
      <c r="B769" s="134">
        <v>5</v>
      </c>
    </row>
    <row r="819" spans="2:2" ht="20.100000000000001" customHeight="1" x14ac:dyDescent="0.2">
      <c r="B819" s="134">
        <v>5</v>
      </c>
    </row>
    <row r="869" spans="2:2" ht="20.100000000000001" customHeight="1" x14ac:dyDescent="0.2">
      <c r="B869" s="134">
        <v>5</v>
      </c>
    </row>
    <row r="919" spans="2:2" ht="20.100000000000001" customHeight="1" x14ac:dyDescent="0.2">
      <c r="B919" s="134">
        <v>5</v>
      </c>
    </row>
    <row r="920" spans="2:2" ht="20.100000000000001" customHeight="1" x14ac:dyDescent="0.2">
      <c r="B920" s="134" t="str">
        <f>Datos!A59</f>
        <v>24.b</v>
      </c>
    </row>
    <row r="969" spans="2:2" ht="20.100000000000001" customHeight="1" x14ac:dyDescent="0.2">
      <c r="B969" s="134">
        <v>5</v>
      </c>
    </row>
    <row r="970" spans="2:2" ht="20.100000000000001" customHeight="1" x14ac:dyDescent="0.2">
      <c r="B970" s="134">
        <f>Datos!A60</f>
        <v>25</v>
      </c>
    </row>
    <row r="1019" spans="2:2" ht="20.100000000000001" customHeight="1" x14ac:dyDescent="0.2">
      <c r="B1019" s="134">
        <v>5</v>
      </c>
    </row>
    <row r="1020" spans="2:2" ht="20.100000000000001" customHeight="1" x14ac:dyDescent="0.2">
      <c r="B1020" s="134">
        <f>Datos!A61</f>
        <v>26</v>
      </c>
    </row>
    <row r="1069" spans="2:2" ht="20.100000000000001" customHeight="1" x14ac:dyDescent="0.2">
      <c r="B1069" s="134">
        <v>5</v>
      </c>
    </row>
    <row r="1070" spans="2:2" ht="20.100000000000001" customHeight="1" x14ac:dyDescent="0.2">
      <c r="B1070" s="134">
        <f>Datos!A62</f>
        <v>27</v>
      </c>
    </row>
    <row r="1120" spans="2:2" ht="20.100000000000001" customHeight="1" x14ac:dyDescent="0.2">
      <c r="B1120" s="134">
        <f>Datos!A63</f>
        <v>28</v>
      </c>
    </row>
    <row r="1169" spans="2:2" ht="20.100000000000001" customHeight="1" x14ac:dyDescent="0.2">
      <c r="B1169" s="134">
        <v>7</v>
      </c>
    </row>
    <row r="1170" spans="2:2" ht="20.100000000000001" customHeight="1" x14ac:dyDescent="0.2">
      <c r="B1170" s="134">
        <f>Datos!A65</f>
        <v>30</v>
      </c>
    </row>
    <row r="1220" spans="2:2" ht="20.100000000000001" customHeight="1" x14ac:dyDescent="0.2">
      <c r="B1220" s="134">
        <f>Datos!A66</f>
        <v>31</v>
      </c>
    </row>
    <row r="1269" spans="2:2" ht="20.100000000000001" customHeight="1" x14ac:dyDescent="0.2">
      <c r="B1269" s="134">
        <v>8</v>
      </c>
    </row>
    <row r="1270" spans="2:2" ht="20.100000000000001" customHeight="1" x14ac:dyDescent="0.2">
      <c r="B1270" s="134">
        <f>Datos!A68</f>
        <v>33</v>
      </c>
    </row>
    <row r="1319" spans="2:2" ht="20.100000000000001" customHeight="1" x14ac:dyDescent="0.2">
      <c r="B1319" s="134">
        <v>8</v>
      </c>
    </row>
    <row r="1320" spans="2:2" ht="20.100000000000001" customHeight="1" x14ac:dyDescent="0.2">
      <c r="B1320" s="134">
        <f>Datos!A69</f>
        <v>34</v>
      </c>
    </row>
    <row r="1369" spans="2:2" ht="20.100000000000001" customHeight="1" x14ac:dyDescent="0.2">
      <c r="B1369" s="134">
        <v>8</v>
      </c>
    </row>
    <row r="1370" spans="2:2" ht="20.100000000000001" customHeight="1" x14ac:dyDescent="0.2">
      <c r="B1370" s="134">
        <f>Datos!A70</f>
        <v>35</v>
      </c>
    </row>
    <row r="1419" spans="2:2" ht="20.100000000000001" customHeight="1" x14ac:dyDescent="0.2">
      <c r="B1419" s="134">
        <v>8</v>
      </c>
    </row>
    <row r="1420" spans="2:2" ht="20.100000000000001" customHeight="1" x14ac:dyDescent="0.2">
      <c r="B1420" s="134">
        <f>Datos!A71</f>
        <v>36</v>
      </c>
    </row>
    <row r="1469" spans="2:2" ht="20.100000000000001" customHeight="1" x14ac:dyDescent="0.2">
      <c r="B1469" s="134">
        <v>8</v>
      </c>
    </row>
    <row r="1470" spans="2:2" ht="20.100000000000001" customHeight="1" x14ac:dyDescent="0.2">
      <c r="B1470" s="134" t="str">
        <f>Datos!A72</f>
        <v>36.a</v>
      </c>
    </row>
    <row r="1520" spans="2:2" ht="20.100000000000001" customHeight="1" x14ac:dyDescent="0.2">
      <c r="B1520" s="134" t="str">
        <f>Datos!A73</f>
        <v>36.b</v>
      </c>
    </row>
    <row r="1570" spans="2:2" ht="20.100000000000001" customHeight="1" x14ac:dyDescent="0.2">
      <c r="B1570" s="134">
        <f>Datos!A74</f>
        <v>37</v>
      </c>
    </row>
    <row r="1620" spans="2:2" ht="20.100000000000001" customHeight="1" x14ac:dyDescent="0.2">
      <c r="B1620" s="134" t="e">
        <f>Datos!#REF!</f>
        <v>#REF!</v>
      </c>
    </row>
    <row r="1669" spans="2:2" ht="20.100000000000001" customHeight="1" x14ac:dyDescent="0.2">
      <c r="B1669" s="134">
        <v>12</v>
      </c>
    </row>
    <row r="1670" spans="2:2" ht="20.100000000000001" customHeight="1" x14ac:dyDescent="0.2">
      <c r="B1670" s="134" t="e">
        <f>Datos!#REF!</f>
        <v>#REF!</v>
      </c>
    </row>
    <row r="1719" spans="2:2" ht="20.100000000000001" customHeight="1" x14ac:dyDescent="0.2">
      <c r="B1719" s="134">
        <v>12</v>
      </c>
    </row>
    <row r="1720" spans="2:2" ht="20.100000000000001" customHeight="1" x14ac:dyDescent="0.2">
      <c r="B1720" s="134" t="e">
        <f>Datos!#REF!</f>
        <v>#REF!</v>
      </c>
    </row>
    <row r="1769" spans="2:2" ht="20.100000000000001" customHeight="1" x14ac:dyDescent="0.2">
      <c r="B1769" s="134">
        <v>12</v>
      </c>
    </row>
    <row r="1770" spans="2:2" ht="20.100000000000001" customHeight="1" x14ac:dyDescent="0.2">
      <c r="B1770" s="134" t="e">
        <f>Datos!#REF!</f>
        <v>#REF!</v>
      </c>
    </row>
    <row r="1819" spans="2:2" ht="20.100000000000001" customHeight="1" x14ac:dyDescent="0.2">
      <c r="B1819" s="134">
        <v>12</v>
      </c>
    </row>
    <row r="1820" spans="2:2" ht="20.100000000000001" customHeight="1" x14ac:dyDescent="0.2">
      <c r="B1820" s="134" t="e">
        <f>Datos!#REF!</f>
        <v>#REF!</v>
      </c>
    </row>
    <row r="1869" spans="2:2" ht="20.100000000000001" customHeight="1" x14ac:dyDescent="0.2">
      <c r="B1869" s="134">
        <v>12</v>
      </c>
    </row>
    <row r="1870" spans="2:2" ht="20.100000000000001" customHeight="1" x14ac:dyDescent="0.2">
      <c r="B1870" s="134" t="e">
        <f>Datos!#REF!</f>
        <v>#REF!</v>
      </c>
    </row>
    <row r="1919" spans="2:2" ht="20.100000000000001" customHeight="1" x14ac:dyDescent="0.2">
      <c r="B1919" s="134">
        <v>13</v>
      </c>
    </row>
    <row r="1920" spans="2:2" ht="20.100000000000001" customHeight="1" x14ac:dyDescent="0.2">
      <c r="B1920" s="134" t="e">
        <f>Datos!#REF!</f>
        <v>#REF!</v>
      </c>
    </row>
    <row r="1969" spans="2:2" ht="20.100000000000001" customHeight="1" x14ac:dyDescent="0.2">
      <c r="B1969" s="134">
        <v>13</v>
      </c>
    </row>
    <row r="1970" spans="2:2" ht="20.100000000000001" customHeight="1" x14ac:dyDescent="0.2">
      <c r="B1970" s="134" t="e">
        <f>Datos!#REF!</f>
        <v>#REF!</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1" priority="29" stopIfTrue="1">
      <formula>#REF!=1</formula>
    </cfRule>
  </conditionalFormatting>
  <conditionalFormatting sqref="A34 A36:A74">
    <cfRule type="expression" dxfId="120" priority="30" stopIfTrue="1">
      <formula>#REF!&gt;0</formula>
    </cfRule>
    <cfRule type="expression" dxfId="119" priority="31" stopIfTrue="1">
      <formula>#REF!&gt;0</formula>
    </cfRule>
    <cfRule type="expression" dxfId="118" priority="32" stopIfTrue="1">
      <formula>#REF!&gt;0</formula>
    </cfRule>
  </conditionalFormatting>
  <conditionalFormatting sqref="C23:C26">
    <cfRule type="expression" dxfId="117" priority="37" stopIfTrue="1">
      <formula>#REF!=1</formula>
    </cfRule>
  </conditionalFormatting>
  <conditionalFormatting sqref="B34 B36:B74">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5">
    <cfRule type="expression" dxfId="113" priority="4" stopIfTrue="1">
      <formula>#REF!&gt;0</formula>
    </cfRule>
    <cfRule type="expression" dxfId="112" priority="5" stopIfTrue="1">
      <formula>#REF!&gt;0</formula>
    </cfRule>
    <cfRule type="expression" dxfId="111" priority="6" stopIfTrue="1">
      <formula>#REF!&gt;0</formula>
    </cfRule>
  </conditionalFormatting>
  <conditionalFormatting sqref="B35">
    <cfRule type="expression" dxfId="110" priority="1" stopIfTrue="1">
      <formula>#REF!&gt;0</formula>
    </cfRule>
    <cfRule type="expression" dxfId="109" priority="2" stopIfTrue="1">
      <formula>#REF!&gt;0</formula>
    </cfRule>
    <cfRule type="expression" dxfId="108"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F34:F74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73"/>
  <sheetViews>
    <sheetView showGridLines="0" showZeros="0" view="pageBreakPreview" topLeftCell="A49" zoomScale="90" zoomScaleNormal="100" zoomScaleSheetLayoutView="90" workbookViewId="0">
      <selection activeCell="B60" sqref="B60:G6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17" t="str">
        <f>Obra</f>
        <v>PAVIMENTACION Y ENSANCHE DE RUTA PROVINCIAL N°7 AV. JOAQUIN UÑAC</v>
      </c>
      <c r="B1" s="717"/>
      <c r="C1" s="717"/>
      <c r="D1" s="717"/>
      <c r="E1" s="717"/>
      <c r="F1" s="717"/>
      <c r="G1" s="717"/>
    </row>
    <row r="2" spans="1:9" ht="15" customHeight="1" x14ac:dyDescent="0.2">
      <c r="A2" s="720" t="str">
        <f>IF(Tramo=0,"","TRAMO: "&amp;Tramo)</f>
        <v>TRAMO: RUTA PROV. Nº 231 (CALLE 13) - RUTA PROV. Nº259 (CALLE 14)</v>
      </c>
      <c r="B2" s="720"/>
      <c r="C2" s="720"/>
      <c r="D2" s="720"/>
      <c r="E2" s="720"/>
      <c r="F2" s="720"/>
      <c r="G2" s="720"/>
    </row>
    <row r="3" spans="1:9" ht="15" customHeight="1" x14ac:dyDescent="0.2">
      <c r="A3" s="720" t="str">
        <f>IF(Sección_I=0,"","SECCIÓN I: "&amp;Sección_I)</f>
        <v/>
      </c>
      <c r="B3" s="720"/>
      <c r="C3" s="720"/>
      <c r="D3" s="720"/>
      <c r="E3" s="720"/>
      <c r="F3" s="720"/>
      <c r="G3" s="720"/>
    </row>
    <row r="4" spans="1:9" ht="15" customHeight="1" x14ac:dyDescent="0.2">
      <c r="A4" s="720" t="str">
        <f>IF(Sección_II=0,"","SECCIÓN II: "&amp;Sección_II)</f>
        <v/>
      </c>
      <c r="B4" s="720"/>
      <c r="C4" s="720"/>
      <c r="D4" s="720"/>
      <c r="E4" s="720"/>
      <c r="F4" s="720"/>
      <c r="G4" s="720"/>
    </row>
    <row r="5" spans="1:9" ht="15" customHeight="1" x14ac:dyDescent="0.2">
      <c r="A5" s="720" t="str">
        <f>IF(Sección_III=0,"","SECCIÓN III: "&amp;Sección_III)</f>
        <v/>
      </c>
      <c r="B5" s="720"/>
      <c r="C5" s="720"/>
      <c r="D5" s="720"/>
      <c r="E5" s="720"/>
      <c r="F5" s="720"/>
      <c r="G5" s="720"/>
    </row>
    <row r="6" spans="1:9" ht="15" customHeight="1" x14ac:dyDescent="0.2">
      <c r="A6" s="720" t="str">
        <f>IF(Ubicación=0,"","DEPARTAMENTO: "&amp;Ubicación)</f>
        <v>DEPARTAMENTO: DEPARTAMENTO POCITO</v>
      </c>
      <c r="B6" s="720"/>
      <c r="C6" s="720"/>
      <c r="D6" s="720"/>
      <c r="E6" s="720"/>
      <c r="F6" s="720"/>
      <c r="G6" s="720"/>
    </row>
    <row r="7" spans="1:9" ht="19.5" customHeight="1" x14ac:dyDescent="0.2">
      <c r="A7" s="299"/>
      <c r="B7" s="299"/>
      <c r="C7" s="299"/>
      <c r="D7" s="299"/>
      <c r="E7" s="299"/>
      <c r="F7" s="299"/>
      <c r="G7" s="299"/>
    </row>
    <row r="8" spans="1:9" s="5" customFormat="1" ht="19.5" customHeight="1" x14ac:dyDescent="0.2">
      <c r="A8" s="300" t="s">
        <v>1019</v>
      </c>
      <c r="B8" s="301"/>
      <c r="C8" s="301"/>
      <c r="D8" s="301"/>
      <c r="E8" s="301"/>
      <c r="F8" s="301"/>
      <c r="G8" s="302"/>
    </row>
    <row r="9" spans="1:9" s="304" customFormat="1" ht="30" customHeight="1" x14ac:dyDescent="0.25">
      <c r="A9" s="303"/>
      <c r="C9" s="305"/>
      <c r="D9" s="305"/>
      <c r="E9" s="303" t="str">
        <f>IF(Fecha_Base=0,"San Juan, ______________________"&amp;" de _____","San Juan, "&amp;TEXT(Fecha_Base,"dd")&amp;" de "&amp;TEXT(Fecha_Base,"mmmm")&amp;" de "&amp;TEXT(Fecha_Base,"yyyy"))</f>
        <v>San Juan, 10 de diciembre de 2018</v>
      </c>
    </row>
    <row r="10" spans="1:9" s="6" customFormat="1" ht="69.75" customHeight="1" x14ac:dyDescent="0.2">
      <c r="B10" s="306" t="s">
        <v>1025</v>
      </c>
      <c r="C10" s="306"/>
      <c r="D10" s="306"/>
      <c r="E10" s="306"/>
      <c r="F10" s="306"/>
      <c r="G10" s="306"/>
    </row>
    <row r="11" spans="1:9" s="6" customFormat="1" ht="80.099999999999994" customHeight="1" x14ac:dyDescent="0.2">
      <c r="B11" s="72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4"/>
      <c r="D11" s="724"/>
      <c r="E11" s="724"/>
      <c r="F11" s="724"/>
      <c r="G11" s="724"/>
    </row>
    <row r="12" spans="1:9" s="6" customFormat="1" ht="19.5" customHeight="1" x14ac:dyDescent="0.2">
      <c r="A12" s="13"/>
      <c r="B12" s="14"/>
      <c r="I12" s="702" t="s">
        <v>1026</v>
      </c>
    </row>
    <row r="13" spans="1:9" ht="20.100000000000001" customHeight="1" x14ac:dyDescent="0.2">
      <c r="A13" s="718" t="s">
        <v>906</v>
      </c>
      <c r="B13" s="719" t="s">
        <v>0</v>
      </c>
      <c r="C13" s="718" t="s">
        <v>1</v>
      </c>
      <c r="D13" s="718" t="s">
        <v>2</v>
      </c>
      <c r="E13" s="719" t="s">
        <v>1020</v>
      </c>
      <c r="F13" s="719"/>
      <c r="G13" s="718" t="s">
        <v>951</v>
      </c>
      <c r="I13" s="702"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18"/>
      <c r="B14" s="719"/>
      <c r="C14" s="718"/>
      <c r="D14" s="718"/>
      <c r="E14" s="695" t="s">
        <v>1021</v>
      </c>
      <c r="F14" s="695" t="s">
        <v>1022</v>
      </c>
      <c r="G14" s="718"/>
      <c r="I14" s="703"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7"/>
      <c r="B15" s="693"/>
      <c r="C15" s="307"/>
      <c r="D15" s="307"/>
      <c r="E15" s="693"/>
      <c r="F15" s="693"/>
    </row>
    <row r="16" spans="1:9" ht="30" customHeight="1" x14ac:dyDescent="0.2">
      <c r="A16" s="308">
        <f>CyP!A18</f>
        <v>1</v>
      </c>
      <c r="B16" s="649" t="str">
        <f t="shared" ref="B16" si="0">IFERROR(VLOOKUP(A16,Tabla_CyP,2,FALSE),"")</f>
        <v>FRESADO DE PAVIMENTO EXISTENTE</v>
      </c>
      <c r="C16" s="309" t="str">
        <f t="shared" ref="C16" si="1">IFERROR(VLOOKUP(A16,Tabla_CyP,4,FALSE),"")</f>
        <v>m2</v>
      </c>
      <c r="D16" s="650">
        <f t="shared" ref="D16" si="2">IFERROR(VLOOKUP(A16,Tabla_CyP,5,FALSE),"")</f>
        <v>8435</v>
      </c>
      <c r="E16" s="651" t="e">
        <f t="shared" ref="E16" ca="1" si="3">IF(F16=0,"",CONVERTIRNUM(F16))</f>
        <v>#NAME?</v>
      </c>
      <c r="F16" s="652" t="str">
        <f t="shared" ref="F16:F40" ca="1" si="4">IFERROR(VLOOKUP(A16,Tabla_CyP,7,FALSE),"")</f>
        <v/>
      </c>
      <c r="G16" s="652" t="e">
        <f ca="1">ROUND(D16*F16,2)</f>
        <v>#VALUE!</v>
      </c>
    </row>
    <row r="17" spans="1:7" ht="30" customHeight="1" x14ac:dyDescent="0.2">
      <c r="A17" s="308">
        <f>CyP!A19</f>
        <v>2</v>
      </c>
      <c r="B17" s="649" t="str">
        <f t="shared" ref="B17:B56" si="5">IFERROR(VLOOKUP(A17,Tabla_CyP,2,FALSE),"")</f>
        <v xml:space="preserve">EXCAVACIÓN NO CLASIFICADA
</v>
      </c>
      <c r="C17" s="309" t="str">
        <f t="shared" ref="C17:C56" si="6">IFERROR(VLOOKUP(A17,Tabla_CyP,4,FALSE),"")</f>
        <v>m3</v>
      </c>
      <c r="D17" s="650">
        <f t="shared" ref="D17:D56" si="7">IFERROR(VLOOKUP(A17,Tabla_CyP,5,FALSE),"")</f>
        <v>5487.75</v>
      </c>
      <c r="E17" s="651" t="e">
        <f t="shared" ref="E17:E56" ca="1" si="8">IF(F17=0,"",CONVERTIRNUM(F17))</f>
        <v>#NAME?</v>
      </c>
      <c r="F17" s="652" t="str">
        <f t="shared" ca="1" si="4"/>
        <v/>
      </c>
      <c r="G17" s="652" t="e">
        <f t="shared" ref="G17:G56" ca="1" si="9">ROUND(D17*F17,2)</f>
        <v>#VALUE!</v>
      </c>
    </row>
    <row r="18" spans="1:7" ht="30" customHeight="1" x14ac:dyDescent="0.2">
      <c r="A18" s="308">
        <f>CyP!A20</f>
        <v>3</v>
      </c>
      <c r="B18" s="649" t="str">
        <f t="shared" si="5"/>
        <v>CONSTRUCCIÓN DE TERRAPLENES RIPIOSOS CON COMPACTACIÓN ESPECIAL</v>
      </c>
      <c r="C18" s="309" t="str">
        <f t="shared" si="6"/>
        <v>m3</v>
      </c>
      <c r="D18" s="650">
        <f t="shared" si="7"/>
        <v>449.21</v>
      </c>
      <c r="E18" s="651" t="e">
        <f t="shared" ca="1" si="8"/>
        <v>#NAME?</v>
      </c>
      <c r="F18" s="652" t="str">
        <f t="shared" ca="1" si="4"/>
        <v/>
      </c>
      <c r="G18" s="652" t="e">
        <f t="shared" ca="1" si="9"/>
        <v>#VALUE!</v>
      </c>
    </row>
    <row r="19" spans="1:7" ht="30" customHeight="1" x14ac:dyDescent="0.2">
      <c r="A19" s="308">
        <f>CyP!A21</f>
        <v>4</v>
      </c>
      <c r="B19" s="649" t="str">
        <f t="shared" si="5"/>
        <v>CONSTRUCCIÓN DE TERRAPLENES RIPIOSOS SIN COMPACTACIÓN ESPECIAL</v>
      </c>
      <c r="C19" s="309" t="str">
        <f t="shared" si="6"/>
        <v>m3</v>
      </c>
      <c r="D19" s="650">
        <f t="shared" si="7"/>
        <v>1550</v>
      </c>
      <c r="E19" s="651" t="e">
        <f t="shared" ca="1" si="8"/>
        <v>#NAME?</v>
      </c>
      <c r="F19" s="652" t="str">
        <f t="shared" ca="1" si="4"/>
        <v/>
      </c>
      <c r="G19" s="652" t="e">
        <f t="shared" ca="1" si="9"/>
        <v>#VALUE!</v>
      </c>
    </row>
    <row r="20" spans="1:7" ht="30" customHeight="1" x14ac:dyDescent="0.2">
      <c r="A20" s="308">
        <f>CyP!A22</f>
        <v>5</v>
      </c>
      <c r="B20" s="649" t="str">
        <f t="shared" si="5"/>
        <v>CONSTRUCCIÓN DE SUB-BASE ESTABILIZADA GRANULAR</v>
      </c>
      <c r="C20" s="309" t="str">
        <f t="shared" si="6"/>
        <v>m3</v>
      </c>
      <c r="D20" s="650">
        <f t="shared" si="7"/>
        <v>14610.26</v>
      </c>
      <c r="E20" s="651" t="e">
        <f t="shared" ca="1" si="8"/>
        <v>#NAME?</v>
      </c>
      <c r="F20" s="652" t="str">
        <f t="shared" ca="1" si="4"/>
        <v/>
      </c>
      <c r="G20" s="652" t="e">
        <f t="shared" ca="1" si="9"/>
        <v>#VALUE!</v>
      </c>
    </row>
    <row r="21" spans="1:7" ht="30" customHeight="1" x14ac:dyDescent="0.2">
      <c r="A21" s="308">
        <f>CyP!A23</f>
        <v>6</v>
      </c>
      <c r="B21" s="649" t="str">
        <f t="shared" si="5"/>
        <v>CONSTRUCCIÓN DE BASE ESTABILIZADA GRANULAR</v>
      </c>
      <c r="C21" s="309" t="str">
        <f t="shared" si="6"/>
        <v>m3</v>
      </c>
      <c r="D21" s="650">
        <f t="shared" si="7"/>
        <v>6903.84</v>
      </c>
      <c r="E21" s="651" t="e">
        <f t="shared" ca="1" si="8"/>
        <v>#NAME?</v>
      </c>
      <c r="F21" s="652" t="str">
        <f t="shared" ca="1" si="4"/>
        <v/>
      </c>
      <c r="G21" s="652" t="e">
        <f t="shared" ca="1" si="9"/>
        <v>#VALUE!</v>
      </c>
    </row>
    <row r="22" spans="1:7" ht="30" customHeight="1" x14ac:dyDescent="0.2">
      <c r="A22" s="308">
        <f>CyP!A24</f>
        <v>7</v>
      </c>
      <c r="B22" s="649" t="str">
        <f t="shared" si="5"/>
        <v>RIEGO DE IMPRIMACÓN CON EMULSIÓN
CATIÓNICA CI</v>
      </c>
      <c r="C22" s="309" t="str">
        <f t="shared" si="6"/>
        <v>m2</v>
      </c>
      <c r="D22" s="650">
        <f t="shared" si="7"/>
        <v>25043.919999999998</v>
      </c>
      <c r="E22" s="651" t="e">
        <f t="shared" ca="1" si="8"/>
        <v>#NAME?</v>
      </c>
      <c r="F22" s="652" t="str">
        <f t="shared" ca="1" si="4"/>
        <v/>
      </c>
      <c r="G22" s="652" t="e">
        <f t="shared" ca="1" si="9"/>
        <v>#VALUE!</v>
      </c>
    </row>
    <row r="23" spans="1:7" ht="30" customHeight="1" x14ac:dyDescent="0.2">
      <c r="A23" s="308">
        <f>CyP!A25</f>
        <v>8</v>
      </c>
      <c r="B23" s="649" t="str">
        <f t="shared" si="5"/>
        <v>RIEGO DE LIGA CON EMULSIÓN
CATIÓNICA E.R.1</v>
      </c>
      <c r="C23" s="309" t="str">
        <f t="shared" si="6"/>
        <v>m2</v>
      </c>
      <c r="D23" s="650">
        <f t="shared" si="7"/>
        <v>25043.919999999998</v>
      </c>
      <c r="E23" s="651" t="e">
        <f t="shared" ca="1" si="8"/>
        <v>#NAME?</v>
      </c>
      <c r="F23" s="652" t="str">
        <f t="shared" ca="1" si="4"/>
        <v/>
      </c>
      <c r="G23" s="652" t="e">
        <f t="shared" ca="1" si="9"/>
        <v>#VALUE!</v>
      </c>
    </row>
    <row r="24" spans="1:7" ht="30" customHeight="1" x14ac:dyDescent="0.2">
      <c r="A24" s="308">
        <f>CyP!A26</f>
        <v>9</v>
      </c>
      <c r="B24" s="649" t="str">
        <f t="shared" si="5"/>
        <v>CARPETA CON MEZCLA BITUMINOSA TIPO CONCRETO ASFÁLTICO
Incluído materiales, colocación y transporte. En 0,05m de espesor</v>
      </c>
      <c r="C24" s="309" t="str">
        <f t="shared" si="6"/>
        <v>m2</v>
      </c>
      <c r="D24" s="650">
        <f t="shared" si="7"/>
        <v>25043.919999999998</v>
      </c>
      <c r="E24" s="651" t="e">
        <f t="shared" ca="1" si="8"/>
        <v>#NAME?</v>
      </c>
      <c r="F24" s="652" t="str">
        <f t="shared" ca="1" si="4"/>
        <v/>
      </c>
      <c r="G24" s="652" t="e">
        <f t="shared" ca="1" si="9"/>
        <v>#VALUE!</v>
      </c>
    </row>
    <row r="25" spans="1:7" ht="30" customHeight="1" x14ac:dyDescent="0.2">
      <c r="A25" s="308">
        <f>CyP!A27</f>
        <v>10</v>
      </c>
      <c r="B25" s="649" t="str">
        <f t="shared" si="5"/>
        <v>EXCAVACIÓN PARA FUNDACIONES</v>
      </c>
      <c r="C25" s="309" t="str">
        <f t="shared" si="6"/>
        <v>m3</v>
      </c>
      <c r="D25" s="650">
        <f t="shared" si="7"/>
        <v>380.32000000000005</v>
      </c>
      <c r="E25" s="651" t="e">
        <f t="shared" ca="1" si="8"/>
        <v>#NAME?</v>
      </c>
      <c r="F25" s="652" t="str">
        <f t="shared" ca="1" si="4"/>
        <v/>
      </c>
      <c r="G25" s="652" t="e">
        <f t="shared" ca="1" si="9"/>
        <v>#VALUE!</v>
      </c>
    </row>
    <row r="26" spans="1:7" ht="30" customHeight="1" x14ac:dyDescent="0.2">
      <c r="A26" s="308">
        <f>CyP!A28</f>
        <v>11</v>
      </c>
      <c r="B26" s="649" t="str">
        <f t="shared" si="5"/>
        <v>HORMIGÓN DE CEMENTO PORTLAND TIPO H-21, EXCLUIDO ARMADURA</v>
      </c>
      <c r="C26" s="309" t="str">
        <f t="shared" si="6"/>
        <v>m3</v>
      </c>
      <c r="D26" s="650">
        <f t="shared" si="7"/>
        <v>24.24</v>
      </c>
      <c r="E26" s="651" t="e">
        <f t="shared" ca="1" si="8"/>
        <v>#NAME?</v>
      </c>
      <c r="F26" s="652" t="str">
        <f t="shared" ca="1" si="4"/>
        <v/>
      </c>
      <c r="G26" s="652" t="e">
        <f t="shared" ca="1" si="9"/>
        <v>#VALUE!</v>
      </c>
    </row>
    <row r="27" spans="1:7" ht="30" customHeight="1" x14ac:dyDescent="0.2">
      <c r="A27" s="308">
        <f>CyP!A29</f>
        <v>12</v>
      </c>
      <c r="B27" s="649" t="str">
        <f t="shared" si="5"/>
        <v>HORMIGÓN DE CEMENTO PORTLAND TIPO H-17, EXCLUIDO ARMADURA</v>
      </c>
      <c r="C27" s="309" t="str">
        <f t="shared" si="6"/>
        <v>m3</v>
      </c>
      <c r="D27" s="650">
        <f t="shared" si="7"/>
        <v>57.6</v>
      </c>
      <c r="E27" s="651" t="e">
        <f t="shared" ca="1" si="8"/>
        <v>#NAME?</v>
      </c>
      <c r="F27" s="652" t="str">
        <f t="shared" ca="1" si="4"/>
        <v/>
      </c>
      <c r="G27" s="652" t="e">
        <f t="shared" ca="1" si="9"/>
        <v>#VALUE!</v>
      </c>
    </row>
    <row r="28" spans="1:7" ht="30" customHeight="1" x14ac:dyDescent="0.2">
      <c r="A28" s="308">
        <f>CyP!A30</f>
        <v>13</v>
      </c>
      <c r="B28" s="649" t="str">
        <f t="shared" si="5"/>
        <v>HORMIGÓN DE CEMENTO PORTLAND TIPO H-13</v>
      </c>
      <c r="C28" s="309" t="str">
        <f t="shared" si="6"/>
        <v>m3</v>
      </c>
      <c r="D28" s="650">
        <f t="shared" si="7"/>
        <v>241.23999999999998</v>
      </c>
      <c r="E28" s="651" t="e">
        <f t="shared" ca="1" si="8"/>
        <v>#NAME?</v>
      </c>
      <c r="F28" s="652" t="str">
        <f t="shared" ca="1" si="4"/>
        <v/>
      </c>
      <c r="G28" s="652" t="e">
        <f t="shared" ca="1" si="9"/>
        <v>#VALUE!</v>
      </c>
    </row>
    <row r="29" spans="1:7" ht="30" customHeight="1" x14ac:dyDescent="0.2">
      <c r="A29" s="308">
        <f>CyP!A31</f>
        <v>14</v>
      </c>
      <c r="B29" s="649" t="str">
        <f t="shared" si="5"/>
        <v>HORMIGÓN DE CEMENTO PORTLAND TIPO H-8</v>
      </c>
      <c r="C29" s="309" t="str">
        <f t="shared" si="6"/>
        <v>m3</v>
      </c>
      <c r="D29" s="650">
        <f t="shared" si="7"/>
        <v>2.61</v>
      </c>
      <c r="E29" s="651" t="e">
        <f t="shared" ca="1" si="8"/>
        <v>#NAME?</v>
      </c>
      <c r="F29" s="652" t="str">
        <f t="shared" ca="1" si="4"/>
        <v/>
      </c>
      <c r="G29" s="652" t="e">
        <f t="shared" ca="1" si="9"/>
        <v>#VALUE!</v>
      </c>
    </row>
    <row r="30" spans="1:7" ht="30" customHeight="1" x14ac:dyDescent="0.2">
      <c r="A30" s="308">
        <f>CyP!A32</f>
        <v>15</v>
      </c>
      <c r="B30" s="649" t="str">
        <f t="shared" si="5"/>
        <v>CONSTRUCCIÓN DE SIFÓN</v>
      </c>
      <c r="C30" s="309" t="str">
        <f t="shared" si="6"/>
        <v>Un</v>
      </c>
      <c r="D30" s="650">
        <f t="shared" si="7"/>
        <v>1</v>
      </c>
      <c r="E30" s="651" t="e">
        <f t="shared" ca="1" si="8"/>
        <v>#NAME?</v>
      </c>
      <c r="F30" s="652" t="str">
        <f t="shared" ca="1" si="4"/>
        <v/>
      </c>
      <c r="G30" s="652" t="e">
        <f t="shared" ca="1" si="9"/>
        <v>#VALUE!</v>
      </c>
    </row>
    <row r="31" spans="1:7" ht="30" customHeight="1" x14ac:dyDescent="0.2">
      <c r="A31" s="308">
        <f>CyP!A33</f>
        <v>16</v>
      </c>
      <c r="B31" s="649" t="str">
        <f t="shared" si="5"/>
        <v>CONSTRUCCIÓN DE CORDÓN CUNETA</v>
      </c>
      <c r="C31" s="309" t="str">
        <f t="shared" si="6"/>
        <v>m</v>
      </c>
      <c r="D31" s="650">
        <f t="shared" si="7"/>
        <v>7971.85</v>
      </c>
      <c r="E31" s="651" t="e">
        <f t="shared" ca="1" si="8"/>
        <v>#NAME?</v>
      </c>
      <c r="F31" s="652" t="str">
        <f t="shared" ca="1" si="4"/>
        <v/>
      </c>
      <c r="G31" s="652" t="e">
        <f t="shared" ca="1" si="9"/>
        <v>#VALUE!</v>
      </c>
    </row>
    <row r="32" spans="1:7" ht="30" customHeight="1" x14ac:dyDescent="0.2">
      <c r="A32" s="308">
        <f>CyP!A34</f>
        <v>17</v>
      </c>
      <c r="B32" s="649" t="str">
        <f t="shared" si="5"/>
        <v>ACERO ESPECIAL EN BARRA COLOCADO</v>
      </c>
      <c r="C32" s="309" t="str">
        <f t="shared" si="6"/>
        <v>Tn</v>
      </c>
      <c r="D32" s="650">
        <f t="shared" si="7"/>
        <v>3.621</v>
      </c>
      <c r="E32" s="651" t="e">
        <f t="shared" ca="1" si="8"/>
        <v>#NAME?</v>
      </c>
      <c r="F32" s="652" t="str">
        <f t="shared" ca="1" si="4"/>
        <v/>
      </c>
      <c r="G32" s="652" t="e">
        <f t="shared" ca="1" si="9"/>
        <v>#VALUE!</v>
      </c>
    </row>
    <row r="33" spans="1:7" ht="30" customHeight="1" x14ac:dyDescent="0.2">
      <c r="A33" s="308">
        <f>CyP!A35</f>
        <v>18</v>
      </c>
      <c r="B33" s="649" t="str">
        <f t="shared" si="5"/>
        <v>CONSTRUCCIÓN DE CANAL IMPERMEABILIZADO DE HORMIGÓN</v>
      </c>
      <c r="C33" s="309" t="str">
        <f t="shared" si="6"/>
        <v>m</v>
      </c>
      <c r="D33" s="650">
        <f t="shared" si="7"/>
        <v>693.5</v>
      </c>
      <c r="E33" s="651" t="e">
        <f t="shared" ca="1" si="8"/>
        <v>#NAME?</v>
      </c>
      <c r="F33" s="652" t="str">
        <f t="shared" ca="1" si="4"/>
        <v/>
      </c>
      <c r="G33" s="652" t="e">
        <f t="shared" ca="1" si="9"/>
        <v>#VALUE!</v>
      </c>
    </row>
    <row r="34" spans="1:7" ht="30" customHeight="1" x14ac:dyDescent="0.2">
      <c r="A34" s="308">
        <f>CyP!A36</f>
        <v>19</v>
      </c>
      <c r="B34" s="649" t="str">
        <f t="shared" si="5"/>
        <v>CONSTRUCCIÓN DE CUNETA IMPERMEABILIZADA DE HORMIGÓN</v>
      </c>
      <c r="C34" s="309" t="str">
        <f t="shared" si="6"/>
        <v>m</v>
      </c>
      <c r="D34" s="650">
        <f t="shared" si="7"/>
        <v>6285.5</v>
      </c>
      <c r="E34" s="651" t="e">
        <f t="shared" ca="1" si="8"/>
        <v>#NAME?</v>
      </c>
      <c r="F34" s="652" t="str">
        <f t="shared" ca="1" si="4"/>
        <v/>
      </c>
      <c r="G34" s="652" t="e">
        <f t="shared" ca="1" si="9"/>
        <v>#VALUE!</v>
      </c>
    </row>
    <row r="35" spans="1:7" ht="30" customHeight="1" x14ac:dyDescent="0.2">
      <c r="A35" s="308">
        <f>CyP!A37</f>
        <v>20</v>
      </c>
      <c r="B35" s="649" t="str">
        <f t="shared" si="5"/>
        <v>CONSTRUCCIÓN DE COMPARTO</v>
      </c>
      <c r="C35" s="309" t="str">
        <f t="shared" si="6"/>
        <v>N°</v>
      </c>
      <c r="D35" s="650">
        <f t="shared" si="7"/>
        <v>7</v>
      </c>
      <c r="E35" s="651" t="e">
        <f t="shared" ca="1" si="8"/>
        <v>#NAME?</v>
      </c>
      <c r="F35" s="652" t="str">
        <f t="shared" ca="1" si="4"/>
        <v/>
      </c>
      <c r="G35" s="652" t="e">
        <f t="shared" ca="1" si="9"/>
        <v>#VALUE!</v>
      </c>
    </row>
    <row r="36" spans="1:7" ht="30" customHeight="1" x14ac:dyDescent="0.2">
      <c r="A36" s="308">
        <f>CyP!A38</f>
        <v>21</v>
      </c>
      <c r="B36" s="649" t="str">
        <f t="shared" si="5"/>
        <v>CONSTRUCCIÓN DE ALAMABRADO SEGÚN PLANO TIPO H-2840-I, TIPO "C"</v>
      </c>
      <c r="C36" s="309" t="str">
        <f t="shared" si="6"/>
        <v>m</v>
      </c>
      <c r="D36" s="650">
        <f t="shared" si="7"/>
        <v>864.5</v>
      </c>
      <c r="E36" s="651" t="e">
        <f t="shared" ca="1" si="8"/>
        <v>#NAME?</v>
      </c>
      <c r="F36" s="652" t="str">
        <f t="shared" ca="1" si="4"/>
        <v/>
      </c>
      <c r="G36" s="652" t="e">
        <f t="shared" ca="1" si="9"/>
        <v>#VALUE!</v>
      </c>
    </row>
    <row r="37" spans="1:7" ht="30" customHeight="1" x14ac:dyDescent="0.2">
      <c r="A37" s="308">
        <f>CyP!A39</f>
        <v>22</v>
      </c>
      <c r="B37" s="649" t="str">
        <f t="shared" si="5"/>
        <v>COLOCACIÓN DE TRANQUERA s/PLANO TIPO J-5084 TIPO "A"</v>
      </c>
      <c r="C37" s="309" t="str">
        <f t="shared" si="6"/>
        <v>N°</v>
      </c>
      <c r="D37" s="650">
        <f t="shared" si="7"/>
        <v>8</v>
      </c>
      <c r="E37" s="651" t="e">
        <f t="shared" ca="1" si="8"/>
        <v>#NAME?</v>
      </c>
      <c r="F37" s="652" t="str">
        <f t="shared" ca="1" si="4"/>
        <v/>
      </c>
      <c r="G37" s="652" t="e">
        <f t="shared" ca="1" si="9"/>
        <v>#VALUE!</v>
      </c>
    </row>
    <row r="38" spans="1:7" ht="30" customHeight="1" x14ac:dyDescent="0.2">
      <c r="A38" s="308">
        <f>CyP!A40</f>
        <v>23</v>
      </c>
      <c r="B38" s="649" t="str">
        <f t="shared" si="5"/>
        <v>SEÑALAMIENTO VERTICAL REFLECTIVO</v>
      </c>
      <c r="C38" s="309" t="str">
        <f t="shared" si="6"/>
        <v>m²</v>
      </c>
      <c r="D38" s="650">
        <f t="shared" si="7"/>
        <v>7.42</v>
      </c>
      <c r="E38" s="651" t="e">
        <f t="shared" ca="1" si="8"/>
        <v>#NAME?</v>
      </c>
      <c r="F38" s="652" t="str">
        <f t="shared" ca="1" si="4"/>
        <v/>
      </c>
      <c r="G38" s="652" t="e">
        <f t="shared" ca="1" si="9"/>
        <v>#VALUE!</v>
      </c>
    </row>
    <row r="39" spans="1:7" ht="30" customHeight="1" x14ac:dyDescent="0.2">
      <c r="A39" s="308">
        <f>CyP!A41</f>
        <v>24</v>
      </c>
      <c r="B39" s="649" t="str">
        <f t="shared" si="5"/>
        <v>SEÑALAMIENTO HORIZONTAL
Con material termoplástico reflectante</v>
      </c>
      <c r="C39" s="309">
        <f t="shared" si="6"/>
        <v>0</v>
      </c>
      <c r="D39" s="650">
        <f t="shared" si="7"/>
        <v>0</v>
      </c>
      <c r="E39" s="651" t="e">
        <f t="shared" ca="1" si="8"/>
        <v>#NAME?</v>
      </c>
      <c r="F39" s="652" t="str">
        <f t="shared" ca="1" si="4"/>
        <v/>
      </c>
      <c r="G39" s="652" t="e">
        <f t="shared" ca="1" si="9"/>
        <v>#VALUE!</v>
      </c>
    </row>
    <row r="40" spans="1:7" ht="30" customHeight="1" x14ac:dyDescent="0.2">
      <c r="A40" s="308" t="str">
        <f>CyP!A42</f>
        <v>24.a</v>
      </c>
      <c r="B40" s="649" t="str">
        <f t="shared" si="5"/>
        <v xml:space="preserve">   Por Pulverización</v>
      </c>
      <c r="C40" s="309" t="str">
        <f t="shared" si="6"/>
        <v>m2</v>
      </c>
      <c r="D40" s="650">
        <f t="shared" si="7"/>
        <v>766.46</v>
      </c>
      <c r="E40" s="651" t="e">
        <f t="shared" ca="1" si="8"/>
        <v>#NAME?</v>
      </c>
      <c r="F40" s="652" t="str">
        <f t="shared" ca="1" si="4"/>
        <v/>
      </c>
      <c r="G40" s="652" t="e">
        <f t="shared" ca="1" si="9"/>
        <v>#VALUE!</v>
      </c>
    </row>
    <row r="41" spans="1:7" ht="30" customHeight="1" x14ac:dyDescent="0.2">
      <c r="A41" s="308" t="str">
        <f>CyP!A43</f>
        <v>24.b</v>
      </c>
      <c r="B41" s="649" t="str">
        <f t="shared" si="5"/>
        <v xml:space="preserve">   Por Extrusión</v>
      </c>
      <c r="C41" s="309" t="str">
        <f t="shared" si="6"/>
        <v>m2</v>
      </c>
      <c r="D41" s="650">
        <f t="shared" si="7"/>
        <v>117.84</v>
      </c>
      <c r="E41" s="651" t="str">
        <f t="shared" si="8"/>
        <v/>
      </c>
      <c r="F41" s="652">
        <f t="shared" ref="F41:F56" si="10">IFERROR(VLOOKUP(A41,Tabla_CyP,6,FALSE),"")</f>
        <v>0</v>
      </c>
      <c r="G41" s="652">
        <f t="shared" si="9"/>
        <v>0</v>
      </c>
    </row>
    <row r="42" spans="1:7" ht="30" customHeight="1" x14ac:dyDescent="0.2">
      <c r="A42" s="308">
        <f>CyP!A44</f>
        <v>25</v>
      </c>
      <c r="B42" s="649" t="str">
        <f t="shared" si="5"/>
        <v>DEMOLICIÓN DE CANAL DE HORMIGÓN Y OBRAS COMPLEMENTARIAS</v>
      </c>
      <c r="C42" s="309" t="str">
        <f t="shared" si="6"/>
        <v>m</v>
      </c>
      <c r="D42" s="650">
        <f t="shared" si="7"/>
        <v>1443</v>
      </c>
      <c r="E42" s="651" t="str">
        <f t="shared" si="8"/>
        <v/>
      </c>
      <c r="F42" s="652">
        <f t="shared" si="10"/>
        <v>0</v>
      </c>
      <c r="G42" s="652">
        <f t="shared" si="9"/>
        <v>0</v>
      </c>
    </row>
    <row r="43" spans="1:7" ht="30" customHeight="1" x14ac:dyDescent="0.2">
      <c r="A43" s="308">
        <f>CyP!A45</f>
        <v>26</v>
      </c>
      <c r="B43" s="649" t="str">
        <f t="shared" si="5"/>
        <v>RETIRO DE ALAMBRADO EXISTENTE</v>
      </c>
      <c r="C43" s="309" t="str">
        <f t="shared" si="6"/>
        <v>m</v>
      </c>
      <c r="D43" s="650">
        <f t="shared" si="7"/>
        <v>746</v>
      </c>
      <c r="E43" s="651" t="str">
        <f t="shared" si="8"/>
        <v/>
      </c>
      <c r="F43" s="652">
        <f t="shared" si="10"/>
        <v>0</v>
      </c>
      <c r="G43" s="652">
        <f t="shared" si="9"/>
        <v>0</v>
      </c>
    </row>
    <row r="44" spans="1:7" ht="30" customHeight="1" x14ac:dyDescent="0.2">
      <c r="A44" s="308">
        <f>CyP!A46</f>
        <v>27</v>
      </c>
      <c r="B44" s="649" t="str">
        <f t="shared" si="5"/>
        <v>LIMPIEZA DE CANAL EXISTENTE</v>
      </c>
      <c r="C44" s="309" t="str">
        <f t="shared" si="6"/>
        <v>m</v>
      </c>
      <c r="D44" s="650">
        <f t="shared" si="7"/>
        <v>70</v>
      </c>
      <c r="E44" s="651" t="str">
        <f t="shared" si="8"/>
        <v/>
      </c>
      <c r="F44" s="652">
        <f t="shared" si="10"/>
        <v>0</v>
      </c>
      <c r="G44" s="652">
        <f t="shared" si="9"/>
        <v>0</v>
      </c>
    </row>
    <row r="45" spans="1:7" ht="30" customHeight="1" x14ac:dyDescent="0.2">
      <c r="A45" s="308">
        <f>CyP!A47</f>
        <v>28</v>
      </c>
      <c r="B45" s="649" t="str">
        <f t="shared" si="5"/>
        <v>DEMOLICIÓN DE OBRAS VARIAS</v>
      </c>
      <c r="C45" s="309" t="str">
        <f t="shared" si="6"/>
        <v>Gl</v>
      </c>
      <c r="D45" s="650">
        <f t="shared" si="7"/>
        <v>1</v>
      </c>
      <c r="E45" s="651" t="str">
        <f t="shared" si="8"/>
        <v/>
      </c>
      <c r="F45" s="652">
        <f t="shared" si="10"/>
        <v>0</v>
      </c>
      <c r="G45" s="652">
        <f t="shared" si="9"/>
        <v>0</v>
      </c>
    </row>
    <row r="46" spans="1:7" ht="30" customHeight="1" x14ac:dyDescent="0.2">
      <c r="A46" s="308">
        <f>CyP!A48</f>
        <v>29</v>
      </c>
      <c r="B46" s="649" t="str">
        <f t="shared" si="5"/>
        <v>RETIRO Y REUBICACIÓN DE INSTALACIONES DE SEMÁFOROS</v>
      </c>
      <c r="C46" s="309" t="str">
        <f t="shared" si="6"/>
        <v>Gl</v>
      </c>
      <c r="D46" s="650">
        <f t="shared" si="7"/>
        <v>1</v>
      </c>
      <c r="E46" s="651" t="str">
        <f t="shared" si="8"/>
        <v/>
      </c>
      <c r="F46" s="652">
        <f t="shared" si="10"/>
        <v>0</v>
      </c>
      <c r="G46" s="652">
        <f t="shared" si="9"/>
        <v>0</v>
      </c>
    </row>
    <row r="47" spans="1:7" ht="30" customHeight="1" x14ac:dyDescent="0.2">
      <c r="A47" s="308">
        <f>CyP!A49</f>
        <v>30</v>
      </c>
      <c r="B47" s="649" t="str">
        <f t="shared" si="5"/>
        <v>RETIRO DE LÍNEA ELÉCTRICA Y POSTES DE ALUMBRADO PÚBLICO EXISTENTES</v>
      </c>
      <c r="C47" s="309" t="str">
        <f t="shared" si="6"/>
        <v>Gl</v>
      </c>
      <c r="D47" s="650">
        <f t="shared" si="7"/>
        <v>1</v>
      </c>
      <c r="E47" s="651" t="str">
        <f t="shared" si="8"/>
        <v/>
      </c>
      <c r="F47" s="652">
        <f t="shared" si="10"/>
        <v>0</v>
      </c>
      <c r="G47" s="652">
        <f t="shared" si="9"/>
        <v>0</v>
      </c>
    </row>
    <row r="48" spans="1:7" ht="30" customHeight="1" x14ac:dyDescent="0.2">
      <c r="A48" s="308">
        <f>CyP!A50</f>
        <v>31</v>
      </c>
      <c r="B48" s="649" t="str">
        <f t="shared" si="5"/>
        <v>TRASLADO Y/O REUBICACIÓN  DE LÍNEAS ELÉCTRICAS</v>
      </c>
      <c r="C48" s="309" t="str">
        <f t="shared" si="6"/>
        <v>Gl</v>
      </c>
      <c r="D48" s="650">
        <f t="shared" si="7"/>
        <v>1</v>
      </c>
      <c r="E48" s="651" t="str">
        <f t="shared" si="8"/>
        <v/>
      </c>
      <c r="F48" s="652">
        <f t="shared" si="10"/>
        <v>0</v>
      </c>
      <c r="G48" s="652">
        <f t="shared" si="9"/>
        <v>0</v>
      </c>
    </row>
    <row r="49" spans="1:7" ht="30" customHeight="1" x14ac:dyDescent="0.2">
      <c r="A49" s="308">
        <f>CyP!A51</f>
        <v>32</v>
      </c>
      <c r="B49" s="649" t="str">
        <f t="shared" si="5"/>
        <v>PROYECTO Y CONSTRUCCIÓN DE CANAL IMPERMEABILIZADO DE HORMIGÓN</v>
      </c>
      <c r="C49" s="309" t="str">
        <f t="shared" si="6"/>
        <v>Gl</v>
      </c>
      <c r="D49" s="650">
        <f t="shared" si="7"/>
        <v>1</v>
      </c>
      <c r="E49" s="651" t="str">
        <f t="shared" si="8"/>
        <v/>
      </c>
      <c r="F49" s="652">
        <f t="shared" si="10"/>
        <v>0</v>
      </c>
      <c r="G49" s="652">
        <f t="shared" si="9"/>
        <v>0</v>
      </c>
    </row>
    <row r="50" spans="1:7" ht="30" customHeight="1" x14ac:dyDescent="0.2">
      <c r="A50" s="308">
        <f>CyP!A52</f>
        <v>33</v>
      </c>
      <c r="B50" s="649" t="str">
        <f t="shared" si="5"/>
        <v>AMPLIACIÓN Y MEJORAMIENTO DE RED DE AGUA POTABLE</v>
      </c>
      <c r="C50" s="309" t="str">
        <f t="shared" si="6"/>
        <v>Gl</v>
      </c>
      <c r="D50" s="650">
        <f t="shared" si="7"/>
        <v>1</v>
      </c>
      <c r="E50" s="651" t="str">
        <f t="shared" si="8"/>
        <v/>
      </c>
      <c r="F50" s="652">
        <f t="shared" si="10"/>
        <v>0</v>
      </c>
      <c r="G50" s="652">
        <f t="shared" si="9"/>
        <v>0</v>
      </c>
    </row>
    <row r="51" spans="1:7" ht="30" customHeight="1" x14ac:dyDescent="0.2">
      <c r="A51" s="308">
        <f>CyP!A53</f>
        <v>34</v>
      </c>
      <c r="B51" s="649" t="str">
        <f t="shared" si="5"/>
        <v>PROYECYO Y CONSTRUCCIÓN DE OBRAS DE ILUMINACIÓN</v>
      </c>
      <c r="C51" s="309" t="str">
        <f t="shared" si="6"/>
        <v>Gl</v>
      </c>
      <c r="D51" s="650">
        <f t="shared" si="7"/>
        <v>1</v>
      </c>
      <c r="E51" s="651" t="str">
        <f t="shared" si="8"/>
        <v/>
      </c>
      <c r="F51" s="652">
        <f t="shared" si="10"/>
        <v>0</v>
      </c>
      <c r="G51" s="652">
        <f t="shared" si="9"/>
        <v>0</v>
      </c>
    </row>
    <row r="52" spans="1:7" ht="30" customHeight="1" x14ac:dyDescent="0.2">
      <c r="A52" s="308">
        <f>CyP!A54</f>
        <v>35</v>
      </c>
      <c r="B52" s="649" t="str">
        <f t="shared" si="5"/>
        <v>CUMPLIMIENTO MANEJO AMBIENTAL</v>
      </c>
      <c r="C52" s="309" t="str">
        <f t="shared" si="6"/>
        <v>Mes</v>
      </c>
      <c r="D52" s="650">
        <f t="shared" si="7"/>
        <v>12</v>
      </c>
      <c r="E52" s="651" t="str">
        <f t="shared" si="8"/>
        <v/>
      </c>
      <c r="F52" s="652">
        <f t="shared" si="10"/>
        <v>0</v>
      </c>
      <c r="G52" s="652">
        <f t="shared" si="9"/>
        <v>0</v>
      </c>
    </row>
    <row r="53" spans="1:7" ht="30" customHeight="1" x14ac:dyDescent="0.2">
      <c r="A53" s="308">
        <f>CyP!A55</f>
        <v>36</v>
      </c>
      <c r="B53" s="649" t="str">
        <f t="shared" si="5"/>
        <v>PROVISIÓN DE MOVILIDAD PARA EL PERSONAL DE LA INSPECCIÓN</v>
      </c>
      <c r="C53" s="309">
        <f t="shared" si="6"/>
        <v>0</v>
      </c>
      <c r="D53" s="650">
        <f t="shared" si="7"/>
        <v>0</v>
      </c>
      <c r="E53" s="651" t="str">
        <f t="shared" si="8"/>
        <v/>
      </c>
      <c r="F53" s="652">
        <f t="shared" si="10"/>
        <v>0</v>
      </c>
      <c r="G53" s="652">
        <f t="shared" si="9"/>
        <v>0</v>
      </c>
    </row>
    <row r="54" spans="1:7" ht="30" customHeight="1" x14ac:dyDescent="0.2">
      <c r="A54" s="308" t="str">
        <f>CyP!A56</f>
        <v>36.a</v>
      </c>
      <c r="B54" s="649" t="str">
        <f t="shared" si="5"/>
        <v>Cuota Mensual</v>
      </c>
      <c r="C54" s="309" t="str">
        <f t="shared" si="6"/>
        <v>Mes</v>
      </c>
      <c r="D54" s="650">
        <f t="shared" si="7"/>
        <v>24</v>
      </c>
      <c r="E54" s="651" t="str">
        <f t="shared" si="8"/>
        <v/>
      </c>
      <c r="F54" s="652">
        <f t="shared" si="10"/>
        <v>0</v>
      </c>
      <c r="G54" s="652">
        <f t="shared" si="9"/>
        <v>0</v>
      </c>
    </row>
    <row r="55" spans="1:7" ht="30" customHeight="1" x14ac:dyDescent="0.2">
      <c r="A55" s="308" t="str">
        <f>CyP!A57</f>
        <v>36.b</v>
      </c>
      <c r="B55" s="649" t="str">
        <f t="shared" si="5"/>
        <v>Adicional por Kilómetro</v>
      </c>
      <c r="C55" s="309" t="str">
        <f t="shared" si="6"/>
        <v>km</v>
      </c>
      <c r="D55" s="650">
        <f t="shared" si="7"/>
        <v>40000</v>
      </c>
      <c r="E55" s="651" t="str">
        <f t="shared" si="8"/>
        <v/>
      </c>
      <c r="F55" s="652">
        <f t="shared" si="10"/>
        <v>0</v>
      </c>
      <c r="G55" s="652">
        <f t="shared" si="9"/>
        <v>0</v>
      </c>
    </row>
    <row r="56" spans="1:7" ht="30" customHeight="1" x14ac:dyDescent="0.2">
      <c r="A56" s="308">
        <f>CyP!A58</f>
        <v>37</v>
      </c>
      <c r="B56" s="649" t="str">
        <f t="shared" si="5"/>
        <v>MOVILIZACIÓN DE OBRA</v>
      </c>
      <c r="C56" s="309" t="str">
        <f t="shared" si="6"/>
        <v>Gl</v>
      </c>
      <c r="D56" s="650">
        <f t="shared" si="7"/>
        <v>1</v>
      </c>
      <c r="E56" s="651" t="str">
        <f t="shared" si="8"/>
        <v/>
      </c>
      <c r="F56" s="652">
        <f t="shared" si="10"/>
        <v>0</v>
      </c>
      <c r="G56" s="652">
        <f t="shared" si="9"/>
        <v>0</v>
      </c>
    </row>
    <row r="57" spans="1:7" ht="19.5" customHeight="1" x14ac:dyDescent="0.2">
      <c r="A57" s="657"/>
      <c r="B57" s="310"/>
      <c r="C57" s="311"/>
      <c r="D57" s="653"/>
      <c r="E57" s="654"/>
      <c r="F57" s="312"/>
      <c r="G57" s="658"/>
    </row>
    <row r="58" spans="1:7" ht="19.5" customHeight="1" x14ac:dyDescent="0.2">
      <c r="A58" s="657"/>
      <c r="B58" s="721" t="s">
        <v>1023</v>
      </c>
      <c r="C58" s="721"/>
      <c r="D58" s="721"/>
      <c r="E58" s="721"/>
      <c r="F58" s="659"/>
      <c r="G58" s="313" t="e">
        <f ca="1">ROUND(SUM(G16:G57),2)</f>
        <v>#VALUE!</v>
      </c>
    </row>
    <row r="59" spans="1:7" ht="19.5" customHeight="1" x14ac:dyDescent="0.2">
      <c r="A59" s="314" t="s">
        <v>3</v>
      </c>
      <c r="F59" s="315"/>
    </row>
    <row r="60" spans="1:7" ht="37.5" customHeight="1" x14ac:dyDescent="0.2">
      <c r="B60" s="722" t="e">
        <f ca="1">IF(Monto_Oferta=0,"IMPORTA LA PRESENTE PROPUESTA EN LA SUMA DE: _____________________","IMPORTA LA PRESENTE PROPUESTA EN LA SUMA DE: "&amp;CONVERTIRNUM(Monto_Oferta))</f>
        <v>#NAME?</v>
      </c>
      <c r="C60" s="722"/>
      <c r="D60" s="722"/>
      <c r="E60" s="722"/>
      <c r="F60" s="722"/>
      <c r="G60" s="722"/>
    </row>
    <row r="61" spans="1:7" ht="19.5" customHeight="1" x14ac:dyDescent="0.2">
      <c r="A61" s="316"/>
      <c r="B61" s="317"/>
      <c r="C61" s="317"/>
      <c r="D61" s="317"/>
      <c r="E61" s="317"/>
      <c r="F61" s="317"/>
    </row>
    <row r="62" spans="1:7" ht="19.5" customHeight="1" x14ac:dyDescent="0.2">
      <c r="B62" s="723" t="s">
        <v>1029</v>
      </c>
      <c r="C62" s="723"/>
      <c r="D62" s="723"/>
      <c r="E62" s="723"/>
      <c r="F62" s="723"/>
      <c r="G62" s="723"/>
    </row>
    <row r="63" spans="1:7" ht="19.5" customHeight="1" x14ac:dyDescent="0.2">
      <c r="B63" s="723" t="s">
        <v>1024</v>
      </c>
      <c r="C63" s="723"/>
      <c r="D63" s="723"/>
      <c r="E63" s="723"/>
      <c r="F63" s="723"/>
      <c r="G63" s="723"/>
    </row>
    <row r="64" spans="1:7" ht="19.5" customHeight="1" x14ac:dyDescent="0.2">
      <c r="B64" s="694"/>
      <c r="C64" s="694"/>
      <c r="D64" s="694"/>
      <c r="E64" s="694"/>
      <c r="F64" s="694"/>
      <c r="G64" s="694"/>
    </row>
    <row r="65" spans="1:7" ht="19.5" customHeight="1" x14ac:dyDescent="0.2">
      <c r="B65" s="694"/>
      <c r="C65" s="694"/>
      <c r="D65" s="694"/>
      <c r="E65" s="694"/>
      <c r="F65" s="694"/>
      <c r="G65" s="694"/>
    </row>
    <row r="66" spans="1:7" ht="19.5" customHeight="1" x14ac:dyDescent="0.2">
      <c r="B66" s="655" t="str">
        <f>"ACLARACIÓN DE LAS FIRMAS SIN ABREVIATURAS:                                               "&amp;Contratista_Firma1&amp;"                                                               "&amp;Contratista_Firma2</f>
        <v xml:space="preserve">ACLARACIÓN DE LAS FIRMAS SIN ABREVIATURAS:                                                                                                              </v>
      </c>
      <c r="C66" s="655"/>
      <c r="D66" s="656"/>
      <c r="E66" s="655"/>
      <c r="F66" s="656"/>
      <c r="G66" s="655"/>
    </row>
    <row r="67" spans="1:7" ht="19.5" customHeight="1" x14ac:dyDescent="0.2">
      <c r="D67" s="318">
        <v>0</v>
      </c>
      <c r="F67" s="318">
        <v>0</v>
      </c>
    </row>
    <row r="71" spans="1:7" ht="19.5" customHeight="1" x14ac:dyDescent="0.2">
      <c r="A71" s="319"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72" spans="1:7" ht="19.5" customHeight="1" x14ac:dyDescent="0.2">
      <c r="A72" s="319" t="s">
        <v>1028</v>
      </c>
    </row>
    <row r="73" spans="1:7" ht="19.5" customHeight="1" x14ac:dyDescent="0.2">
      <c r="A73" s="319" t="s">
        <v>1027</v>
      </c>
    </row>
  </sheetData>
  <sheetProtection formatCells="0" selectLockedCells="1"/>
  <mergeCells count="17">
    <mergeCell ref="B58:E58"/>
    <mergeCell ref="B60:G60"/>
    <mergeCell ref="B62:G62"/>
    <mergeCell ref="B63:G63"/>
    <mergeCell ref="B11:G11"/>
    <mergeCell ref="G13:G14"/>
    <mergeCell ref="A1:G1"/>
    <mergeCell ref="A13:A14"/>
    <mergeCell ref="B13:B14"/>
    <mergeCell ref="C13:C14"/>
    <mergeCell ref="D13:D14"/>
    <mergeCell ref="E13:F13"/>
    <mergeCell ref="A2:G2"/>
    <mergeCell ref="A3:G3"/>
    <mergeCell ref="A4:G4"/>
    <mergeCell ref="A5:G5"/>
    <mergeCell ref="A6:G6"/>
  </mergeCells>
  <conditionalFormatting sqref="A16:A59">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57">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B16:B56">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36"/>
  <sheetViews>
    <sheetView showGridLines="0" showZeros="0" view="pageBreakPreview" topLeftCell="A39" zoomScale="80" zoomScaleNormal="90" zoomScaleSheetLayoutView="80" workbookViewId="0">
      <selection activeCell="F65" sqref="F65"/>
    </sheetView>
  </sheetViews>
  <sheetFormatPr baseColWidth="10" defaultColWidth="11.42578125" defaultRowHeight="12.75" x14ac:dyDescent="0.2"/>
  <cols>
    <col min="1" max="1" width="8.7109375" style="236" customWidth="1"/>
    <col min="2" max="3" width="30.7109375" style="236" customWidth="1"/>
    <col min="4" max="4" width="6.7109375" style="236" customWidth="1"/>
    <col min="5" max="5" width="16" style="236" customWidth="1"/>
    <col min="6" max="7" width="17.7109375" style="236" customWidth="1"/>
    <col min="8" max="8" width="22.7109375" style="236" customWidth="1"/>
    <col min="9" max="9" width="14.7109375" style="236" customWidth="1"/>
    <col min="10" max="16384" width="11.42578125" style="236"/>
  </cols>
  <sheetData>
    <row r="1" spans="1:9" s="222" customFormat="1" ht="20.100000000000001" customHeight="1" x14ac:dyDescent="0.2">
      <c r="A1" s="221" t="s">
        <v>8</v>
      </c>
      <c r="B1" s="221"/>
      <c r="C1" s="221" t="str">
        <f>Comitente</f>
        <v>DIRECCIÓN PROVINCIAL DE VIALIDAD</v>
      </c>
      <c r="D1" s="221"/>
      <c r="E1" s="221"/>
      <c r="F1" s="221"/>
      <c r="G1" s="221"/>
      <c r="I1" s="223"/>
    </row>
    <row r="2" spans="1:9" s="226" customFormat="1" ht="20.100000000000001" customHeight="1" x14ac:dyDescent="0.2">
      <c r="A2" s="224" t="s">
        <v>9</v>
      </c>
      <c r="B2" s="224"/>
      <c r="C2" s="221" t="str">
        <f>Obra</f>
        <v>PAVIMENTACION Y ENSANCHE DE RUTA PROVINCIAL N°7 AV. JOAQUIN UÑAC</v>
      </c>
      <c r="D2" s="225"/>
      <c r="E2" s="225"/>
      <c r="F2" s="225"/>
      <c r="G2" s="225"/>
      <c r="I2" s="225"/>
    </row>
    <row r="3" spans="1:9" s="226" customFormat="1" ht="20.100000000000001" customHeight="1" x14ac:dyDescent="0.2">
      <c r="A3" s="224" t="s">
        <v>15</v>
      </c>
      <c r="B3" s="224"/>
      <c r="C3" s="227" t="str">
        <f>Ubicación</f>
        <v>DEPARTAMENTO POCITO</v>
      </c>
      <c r="D3" s="227"/>
      <c r="E3" s="227"/>
      <c r="F3" s="227"/>
      <c r="G3" s="227"/>
      <c r="I3" s="227"/>
    </row>
    <row r="4" spans="1:9" s="226" customFormat="1" ht="20.100000000000001" customHeight="1" x14ac:dyDescent="0.2">
      <c r="A4" s="224" t="s">
        <v>14</v>
      </c>
      <c r="B4" s="228"/>
      <c r="C4" s="229" t="str">
        <f>Licitación_N°</f>
        <v>30/18</v>
      </c>
    </row>
    <row r="5" spans="1:9" s="226" customFormat="1" ht="20.100000000000001" customHeight="1" x14ac:dyDescent="0.2">
      <c r="A5" s="224" t="s">
        <v>32</v>
      </c>
      <c r="B5" s="228"/>
      <c r="C5" s="230" t="str">
        <f>Expediente_N°</f>
        <v>510-003059-18</v>
      </c>
    </row>
    <row r="6" spans="1:9" s="226" customFormat="1" ht="20.100000000000001" customHeight="1" x14ac:dyDescent="0.2">
      <c r="A6" s="224" t="s">
        <v>17</v>
      </c>
      <c r="B6" s="228"/>
      <c r="C6" s="231">
        <f>P_Oficial</f>
        <v>52700000</v>
      </c>
    </row>
    <row r="7" spans="1:9" s="226" customFormat="1" ht="20.100000000000001" customHeight="1" x14ac:dyDescent="0.2">
      <c r="A7" s="224" t="s">
        <v>905</v>
      </c>
      <c r="B7" s="228"/>
      <c r="C7" s="232">
        <f>Anticipo_Financiero</f>
        <v>0.1</v>
      </c>
    </row>
    <row r="8" spans="1:9" s="226" customFormat="1" ht="20.100000000000001" customHeight="1" x14ac:dyDescent="0.2">
      <c r="A8" s="224" t="s">
        <v>904</v>
      </c>
      <c r="B8" s="228"/>
      <c r="C8" s="233">
        <f>Fecha_Base</f>
        <v>43444</v>
      </c>
    </row>
    <row r="9" spans="1:9" s="226" customFormat="1" ht="20.100000000000001" customHeight="1" x14ac:dyDescent="0.2">
      <c r="A9" s="224" t="s">
        <v>16</v>
      </c>
      <c r="B9" s="228"/>
      <c r="C9" s="234">
        <f>Plazo_Obra</f>
        <v>180</v>
      </c>
    </row>
    <row r="10" spans="1:9" s="226" customFormat="1" ht="20.100000000000001" customHeight="1" x14ac:dyDescent="0.2">
      <c r="A10" s="224" t="s">
        <v>10</v>
      </c>
      <c r="B10" s="228"/>
      <c r="C10" s="224">
        <f>Contratista</f>
        <v>0</v>
      </c>
    </row>
    <row r="11" spans="1:9" s="226" customFormat="1" ht="20.100000000000001" customHeight="1" x14ac:dyDescent="0.2">
      <c r="A11" s="224" t="s">
        <v>43</v>
      </c>
      <c r="B11" s="228"/>
      <c r="C11" s="235" t="e">
        <f ca="1">Monto_Oferta</f>
        <v>#NAME?</v>
      </c>
    </row>
    <row r="12" spans="1:9" ht="20.100000000000001" customHeight="1" x14ac:dyDescent="0.2"/>
    <row r="13" spans="1:9" ht="20.100000000000001" customHeight="1" x14ac:dyDescent="0.2">
      <c r="A13" s="237" t="s">
        <v>42</v>
      </c>
      <c r="B13" s="238"/>
      <c r="C13" s="238"/>
      <c r="D13" s="238"/>
      <c r="E13" s="238"/>
      <c r="F13" s="238"/>
      <c r="G13" s="238"/>
      <c r="H13" s="239"/>
      <c r="I13" s="240"/>
    </row>
    <row r="14" spans="1:9" ht="20.100000000000001" customHeight="1" x14ac:dyDescent="0.2"/>
    <row r="15" spans="1:9" ht="20.100000000000001" customHeight="1" x14ac:dyDescent="0.2">
      <c r="A15" s="727" t="s">
        <v>906</v>
      </c>
      <c r="B15" s="729" t="s">
        <v>0</v>
      </c>
      <c r="C15" s="730"/>
      <c r="D15" s="727" t="s">
        <v>1</v>
      </c>
      <c r="E15" s="727" t="s">
        <v>2</v>
      </c>
      <c r="F15" s="726" t="s">
        <v>972</v>
      </c>
      <c r="G15" s="726" t="s">
        <v>973</v>
      </c>
      <c r="H15" s="726" t="s">
        <v>951</v>
      </c>
      <c r="I15" s="727" t="s">
        <v>13</v>
      </c>
    </row>
    <row r="16" spans="1:9" ht="20.100000000000001" customHeight="1" x14ac:dyDescent="0.2">
      <c r="A16" s="728"/>
      <c r="B16" s="731"/>
      <c r="C16" s="732"/>
      <c r="D16" s="728"/>
      <c r="E16" s="728"/>
      <c r="F16" s="726"/>
      <c r="G16" s="726"/>
      <c r="H16" s="726"/>
      <c r="I16" s="728"/>
    </row>
    <row r="17" spans="1:9" ht="20.100000000000001" customHeight="1" x14ac:dyDescent="0.2">
      <c r="A17" s="131"/>
      <c r="B17" s="206"/>
      <c r="C17" s="206"/>
      <c r="D17" s="131"/>
      <c r="E17" s="131"/>
      <c r="F17" s="206"/>
      <c r="G17" s="206"/>
      <c r="I17" s="241"/>
    </row>
    <row r="18" spans="1:9" ht="20.100000000000001" customHeight="1" x14ac:dyDescent="0.2">
      <c r="A18" s="219">
        <f>Datos!A34</f>
        <v>1</v>
      </c>
      <c r="B18" s="132" t="str">
        <f t="shared" ref="B18" si="0">IFERROR(VLOOKUP(A18,Tabla_Datos,2,FALSE),"")</f>
        <v>FRESADO DE PAVIMENTO EXISTENTE</v>
      </c>
      <c r="C18" s="242"/>
      <c r="D18" s="243" t="str">
        <f t="shared" ref="D18" si="1">IFERROR(VLOOKUP(A18,Tabla_Datos,3,FALSE),"")</f>
        <v>m2</v>
      </c>
      <c r="E18" s="244">
        <f t="shared" ref="E18" si="2">IFERROR(VLOOKUP(A18,Tabla_Datos,4,FALSE),0)</f>
        <v>8435</v>
      </c>
      <c r="F18" s="245">
        <f t="shared" ref="F18" si="3">IFERROR(VLOOKUP(A18,Tabla_Analisis_Precio,7,FALSE),0)</f>
        <v>0</v>
      </c>
      <c r="G18" s="197" t="e">
        <f t="shared" ref="G18" ca="1" si="4">ROUND(PrecioUnitario(F18,GG_Porcentaje,Beneficio,Ingresos_Brutos,IVA),2)</f>
        <v>#NAME?</v>
      </c>
      <c r="H18" s="197" t="e">
        <f ca="1">ROUND(E18*G18,2)</f>
        <v>#NAME?</v>
      </c>
      <c r="I18" s="246">
        <f t="shared" ref="I18" ca="1" si="5">IFERROR(H18/Monto_Oferta,0)</f>
        <v>0</v>
      </c>
    </row>
    <row r="19" spans="1:9" ht="20.100000000000001" customHeight="1" x14ac:dyDescent="0.2">
      <c r="A19" s="219">
        <f>Datos!A35</f>
        <v>2</v>
      </c>
      <c r="B19" s="132" t="str">
        <f t="shared" ref="B19:B58" si="6">IFERROR(VLOOKUP(A19,Tabla_Datos,2,FALSE),"")</f>
        <v xml:space="preserve">EXCAVACIÓN NO CLASIFICADA
</v>
      </c>
      <c r="C19" s="242"/>
      <c r="D19" s="243" t="str">
        <f t="shared" ref="D19:D58" si="7">IFERROR(VLOOKUP(A19,Tabla_Datos,3,FALSE),"")</f>
        <v>m3</v>
      </c>
      <c r="E19" s="244">
        <f t="shared" ref="E19:E58" si="8">IFERROR(VLOOKUP(A19,Tabla_Datos,4,FALSE),0)</f>
        <v>5487.75</v>
      </c>
      <c r="F19" s="245">
        <f t="shared" ref="F19:F58" si="9">IFERROR(VLOOKUP(A19,Tabla_Analisis_Precio,7,FALSE),0)</f>
        <v>0</v>
      </c>
      <c r="G19" s="197" t="e">
        <f t="shared" ref="G19:G58" ca="1" si="10">ROUND(PrecioUnitario(F19,GG_Porcentaje,Beneficio,Ingresos_Brutos,IVA),2)</f>
        <v>#NAME?</v>
      </c>
      <c r="H19" s="197" t="e">
        <f t="shared" ref="H19:H58" ca="1" si="11">ROUND(E19*G19,2)</f>
        <v>#NAME?</v>
      </c>
      <c r="I19" s="246">
        <f t="shared" ref="I19:I58" ca="1" si="12">IFERROR(H19/Monto_Oferta,0)</f>
        <v>0</v>
      </c>
    </row>
    <row r="20" spans="1:9" ht="20.100000000000001" customHeight="1" x14ac:dyDescent="0.2">
      <c r="A20" s="219">
        <f>Datos!A36</f>
        <v>3</v>
      </c>
      <c r="B20" s="132" t="str">
        <f t="shared" si="6"/>
        <v>CONSTRUCCIÓN DE TERRAPLENES RIPIOSOS CON COMPACTACIÓN ESPECIAL</v>
      </c>
      <c r="C20" s="242"/>
      <c r="D20" s="243" t="str">
        <f t="shared" si="7"/>
        <v>m3</v>
      </c>
      <c r="E20" s="244">
        <f t="shared" si="8"/>
        <v>449.21</v>
      </c>
      <c r="F20" s="245">
        <f t="shared" si="9"/>
        <v>0</v>
      </c>
      <c r="G20" s="197" t="e">
        <f t="shared" ca="1" si="10"/>
        <v>#NAME?</v>
      </c>
      <c r="H20" s="197" t="e">
        <f t="shared" ca="1" si="11"/>
        <v>#NAME?</v>
      </c>
      <c r="I20" s="246">
        <f t="shared" ca="1" si="12"/>
        <v>0</v>
      </c>
    </row>
    <row r="21" spans="1:9" ht="20.100000000000001" customHeight="1" x14ac:dyDescent="0.2">
      <c r="A21" s="219">
        <f>Datos!A37</f>
        <v>4</v>
      </c>
      <c r="B21" s="132" t="str">
        <f t="shared" si="6"/>
        <v>CONSTRUCCIÓN DE TERRAPLENES RIPIOSOS SIN COMPACTACIÓN ESPECIAL</v>
      </c>
      <c r="C21" s="242"/>
      <c r="D21" s="243" t="str">
        <f t="shared" si="7"/>
        <v>m3</v>
      </c>
      <c r="E21" s="244">
        <f t="shared" si="8"/>
        <v>1550</v>
      </c>
      <c r="F21" s="245">
        <f t="shared" si="9"/>
        <v>0</v>
      </c>
      <c r="G21" s="197" t="e">
        <f t="shared" ca="1" si="10"/>
        <v>#NAME?</v>
      </c>
      <c r="H21" s="197" t="e">
        <f t="shared" ca="1" si="11"/>
        <v>#NAME?</v>
      </c>
      <c r="I21" s="246">
        <f t="shared" ca="1" si="12"/>
        <v>0</v>
      </c>
    </row>
    <row r="22" spans="1:9" ht="20.100000000000001" customHeight="1" x14ac:dyDescent="0.2">
      <c r="A22" s="219">
        <f>Datos!A38</f>
        <v>5</v>
      </c>
      <c r="B22" s="132" t="str">
        <f t="shared" si="6"/>
        <v>CONSTRUCCIÓN DE SUB-BASE ESTABILIZADA GRANULAR</v>
      </c>
      <c r="C22" s="242"/>
      <c r="D22" s="243" t="str">
        <f t="shared" si="7"/>
        <v>m3</v>
      </c>
      <c r="E22" s="244">
        <f t="shared" si="8"/>
        <v>14610.26</v>
      </c>
      <c r="F22" s="245">
        <f t="shared" si="9"/>
        <v>0</v>
      </c>
      <c r="G22" s="197" t="e">
        <f t="shared" ca="1" si="10"/>
        <v>#NAME?</v>
      </c>
      <c r="H22" s="197" t="e">
        <f t="shared" ca="1" si="11"/>
        <v>#NAME?</v>
      </c>
      <c r="I22" s="246">
        <f t="shared" ca="1" si="12"/>
        <v>0</v>
      </c>
    </row>
    <row r="23" spans="1:9" ht="20.100000000000001" customHeight="1" x14ac:dyDescent="0.2">
      <c r="A23" s="219">
        <f>Datos!A39</f>
        <v>6</v>
      </c>
      <c r="B23" s="132" t="str">
        <f t="shared" si="6"/>
        <v>CONSTRUCCIÓN DE BASE ESTABILIZADA GRANULAR</v>
      </c>
      <c r="C23" s="242"/>
      <c r="D23" s="243" t="str">
        <f t="shared" si="7"/>
        <v>m3</v>
      </c>
      <c r="E23" s="244">
        <f t="shared" si="8"/>
        <v>6903.84</v>
      </c>
      <c r="F23" s="245">
        <f t="shared" si="9"/>
        <v>0</v>
      </c>
      <c r="G23" s="197" t="e">
        <f t="shared" ca="1" si="10"/>
        <v>#NAME?</v>
      </c>
      <c r="H23" s="197" t="e">
        <f t="shared" ca="1" si="11"/>
        <v>#NAME?</v>
      </c>
      <c r="I23" s="246">
        <f t="shared" ca="1" si="12"/>
        <v>0</v>
      </c>
    </row>
    <row r="24" spans="1:9" ht="20.100000000000001" customHeight="1" x14ac:dyDescent="0.2">
      <c r="A24" s="219">
        <f>Datos!A40</f>
        <v>7</v>
      </c>
      <c r="B24" s="132" t="str">
        <f t="shared" si="6"/>
        <v>RIEGO DE IMPRIMACÓN CON EMULSIÓN
CATIÓNICA CI</v>
      </c>
      <c r="C24" s="242"/>
      <c r="D24" s="243" t="str">
        <f t="shared" si="7"/>
        <v>m2</v>
      </c>
      <c r="E24" s="244">
        <f t="shared" si="8"/>
        <v>25043.919999999998</v>
      </c>
      <c r="F24" s="245">
        <f t="shared" si="9"/>
        <v>0</v>
      </c>
      <c r="G24" s="197" t="e">
        <f t="shared" ca="1" si="10"/>
        <v>#NAME?</v>
      </c>
      <c r="H24" s="197" t="e">
        <f t="shared" ca="1" si="11"/>
        <v>#NAME?</v>
      </c>
      <c r="I24" s="246">
        <f t="shared" ca="1" si="12"/>
        <v>0</v>
      </c>
    </row>
    <row r="25" spans="1:9" ht="20.100000000000001" customHeight="1" x14ac:dyDescent="0.2">
      <c r="A25" s="219">
        <f>Datos!A41</f>
        <v>8</v>
      </c>
      <c r="B25" s="132" t="str">
        <f t="shared" si="6"/>
        <v>RIEGO DE LIGA CON EMULSIÓN
CATIÓNICA E.R.1</v>
      </c>
      <c r="C25" s="242"/>
      <c r="D25" s="243" t="str">
        <f t="shared" si="7"/>
        <v>m2</v>
      </c>
      <c r="E25" s="244">
        <f t="shared" si="8"/>
        <v>25043.919999999998</v>
      </c>
      <c r="F25" s="245">
        <f t="shared" si="9"/>
        <v>0</v>
      </c>
      <c r="G25" s="197" t="e">
        <f t="shared" ca="1" si="10"/>
        <v>#NAME?</v>
      </c>
      <c r="H25" s="197" t="e">
        <f t="shared" ca="1" si="11"/>
        <v>#NAME?</v>
      </c>
      <c r="I25" s="246">
        <f t="shared" ca="1" si="12"/>
        <v>0</v>
      </c>
    </row>
    <row r="26" spans="1:9" ht="20.100000000000001" customHeight="1" x14ac:dyDescent="0.2">
      <c r="A26" s="219">
        <f>Datos!A42</f>
        <v>9</v>
      </c>
      <c r="B26" s="132" t="str">
        <f t="shared" si="6"/>
        <v>CARPETA CON MEZCLA BITUMINOSA TIPO CONCRETO ASFÁLTICO
Incluído materiales, colocación y transporte. En 0,05m de espesor</v>
      </c>
      <c r="C26" s="242"/>
      <c r="D26" s="243" t="str">
        <f t="shared" si="7"/>
        <v>m2</v>
      </c>
      <c r="E26" s="244">
        <f t="shared" si="8"/>
        <v>25043.919999999998</v>
      </c>
      <c r="F26" s="245">
        <f t="shared" si="9"/>
        <v>0</v>
      </c>
      <c r="G26" s="197" t="e">
        <f t="shared" ca="1" si="10"/>
        <v>#NAME?</v>
      </c>
      <c r="H26" s="197" t="e">
        <f t="shared" ca="1" si="11"/>
        <v>#NAME?</v>
      </c>
      <c r="I26" s="246">
        <f t="shared" ca="1" si="12"/>
        <v>0</v>
      </c>
    </row>
    <row r="27" spans="1:9" ht="20.100000000000001" customHeight="1" x14ac:dyDescent="0.2">
      <c r="A27" s="219">
        <f>Datos!A43</f>
        <v>10</v>
      </c>
      <c r="B27" s="132" t="str">
        <f t="shared" si="6"/>
        <v>EXCAVACIÓN PARA FUNDACIONES</v>
      </c>
      <c r="C27" s="242"/>
      <c r="D27" s="243" t="str">
        <f t="shared" si="7"/>
        <v>m3</v>
      </c>
      <c r="E27" s="244">
        <f t="shared" si="8"/>
        <v>380.32000000000005</v>
      </c>
      <c r="F27" s="245">
        <f t="shared" si="9"/>
        <v>0</v>
      </c>
      <c r="G27" s="197" t="e">
        <f t="shared" ca="1" si="10"/>
        <v>#NAME?</v>
      </c>
      <c r="H27" s="197" t="e">
        <f t="shared" ca="1" si="11"/>
        <v>#NAME?</v>
      </c>
      <c r="I27" s="246">
        <f t="shared" ca="1" si="12"/>
        <v>0</v>
      </c>
    </row>
    <row r="28" spans="1:9" ht="20.100000000000001" customHeight="1" x14ac:dyDescent="0.2">
      <c r="A28" s="219">
        <f>Datos!A44</f>
        <v>11</v>
      </c>
      <c r="B28" s="132" t="str">
        <f t="shared" si="6"/>
        <v>HORMIGÓN DE CEMENTO PORTLAND TIPO H-21, EXCLUIDO ARMADURA</v>
      </c>
      <c r="C28" s="242"/>
      <c r="D28" s="243" t="str">
        <f t="shared" si="7"/>
        <v>m3</v>
      </c>
      <c r="E28" s="244">
        <f t="shared" si="8"/>
        <v>24.24</v>
      </c>
      <c r="F28" s="245">
        <f t="shared" si="9"/>
        <v>0</v>
      </c>
      <c r="G28" s="197" t="e">
        <f t="shared" ca="1" si="10"/>
        <v>#NAME?</v>
      </c>
      <c r="H28" s="197" t="e">
        <f t="shared" ca="1" si="11"/>
        <v>#NAME?</v>
      </c>
      <c r="I28" s="246">
        <f t="shared" ca="1" si="12"/>
        <v>0</v>
      </c>
    </row>
    <row r="29" spans="1:9" ht="20.100000000000001" customHeight="1" x14ac:dyDescent="0.2">
      <c r="A29" s="219">
        <f>Datos!A45</f>
        <v>12</v>
      </c>
      <c r="B29" s="132" t="str">
        <f t="shared" si="6"/>
        <v>HORMIGÓN DE CEMENTO PORTLAND TIPO H-17, EXCLUIDO ARMADURA</v>
      </c>
      <c r="C29" s="242"/>
      <c r="D29" s="243" t="str">
        <f t="shared" si="7"/>
        <v>m3</v>
      </c>
      <c r="E29" s="244">
        <f t="shared" si="8"/>
        <v>57.6</v>
      </c>
      <c r="F29" s="245">
        <f t="shared" si="9"/>
        <v>0</v>
      </c>
      <c r="G29" s="197" t="e">
        <f t="shared" ca="1" si="10"/>
        <v>#NAME?</v>
      </c>
      <c r="H29" s="197" t="e">
        <f t="shared" ca="1" si="11"/>
        <v>#NAME?</v>
      </c>
      <c r="I29" s="246">
        <f t="shared" ca="1" si="12"/>
        <v>0</v>
      </c>
    </row>
    <row r="30" spans="1:9" ht="20.100000000000001" customHeight="1" x14ac:dyDescent="0.2">
      <c r="A30" s="219">
        <f>Datos!A46</f>
        <v>13</v>
      </c>
      <c r="B30" s="132" t="str">
        <f t="shared" si="6"/>
        <v>HORMIGÓN DE CEMENTO PORTLAND TIPO H-13</v>
      </c>
      <c r="C30" s="242"/>
      <c r="D30" s="243" t="str">
        <f t="shared" si="7"/>
        <v>m3</v>
      </c>
      <c r="E30" s="244">
        <f t="shared" si="8"/>
        <v>241.23999999999998</v>
      </c>
      <c r="F30" s="245">
        <f t="shared" si="9"/>
        <v>0</v>
      </c>
      <c r="G30" s="197" t="e">
        <f t="shared" ca="1" si="10"/>
        <v>#NAME?</v>
      </c>
      <c r="H30" s="197" t="e">
        <f t="shared" ca="1" si="11"/>
        <v>#NAME?</v>
      </c>
      <c r="I30" s="246">
        <f t="shared" ca="1" si="12"/>
        <v>0</v>
      </c>
    </row>
    <row r="31" spans="1:9" ht="20.100000000000001" customHeight="1" x14ac:dyDescent="0.2">
      <c r="A31" s="219">
        <f>Datos!A47</f>
        <v>14</v>
      </c>
      <c r="B31" s="132" t="str">
        <f t="shared" si="6"/>
        <v>HORMIGÓN DE CEMENTO PORTLAND TIPO H-8</v>
      </c>
      <c r="C31" s="242"/>
      <c r="D31" s="243" t="str">
        <f t="shared" si="7"/>
        <v>m3</v>
      </c>
      <c r="E31" s="244">
        <f t="shared" si="8"/>
        <v>2.61</v>
      </c>
      <c r="F31" s="245">
        <f t="shared" si="9"/>
        <v>0</v>
      </c>
      <c r="G31" s="197" t="e">
        <f t="shared" ca="1" si="10"/>
        <v>#NAME?</v>
      </c>
      <c r="H31" s="197" t="e">
        <f t="shared" ca="1" si="11"/>
        <v>#NAME?</v>
      </c>
      <c r="I31" s="246">
        <f t="shared" ca="1" si="12"/>
        <v>0</v>
      </c>
    </row>
    <row r="32" spans="1:9" ht="20.100000000000001" customHeight="1" x14ac:dyDescent="0.2">
      <c r="A32" s="219">
        <f>Datos!A48</f>
        <v>15</v>
      </c>
      <c r="B32" s="132" t="str">
        <f t="shared" si="6"/>
        <v>CONSTRUCCIÓN DE SIFÓN</v>
      </c>
      <c r="C32" s="242"/>
      <c r="D32" s="243" t="str">
        <f t="shared" si="7"/>
        <v>Un</v>
      </c>
      <c r="E32" s="244">
        <f t="shared" si="8"/>
        <v>1</v>
      </c>
      <c r="F32" s="245">
        <f t="shared" si="9"/>
        <v>0</v>
      </c>
      <c r="G32" s="197" t="e">
        <f t="shared" ca="1" si="10"/>
        <v>#NAME?</v>
      </c>
      <c r="H32" s="197" t="e">
        <f t="shared" ca="1" si="11"/>
        <v>#NAME?</v>
      </c>
      <c r="I32" s="246">
        <f t="shared" ca="1" si="12"/>
        <v>0</v>
      </c>
    </row>
    <row r="33" spans="1:9" ht="20.100000000000001" customHeight="1" x14ac:dyDescent="0.2">
      <c r="A33" s="219">
        <f>Datos!A49</f>
        <v>16</v>
      </c>
      <c r="B33" s="132" t="str">
        <f t="shared" si="6"/>
        <v>CONSTRUCCIÓN DE CORDÓN CUNETA</v>
      </c>
      <c r="C33" s="242"/>
      <c r="D33" s="243" t="str">
        <f t="shared" si="7"/>
        <v>m</v>
      </c>
      <c r="E33" s="244">
        <f t="shared" si="8"/>
        <v>7971.85</v>
      </c>
      <c r="F33" s="245">
        <f t="shared" si="9"/>
        <v>0</v>
      </c>
      <c r="G33" s="197" t="e">
        <f t="shared" ca="1" si="10"/>
        <v>#NAME?</v>
      </c>
      <c r="H33" s="197" t="e">
        <f t="shared" ca="1" si="11"/>
        <v>#NAME?</v>
      </c>
      <c r="I33" s="246">
        <f t="shared" ca="1" si="12"/>
        <v>0</v>
      </c>
    </row>
    <row r="34" spans="1:9" ht="20.100000000000001" customHeight="1" x14ac:dyDescent="0.2">
      <c r="A34" s="219">
        <f>Datos!A50</f>
        <v>17</v>
      </c>
      <c r="B34" s="132" t="str">
        <f t="shared" si="6"/>
        <v>ACERO ESPECIAL EN BARRA COLOCADO</v>
      </c>
      <c r="C34" s="242"/>
      <c r="D34" s="243" t="str">
        <f t="shared" si="7"/>
        <v>Tn</v>
      </c>
      <c r="E34" s="244">
        <f t="shared" si="8"/>
        <v>3.621</v>
      </c>
      <c r="F34" s="245">
        <f t="shared" si="9"/>
        <v>0</v>
      </c>
      <c r="G34" s="197" t="e">
        <f t="shared" ca="1" si="10"/>
        <v>#NAME?</v>
      </c>
      <c r="H34" s="197" t="e">
        <f t="shared" ca="1" si="11"/>
        <v>#NAME?</v>
      </c>
      <c r="I34" s="246">
        <f t="shared" ca="1" si="12"/>
        <v>0</v>
      </c>
    </row>
    <row r="35" spans="1:9" ht="20.100000000000001" customHeight="1" x14ac:dyDescent="0.2">
      <c r="A35" s="219">
        <f>Datos!A51</f>
        <v>18</v>
      </c>
      <c r="B35" s="132" t="str">
        <f t="shared" si="6"/>
        <v>CONSTRUCCIÓN DE CANAL IMPERMEABILIZADO DE HORMIGÓN</v>
      </c>
      <c r="C35" s="242"/>
      <c r="D35" s="243" t="str">
        <f t="shared" si="7"/>
        <v>m</v>
      </c>
      <c r="E35" s="244">
        <f t="shared" si="8"/>
        <v>693.5</v>
      </c>
      <c r="F35" s="245">
        <f t="shared" si="9"/>
        <v>0</v>
      </c>
      <c r="G35" s="197" t="e">
        <f t="shared" ca="1" si="10"/>
        <v>#NAME?</v>
      </c>
      <c r="H35" s="197" t="e">
        <f t="shared" ca="1" si="11"/>
        <v>#NAME?</v>
      </c>
      <c r="I35" s="246">
        <f t="shared" ca="1" si="12"/>
        <v>0</v>
      </c>
    </row>
    <row r="36" spans="1:9" ht="20.100000000000001" customHeight="1" x14ac:dyDescent="0.2">
      <c r="A36" s="219">
        <f>Datos!A52</f>
        <v>19</v>
      </c>
      <c r="B36" s="132" t="str">
        <f t="shared" si="6"/>
        <v>CONSTRUCCIÓN DE CUNETA IMPERMEABILIZADA DE HORMIGÓN</v>
      </c>
      <c r="C36" s="242"/>
      <c r="D36" s="243" t="str">
        <f t="shared" si="7"/>
        <v>m</v>
      </c>
      <c r="E36" s="244">
        <f t="shared" si="8"/>
        <v>6285.5</v>
      </c>
      <c r="F36" s="245">
        <f t="shared" si="9"/>
        <v>0</v>
      </c>
      <c r="G36" s="197" t="e">
        <f t="shared" ca="1" si="10"/>
        <v>#NAME?</v>
      </c>
      <c r="H36" s="197" t="e">
        <f t="shared" ca="1" si="11"/>
        <v>#NAME?</v>
      </c>
      <c r="I36" s="246">
        <f t="shared" ca="1" si="12"/>
        <v>0</v>
      </c>
    </row>
    <row r="37" spans="1:9" ht="20.100000000000001" customHeight="1" x14ac:dyDescent="0.2">
      <c r="A37" s="219">
        <f>Datos!A53</f>
        <v>20</v>
      </c>
      <c r="B37" s="132" t="str">
        <f t="shared" si="6"/>
        <v>CONSTRUCCIÓN DE COMPARTO</v>
      </c>
      <c r="C37" s="242"/>
      <c r="D37" s="243" t="str">
        <f t="shared" si="7"/>
        <v>N°</v>
      </c>
      <c r="E37" s="244">
        <f t="shared" si="8"/>
        <v>7</v>
      </c>
      <c r="F37" s="245">
        <f t="shared" si="9"/>
        <v>0</v>
      </c>
      <c r="G37" s="197" t="e">
        <f t="shared" ca="1" si="10"/>
        <v>#NAME?</v>
      </c>
      <c r="H37" s="197" t="e">
        <f t="shared" ca="1" si="11"/>
        <v>#NAME?</v>
      </c>
      <c r="I37" s="246">
        <f t="shared" ca="1" si="12"/>
        <v>0</v>
      </c>
    </row>
    <row r="38" spans="1:9" ht="20.100000000000001" customHeight="1" x14ac:dyDescent="0.2">
      <c r="A38" s="219">
        <f>Datos!A54</f>
        <v>21</v>
      </c>
      <c r="B38" s="132" t="str">
        <f t="shared" si="6"/>
        <v>CONSTRUCCIÓN DE ALAMABRADO SEGÚN PLANO TIPO H-2840-I, TIPO "C"</v>
      </c>
      <c r="C38" s="242"/>
      <c r="D38" s="243" t="str">
        <f t="shared" si="7"/>
        <v>m</v>
      </c>
      <c r="E38" s="244">
        <f t="shared" si="8"/>
        <v>864.5</v>
      </c>
      <c r="F38" s="245">
        <f t="shared" si="9"/>
        <v>0</v>
      </c>
      <c r="G38" s="197" t="e">
        <f t="shared" ca="1" si="10"/>
        <v>#NAME?</v>
      </c>
      <c r="H38" s="197" t="e">
        <f t="shared" ca="1" si="11"/>
        <v>#NAME?</v>
      </c>
      <c r="I38" s="246">
        <f t="shared" ca="1" si="12"/>
        <v>0</v>
      </c>
    </row>
    <row r="39" spans="1:9" ht="20.100000000000001" customHeight="1" x14ac:dyDescent="0.2">
      <c r="A39" s="219">
        <f>Datos!A55</f>
        <v>22</v>
      </c>
      <c r="B39" s="132" t="str">
        <f t="shared" si="6"/>
        <v>COLOCACIÓN DE TRANQUERA s/PLANO TIPO J-5084 TIPO "A"</v>
      </c>
      <c r="C39" s="242"/>
      <c r="D39" s="243" t="str">
        <f t="shared" si="7"/>
        <v>N°</v>
      </c>
      <c r="E39" s="244">
        <f t="shared" si="8"/>
        <v>8</v>
      </c>
      <c r="F39" s="245">
        <f t="shared" si="9"/>
        <v>0</v>
      </c>
      <c r="G39" s="197" t="e">
        <f t="shared" ca="1" si="10"/>
        <v>#NAME?</v>
      </c>
      <c r="H39" s="197" t="e">
        <f t="shared" ca="1" si="11"/>
        <v>#NAME?</v>
      </c>
      <c r="I39" s="246">
        <f t="shared" ca="1" si="12"/>
        <v>0</v>
      </c>
    </row>
    <row r="40" spans="1:9" ht="20.100000000000001" customHeight="1" x14ac:dyDescent="0.2">
      <c r="A40" s="219">
        <f>Datos!A56</f>
        <v>23</v>
      </c>
      <c r="B40" s="132" t="str">
        <f t="shared" si="6"/>
        <v>SEÑALAMIENTO VERTICAL REFLECTIVO</v>
      </c>
      <c r="C40" s="242"/>
      <c r="D40" s="243" t="str">
        <f t="shared" si="7"/>
        <v>m²</v>
      </c>
      <c r="E40" s="244">
        <f t="shared" si="8"/>
        <v>7.42</v>
      </c>
      <c r="F40" s="245">
        <f t="shared" si="9"/>
        <v>0</v>
      </c>
      <c r="G40" s="197" t="e">
        <f t="shared" ca="1" si="10"/>
        <v>#NAME?</v>
      </c>
      <c r="H40" s="197" t="e">
        <f t="shared" ca="1" si="11"/>
        <v>#NAME?</v>
      </c>
      <c r="I40" s="246">
        <f t="shared" ca="1" si="12"/>
        <v>0</v>
      </c>
    </row>
    <row r="41" spans="1:9" ht="20.100000000000001" customHeight="1" x14ac:dyDescent="0.2">
      <c r="A41" s="219">
        <f>Datos!A57</f>
        <v>24</v>
      </c>
      <c r="B41" s="132" t="str">
        <f t="shared" si="6"/>
        <v>SEÑALAMIENTO HORIZONTAL
Con material termoplástico reflectante</v>
      </c>
      <c r="C41" s="242"/>
      <c r="D41" s="243">
        <f t="shared" si="7"/>
        <v>0</v>
      </c>
      <c r="E41" s="244">
        <f t="shared" si="8"/>
        <v>0</v>
      </c>
      <c r="F41" s="245">
        <f t="shared" si="9"/>
        <v>0</v>
      </c>
      <c r="G41" s="197" t="e">
        <f t="shared" ca="1" si="10"/>
        <v>#NAME?</v>
      </c>
      <c r="H41" s="197" t="e">
        <f t="shared" ca="1" si="11"/>
        <v>#NAME?</v>
      </c>
      <c r="I41" s="246">
        <f t="shared" ca="1" si="12"/>
        <v>0</v>
      </c>
    </row>
    <row r="42" spans="1:9" ht="20.100000000000001" customHeight="1" x14ac:dyDescent="0.2">
      <c r="A42" s="219" t="str">
        <f>Datos!A58</f>
        <v>24.a</v>
      </c>
      <c r="B42" s="132" t="str">
        <f t="shared" si="6"/>
        <v xml:space="preserve">   Por Pulverización</v>
      </c>
      <c r="C42" s="242"/>
      <c r="D42" s="243" t="str">
        <f t="shared" si="7"/>
        <v>m2</v>
      </c>
      <c r="E42" s="244">
        <f t="shared" si="8"/>
        <v>766.46</v>
      </c>
      <c r="F42" s="245">
        <f t="shared" si="9"/>
        <v>0</v>
      </c>
      <c r="G42" s="197" t="e">
        <f t="shared" ca="1" si="10"/>
        <v>#NAME?</v>
      </c>
      <c r="H42" s="197" t="e">
        <f t="shared" ca="1" si="11"/>
        <v>#NAME?</v>
      </c>
      <c r="I42" s="246">
        <f t="shared" ca="1" si="12"/>
        <v>0</v>
      </c>
    </row>
    <row r="43" spans="1:9" ht="20.100000000000001" customHeight="1" x14ac:dyDescent="0.2">
      <c r="A43" s="219" t="str">
        <f>Datos!A59</f>
        <v>24.b</v>
      </c>
      <c r="B43" s="132" t="str">
        <f t="shared" si="6"/>
        <v xml:space="preserve">   Por Extrusión</v>
      </c>
      <c r="C43" s="242"/>
      <c r="D43" s="243" t="str">
        <f t="shared" si="7"/>
        <v>m2</v>
      </c>
      <c r="E43" s="244">
        <f t="shared" si="8"/>
        <v>117.84</v>
      </c>
      <c r="F43" s="245">
        <f t="shared" si="9"/>
        <v>0</v>
      </c>
      <c r="G43" s="197" t="e">
        <f t="shared" ca="1" si="10"/>
        <v>#NAME?</v>
      </c>
      <c r="H43" s="197" t="e">
        <f t="shared" ca="1" si="11"/>
        <v>#NAME?</v>
      </c>
      <c r="I43" s="246">
        <f t="shared" ca="1" si="12"/>
        <v>0</v>
      </c>
    </row>
    <row r="44" spans="1:9" ht="20.100000000000001" customHeight="1" x14ac:dyDescent="0.2">
      <c r="A44" s="219">
        <f>Datos!A60</f>
        <v>25</v>
      </c>
      <c r="B44" s="132" t="str">
        <f t="shared" si="6"/>
        <v>DEMOLICIÓN DE CANAL DE HORMIGÓN Y OBRAS COMPLEMENTARIAS</v>
      </c>
      <c r="C44" s="242"/>
      <c r="D44" s="243" t="str">
        <f t="shared" si="7"/>
        <v>m</v>
      </c>
      <c r="E44" s="244">
        <f t="shared" si="8"/>
        <v>1443</v>
      </c>
      <c r="F44" s="245">
        <f t="shared" si="9"/>
        <v>0</v>
      </c>
      <c r="G44" s="197" t="e">
        <f t="shared" ca="1" si="10"/>
        <v>#NAME?</v>
      </c>
      <c r="H44" s="197" t="e">
        <f t="shared" ca="1" si="11"/>
        <v>#NAME?</v>
      </c>
      <c r="I44" s="246">
        <f t="shared" ca="1" si="12"/>
        <v>0</v>
      </c>
    </row>
    <row r="45" spans="1:9" ht="20.100000000000001" customHeight="1" x14ac:dyDescent="0.2">
      <c r="A45" s="219">
        <f>Datos!A61</f>
        <v>26</v>
      </c>
      <c r="B45" s="132" t="str">
        <f t="shared" si="6"/>
        <v>RETIRO DE ALAMBRADO EXISTENTE</v>
      </c>
      <c r="C45" s="242"/>
      <c r="D45" s="243" t="str">
        <f t="shared" si="7"/>
        <v>m</v>
      </c>
      <c r="E45" s="244">
        <f t="shared" si="8"/>
        <v>746</v>
      </c>
      <c r="F45" s="245">
        <f t="shared" si="9"/>
        <v>0</v>
      </c>
      <c r="G45" s="197" t="e">
        <f t="shared" ca="1" si="10"/>
        <v>#NAME?</v>
      </c>
      <c r="H45" s="197" t="e">
        <f t="shared" ca="1" si="11"/>
        <v>#NAME?</v>
      </c>
      <c r="I45" s="246">
        <f t="shared" ca="1" si="12"/>
        <v>0</v>
      </c>
    </row>
    <row r="46" spans="1:9" ht="20.100000000000001" customHeight="1" x14ac:dyDescent="0.2">
      <c r="A46" s="219">
        <f>Datos!A62</f>
        <v>27</v>
      </c>
      <c r="B46" s="132" t="str">
        <f t="shared" si="6"/>
        <v>LIMPIEZA DE CANAL EXISTENTE</v>
      </c>
      <c r="C46" s="242"/>
      <c r="D46" s="243" t="str">
        <f t="shared" si="7"/>
        <v>m</v>
      </c>
      <c r="E46" s="244">
        <f t="shared" si="8"/>
        <v>70</v>
      </c>
      <c r="F46" s="245">
        <f t="shared" si="9"/>
        <v>0</v>
      </c>
      <c r="G46" s="197" t="e">
        <f t="shared" ca="1" si="10"/>
        <v>#NAME?</v>
      </c>
      <c r="H46" s="197" t="e">
        <f t="shared" ca="1" si="11"/>
        <v>#NAME?</v>
      </c>
      <c r="I46" s="246">
        <f t="shared" ca="1" si="12"/>
        <v>0</v>
      </c>
    </row>
    <row r="47" spans="1:9" ht="20.100000000000001" customHeight="1" x14ac:dyDescent="0.2">
      <c r="A47" s="219">
        <f>Datos!A63</f>
        <v>28</v>
      </c>
      <c r="B47" s="132" t="str">
        <f t="shared" si="6"/>
        <v>DEMOLICIÓN DE OBRAS VARIAS</v>
      </c>
      <c r="C47" s="242"/>
      <c r="D47" s="243" t="str">
        <f t="shared" si="7"/>
        <v>Gl</v>
      </c>
      <c r="E47" s="244">
        <f t="shared" si="8"/>
        <v>1</v>
      </c>
      <c r="F47" s="245">
        <f t="shared" si="9"/>
        <v>0</v>
      </c>
      <c r="G47" s="197" t="e">
        <f t="shared" ca="1" si="10"/>
        <v>#NAME?</v>
      </c>
      <c r="H47" s="197" t="e">
        <f t="shared" ca="1" si="11"/>
        <v>#NAME?</v>
      </c>
      <c r="I47" s="246">
        <f t="shared" ca="1" si="12"/>
        <v>0</v>
      </c>
    </row>
    <row r="48" spans="1:9" ht="20.100000000000001" customHeight="1" x14ac:dyDescent="0.2">
      <c r="A48" s="219">
        <f>Datos!A64</f>
        <v>29</v>
      </c>
      <c r="B48" s="132" t="str">
        <f t="shared" si="6"/>
        <v>RETIRO Y REUBICACIÓN DE INSTALACIONES DE SEMÁFOROS</v>
      </c>
      <c r="C48" s="242"/>
      <c r="D48" s="243" t="str">
        <f t="shared" si="7"/>
        <v>Gl</v>
      </c>
      <c r="E48" s="244">
        <f t="shared" si="8"/>
        <v>1</v>
      </c>
      <c r="F48" s="245">
        <f t="shared" si="9"/>
        <v>0</v>
      </c>
      <c r="G48" s="197" t="e">
        <f t="shared" ca="1" si="10"/>
        <v>#NAME?</v>
      </c>
      <c r="H48" s="197" t="e">
        <f t="shared" ca="1" si="11"/>
        <v>#NAME?</v>
      </c>
      <c r="I48" s="246">
        <f t="shared" ca="1" si="12"/>
        <v>0</v>
      </c>
    </row>
    <row r="49" spans="1:9" ht="20.100000000000001" customHeight="1" x14ac:dyDescent="0.2">
      <c r="A49" s="219">
        <f>Datos!A65</f>
        <v>30</v>
      </c>
      <c r="B49" s="132" t="str">
        <f t="shared" si="6"/>
        <v>RETIRO DE LÍNEA ELÉCTRICA Y POSTES DE ALUMBRADO PÚBLICO EXISTENTES</v>
      </c>
      <c r="C49" s="242"/>
      <c r="D49" s="243" t="str">
        <f t="shared" si="7"/>
        <v>Gl</v>
      </c>
      <c r="E49" s="244">
        <f t="shared" si="8"/>
        <v>1</v>
      </c>
      <c r="F49" s="245">
        <f t="shared" si="9"/>
        <v>0</v>
      </c>
      <c r="G49" s="197" t="e">
        <f t="shared" ca="1" si="10"/>
        <v>#NAME?</v>
      </c>
      <c r="H49" s="197" t="e">
        <f t="shared" ca="1" si="11"/>
        <v>#NAME?</v>
      </c>
      <c r="I49" s="246">
        <f t="shared" ca="1" si="12"/>
        <v>0</v>
      </c>
    </row>
    <row r="50" spans="1:9" ht="20.100000000000001" customHeight="1" x14ac:dyDescent="0.2">
      <c r="A50" s="219">
        <f>Datos!A66</f>
        <v>31</v>
      </c>
      <c r="B50" s="132" t="str">
        <f t="shared" si="6"/>
        <v>TRASLADO Y/O REUBICACIÓN  DE LÍNEAS ELÉCTRICAS</v>
      </c>
      <c r="C50" s="242"/>
      <c r="D50" s="243" t="str">
        <f t="shared" si="7"/>
        <v>Gl</v>
      </c>
      <c r="E50" s="244">
        <f t="shared" si="8"/>
        <v>1</v>
      </c>
      <c r="F50" s="245">
        <f t="shared" si="9"/>
        <v>0</v>
      </c>
      <c r="G50" s="197" t="e">
        <f t="shared" ca="1" si="10"/>
        <v>#NAME?</v>
      </c>
      <c r="H50" s="197" t="e">
        <f t="shared" ca="1" si="11"/>
        <v>#NAME?</v>
      </c>
      <c r="I50" s="246">
        <f t="shared" ca="1" si="12"/>
        <v>0</v>
      </c>
    </row>
    <row r="51" spans="1:9" ht="20.100000000000001" customHeight="1" x14ac:dyDescent="0.2">
      <c r="A51" s="219">
        <f>Datos!A67</f>
        <v>32</v>
      </c>
      <c r="B51" s="132" t="str">
        <f t="shared" si="6"/>
        <v>PROYECTO Y CONSTRUCCIÓN DE CANAL IMPERMEABILIZADO DE HORMIGÓN</v>
      </c>
      <c r="C51" s="242"/>
      <c r="D51" s="243" t="str">
        <f t="shared" si="7"/>
        <v>Gl</v>
      </c>
      <c r="E51" s="244">
        <f t="shared" si="8"/>
        <v>1</v>
      </c>
      <c r="F51" s="245">
        <f t="shared" si="9"/>
        <v>0</v>
      </c>
      <c r="G51" s="197" t="e">
        <f t="shared" ca="1" si="10"/>
        <v>#NAME?</v>
      </c>
      <c r="H51" s="197" t="e">
        <f t="shared" ca="1" si="11"/>
        <v>#NAME?</v>
      </c>
      <c r="I51" s="246">
        <f t="shared" ca="1" si="12"/>
        <v>0</v>
      </c>
    </row>
    <row r="52" spans="1:9" ht="20.100000000000001" customHeight="1" x14ac:dyDescent="0.2">
      <c r="A52" s="219">
        <f>Datos!A68</f>
        <v>33</v>
      </c>
      <c r="B52" s="132" t="str">
        <f t="shared" si="6"/>
        <v>AMPLIACIÓN Y MEJORAMIENTO DE RED DE AGUA POTABLE</v>
      </c>
      <c r="C52" s="242"/>
      <c r="D52" s="243" t="str">
        <f t="shared" si="7"/>
        <v>Gl</v>
      </c>
      <c r="E52" s="244">
        <f t="shared" si="8"/>
        <v>1</v>
      </c>
      <c r="F52" s="245">
        <f t="shared" si="9"/>
        <v>0</v>
      </c>
      <c r="G52" s="197" t="e">
        <f t="shared" ca="1" si="10"/>
        <v>#NAME?</v>
      </c>
      <c r="H52" s="197" t="e">
        <f t="shared" ca="1" si="11"/>
        <v>#NAME?</v>
      </c>
      <c r="I52" s="246">
        <f t="shared" ca="1" si="12"/>
        <v>0</v>
      </c>
    </row>
    <row r="53" spans="1:9" ht="20.100000000000001" customHeight="1" x14ac:dyDescent="0.2">
      <c r="A53" s="219">
        <f>Datos!A69</f>
        <v>34</v>
      </c>
      <c r="B53" s="132" t="str">
        <f t="shared" si="6"/>
        <v>PROYECYO Y CONSTRUCCIÓN DE OBRAS DE ILUMINACIÓN</v>
      </c>
      <c r="C53" s="242"/>
      <c r="D53" s="243" t="str">
        <f t="shared" si="7"/>
        <v>Gl</v>
      </c>
      <c r="E53" s="244">
        <f t="shared" si="8"/>
        <v>1</v>
      </c>
      <c r="F53" s="245">
        <f t="shared" si="9"/>
        <v>0</v>
      </c>
      <c r="G53" s="197" t="e">
        <f t="shared" ca="1" si="10"/>
        <v>#NAME?</v>
      </c>
      <c r="H53" s="197" t="e">
        <f t="shared" ca="1" si="11"/>
        <v>#NAME?</v>
      </c>
      <c r="I53" s="246">
        <f t="shared" ca="1" si="12"/>
        <v>0</v>
      </c>
    </row>
    <row r="54" spans="1:9" ht="20.100000000000001" customHeight="1" x14ac:dyDescent="0.2">
      <c r="A54" s="219">
        <f>Datos!A70</f>
        <v>35</v>
      </c>
      <c r="B54" s="132" t="str">
        <f t="shared" si="6"/>
        <v>CUMPLIMIENTO MANEJO AMBIENTAL</v>
      </c>
      <c r="C54" s="242"/>
      <c r="D54" s="243" t="str">
        <f t="shared" si="7"/>
        <v>Mes</v>
      </c>
      <c r="E54" s="244">
        <f t="shared" si="8"/>
        <v>12</v>
      </c>
      <c r="F54" s="245">
        <f t="shared" si="9"/>
        <v>0</v>
      </c>
      <c r="G54" s="197" t="e">
        <f t="shared" ca="1" si="10"/>
        <v>#NAME?</v>
      </c>
      <c r="H54" s="197" t="e">
        <f t="shared" ca="1" si="11"/>
        <v>#NAME?</v>
      </c>
      <c r="I54" s="246">
        <f t="shared" ca="1" si="12"/>
        <v>0</v>
      </c>
    </row>
    <row r="55" spans="1:9" ht="20.100000000000001" customHeight="1" x14ac:dyDescent="0.2">
      <c r="A55" s="219">
        <f>Datos!A71</f>
        <v>36</v>
      </c>
      <c r="B55" s="132" t="str">
        <f t="shared" si="6"/>
        <v>PROVISIÓN DE MOVILIDAD PARA EL PERSONAL DE LA INSPECCIÓN</v>
      </c>
      <c r="C55" s="242"/>
      <c r="D55" s="243">
        <f t="shared" si="7"/>
        <v>0</v>
      </c>
      <c r="E55" s="244">
        <f t="shared" si="8"/>
        <v>0</v>
      </c>
      <c r="F55" s="245">
        <f t="shared" si="9"/>
        <v>0</v>
      </c>
      <c r="G55" s="197" t="e">
        <f t="shared" ca="1" si="10"/>
        <v>#NAME?</v>
      </c>
      <c r="H55" s="197" t="e">
        <f t="shared" ca="1" si="11"/>
        <v>#NAME?</v>
      </c>
      <c r="I55" s="246">
        <f t="shared" ca="1" si="12"/>
        <v>0</v>
      </c>
    </row>
    <row r="56" spans="1:9" ht="20.100000000000001" customHeight="1" x14ac:dyDescent="0.2">
      <c r="A56" s="219" t="str">
        <f>Datos!A72</f>
        <v>36.a</v>
      </c>
      <c r="B56" s="132" t="str">
        <f t="shared" si="6"/>
        <v>Cuota Mensual</v>
      </c>
      <c r="C56" s="242"/>
      <c r="D56" s="243" t="str">
        <f t="shared" si="7"/>
        <v>Mes</v>
      </c>
      <c r="E56" s="244">
        <f t="shared" si="8"/>
        <v>24</v>
      </c>
      <c r="F56" s="245">
        <f t="shared" si="9"/>
        <v>0</v>
      </c>
      <c r="G56" s="197" t="e">
        <f t="shared" ca="1" si="10"/>
        <v>#NAME?</v>
      </c>
      <c r="H56" s="197" t="e">
        <f t="shared" ca="1" si="11"/>
        <v>#NAME?</v>
      </c>
      <c r="I56" s="246">
        <f t="shared" ca="1" si="12"/>
        <v>0</v>
      </c>
    </row>
    <row r="57" spans="1:9" ht="20.100000000000001" customHeight="1" x14ac:dyDescent="0.2">
      <c r="A57" s="219" t="str">
        <f>Datos!A73</f>
        <v>36.b</v>
      </c>
      <c r="B57" s="132" t="str">
        <f t="shared" si="6"/>
        <v>Adicional por Kilómetro</v>
      </c>
      <c r="C57" s="242"/>
      <c r="D57" s="243" t="str">
        <f t="shared" si="7"/>
        <v>km</v>
      </c>
      <c r="E57" s="244">
        <f t="shared" si="8"/>
        <v>40000</v>
      </c>
      <c r="F57" s="245">
        <f t="shared" si="9"/>
        <v>0</v>
      </c>
      <c r="G57" s="197" t="e">
        <f t="shared" ca="1" si="10"/>
        <v>#NAME?</v>
      </c>
      <c r="H57" s="197" t="e">
        <f t="shared" ca="1" si="11"/>
        <v>#NAME?</v>
      </c>
      <c r="I57" s="246">
        <f t="shared" ca="1" si="12"/>
        <v>0</v>
      </c>
    </row>
    <row r="58" spans="1:9" ht="20.100000000000001" customHeight="1" x14ac:dyDescent="0.2">
      <c r="A58" s="219">
        <f>Datos!A74</f>
        <v>37</v>
      </c>
      <c r="B58" s="132" t="str">
        <f t="shared" si="6"/>
        <v>MOVILIZACIÓN DE OBRA</v>
      </c>
      <c r="C58" s="242"/>
      <c r="D58" s="243" t="str">
        <f t="shared" si="7"/>
        <v>Gl</v>
      </c>
      <c r="E58" s="244">
        <f t="shared" si="8"/>
        <v>1</v>
      </c>
      <c r="F58" s="245">
        <f t="shared" si="9"/>
        <v>0</v>
      </c>
      <c r="G58" s="197" t="e">
        <f t="shared" ca="1" si="10"/>
        <v>#NAME?</v>
      </c>
      <c r="H58" s="197" t="e">
        <f t="shared" ca="1" si="11"/>
        <v>#NAME?</v>
      </c>
      <c r="I58" s="246">
        <f t="shared" ca="1" si="12"/>
        <v>0</v>
      </c>
    </row>
    <row r="59" spans="1:9" ht="20.100000000000001" customHeight="1" x14ac:dyDescent="0.2">
      <c r="A59" s="247"/>
      <c r="B59" s="248"/>
      <c r="C59" s="249"/>
      <c r="D59" s="250"/>
      <c r="E59" s="251"/>
      <c r="F59" s="252"/>
      <c r="G59" s="252"/>
      <c r="I59" s="253"/>
    </row>
    <row r="60" spans="1:9" ht="20.100000000000001" customHeight="1" x14ac:dyDescent="0.2">
      <c r="A60" s="254" t="s">
        <v>3</v>
      </c>
      <c r="B60" s="705" t="s">
        <v>1873</v>
      </c>
      <c r="C60" s="255"/>
      <c r="D60" s="255"/>
      <c r="E60" s="704" t="s">
        <v>980</v>
      </c>
      <c r="F60" s="706">
        <f>ROUND(SUMPRODUCT(E18:E58,F18:F58),2)</f>
        <v>0</v>
      </c>
      <c r="G60" s="707"/>
      <c r="H60" s="609" t="e">
        <f ca="1">SUM(H18:H58)</f>
        <v>#NAME?</v>
      </c>
      <c r="I60" s="256">
        <f ca="1">SUM(I18:I59)</f>
        <v>0</v>
      </c>
    </row>
    <row r="61" spans="1:9" ht="20.100000000000001" customHeight="1" thickBot="1" x14ac:dyDescent="0.25">
      <c r="G61" s="257"/>
    </row>
    <row r="62" spans="1:9" ht="20.100000000000001" customHeight="1" thickTop="1" x14ac:dyDescent="0.2">
      <c r="A62" s="258" t="s">
        <v>907</v>
      </c>
      <c r="B62" s="259" t="s">
        <v>981</v>
      </c>
      <c r="C62" s="260"/>
      <c r="D62" s="261"/>
      <c r="E62" s="262"/>
      <c r="F62" s="263"/>
      <c r="G62" s="262"/>
      <c r="H62" s="264" t="e">
        <f ca="1">ROUND(H65/(1+Beneficio)-GG_Pesos,2)</f>
        <v>#NAME?</v>
      </c>
      <c r="I62" s="265"/>
    </row>
    <row r="63" spans="1:9" ht="20.100000000000001" customHeight="1" x14ac:dyDescent="0.2">
      <c r="A63" s="266" t="s">
        <v>908</v>
      </c>
      <c r="B63" s="267" t="str">
        <f>CONCATENATE("GASTOS GENERALES  ",ROUND(E63*100,3)," % de ( 1 )")</f>
        <v>GASTOS GENERALES  0 % de ( 1 )</v>
      </c>
      <c r="C63" s="267"/>
      <c r="D63" s="268"/>
      <c r="E63" s="269">
        <f>GG_Porcentaje</f>
        <v>0</v>
      </c>
      <c r="F63" s="133"/>
      <c r="G63" s="222"/>
      <c r="H63" s="270">
        <f>IF(GG_Pesos=0,ROUND(GG_Porcentaje*Costo_Obra,2),GG_Pesos)</f>
        <v>0</v>
      </c>
      <c r="I63" s="268"/>
    </row>
    <row r="64" spans="1:9" ht="20.100000000000001" customHeight="1" x14ac:dyDescent="0.2">
      <c r="A64" s="266" t="s">
        <v>909</v>
      </c>
      <c r="B64" s="267" t="str">
        <f>CONCATENATE("BENEFICIOS  ",ROUND(E64*100,2)," % de ( 1 + 2 )")</f>
        <v>BENEFICIOS  0 % de ( 1 + 2 )</v>
      </c>
      <c r="C64" s="267"/>
      <c r="D64" s="268"/>
      <c r="E64" s="269">
        <f>Beneficio</f>
        <v>0</v>
      </c>
      <c r="F64" s="133"/>
      <c r="G64" s="222"/>
      <c r="H64" s="270">
        <f>IF(Beneficio=0,,ROUND(Beneficio*(Costo_Obra),2))</f>
        <v>0</v>
      </c>
      <c r="I64" s="268"/>
    </row>
    <row r="65" spans="1:9" ht="20.100000000000001" customHeight="1" x14ac:dyDescent="0.2">
      <c r="A65" s="266" t="s">
        <v>910</v>
      </c>
      <c r="B65" s="271" t="s">
        <v>11</v>
      </c>
      <c r="C65" s="272"/>
      <c r="D65" s="268"/>
      <c r="E65" s="222"/>
      <c r="F65" s="133"/>
      <c r="G65" s="222"/>
      <c r="H65" s="270" t="e">
        <f ca="1">ROUND(Monto_Oferta/(1+IVA+Ingresos_Brutos),2)</f>
        <v>#NAME?</v>
      </c>
      <c r="I65" s="268"/>
    </row>
    <row r="66" spans="1:9" ht="20.100000000000001" customHeight="1" x14ac:dyDescent="0.2">
      <c r="A66" s="266" t="s">
        <v>911</v>
      </c>
      <c r="B66" s="267" t="str">
        <f>CONCATENATE("INGRESOS BRUTOS Y LOTE HOGAR  ",ROUND(E66*100,2)," % de ( 4 )")</f>
        <v>INGRESOS BRUTOS Y LOTE HOGAR  0 % de ( 4 )</v>
      </c>
      <c r="C66" s="267"/>
      <c r="D66" s="268"/>
      <c r="E66" s="269">
        <f>Ingresos_Brutos</f>
        <v>0</v>
      </c>
      <c r="F66" s="133"/>
      <c r="G66" s="222"/>
      <c r="H66" s="270">
        <f>IF(Ingresos_Brutos=0,,ROUND(Ingresos_Brutos*H65,2))</f>
        <v>0</v>
      </c>
      <c r="I66" s="268"/>
    </row>
    <row r="67" spans="1:9" ht="20.100000000000001" customHeight="1" thickBot="1" x14ac:dyDescent="0.25">
      <c r="A67" s="273" t="s">
        <v>912</v>
      </c>
      <c r="B67" s="274" t="str">
        <f>CONCATENATE("IMPUESTO AL VALOR AGREGADO ",E67*100," % de ( 4 )")</f>
        <v>IMPUESTO AL VALOR AGREGADO 0 % de ( 4 )</v>
      </c>
      <c r="C67" s="274"/>
      <c r="D67" s="275"/>
      <c r="E67" s="276">
        <f>IVA</f>
        <v>0</v>
      </c>
      <c r="F67" s="277"/>
      <c r="G67" s="278"/>
      <c r="H67" s="279">
        <f>IF(IVA=0,,ROUND(IVA*H65,2))</f>
        <v>0</v>
      </c>
      <c r="I67" s="268"/>
    </row>
    <row r="68" spans="1:9" ht="20.100000000000001" customHeight="1" thickTop="1" x14ac:dyDescent="0.2">
      <c r="A68" s="280"/>
      <c r="B68" s="267"/>
      <c r="C68" s="267"/>
      <c r="D68" s="268"/>
      <c r="E68" s="269"/>
      <c r="F68" s="133"/>
      <c r="H68" s="281"/>
      <c r="I68" s="268"/>
    </row>
    <row r="69" spans="1:9" ht="20.100000000000001" customHeight="1" x14ac:dyDescent="0.2">
      <c r="A69" s="282"/>
      <c r="B69" s="282" t="s">
        <v>12</v>
      </c>
      <c r="C69" s="282"/>
      <c r="D69" s="268"/>
      <c r="E69" s="222"/>
      <c r="F69" s="133"/>
      <c r="H69" s="281" t="e">
        <f ca="1">Monto_Oferta</f>
        <v>#NAME?</v>
      </c>
      <c r="I69" s="268"/>
    </row>
    <row r="70" spans="1:9" ht="20.100000000000001" customHeight="1" x14ac:dyDescent="0.2">
      <c r="I70" s="283"/>
    </row>
    <row r="71" spans="1:9" ht="60" customHeight="1" x14ac:dyDescent="0.2">
      <c r="B71" s="725" t="e">
        <f ca="1">"El presente presupuesto asciende a la suma de: " &amp; UPPER(CONVERTIRNUM(Monto_Oferta))</f>
        <v>#NAME?</v>
      </c>
      <c r="C71" s="725"/>
      <c r="D71" s="725"/>
      <c r="E71" s="725"/>
      <c r="F71" s="725"/>
      <c r="G71" s="725"/>
      <c r="H71" s="725"/>
      <c r="I71" s="725"/>
    </row>
    <row r="72" spans="1:9" x14ac:dyDescent="0.2">
      <c r="A72" s="134" t="s">
        <v>953</v>
      </c>
    </row>
    <row r="235" spans="2:2" x14ac:dyDescent="0.2">
      <c r="B235" s="236">
        <v>4</v>
      </c>
    </row>
    <row r="285" spans="2:2" x14ac:dyDescent="0.2">
      <c r="B285" s="236">
        <v>4</v>
      </c>
    </row>
    <row r="335" spans="2:2" x14ac:dyDescent="0.2">
      <c r="B335" s="236">
        <v>4</v>
      </c>
    </row>
    <row r="385" spans="2:2" x14ac:dyDescent="0.2">
      <c r="B385" s="236">
        <v>4</v>
      </c>
    </row>
    <row r="435" spans="2:2" x14ac:dyDescent="0.2">
      <c r="B435" s="236">
        <v>5</v>
      </c>
    </row>
    <row r="485" spans="2:2" x14ac:dyDescent="0.2">
      <c r="B485" s="236">
        <v>5</v>
      </c>
    </row>
    <row r="535" spans="2:2" x14ac:dyDescent="0.2">
      <c r="B535" s="236">
        <v>5</v>
      </c>
    </row>
    <row r="585" spans="2:2" x14ac:dyDescent="0.2">
      <c r="B585" s="236">
        <v>5</v>
      </c>
    </row>
    <row r="635" spans="2:2" x14ac:dyDescent="0.2">
      <c r="B635" s="236">
        <v>5</v>
      </c>
    </row>
    <row r="685" spans="2:2" x14ac:dyDescent="0.2">
      <c r="B685" s="236">
        <v>5</v>
      </c>
    </row>
    <row r="735" spans="2:2" x14ac:dyDescent="0.2">
      <c r="B735" s="236">
        <v>5</v>
      </c>
    </row>
    <row r="785" spans="2:2" x14ac:dyDescent="0.2">
      <c r="B785" s="236">
        <v>5</v>
      </c>
    </row>
    <row r="835" spans="2:2" x14ac:dyDescent="0.2">
      <c r="B835" s="236">
        <v>5</v>
      </c>
    </row>
    <row r="885" spans="2:2" x14ac:dyDescent="0.2">
      <c r="B885" s="236">
        <v>5</v>
      </c>
    </row>
    <row r="935" spans="2:2" x14ac:dyDescent="0.2">
      <c r="B935" s="236">
        <v>5</v>
      </c>
    </row>
    <row r="985" spans="2:2" x14ac:dyDescent="0.2">
      <c r="B985" s="236">
        <v>5</v>
      </c>
    </row>
    <row r="986" spans="2:2" x14ac:dyDescent="0.2">
      <c r="B986" s="236" t="str">
        <f>CyP!A42</f>
        <v>24.a</v>
      </c>
    </row>
    <row r="1035" spans="2:2" x14ac:dyDescent="0.2">
      <c r="B1035" s="236">
        <v>5</v>
      </c>
    </row>
    <row r="1036" spans="2:2" x14ac:dyDescent="0.2">
      <c r="B1036" s="236" t="str">
        <f>CyP!A43</f>
        <v>24.b</v>
      </c>
    </row>
    <row r="1085" spans="2:2" x14ac:dyDescent="0.2">
      <c r="B1085" s="236">
        <v>5</v>
      </c>
    </row>
    <row r="1086" spans="2:2" x14ac:dyDescent="0.2">
      <c r="B1086" s="236">
        <f>CyP!A44</f>
        <v>25</v>
      </c>
    </row>
    <row r="1135" spans="2:2" x14ac:dyDescent="0.2">
      <c r="B1135" s="236">
        <v>5</v>
      </c>
    </row>
    <row r="1136" spans="2:2" x14ac:dyDescent="0.2">
      <c r="B1136" s="236">
        <f>CyP!A45</f>
        <v>26</v>
      </c>
    </row>
    <row r="1186" spans="2:2" x14ac:dyDescent="0.2">
      <c r="B1186" s="236">
        <f>CyP!A46</f>
        <v>27</v>
      </c>
    </row>
    <row r="1235" spans="2:2" x14ac:dyDescent="0.2">
      <c r="B1235" s="236">
        <v>7</v>
      </c>
    </row>
    <row r="1236" spans="2:2" x14ac:dyDescent="0.2">
      <c r="B1236" s="236">
        <f>CyP!A48</f>
        <v>29</v>
      </c>
    </row>
    <row r="1286" spans="2:2" x14ac:dyDescent="0.2">
      <c r="B1286" s="236">
        <f>CyP!A49</f>
        <v>30</v>
      </c>
    </row>
    <row r="1335" spans="2:2" x14ac:dyDescent="0.2">
      <c r="B1335" s="236">
        <v>8</v>
      </c>
    </row>
    <row r="1336" spans="2:2" x14ac:dyDescent="0.2">
      <c r="B1336" s="236">
        <f>CyP!A51</f>
        <v>32</v>
      </c>
    </row>
    <row r="1385" spans="2:2" x14ac:dyDescent="0.2">
      <c r="B1385" s="236">
        <v>8</v>
      </c>
    </row>
    <row r="1386" spans="2:2" x14ac:dyDescent="0.2">
      <c r="B1386" s="236">
        <f>CyP!A52</f>
        <v>33</v>
      </c>
    </row>
    <row r="1435" spans="2:2" x14ac:dyDescent="0.2">
      <c r="B1435" s="236">
        <v>8</v>
      </c>
    </row>
    <row r="1436" spans="2:2" x14ac:dyDescent="0.2">
      <c r="B1436" s="236">
        <f>CyP!A53</f>
        <v>34</v>
      </c>
    </row>
    <row r="1485" spans="2:2" x14ac:dyDescent="0.2">
      <c r="B1485" s="236">
        <v>8</v>
      </c>
    </row>
    <row r="1486" spans="2:2" x14ac:dyDescent="0.2">
      <c r="B1486" s="236">
        <f>CyP!A54</f>
        <v>35</v>
      </c>
    </row>
    <row r="1535" spans="2:2" x14ac:dyDescent="0.2">
      <c r="B1535" s="236">
        <v>8</v>
      </c>
    </row>
    <row r="1536" spans="2:2" x14ac:dyDescent="0.2">
      <c r="B1536" s="236">
        <f>CyP!A55</f>
        <v>36</v>
      </c>
    </row>
    <row r="1586" spans="2:2" x14ac:dyDescent="0.2">
      <c r="B1586" s="236" t="str">
        <f>CyP!A56</f>
        <v>36.a</v>
      </c>
    </row>
    <row r="1636" spans="2:2" x14ac:dyDescent="0.2">
      <c r="B1636" s="236" t="str">
        <f>CyP!A57</f>
        <v>36.b</v>
      </c>
    </row>
    <row r="1686" spans="2:2" x14ac:dyDescent="0.2">
      <c r="B1686" s="236">
        <f>CyP!A58</f>
        <v>37</v>
      </c>
    </row>
    <row r="1735" spans="2:2" x14ac:dyDescent="0.2">
      <c r="B1735" s="236">
        <v>12</v>
      </c>
    </row>
    <row r="1736" spans="2:2" x14ac:dyDescent="0.2">
      <c r="B1736" s="236" t="e">
        <f>CyP!#REF!</f>
        <v>#REF!</v>
      </c>
    </row>
    <row r="1785" spans="2:2" x14ac:dyDescent="0.2">
      <c r="B1785" s="236">
        <v>12</v>
      </c>
    </row>
    <row r="1786" spans="2:2" x14ac:dyDescent="0.2">
      <c r="B1786" s="236" t="e">
        <f>CyP!#REF!</f>
        <v>#REF!</v>
      </c>
    </row>
    <row r="1835" spans="2:2" x14ac:dyDescent="0.2">
      <c r="B1835" s="236">
        <v>12</v>
      </c>
    </row>
    <row r="1836" spans="2:2" x14ac:dyDescent="0.2">
      <c r="B1836" s="236" t="e">
        <f>CyP!#REF!</f>
        <v>#REF!</v>
      </c>
    </row>
    <row r="1885" spans="2:2" x14ac:dyDescent="0.2">
      <c r="B1885" s="236">
        <v>12</v>
      </c>
    </row>
    <row r="1886" spans="2:2" x14ac:dyDescent="0.2">
      <c r="B1886" s="236" t="e">
        <f>CyP!#REF!</f>
        <v>#REF!</v>
      </c>
    </row>
    <row r="1935" spans="2:2" x14ac:dyDescent="0.2">
      <c r="B1935" s="236">
        <v>12</v>
      </c>
    </row>
    <row r="1936" spans="2:2" x14ac:dyDescent="0.2">
      <c r="B1936" s="236" t="e">
        <f>CyP!#REF!</f>
        <v>#REF!</v>
      </c>
    </row>
    <row r="1985" spans="2:2" x14ac:dyDescent="0.2">
      <c r="B1985" s="236">
        <v>13</v>
      </c>
    </row>
    <row r="1986" spans="2:2" x14ac:dyDescent="0.2">
      <c r="B1986" s="236" t="e">
        <f>CyP!#REF!</f>
        <v>#REF!</v>
      </c>
    </row>
    <row r="2035" spans="2:2" x14ac:dyDescent="0.2">
      <c r="B2035" s="236">
        <v>13</v>
      </c>
    </row>
    <row r="2036" spans="2:2" x14ac:dyDescent="0.2">
      <c r="B2036" s="236" t="e">
        <f>CyP!#REF!</f>
        <v>#REF!</v>
      </c>
    </row>
  </sheetData>
  <mergeCells count="9">
    <mergeCell ref="B71:I71"/>
    <mergeCell ref="F15:F16"/>
    <mergeCell ref="G15:G16"/>
    <mergeCell ref="A15:A16"/>
    <mergeCell ref="B15:C16"/>
    <mergeCell ref="D15:D16"/>
    <mergeCell ref="E15:E16"/>
    <mergeCell ref="I15:I16"/>
    <mergeCell ref="H15:H16"/>
  </mergeCells>
  <conditionalFormatting sqref="A63:D69 I70">
    <cfRule type="expression" dxfId="98" priority="272" stopIfTrue="1">
      <formula>#REF!=1</formula>
    </cfRule>
  </conditionalFormatting>
  <conditionalFormatting sqref="A18:A59">
    <cfRule type="expression" dxfId="97" priority="273" stopIfTrue="1">
      <formula>#REF!&gt;0</formula>
    </cfRule>
    <cfRule type="expression" dxfId="96" priority="274" stopIfTrue="1">
      <formula>#REF!&gt;0</formula>
    </cfRule>
    <cfRule type="expression" dxfId="95" priority="275" stopIfTrue="1">
      <formula>#REF!&gt;0</formula>
    </cfRule>
  </conditionalFormatting>
  <conditionalFormatting sqref="B59:C59 C18:C58">
    <cfRule type="expression" dxfId="94" priority="276" stopIfTrue="1">
      <formula>#REF!&gt;0</formula>
    </cfRule>
    <cfRule type="expression" dxfId="93" priority="277" stopIfTrue="1">
      <formula>#REF!&gt;0</formula>
    </cfRule>
    <cfRule type="expression" dxfId="92" priority="278" stopIfTrue="1">
      <formula>#REF!&gt;0</formula>
    </cfRule>
  </conditionalFormatting>
  <conditionalFormatting sqref="A62:D62 B63:C64 B66:C69 A64 A66">
    <cfRule type="expression" dxfId="91" priority="279" stopIfTrue="1">
      <formula>#REF!=1</formula>
    </cfRule>
  </conditionalFormatting>
  <conditionalFormatting sqref="D62:D69 B62:C64 B66:C69 A62:A69 F62:F69 H63:I64 H66:I69 I65 I62">
    <cfRule type="expression" dxfId="90" priority="280" stopIfTrue="1">
      <formula>#REF!=1</formula>
    </cfRule>
  </conditionalFormatting>
  <conditionalFormatting sqref="I63">
    <cfRule type="expression" dxfId="89" priority="270" stopIfTrue="1">
      <formula>#REF!=1</formula>
    </cfRule>
  </conditionalFormatting>
  <conditionalFormatting sqref="I65">
    <cfRule type="expression" dxfId="88" priority="269" stopIfTrue="1">
      <formula>#REF!=1</formula>
    </cfRule>
  </conditionalFormatting>
  <conditionalFormatting sqref="I67:I68">
    <cfRule type="expression" dxfId="87" priority="268" stopIfTrue="1">
      <formula>#REF!=1</formula>
    </cfRule>
  </conditionalFormatting>
  <conditionalFormatting sqref="I69">
    <cfRule type="expression" dxfId="86" priority="267" stopIfTrue="1">
      <formula>#REF!=1</formula>
    </cfRule>
  </conditionalFormatting>
  <conditionalFormatting sqref="I66">
    <cfRule type="expression" dxfId="85" priority="266" stopIfTrue="1">
      <formula>#REF!=1</formula>
    </cfRule>
  </conditionalFormatting>
  <conditionalFormatting sqref="I64">
    <cfRule type="expression" dxfId="84" priority="265" stopIfTrue="1">
      <formula>#REF!=1</formula>
    </cfRule>
  </conditionalFormatting>
  <conditionalFormatting sqref="A62 A64 A66">
    <cfRule type="expression" dxfId="83" priority="264" stopIfTrue="1">
      <formula>#REF!=1</formula>
    </cfRule>
  </conditionalFormatting>
  <conditionalFormatting sqref="B62:C62">
    <cfRule type="expression" dxfId="82" priority="263" stopIfTrue="1">
      <formula>#REF!=1</formula>
    </cfRule>
  </conditionalFormatting>
  <conditionalFormatting sqref="B65:C65">
    <cfRule type="expression" dxfId="81" priority="262" stopIfTrue="1">
      <formula>#REF!=1</formula>
    </cfRule>
  </conditionalFormatting>
  <conditionalFormatting sqref="B67:C68">
    <cfRule type="expression" dxfId="80" priority="261" stopIfTrue="1">
      <formula>#REF!=1</formula>
    </cfRule>
  </conditionalFormatting>
  <conditionalFormatting sqref="A63 A65 A67:A68">
    <cfRule type="expression" dxfId="79" priority="260" stopIfTrue="1">
      <formula>#REF!=1</formula>
    </cfRule>
  </conditionalFormatting>
  <conditionalFormatting sqref="A63 A65 A67:A68">
    <cfRule type="expression" dxfId="78" priority="259" stopIfTrue="1">
      <formula>#REF!=1</formula>
    </cfRule>
  </conditionalFormatting>
  <conditionalFormatting sqref="B66:C66">
    <cfRule type="expression" dxfId="77" priority="129" stopIfTrue="1">
      <formula>#REF!=1</formula>
    </cfRule>
  </conditionalFormatting>
  <conditionalFormatting sqref="B18:B58 E18:E58">
    <cfRule type="expression" dxfId="76" priority="27" stopIfTrue="1">
      <formula>#REF!&gt;0</formula>
    </cfRule>
    <cfRule type="expression" dxfId="75" priority="28" stopIfTrue="1">
      <formula>#REF!&gt;0</formula>
    </cfRule>
    <cfRule type="expression" dxfId="74" priority="29" stopIfTrue="1">
      <formula>#REF!&gt;0</formula>
    </cfRule>
  </conditionalFormatting>
  <conditionalFormatting sqref="A60">
    <cfRule type="expression" dxfId="73" priority="3" stopIfTrue="1">
      <formula>#REF!&gt;0</formula>
    </cfRule>
    <cfRule type="expression" dxfId="72" priority="4" stopIfTrue="1">
      <formula>#REF!&gt;0</formula>
    </cfRule>
    <cfRule type="expression" dxfId="71" priority="5" stopIfTrue="1">
      <formula>#REF!&gt;0</formula>
    </cfRule>
  </conditionalFormatting>
  <conditionalFormatting sqref="H65">
    <cfRule type="expression" dxfId="70" priority="2" stopIfTrue="1">
      <formula>#REF!=1</formula>
    </cfRule>
  </conditionalFormatting>
  <conditionalFormatting sqref="H62">
    <cfRule type="expression" dxfId="69"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2731"/>
  <sheetViews>
    <sheetView showGridLines="0" showZeros="0" view="pageBreakPreview" topLeftCell="A2639" zoomScaleNormal="120" zoomScaleSheetLayoutView="100" workbookViewId="0">
      <selection activeCell="C2733" sqref="C2733"/>
    </sheetView>
  </sheetViews>
  <sheetFormatPr baseColWidth="10" defaultColWidth="11.42578125" defaultRowHeight="20.100000000000001" customHeight="1" x14ac:dyDescent="0.2"/>
  <cols>
    <col min="1" max="1" width="20.7109375" style="294" customWidth="1"/>
    <col min="2" max="2" width="25.7109375" style="294" customWidth="1"/>
    <col min="3" max="3" width="40.7109375" style="294" customWidth="1"/>
    <col min="4" max="4" width="10.7109375" style="294" customWidth="1"/>
    <col min="5" max="5" width="12.7109375" style="294" customWidth="1"/>
    <col min="6" max="7" width="15.7109375" style="352" customWidth="1"/>
    <col min="8" max="16384" width="11.42578125" style="294"/>
  </cols>
  <sheetData>
    <row r="1" spans="1:8" ht="18.95" customHeight="1" thickTop="1" x14ac:dyDescent="0.2">
      <c r="A1" s="194" t="s">
        <v>33</v>
      </c>
      <c r="B1" s="195"/>
      <c r="C1" s="195"/>
      <c r="D1" s="195"/>
      <c r="E1" s="195"/>
      <c r="F1" s="195"/>
      <c r="G1" s="196"/>
      <c r="H1" s="143">
        <f>COUNTIF($A$1:A7,"ANALISIS DE PRECIOS")</f>
        <v>1</v>
      </c>
    </row>
    <row r="2" spans="1:8" ht="18.95" customHeight="1" x14ac:dyDescent="0.2">
      <c r="A2" s="144" t="s">
        <v>720</v>
      </c>
      <c r="B2" s="145" t="str">
        <f>Comitente</f>
        <v>DIRECCIÓN PROVINCIAL DE VIALIDAD</v>
      </c>
      <c r="C2" s="139"/>
      <c r="D2" s="146"/>
      <c r="E2" s="325"/>
      <c r="F2" s="325"/>
      <c r="G2" s="326"/>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PAVIMENTACION Y ENSANCHE DE RUTA PROVINCIAL N°7 AV. JOAQUIN UÑAC</v>
      </c>
      <c r="C4" s="140"/>
      <c r="D4" s="140"/>
      <c r="E4" s="143"/>
      <c r="F4" s="145" t="s">
        <v>34</v>
      </c>
      <c r="G4" s="147">
        <f>Fecha_Base</f>
        <v>43444</v>
      </c>
      <c r="H4" s="143"/>
    </row>
    <row r="5" spans="1:8" ht="18.95" customHeight="1" x14ac:dyDescent="0.2">
      <c r="A5" s="148" t="s">
        <v>719</v>
      </c>
      <c r="B5" s="141" t="str">
        <f>Ubicación</f>
        <v>DEPARTAMENTO POCITO</v>
      </c>
      <c r="C5" s="141"/>
      <c r="D5" s="150"/>
      <c r="E5" s="143"/>
      <c r="F5" s="327"/>
      <c r="G5" s="328"/>
      <c r="H5" s="143"/>
    </row>
    <row r="6" spans="1:8" ht="18.95" customHeight="1" x14ac:dyDescent="0.2">
      <c r="A6" s="148" t="s">
        <v>35</v>
      </c>
      <c r="B6" s="151" t="str">
        <f>IFERROR(VALUE(LEFT(B7,FIND("-",B7)-1)),"")</f>
        <v/>
      </c>
      <c r="C6" s="142" t="str">
        <f>IFERROR(VLOOKUP(B6,Tabla_CyP,2,FALSE),"")</f>
        <v/>
      </c>
      <c r="D6" s="150"/>
      <c r="E6" s="143"/>
      <c r="F6" s="327"/>
      <c r="G6" s="328"/>
      <c r="H6" s="143"/>
    </row>
    <row r="7" spans="1:8" ht="18.95" customHeight="1" x14ac:dyDescent="0.2">
      <c r="A7" s="148" t="s">
        <v>24</v>
      </c>
      <c r="B7" s="152">
        <f>IFERROR(VLOOKUP(COUNTIF($A$1:A7,"ANALISIS DE PRECIOS"),Tabla_NumeroItem,4,FALSE),"")</f>
        <v>1</v>
      </c>
      <c r="C7" s="745" t="str">
        <f>IFERROR(VLOOKUP(B7,Tabla_CyP,2,FALSE),"")</f>
        <v>FRESADO DE PAVIMENTO EXISTENTE</v>
      </c>
      <c r="D7" s="745"/>
      <c r="E7" s="745"/>
      <c r="F7" s="141" t="s">
        <v>25</v>
      </c>
      <c r="G7" s="153" t="str">
        <f>IFERROR(VLOOKUP(B7,Tabla_CyP,4,FALSE),"")</f>
        <v>m2</v>
      </c>
      <c r="H7" s="143"/>
    </row>
    <row r="8" spans="1:8" ht="18.95" customHeight="1" x14ac:dyDescent="0.2">
      <c r="A8" s="148"/>
      <c r="B8" s="141"/>
      <c r="C8" s="142"/>
      <c r="D8" s="150"/>
      <c r="E8" s="142"/>
      <c r="F8" s="142"/>
      <c r="G8" s="329"/>
      <c r="H8" s="143"/>
    </row>
    <row r="9" spans="1:8" ht="18.95" customHeight="1" x14ac:dyDescent="0.2">
      <c r="A9" s="330"/>
      <c r="B9" s="331"/>
      <c r="C9" s="332" t="s">
        <v>1032</v>
      </c>
      <c r="D9" s="331"/>
      <c r="E9" s="331"/>
      <c r="F9" s="331"/>
      <c r="G9" s="333"/>
      <c r="H9" s="143"/>
    </row>
    <row r="10" spans="1:8" ht="18.95" customHeight="1" x14ac:dyDescent="0.2">
      <c r="A10" s="148"/>
      <c r="B10" s="334"/>
      <c r="C10" s="335" t="s">
        <v>1033</v>
      </c>
      <c r="D10" s="336" t="s">
        <v>26</v>
      </c>
      <c r="E10" s="336" t="s">
        <v>1034</v>
      </c>
      <c r="F10" s="336" t="s">
        <v>1035</v>
      </c>
      <c r="G10" s="337" t="s">
        <v>1036</v>
      </c>
      <c r="H10" s="143"/>
    </row>
    <row r="11" spans="1:8" ht="18.95" customHeight="1" x14ac:dyDescent="0.2">
      <c r="A11" s="343"/>
      <c r="B11" s="344"/>
      <c r="C11" s="290"/>
      <c r="D11" s="293"/>
      <c r="E11" s="345"/>
      <c r="F11" s="346"/>
      <c r="G11" s="347">
        <f t="shared" ref="G11:G20" si="0">ROUND(D11*F11,2)</f>
        <v>0</v>
      </c>
    </row>
    <row r="12" spans="1:8" ht="18.95" customHeight="1" x14ac:dyDescent="0.2">
      <c r="A12" s="343"/>
      <c r="B12" s="344"/>
      <c r="C12" s="290"/>
      <c r="D12" s="293"/>
      <c r="E12" s="345"/>
      <c r="F12" s="346"/>
      <c r="G12" s="347">
        <f t="shared" si="0"/>
        <v>0</v>
      </c>
    </row>
    <row r="13" spans="1:8" ht="18.95" customHeight="1" x14ac:dyDescent="0.2">
      <c r="A13" s="343"/>
      <c r="B13" s="344"/>
      <c r="C13" s="290"/>
      <c r="D13" s="293"/>
      <c r="E13" s="345">
        <f t="shared" ref="E13:E20" si="1">IFERROR(VLOOKUP(C13,T_Equipos,4,FALSE),0)</f>
        <v>0</v>
      </c>
      <c r="F13" s="346">
        <f t="shared" ref="F13:F20" si="2">IFERROR(VLOOKUP(C13,T_Equipos,11,FALSE),0)</f>
        <v>0</v>
      </c>
      <c r="G13" s="347">
        <f t="shared" si="0"/>
        <v>0</v>
      </c>
    </row>
    <row r="14" spans="1:8" ht="18.95" customHeight="1" x14ac:dyDescent="0.2">
      <c r="A14" s="343"/>
      <c r="B14" s="344"/>
      <c r="C14" s="290"/>
      <c r="D14" s="293"/>
      <c r="E14" s="345">
        <f t="shared" si="1"/>
        <v>0</v>
      </c>
      <c r="F14" s="346">
        <f t="shared" si="2"/>
        <v>0</v>
      </c>
      <c r="G14" s="347">
        <f t="shared" si="0"/>
        <v>0</v>
      </c>
    </row>
    <row r="15" spans="1:8" ht="18.95" customHeight="1" x14ac:dyDescent="0.2">
      <c r="A15" s="343"/>
      <c r="B15" s="344"/>
      <c r="C15" s="290"/>
      <c r="D15" s="293"/>
      <c r="E15" s="345">
        <f t="shared" si="1"/>
        <v>0</v>
      </c>
      <c r="F15" s="346">
        <f t="shared" si="2"/>
        <v>0</v>
      </c>
      <c r="G15" s="347">
        <f t="shared" si="0"/>
        <v>0</v>
      </c>
    </row>
    <row r="16" spans="1:8" ht="18.95" customHeight="1" x14ac:dyDescent="0.2">
      <c r="A16" s="343"/>
      <c r="B16" s="344"/>
      <c r="C16" s="290"/>
      <c r="D16" s="293"/>
      <c r="E16" s="345">
        <f t="shared" si="1"/>
        <v>0</v>
      </c>
      <c r="F16" s="346">
        <f t="shared" si="2"/>
        <v>0</v>
      </c>
      <c r="G16" s="347">
        <f t="shared" si="0"/>
        <v>0</v>
      </c>
    </row>
    <row r="17" spans="1:7" ht="18.95" customHeight="1" x14ac:dyDescent="0.2">
      <c r="A17" s="343"/>
      <c r="B17" s="344"/>
      <c r="C17" s="290"/>
      <c r="D17" s="293"/>
      <c r="E17" s="345">
        <f t="shared" si="1"/>
        <v>0</v>
      </c>
      <c r="F17" s="346">
        <f t="shared" si="2"/>
        <v>0</v>
      </c>
      <c r="G17" s="347">
        <f t="shared" si="0"/>
        <v>0</v>
      </c>
    </row>
    <row r="18" spans="1:7" ht="18.95" customHeight="1" x14ac:dyDescent="0.2">
      <c r="A18" s="343"/>
      <c r="B18" s="344"/>
      <c r="C18" s="290"/>
      <c r="D18" s="293"/>
      <c r="E18" s="345">
        <f t="shared" si="1"/>
        <v>0</v>
      </c>
      <c r="F18" s="346">
        <f t="shared" si="2"/>
        <v>0</v>
      </c>
      <c r="G18" s="347">
        <f t="shared" si="0"/>
        <v>0</v>
      </c>
    </row>
    <row r="19" spans="1:7" ht="18.95" customHeight="1" x14ac:dyDescent="0.2">
      <c r="A19" s="343"/>
      <c r="B19" s="344"/>
      <c r="C19" s="290"/>
      <c r="D19" s="293"/>
      <c r="E19" s="345">
        <f t="shared" si="1"/>
        <v>0</v>
      </c>
      <c r="F19" s="346">
        <f t="shared" si="2"/>
        <v>0</v>
      </c>
      <c r="G19" s="347">
        <f t="shared" si="0"/>
        <v>0</v>
      </c>
    </row>
    <row r="20" spans="1:7" ht="18.95" customHeight="1" thickBot="1" x14ac:dyDescent="0.25">
      <c r="A20" s="343"/>
      <c r="B20" s="344"/>
      <c r="C20" s="290"/>
      <c r="D20" s="293"/>
      <c r="E20" s="345">
        <f t="shared" si="1"/>
        <v>0</v>
      </c>
      <c r="F20" s="346">
        <f t="shared" si="2"/>
        <v>0</v>
      </c>
      <c r="G20" s="347">
        <f t="shared" si="0"/>
        <v>0</v>
      </c>
    </row>
    <row r="21" spans="1:7" ht="18.95" customHeight="1" thickBot="1" x14ac:dyDescent="0.25">
      <c r="A21" s="148"/>
      <c r="B21" s="334"/>
      <c r="C21" s="143"/>
      <c r="D21" s="146" t="s">
        <v>1037</v>
      </c>
      <c r="E21" s="338">
        <f>SUMPRODUCT(D11:D20,E11:E20)</f>
        <v>0</v>
      </c>
      <c r="F21" s="141" t="s">
        <v>1038</v>
      </c>
      <c r="G21" s="339">
        <f>SUM(G11:G20)</f>
        <v>0</v>
      </c>
    </row>
    <row r="22" spans="1:7" ht="18.95" customHeight="1" x14ac:dyDescent="0.2">
      <c r="A22" s="148"/>
      <c r="B22" s="334"/>
      <c r="C22" s="141" t="s">
        <v>1039</v>
      </c>
      <c r="D22" s="320"/>
      <c r="E22" s="340" t="str">
        <f>CONCATENATE(G7,"/día")</f>
        <v>m2/día</v>
      </c>
      <c r="F22" s="141"/>
      <c r="G22" s="341"/>
    </row>
    <row r="23" spans="1:7" ht="18.95" customHeight="1" x14ac:dyDescent="0.2">
      <c r="A23" s="148"/>
      <c r="B23" s="334"/>
      <c r="C23" s="142"/>
      <c r="D23" s="150"/>
      <c r="E23" s="141"/>
      <c r="F23" s="141"/>
      <c r="G23" s="341"/>
    </row>
    <row r="24" spans="1:7" ht="18.95" customHeight="1" x14ac:dyDescent="0.2">
      <c r="A24" s="735" t="s">
        <v>582</v>
      </c>
      <c r="B24" s="736"/>
      <c r="C24" s="737" t="s">
        <v>0</v>
      </c>
      <c r="D24" s="743" t="s">
        <v>1053</v>
      </c>
      <c r="E24" s="743" t="s">
        <v>1706</v>
      </c>
      <c r="F24" s="743" t="s">
        <v>1054</v>
      </c>
      <c r="G24" s="743" t="s">
        <v>1055</v>
      </c>
    </row>
    <row r="25" spans="1:7" ht="18.95" customHeight="1" x14ac:dyDescent="0.2">
      <c r="A25" s="154" t="s">
        <v>583</v>
      </c>
      <c r="B25" s="155" t="s">
        <v>584</v>
      </c>
      <c r="C25" s="738"/>
      <c r="D25" s="742"/>
      <c r="E25" s="742"/>
      <c r="F25" s="744"/>
      <c r="G25" s="742"/>
    </row>
    <row r="26" spans="1:7" ht="18.95" customHeight="1" x14ac:dyDescent="0.2">
      <c r="A26" s="156"/>
      <c r="B26" s="142"/>
      <c r="C26" s="157" t="s">
        <v>1041</v>
      </c>
      <c r="D26" s="150"/>
      <c r="E26" s="142"/>
      <c r="F26" s="142"/>
      <c r="G26" s="342"/>
    </row>
    <row r="27" spans="1:7" ht="18.95" customHeight="1" x14ac:dyDescent="0.2">
      <c r="A27" s="348" t="str">
        <f t="shared" ref="A27:A34" si="3">IFERROR(VLOOKUP(C27,Tabla_Insumos,4,FALSE),"")</f>
        <v/>
      </c>
      <c r="B27" s="290" t="str">
        <f t="shared" ref="B27:B34" si="4">IFERROR(VLOOKUP(C27,Tabla_Insumos,5,FALSE),"")</f>
        <v/>
      </c>
      <c r="C27" s="290"/>
      <c r="D27" s="607">
        <f t="shared" ref="D27:D34" si="5">IFERROR(VLOOKUP(C27,Tabla_Insumos,3,FALSE),0)</f>
        <v>0</v>
      </c>
      <c r="E27" s="349">
        <f>D27*$G$21</f>
        <v>0</v>
      </c>
      <c r="F27" s="350">
        <f>IF(C27="",0,D22)</f>
        <v>0</v>
      </c>
      <c r="G27" s="347">
        <f>IFERROR(ROUND(E27/F27,2),0)</f>
        <v>0</v>
      </c>
    </row>
    <row r="28" spans="1:7" ht="18.95" customHeight="1" x14ac:dyDescent="0.2">
      <c r="A28" s="348" t="str">
        <f t="shared" si="3"/>
        <v/>
      </c>
      <c r="B28" s="290" t="str">
        <f t="shared" si="4"/>
        <v/>
      </c>
      <c r="C28" s="321"/>
      <c r="D28" s="607">
        <f t="shared" si="5"/>
        <v>0</v>
      </c>
      <c r="E28" s="349">
        <f t="shared" ref="E28:E29" si="6">D28*$G$21</f>
        <v>0</v>
      </c>
      <c r="F28" s="350">
        <f t="shared" ref="F28:F34" si="7">IF(C28="",0,F27)</f>
        <v>0</v>
      </c>
      <c r="G28" s="347">
        <f t="shared" ref="G28:G34" si="8">IFERROR(ROUND(E28/F28,2),0)</f>
        <v>0</v>
      </c>
    </row>
    <row r="29" spans="1:7" ht="18.95" customHeight="1" x14ac:dyDescent="0.2">
      <c r="A29" s="348" t="str">
        <f t="shared" si="3"/>
        <v/>
      </c>
      <c r="B29" s="290" t="str">
        <f t="shared" si="4"/>
        <v/>
      </c>
      <c r="C29" s="321"/>
      <c r="D29" s="607">
        <f t="shared" si="5"/>
        <v>0</v>
      </c>
      <c r="E29" s="349">
        <f t="shared" si="6"/>
        <v>0</v>
      </c>
      <c r="F29" s="350">
        <f t="shared" si="7"/>
        <v>0</v>
      </c>
      <c r="G29" s="347">
        <f t="shared" si="8"/>
        <v>0</v>
      </c>
    </row>
    <row r="30" spans="1:7" ht="18.95" customHeight="1" x14ac:dyDescent="0.2">
      <c r="A30" s="348" t="str">
        <f t="shared" si="3"/>
        <v/>
      </c>
      <c r="B30" s="290" t="str">
        <f t="shared" si="4"/>
        <v/>
      </c>
      <c r="C30" s="321"/>
      <c r="D30" s="607">
        <f t="shared" si="5"/>
        <v>0</v>
      </c>
      <c r="E30" s="349">
        <f>D30*$E$21</f>
        <v>0</v>
      </c>
      <c r="F30" s="350">
        <f t="shared" si="7"/>
        <v>0</v>
      </c>
      <c r="G30" s="347">
        <f t="shared" si="8"/>
        <v>0</v>
      </c>
    </row>
    <row r="31" spans="1:7" ht="18.95" customHeight="1" x14ac:dyDescent="0.2">
      <c r="A31" s="348" t="str">
        <f t="shared" si="3"/>
        <v/>
      </c>
      <c r="B31" s="290" t="str">
        <f t="shared" si="4"/>
        <v/>
      </c>
      <c r="C31" s="321"/>
      <c r="D31" s="607">
        <f t="shared" si="5"/>
        <v>0</v>
      </c>
      <c r="E31" s="349">
        <f>D31*$E$21</f>
        <v>0</v>
      </c>
      <c r="F31" s="350">
        <f t="shared" si="7"/>
        <v>0</v>
      </c>
      <c r="G31" s="347">
        <f t="shared" si="8"/>
        <v>0</v>
      </c>
    </row>
    <row r="32" spans="1:7" ht="18.95" customHeight="1" x14ac:dyDescent="0.2">
      <c r="A32" s="348" t="str">
        <f t="shared" si="3"/>
        <v/>
      </c>
      <c r="B32" s="290" t="str">
        <f t="shared" si="4"/>
        <v/>
      </c>
      <c r="C32" s="321"/>
      <c r="D32" s="607">
        <f t="shared" si="5"/>
        <v>0</v>
      </c>
      <c r="E32" s="349"/>
      <c r="F32" s="350">
        <f>IF(C32="",0,F31)</f>
        <v>0</v>
      </c>
      <c r="G32" s="347">
        <f t="shared" si="8"/>
        <v>0</v>
      </c>
    </row>
    <row r="33" spans="1:7" ht="18.95" customHeight="1" x14ac:dyDescent="0.2">
      <c r="A33" s="348" t="str">
        <f t="shared" si="3"/>
        <v/>
      </c>
      <c r="B33" s="290" t="str">
        <f t="shared" si="4"/>
        <v/>
      </c>
      <c r="C33" s="321"/>
      <c r="D33" s="607">
        <f t="shared" si="5"/>
        <v>0</v>
      </c>
      <c r="E33" s="349"/>
      <c r="F33" s="350">
        <f t="shared" si="7"/>
        <v>0</v>
      </c>
      <c r="G33" s="347">
        <f t="shared" si="8"/>
        <v>0</v>
      </c>
    </row>
    <row r="34" spans="1:7" ht="18.95" customHeight="1" x14ac:dyDescent="0.2">
      <c r="A34" s="348" t="str">
        <f t="shared" si="3"/>
        <v/>
      </c>
      <c r="B34" s="290" t="str">
        <f t="shared" si="4"/>
        <v/>
      </c>
      <c r="C34" s="321"/>
      <c r="D34" s="607">
        <f t="shared" si="5"/>
        <v>0</v>
      </c>
      <c r="E34" s="349"/>
      <c r="F34" s="350">
        <f t="shared" si="7"/>
        <v>0</v>
      </c>
      <c r="G34" s="347">
        <f t="shared" si="8"/>
        <v>0</v>
      </c>
    </row>
    <row r="35" spans="1:7" ht="18.95" customHeight="1" x14ac:dyDescent="0.2">
      <c r="A35" s="353"/>
      <c r="B35" s="149"/>
      <c r="C35" s="142"/>
      <c r="D35" s="150"/>
      <c r="E35" s="143"/>
      <c r="F35" s="354" t="s">
        <v>29</v>
      </c>
      <c r="G35" s="355">
        <f>SUBTOTAL(9,G27:G34)</f>
        <v>0</v>
      </c>
    </row>
    <row r="36" spans="1:7" ht="18.95" customHeight="1" x14ac:dyDescent="0.2">
      <c r="A36" s="156"/>
      <c r="B36" s="142"/>
      <c r="C36" s="157" t="s">
        <v>722</v>
      </c>
      <c r="D36" s="150"/>
      <c r="E36" s="327"/>
      <c r="F36" s="327"/>
      <c r="G36" s="342"/>
    </row>
    <row r="37" spans="1:7" ht="18.95" customHeight="1" x14ac:dyDescent="0.2">
      <c r="A37" s="735" t="s">
        <v>582</v>
      </c>
      <c r="B37" s="736"/>
      <c r="C37" s="737" t="s">
        <v>0</v>
      </c>
      <c r="D37" s="739" t="s">
        <v>26</v>
      </c>
      <c r="E37" s="743" t="s">
        <v>1707</v>
      </c>
      <c r="F37" s="741" t="s">
        <v>1040</v>
      </c>
      <c r="G37" s="733" t="s">
        <v>28</v>
      </c>
    </row>
    <row r="38" spans="1:7" ht="18.95" customHeight="1" x14ac:dyDescent="0.2">
      <c r="A38" s="154" t="s">
        <v>583</v>
      </c>
      <c r="B38" s="155" t="s">
        <v>584</v>
      </c>
      <c r="C38" s="738"/>
      <c r="D38" s="740"/>
      <c r="E38" s="742"/>
      <c r="F38" s="742"/>
      <c r="G38" s="734"/>
    </row>
    <row r="39" spans="1:7" ht="18.95" customHeight="1" x14ac:dyDescent="0.2">
      <c r="A39" s="348" t="str">
        <f t="shared" ref="A39:A44" si="9">IFERROR(VLOOKUP(C39,Tabla_Insumos,4,FALSE),"")</f>
        <v/>
      </c>
      <c r="B39" s="290" t="str">
        <f t="shared" ref="B39:B44" si="10">IFERROR(VLOOKUP(C39,Tabla_Insumos,5,FALSE),"")</f>
        <v/>
      </c>
      <c r="C39" s="291"/>
      <c r="D39" s="293"/>
      <c r="E39" s="346">
        <f t="shared" ref="E39:E44" si="11">IFERROR(VLOOKUP(C39,Tabla_Insumos,3,FALSE),0)</f>
        <v>0</v>
      </c>
      <c r="F39" s="349">
        <f>IF(C39="",0,D22)</f>
        <v>0</v>
      </c>
      <c r="G39" s="347">
        <f t="shared" ref="G39:G44" si="12">IFERROR(ROUND(D39*E39/F39,2),0)</f>
        <v>0</v>
      </c>
    </row>
    <row r="40" spans="1:7" ht="18.95" customHeight="1" x14ac:dyDescent="0.2">
      <c r="A40" s="348" t="str">
        <f t="shared" si="9"/>
        <v/>
      </c>
      <c r="B40" s="290" t="str">
        <f t="shared" si="10"/>
        <v/>
      </c>
      <c r="C40" s="290"/>
      <c r="D40" s="293"/>
      <c r="E40" s="346">
        <f t="shared" si="11"/>
        <v>0</v>
      </c>
      <c r="F40" s="349">
        <f>IF(C40="",0,F39)</f>
        <v>0</v>
      </c>
      <c r="G40" s="347">
        <f t="shared" si="12"/>
        <v>0</v>
      </c>
    </row>
    <row r="41" spans="1:7" ht="18.95" customHeight="1" x14ac:dyDescent="0.2">
      <c r="A41" s="348" t="str">
        <f t="shared" si="9"/>
        <v/>
      </c>
      <c r="B41" s="290" t="str">
        <f t="shared" si="10"/>
        <v/>
      </c>
      <c r="C41" s="290"/>
      <c r="D41" s="293"/>
      <c r="E41" s="346">
        <f t="shared" si="11"/>
        <v>0</v>
      </c>
      <c r="F41" s="349">
        <f>IF(C41="",0,F40)</f>
        <v>0</v>
      </c>
      <c r="G41" s="347">
        <f t="shared" si="12"/>
        <v>0</v>
      </c>
    </row>
    <row r="42" spans="1:7" ht="18.95" customHeight="1" x14ac:dyDescent="0.2">
      <c r="A42" s="348" t="str">
        <f t="shared" si="9"/>
        <v/>
      </c>
      <c r="B42" s="290" t="str">
        <f t="shared" si="10"/>
        <v/>
      </c>
      <c r="C42" s="290"/>
      <c r="D42" s="293"/>
      <c r="E42" s="346">
        <f t="shared" si="11"/>
        <v>0</v>
      </c>
      <c r="F42" s="349">
        <f>IF(C42="",0,F41)</f>
        <v>0</v>
      </c>
      <c r="G42" s="347">
        <f t="shared" si="12"/>
        <v>0</v>
      </c>
    </row>
    <row r="43" spans="1:7" ht="18.95" customHeight="1" x14ac:dyDescent="0.2">
      <c r="A43" s="348" t="str">
        <f t="shared" si="9"/>
        <v/>
      </c>
      <c r="B43" s="290" t="str">
        <f t="shared" si="10"/>
        <v/>
      </c>
      <c r="C43" s="290"/>
      <c r="D43" s="351"/>
      <c r="E43" s="346">
        <f t="shared" si="11"/>
        <v>0</v>
      </c>
      <c r="F43" s="349">
        <f>IF(C43="",0,F42)</f>
        <v>0</v>
      </c>
      <c r="G43" s="347">
        <f t="shared" si="12"/>
        <v>0</v>
      </c>
    </row>
    <row r="44" spans="1:7" ht="18.95" customHeight="1" x14ac:dyDescent="0.2">
      <c r="A44" s="348" t="str">
        <f t="shared" si="9"/>
        <v/>
      </c>
      <c r="B44" s="290" t="str">
        <f t="shared" si="10"/>
        <v/>
      </c>
      <c r="C44" s="290"/>
      <c r="D44" s="293"/>
      <c r="E44" s="346">
        <f t="shared" si="11"/>
        <v>0</v>
      </c>
      <c r="F44" s="349">
        <f>IF(C44="",0,F43)</f>
        <v>0</v>
      </c>
      <c r="G44" s="347">
        <f t="shared" si="12"/>
        <v>0</v>
      </c>
    </row>
    <row r="45" spans="1:7" ht="18.95" customHeight="1" x14ac:dyDescent="0.2">
      <c r="A45" s="353"/>
      <c r="B45" s="149"/>
      <c r="C45" s="142"/>
      <c r="D45" s="150"/>
      <c r="E45" s="143"/>
      <c r="F45" s="356" t="s">
        <v>30</v>
      </c>
      <c r="G45" s="355">
        <f>SUBTOTAL(9,G39:G44)</f>
        <v>0</v>
      </c>
    </row>
    <row r="46" spans="1:7" ht="18.95" customHeight="1" x14ac:dyDescent="0.2">
      <c r="A46" s="156"/>
      <c r="B46" s="142"/>
      <c r="C46" s="157" t="s">
        <v>1047</v>
      </c>
      <c r="D46" s="150"/>
      <c r="E46" s="327"/>
      <c r="F46" s="327"/>
      <c r="G46" s="342"/>
    </row>
    <row r="47" spans="1:7" ht="18.95" customHeight="1" x14ac:dyDescent="0.2">
      <c r="A47" s="735" t="s">
        <v>582</v>
      </c>
      <c r="B47" s="736"/>
      <c r="C47" s="737" t="s">
        <v>0</v>
      </c>
      <c r="D47" s="737" t="s">
        <v>1655</v>
      </c>
      <c r="E47" s="737" t="s">
        <v>26</v>
      </c>
      <c r="F47" s="737" t="s">
        <v>27</v>
      </c>
      <c r="G47" s="733" t="s">
        <v>28</v>
      </c>
    </row>
    <row r="48" spans="1:7" ht="18.95" customHeight="1" x14ac:dyDescent="0.2">
      <c r="A48" s="154" t="s">
        <v>583</v>
      </c>
      <c r="B48" s="155" t="s">
        <v>584</v>
      </c>
      <c r="C48" s="738"/>
      <c r="D48" s="738"/>
      <c r="E48" s="738"/>
      <c r="F48" s="738"/>
      <c r="G48" s="734"/>
    </row>
    <row r="49" spans="1:7" ht="18.95" customHeight="1" x14ac:dyDescent="0.2">
      <c r="A49" s="348" t="str">
        <f t="shared" ref="A49:A60" si="13">IFERROR(VLOOKUP(C49,Tabla_Insumos,4,FALSE),"")</f>
        <v/>
      </c>
      <c r="B49" s="290" t="str">
        <f t="shared" ref="B49:B60" si="14">IFERROR(VLOOKUP(C49,Tabla_Insumos,5,FALSE),"")</f>
        <v/>
      </c>
      <c r="C49" s="290"/>
      <c r="D49" s="608">
        <f t="shared" ref="D49:D60" si="15">IFERROR(VLOOKUP(C49,Tabla_Insumos,2,FALSE),0)</f>
        <v>0</v>
      </c>
      <c r="E49" s="293"/>
      <c r="F49" s="346">
        <f t="shared" ref="F49:F60" si="16">IFERROR(VLOOKUP(C49,Tabla_Insumos,3,FALSE),0)</f>
        <v>0</v>
      </c>
      <c r="G49" s="347">
        <f t="shared" ref="G49:G60" si="17">ROUND(E49*F49,2)</f>
        <v>0</v>
      </c>
    </row>
    <row r="50" spans="1:7" ht="18.95" customHeight="1" x14ac:dyDescent="0.2">
      <c r="A50" s="348" t="str">
        <f t="shared" si="13"/>
        <v/>
      </c>
      <c r="B50" s="290" t="str">
        <f t="shared" si="14"/>
        <v/>
      </c>
      <c r="C50" s="126"/>
      <c r="D50" s="608">
        <f t="shared" si="15"/>
        <v>0</v>
      </c>
      <c r="E50" s="293"/>
      <c r="F50" s="346">
        <f t="shared" si="16"/>
        <v>0</v>
      </c>
      <c r="G50" s="347">
        <f t="shared" ref="G50:G51" si="18">ROUND(E50*F50,2)</f>
        <v>0</v>
      </c>
    </row>
    <row r="51" spans="1:7" ht="18.95" customHeight="1" x14ac:dyDescent="0.2">
      <c r="A51" s="348" t="str">
        <f t="shared" si="13"/>
        <v/>
      </c>
      <c r="B51" s="290" t="str">
        <f t="shared" si="14"/>
        <v/>
      </c>
      <c r="C51" s="290"/>
      <c r="D51" s="608">
        <f t="shared" si="15"/>
        <v>0</v>
      </c>
      <c r="E51" s="293"/>
      <c r="F51" s="346">
        <f t="shared" si="16"/>
        <v>0</v>
      </c>
      <c r="G51" s="347">
        <f t="shared" si="18"/>
        <v>0</v>
      </c>
    </row>
    <row r="52" spans="1:7" ht="18.95" customHeight="1" x14ac:dyDescent="0.2">
      <c r="A52" s="348" t="str">
        <f t="shared" si="13"/>
        <v/>
      </c>
      <c r="B52" s="290" t="str">
        <f t="shared" si="14"/>
        <v/>
      </c>
      <c r="C52" s="290"/>
      <c r="D52" s="608">
        <f t="shared" si="15"/>
        <v>0</v>
      </c>
      <c r="E52" s="293"/>
      <c r="F52" s="346">
        <f t="shared" si="16"/>
        <v>0</v>
      </c>
      <c r="G52" s="347">
        <f t="shared" si="17"/>
        <v>0</v>
      </c>
    </row>
    <row r="53" spans="1:7" ht="18.95" customHeight="1" x14ac:dyDescent="0.2">
      <c r="A53" s="348" t="str">
        <f t="shared" si="13"/>
        <v/>
      </c>
      <c r="B53" s="290" t="str">
        <f t="shared" si="14"/>
        <v/>
      </c>
      <c r="C53" s="290"/>
      <c r="D53" s="608">
        <f t="shared" si="15"/>
        <v>0</v>
      </c>
      <c r="E53" s="293"/>
      <c r="F53" s="346">
        <f t="shared" si="16"/>
        <v>0</v>
      </c>
      <c r="G53" s="347">
        <f t="shared" si="17"/>
        <v>0</v>
      </c>
    </row>
    <row r="54" spans="1:7" ht="18.95" customHeight="1" x14ac:dyDescent="0.2">
      <c r="A54" s="348" t="str">
        <f t="shared" si="13"/>
        <v/>
      </c>
      <c r="B54" s="290" t="str">
        <f t="shared" si="14"/>
        <v/>
      </c>
      <c r="C54" s="290"/>
      <c r="D54" s="608">
        <f t="shared" si="15"/>
        <v>0</v>
      </c>
      <c r="E54" s="293"/>
      <c r="F54" s="346">
        <f t="shared" si="16"/>
        <v>0</v>
      </c>
      <c r="G54" s="347">
        <f t="shared" si="17"/>
        <v>0</v>
      </c>
    </row>
    <row r="55" spans="1:7" ht="18.95" customHeight="1" x14ac:dyDescent="0.2">
      <c r="A55" s="348" t="str">
        <f t="shared" si="13"/>
        <v/>
      </c>
      <c r="B55" s="290" t="str">
        <f t="shared" si="14"/>
        <v/>
      </c>
      <c r="C55" s="290"/>
      <c r="D55" s="608">
        <f t="shared" si="15"/>
        <v>0</v>
      </c>
      <c r="E55" s="293"/>
      <c r="F55" s="346">
        <f t="shared" si="16"/>
        <v>0</v>
      </c>
      <c r="G55" s="347">
        <f t="shared" si="17"/>
        <v>0</v>
      </c>
    </row>
    <row r="56" spans="1:7" s="295" customFormat="1" ht="18.95" customHeight="1" x14ac:dyDescent="0.2">
      <c r="A56" s="348" t="str">
        <f t="shared" si="13"/>
        <v/>
      </c>
      <c r="B56" s="290" t="str">
        <f t="shared" si="14"/>
        <v/>
      </c>
      <c r="C56" s="290"/>
      <c r="D56" s="608">
        <f t="shared" si="15"/>
        <v>0</v>
      </c>
      <c r="E56" s="323"/>
      <c r="F56" s="346">
        <f t="shared" si="16"/>
        <v>0</v>
      </c>
      <c r="G56" s="347">
        <f t="shared" si="17"/>
        <v>0</v>
      </c>
    </row>
    <row r="57" spans="1:7" ht="18.95" customHeight="1" x14ac:dyDescent="0.2">
      <c r="A57" s="348" t="str">
        <f t="shared" si="13"/>
        <v/>
      </c>
      <c r="B57" s="290" t="str">
        <f t="shared" si="14"/>
        <v/>
      </c>
      <c r="C57" s="290"/>
      <c r="D57" s="608">
        <f t="shared" si="15"/>
        <v>0</v>
      </c>
      <c r="E57" s="293"/>
      <c r="F57" s="346">
        <f t="shared" si="16"/>
        <v>0</v>
      </c>
      <c r="G57" s="347">
        <f t="shared" si="17"/>
        <v>0</v>
      </c>
    </row>
    <row r="58" spans="1:7" ht="18.95" customHeight="1" x14ac:dyDescent="0.2">
      <c r="A58" s="348" t="str">
        <f t="shared" si="13"/>
        <v/>
      </c>
      <c r="B58" s="290" t="str">
        <f t="shared" si="14"/>
        <v/>
      </c>
      <c r="C58" s="290"/>
      <c r="D58" s="608">
        <f t="shared" si="15"/>
        <v>0</v>
      </c>
      <c r="E58" s="293"/>
      <c r="F58" s="346">
        <f t="shared" si="16"/>
        <v>0</v>
      </c>
      <c r="G58" s="347">
        <f t="shared" si="17"/>
        <v>0</v>
      </c>
    </row>
    <row r="59" spans="1:7" ht="18.95" customHeight="1" x14ac:dyDescent="0.2">
      <c r="A59" s="348" t="str">
        <f t="shared" si="13"/>
        <v/>
      </c>
      <c r="B59" s="290" t="str">
        <f t="shared" si="14"/>
        <v/>
      </c>
      <c r="C59" s="290"/>
      <c r="D59" s="608">
        <f t="shared" si="15"/>
        <v>0</v>
      </c>
      <c r="E59" s="293"/>
      <c r="F59" s="346">
        <f t="shared" si="16"/>
        <v>0</v>
      </c>
      <c r="G59" s="347">
        <f t="shared" si="17"/>
        <v>0</v>
      </c>
    </row>
    <row r="60" spans="1:7" ht="18.95" customHeight="1" x14ac:dyDescent="0.2">
      <c r="A60" s="348" t="str">
        <f t="shared" si="13"/>
        <v/>
      </c>
      <c r="B60" s="290" t="str">
        <f t="shared" si="14"/>
        <v/>
      </c>
      <c r="C60" s="290"/>
      <c r="D60" s="608">
        <f t="shared" si="15"/>
        <v>0</v>
      </c>
      <c r="E60" s="293"/>
      <c r="F60" s="346">
        <f t="shared" si="16"/>
        <v>0</v>
      </c>
      <c r="G60" s="347">
        <f t="shared" si="17"/>
        <v>0</v>
      </c>
    </row>
    <row r="61" spans="1:7" ht="18.95" customHeight="1" x14ac:dyDescent="0.2">
      <c r="A61" s="156"/>
      <c r="B61" s="142"/>
      <c r="C61" s="142"/>
      <c r="D61" s="150"/>
      <c r="E61" s="143"/>
      <c r="F61" s="356" t="s">
        <v>31</v>
      </c>
      <c r="G61" s="355">
        <f>SUBTOTAL(9,G49:G60)</f>
        <v>0</v>
      </c>
    </row>
    <row r="62" spans="1:7" ht="18.95" customHeight="1" x14ac:dyDescent="0.2">
      <c r="A62" s="156"/>
      <c r="B62" s="142"/>
      <c r="C62" s="157" t="s">
        <v>1048</v>
      </c>
      <c r="D62" s="150"/>
      <c r="E62" s="327"/>
      <c r="F62" s="327"/>
      <c r="G62" s="342"/>
    </row>
    <row r="63" spans="1:7" ht="18.95" customHeight="1" x14ac:dyDescent="0.2">
      <c r="A63" s="735" t="s">
        <v>582</v>
      </c>
      <c r="B63" s="736"/>
      <c r="C63" s="737" t="s">
        <v>0</v>
      </c>
      <c r="D63" s="739" t="s">
        <v>1750</v>
      </c>
      <c r="E63" s="741" t="s">
        <v>26</v>
      </c>
      <c r="F63" s="741" t="s">
        <v>27</v>
      </c>
      <c r="G63" s="733" t="s">
        <v>28</v>
      </c>
    </row>
    <row r="64" spans="1:7" ht="18.95" customHeight="1" x14ac:dyDescent="0.2">
      <c r="A64" s="154" t="s">
        <v>583</v>
      </c>
      <c r="B64" s="155" t="s">
        <v>584</v>
      </c>
      <c r="C64" s="738"/>
      <c r="D64" s="740"/>
      <c r="E64" s="742"/>
      <c r="F64" s="742"/>
      <c r="G64" s="734"/>
    </row>
    <row r="65" spans="1:8" ht="18.95" customHeight="1" x14ac:dyDescent="0.2">
      <c r="A65" s="348" t="str">
        <f>IFERROR(VLOOKUP(C65,Tabla_Insumos,4,FALSE),"")</f>
        <v/>
      </c>
      <c r="B65" s="290" t="s">
        <v>4</v>
      </c>
      <c r="C65" s="290"/>
      <c r="D65" s="293"/>
      <c r="E65" s="322"/>
      <c r="F65" s="324"/>
      <c r="G65" s="347">
        <f t="shared" ref="G65" si="19">ROUND(E65*F65,2)</f>
        <v>0</v>
      </c>
    </row>
    <row r="66" spans="1:8" ht="18.95" customHeight="1" x14ac:dyDescent="0.2">
      <c r="A66" s="156"/>
      <c r="B66" s="142"/>
      <c r="C66" s="142"/>
      <c r="D66" s="150"/>
      <c r="E66" s="143"/>
      <c r="F66" s="356" t="s">
        <v>1049</v>
      </c>
      <c r="G66" s="355">
        <f>SUBTOTAL(9,G65:G65)</f>
        <v>0</v>
      </c>
    </row>
    <row r="67" spans="1:8" ht="18.95" customHeight="1" thickBot="1" x14ac:dyDescent="0.25">
      <c r="A67" s="158"/>
      <c r="B67" s="159"/>
      <c r="C67" s="160"/>
      <c r="D67" s="161"/>
      <c r="E67" s="357"/>
      <c r="F67" s="357"/>
      <c r="G67" s="358"/>
    </row>
    <row r="68" spans="1:8" ht="18.95" customHeight="1" x14ac:dyDescent="0.2">
      <c r="A68" s="359">
        <f>B7</f>
        <v>1</v>
      </c>
      <c r="B68" s="360" t="str">
        <f>C7</f>
        <v>FRESADO DE PAVIMENTO EXISTENTE</v>
      </c>
      <c r="C68" s="361"/>
      <c r="D68" s="361"/>
      <c r="E68" s="361" t="s">
        <v>1050</v>
      </c>
      <c r="F68" s="362" t="str">
        <f>CONCATENATE("$/",G7)</f>
        <v>$/m2</v>
      </c>
      <c r="G68" s="363">
        <f>SUBTOTAL(9,G27:G67)</f>
        <v>0</v>
      </c>
    </row>
    <row r="69" spans="1:8" ht="18.95" customHeight="1" thickBot="1" x14ac:dyDescent="0.25">
      <c r="A69" s="364"/>
      <c r="B69" s="365"/>
      <c r="C69" s="365"/>
      <c r="D69" s="365"/>
      <c r="E69" s="366" t="s">
        <v>1051</v>
      </c>
      <c r="F69" s="367" t="str">
        <f>CONCATENATE("$/",G7)</f>
        <v>$/m2</v>
      </c>
      <c r="G69" s="368" t="e">
        <f ca="1">PrecioUnitario(G68,GG_Porcentaje,Beneficio,Ingresos_Brutos,IVA)</f>
        <v>#NAME?</v>
      </c>
    </row>
    <row r="70" spans="1:8" ht="18.95" customHeight="1" thickTop="1" thickBot="1" x14ac:dyDescent="0.25">
      <c r="F70" s="294"/>
      <c r="G70" s="294"/>
    </row>
    <row r="71" spans="1:8" ht="18.95" customHeight="1" thickTop="1" x14ac:dyDescent="0.2">
      <c r="A71" s="194" t="s">
        <v>33</v>
      </c>
      <c r="B71" s="195"/>
      <c r="C71" s="195"/>
      <c r="D71" s="195"/>
      <c r="E71" s="195"/>
      <c r="F71" s="195"/>
      <c r="G71" s="196"/>
      <c r="H71" s="143">
        <f>COUNTIF($A$1:A77,"ANALISIS DE PRECIOS")</f>
        <v>2</v>
      </c>
    </row>
    <row r="72" spans="1:8" ht="18.95" customHeight="1" x14ac:dyDescent="0.2">
      <c r="A72" s="144" t="s">
        <v>720</v>
      </c>
      <c r="B72" s="145" t="str">
        <f>Comitente</f>
        <v>DIRECCIÓN PROVINCIAL DE VIALIDAD</v>
      </c>
      <c r="C72" s="139"/>
      <c r="D72" s="146"/>
      <c r="E72" s="325"/>
      <c r="F72" s="325"/>
      <c r="G72" s="326"/>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PAVIMENTACION Y ENSANCHE DE RUTA PROVINCIAL N°7 AV. JOAQUIN UÑAC</v>
      </c>
      <c r="C74" s="140"/>
      <c r="D74" s="140"/>
      <c r="E74" s="143"/>
      <c r="F74" s="145" t="s">
        <v>34</v>
      </c>
      <c r="G74" s="147">
        <f>Fecha_Base</f>
        <v>43444</v>
      </c>
      <c r="H74" s="143"/>
    </row>
    <row r="75" spans="1:8" ht="18.95" customHeight="1" x14ac:dyDescent="0.2">
      <c r="A75" s="148" t="s">
        <v>719</v>
      </c>
      <c r="B75" s="141" t="str">
        <f>Ubicación</f>
        <v>DEPARTAMENTO POCITO</v>
      </c>
      <c r="C75" s="141"/>
      <c r="D75" s="150"/>
      <c r="E75" s="143"/>
      <c r="F75" s="327"/>
      <c r="G75" s="328"/>
      <c r="H75" s="143"/>
    </row>
    <row r="76" spans="1:8" ht="18.95" customHeight="1" x14ac:dyDescent="0.2">
      <c r="A76" s="148" t="s">
        <v>35</v>
      </c>
      <c r="B76" s="151" t="str">
        <f>IFERROR(VALUE(LEFT(B77,FIND("-",B77)-1)),"")</f>
        <v/>
      </c>
      <c r="C76" s="142" t="str">
        <f>IFERROR(VLOOKUP(B76,Tabla_CyP,2,FALSE),"")</f>
        <v/>
      </c>
      <c r="D76" s="150"/>
      <c r="E76" s="143"/>
      <c r="F76" s="327"/>
      <c r="G76" s="328"/>
      <c r="H76" s="143"/>
    </row>
    <row r="77" spans="1:8" ht="18.95" customHeight="1" x14ac:dyDescent="0.2">
      <c r="A77" s="148" t="s">
        <v>24</v>
      </c>
      <c r="B77" s="152">
        <f>IFERROR(VLOOKUP(COUNTIF($A$1:A77,"ANALISIS DE PRECIOS"),Tabla_NumeroItem,4,FALSE),"")</f>
        <v>2</v>
      </c>
      <c r="C77" s="745" t="str">
        <f>IFERROR(VLOOKUP(B77,Tabla_CyP,2,FALSE),"")</f>
        <v xml:space="preserve">EXCAVACIÓN NO CLASIFICADA
</v>
      </c>
      <c r="D77" s="745"/>
      <c r="E77" s="745"/>
      <c r="F77" s="141" t="s">
        <v>25</v>
      </c>
      <c r="G77" s="153" t="str">
        <f>IFERROR(VLOOKUP(B77,Tabla_CyP,4,FALSE),"")</f>
        <v>m3</v>
      </c>
      <c r="H77" s="143"/>
    </row>
    <row r="78" spans="1:8" ht="18.95" customHeight="1" x14ac:dyDescent="0.2">
      <c r="A78" s="148"/>
      <c r="B78" s="141"/>
      <c r="C78" s="142"/>
      <c r="D78" s="150"/>
      <c r="E78" s="142"/>
      <c r="F78" s="142"/>
      <c r="G78" s="329"/>
      <c r="H78" s="143"/>
    </row>
    <row r="79" spans="1:8" ht="18.95" customHeight="1" x14ac:dyDescent="0.2">
      <c r="A79" s="330"/>
      <c r="B79" s="331"/>
      <c r="C79" s="332" t="s">
        <v>1032</v>
      </c>
      <c r="D79" s="331"/>
      <c r="E79" s="331"/>
      <c r="F79" s="331"/>
      <c r="G79" s="333"/>
      <c r="H79" s="143"/>
    </row>
    <row r="80" spans="1:8" ht="18.95" customHeight="1" x14ac:dyDescent="0.2">
      <c r="A80" s="148"/>
      <c r="B80" s="334"/>
      <c r="C80" s="335" t="s">
        <v>1033</v>
      </c>
      <c r="D80" s="336" t="s">
        <v>26</v>
      </c>
      <c r="E80" s="336" t="s">
        <v>1034</v>
      </c>
      <c r="F80" s="336" t="s">
        <v>1035</v>
      </c>
      <c r="G80" s="337" t="s">
        <v>1036</v>
      </c>
      <c r="H80" s="143"/>
    </row>
    <row r="81" spans="1:7" ht="18.95" customHeight="1" x14ac:dyDescent="0.2">
      <c r="A81" s="343"/>
      <c r="B81" s="344"/>
      <c r="C81" s="290"/>
      <c r="D81" s="293"/>
      <c r="E81" s="345"/>
      <c r="F81" s="346"/>
      <c r="G81" s="347">
        <f t="shared" ref="G81:G90" si="20">ROUND(D81*F81,2)</f>
        <v>0</v>
      </c>
    </row>
    <row r="82" spans="1:7" ht="18.95" customHeight="1" x14ac:dyDescent="0.2">
      <c r="A82" s="343"/>
      <c r="B82" s="344"/>
      <c r="C82" s="290"/>
      <c r="D82" s="293"/>
      <c r="E82" s="345"/>
      <c r="F82" s="346"/>
      <c r="G82" s="347">
        <f t="shared" si="20"/>
        <v>0</v>
      </c>
    </row>
    <row r="83" spans="1:7" ht="18.95" customHeight="1" x14ac:dyDescent="0.2">
      <c r="A83" s="343"/>
      <c r="B83" s="344"/>
      <c r="C83" s="290"/>
      <c r="D83" s="293"/>
      <c r="E83" s="345">
        <f t="shared" ref="E83:E90" si="21">IFERROR(VLOOKUP(C83,T_Equipos,4,FALSE),0)</f>
        <v>0</v>
      </c>
      <c r="F83" s="346">
        <f t="shared" ref="F83:F90" si="22">IFERROR(VLOOKUP(C83,T_Equipos,11,FALSE),0)</f>
        <v>0</v>
      </c>
      <c r="G83" s="347">
        <f t="shared" si="20"/>
        <v>0</v>
      </c>
    </row>
    <row r="84" spans="1:7" ht="18.95" customHeight="1" x14ac:dyDescent="0.2">
      <c r="A84" s="343"/>
      <c r="B84" s="344"/>
      <c r="C84" s="290"/>
      <c r="D84" s="293"/>
      <c r="E84" s="345">
        <f t="shared" si="21"/>
        <v>0</v>
      </c>
      <c r="F84" s="346">
        <f t="shared" si="22"/>
        <v>0</v>
      </c>
      <c r="G84" s="347">
        <f t="shared" si="20"/>
        <v>0</v>
      </c>
    </row>
    <row r="85" spans="1:7" ht="18.95" customHeight="1" x14ac:dyDescent="0.2">
      <c r="A85" s="343"/>
      <c r="B85" s="344"/>
      <c r="C85" s="290"/>
      <c r="D85" s="293"/>
      <c r="E85" s="345">
        <f t="shared" si="21"/>
        <v>0</v>
      </c>
      <c r="F85" s="346">
        <f t="shared" si="22"/>
        <v>0</v>
      </c>
      <c r="G85" s="347">
        <f t="shared" si="20"/>
        <v>0</v>
      </c>
    </row>
    <row r="86" spans="1:7" ht="18.95" customHeight="1" x14ac:dyDescent="0.2">
      <c r="A86" s="343"/>
      <c r="B86" s="344"/>
      <c r="C86" s="290"/>
      <c r="D86" s="293"/>
      <c r="E86" s="345">
        <f t="shared" si="21"/>
        <v>0</v>
      </c>
      <c r="F86" s="346">
        <f t="shared" si="22"/>
        <v>0</v>
      </c>
      <c r="G86" s="347">
        <f t="shared" si="20"/>
        <v>0</v>
      </c>
    </row>
    <row r="87" spans="1:7" ht="18.95" customHeight="1" x14ac:dyDescent="0.2">
      <c r="A87" s="343"/>
      <c r="B87" s="344"/>
      <c r="C87" s="290"/>
      <c r="D87" s="293"/>
      <c r="E87" s="345">
        <f t="shared" si="21"/>
        <v>0</v>
      </c>
      <c r="F87" s="346">
        <f t="shared" si="22"/>
        <v>0</v>
      </c>
      <c r="G87" s="347">
        <f t="shared" si="20"/>
        <v>0</v>
      </c>
    </row>
    <row r="88" spans="1:7" ht="18.95" customHeight="1" x14ac:dyDescent="0.2">
      <c r="A88" s="343"/>
      <c r="B88" s="344"/>
      <c r="C88" s="290"/>
      <c r="D88" s="293"/>
      <c r="E88" s="345">
        <f t="shared" si="21"/>
        <v>0</v>
      </c>
      <c r="F88" s="346">
        <f t="shared" si="22"/>
        <v>0</v>
      </c>
      <c r="G88" s="347">
        <f t="shared" si="20"/>
        <v>0</v>
      </c>
    </row>
    <row r="89" spans="1:7" ht="18.95" customHeight="1" x14ac:dyDescent="0.2">
      <c r="A89" s="343"/>
      <c r="B89" s="344"/>
      <c r="C89" s="290"/>
      <c r="D89" s="293"/>
      <c r="E89" s="345">
        <f t="shared" si="21"/>
        <v>0</v>
      </c>
      <c r="F89" s="346">
        <f t="shared" si="22"/>
        <v>0</v>
      </c>
      <c r="G89" s="347">
        <f t="shared" si="20"/>
        <v>0</v>
      </c>
    </row>
    <row r="90" spans="1:7" ht="18.95" customHeight="1" thickBot="1" x14ac:dyDescent="0.25">
      <c r="A90" s="343"/>
      <c r="B90" s="344"/>
      <c r="C90" s="290"/>
      <c r="D90" s="293"/>
      <c r="E90" s="345">
        <f t="shared" si="21"/>
        <v>0</v>
      </c>
      <c r="F90" s="346">
        <f t="shared" si="22"/>
        <v>0</v>
      </c>
      <c r="G90" s="347">
        <f t="shared" si="20"/>
        <v>0</v>
      </c>
    </row>
    <row r="91" spans="1:7" ht="18.95" customHeight="1" thickBot="1" x14ac:dyDescent="0.25">
      <c r="A91" s="148"/>
      <c r="B91" s="334"/>
      <c r="C91" s="143"/>
      <c r="D91" s="146" t="s">
        <v>1037</v>
      </c>
      <c r="E91" s="338">
        <f>SUMPRODUCT(D81:D90,E81:E90)</f>
        <v>0</v>
      </c>
      <c r="F91" s="141" t="s">
        <v>1038</v>
      </c>
      <c r="G91" s="339">
        <f>SUM(G81:G90)</f>
        <v>0</v>
      </c>
    </row>
    <row r="92" spans="1:7" ht="18.95" customHeight="1" x14ac:dyDescent="0.2">
      <c r="A92" s="148"/>
      <c r="B92" s="334"/>
      <c r="C92" s="141" t="s">
        <v>1039</v>
      </c>
      <c r="D92" s="320"/>
      <c r="E92" s="340" t="str">
        <f>CONCATENATE(G77,"/día")</f>
        <v>m3/día</v>
      </c>
      <c r="F92" s="141"/>
      <c r="G92" s="341"/>
    </row>
    <row r="93" spans="1:7" ht="18.95" customHeight="1" x14ac:dyDescent="0.2">
      <c r="A93" s="148"/>
      <c r="B93" s="334"/>
      <c r="C93" s="142"/>
      <c r="D93" s="150"/>
      <c r="E93" s="141"/>
      <c r="F93" s="141"/>
      <c r="G93" s="341"/>
    </row>
    <row r="94" spans="1:7" ht="18.95" customHeight="1" x14ac:dyDescent="0.2">
      <c r="A94" s="735" t="s">
        <v>582</v>
      </c>
      <c r="B94" s="736"/>
      <c r="C94" s="737" t="s">
        <v>0</v>
      </c>
      <c r="D94" s="743" t="s">
        <v>1053</v>
      </c>
      <c r="E94" s="743" t="s">
        <v>1706</v>
      </c>
      <c r="F94" s="743" t="s">
        <v>1054</v>
      </c>
      <c r="G94" s="743" t="s">
        <v>1055</v>
      </c>
    </row>
    <row r="95" spans="1:7" ht="18.95" customHeight="1" x14ac:dyDescent="0.2">
      <c r="A95" s="154" t="s">
        <v>583</v>
      </c>
      <c r="B95" s="155" t="s">
        <v>584</v>
      </c>
      <c r="C95" s="738"/>
      <c r="D95" s="742"/>
      <c r="E95" s="742"/>
      <c r="F95" s="744"/>
      <c r="G95" s="742"/>
    </row>
    <row r="96" spans="1:7" ht="18.95" customHeight="1" x14ac:dyDescent="0.2">
      <c r="A96" s="156"/>
      <c r="B96" s="142"/>
      <c r="C96" s="157" t="s">
        <v>1041</v>
      </c>
      <c r="D96" s="150"/>
      <c r="E96" s="142"/>
      <c r="F96" s="142"/>
      <c r="G96" s="342"/>
    </row>
    <row r="97" spans="1:7" ht="18.95" customHeight="1" x14ac:dyDescent="0.2">
      <c r="A97" s="348" t="str">
        <f t="shared" ref="A97:A104" si="23">IFERROR(VLOOKUP(C97,Tabla_Insumos,4,FALSE),"")</f>
        <v/>
      </c>
      <c r="B97" s="290" t="str">
        <f t="shared" ref="B97:B104" si="24">IFERROR(VLOOKUP(C97,Tabla_Insumos,5,FALSE),"")</f>
        <v/>
      </c>
      <c r="C97" s="290"/>
      <c r="D97" s="607">
        <f t="shared" ref="D97:D104" si="25">IFERROR(VLOOKUP(C97,Tabla_Insumos,3,FALSE),0)</f>
        <v>0</v>
      </c>
      <c r="E97" s="349">
        <f>D97*$G$21</f>
        <v>0</v>
      </c>
      <c r="F97" s="350">
        <f>IF(C97="",0,D92)</f>
        <v>0</v>
      </c>
      <c r="G97" s="347">
        <f>IFERROR(ROUND(E97/F97,2),0)</f>
        <v>0</v>
      </c>
    </row>
    <row r="98" spans="1:7" ht="18.95" customHeight="1" x14ac:dyDescent="0.2">
      <c r="A98" s="348" t="str">
        <f t="shared" si="23"/>
        <v/>
      </c>
      <c r="B98" s="290" t="str">
        <f t="shared" si="24"/>
        <v/>
      </c>
      <c r="C98" s="321"/>
      <c r="D98" s="607">
        <f t="shared" si="25"/>
        <v>0</v>
      </c>
      <c r="E98" s="349">
        <f t="shared" ref="E98:E99" si="26">D98*$G$21</f>
        <v>0</v>
      </c>
      <c r="F98" s="350">
        <f t="shared" ref="F98:F101" si="27">IF(C98="",0,F97)</f>
        <v>0</v>
      </c>
      <c r="G98" s="347">
        <f t="shared" ref="G98:G104" si="28">IFERROR(ROUND(E98/F98,2),0)</f>
        <v>0</v>
      </c>
    </row>
    <row r="99" spans="1:7" ht="18.95" customHeight="1" x14ac:dyDescent="0.2">
      <c r="A99" s="348" t="str">
        <f t="shared" si="23"/>
        <v/>
      </c>
      <c r="B99" s="290" t="str">
        <f t="shared" si="24"/>
        <v/>
      </c>
      <c r="C99" s="321"/>
      <c r="D99" s="607">
        <f t="shared" si="25"/>
        <v>0</v>
      </c>
      <c r="E99" s="349">
        <f t="shared" si="26"/>
        <v>0</v>
      </c>
      <c r="F99" s="350">
        <f t="shared" si="27"/>
        <v>0</v>
      </c>
      <c r="G99" s="347">
        <f t="shared" si="28"/>
        <v>0</v>
      </c>
    </row>
    <row r="100" spans="1:7" ht="18.95" customHeight="1" x14ac:dyDescent="0.2">
      <c r="A100" s="348" t="str">
        <f t="shared" si="23"/>
        <v/>
      </c>
      <c r="B100" s="290" t="str">
        <f t="shared" si="24"/>
        <v/>
      </c>
      <c r="C100" s="321"/>
      <c r="D100" s="607">
        <f t="shared" si="25"/>
        <v>0</v>
      </c>
      <c r="E100" s="349">
        <f>D100*$E$21</f>
        <v>0</v>
      </c>
      <c r="F100" s="350">
        <f t="shared" si="27"/>
        <v>0</v>
      </c>
      <c r="G100" s="347">
        <f t="shared" si="28"/>
        <v>0</v>
      </c>
    </row>
    <row r="101" spans="1:7" ht="18.95" customHeight="1" x14ac:dyDescent="0.2">
      <c r="A101" s="348" t="str">
        <f t="shared" si="23"/>
        <v/>
      </c>
      <c r="B101" s="290" t="str">
        <f t="shared" si="24"/>
        <v/>
      </c>
      <c r="C101" s="321"/>
      <c r="D101" s="607">
        <f t="shared" si="25"/>
        <v>0</v>
      </c>
      <c r="E101" s="349">
        <f>D101*$E$21</f>
        <v>0</v>
      </c>
      <c r="F101" s="350">
        <f t="shared" si="27"/>
        <v>0</v>
      </c>
      <c r="G101" s="347">
        <f t="shared" si="28"/>
        <v>0</v>
      </c>
    </row>
    <row r="102" spans="1:7" ht="18.95" customHeight="1" x14ac:dyDescent="0.2">
      <c r="A102" s="348" t="str">
        <f t="shared" si="23"/>
        <v/>
      </c>
      <c r="B102" s="290" t="str">
        <f t="shared" si="24"/>
        <v/>
      </c>
      <c r="C102" s="321"/>
      <c r="D102" s="607">
        <f t="shared" si="25"/>
        <v>0</v>
      </c>
      <c r="E102" s="349"/>
      <c r="F102" s="350">
        <f>IF(C102="",0,F101)</f>
        <v>0</v>
      </c>
      <c r="G102" s="347">
        <f t="shared" si="28"/>
        <v>0</v>
      </c>
    </row>
    <row r="103" spans="1:7" ht="18.95" customHeight="1" x14ac:dyDescent="0.2">
      <c r="A103" s="348" t="str">
        <f t="shared" si="23"/>
        <v/>
      </c>
      <c r="B103" s="290" t="str">
        <f t="shared" si="24"/>
        <v/>
      </c>
      <c r="C103" s="321"/>
      <c r="D103" s="607">
        <f t="shared" si="25"/>
        <v>0</v>
      </c>
      <c r="E103" s="349"/>
      <c r="F103" s="350">
        <f t="shared" ref="F103:F104" si="29">IF(C103="",0,F102)</f>
        <v>0</v>
      </c>
      <c r="G103" s="347">
        <f t="shared" si="28"/>
        <v>0</v>
      </c>
    </row>
    <row r="104" spans="1:7" ht="18.95" customHeight="1" x14ac:dyDescent="0.2">
      <c r="A104" s="348" t="str">
        <f t="shared" si="23"/>
        <v/>
      </c>
      <c r="B104" s="290" t="str">
        <f t="shared" si="24"/>
        <v/>
      </c>
      <c r="C104" s="321"/>
      <c r="D104" s="607">
        <f t="shared" si="25"/>
        <v>0</v>
      </c>
      <c r="E104" s="349"/>
      <c r="F104" s="350">
        <f t="shared" si="29"/>
        <v>0</v>
      </c>
      <c r="G104" s="347">
        <f t="shared" si="28"/>
        <v>0</v>
      </c>
    </row>
    <row r="105" spans="1:7" ht="18.95" customHeight="1" x14ac:dyDescent="0.2">
      <c r="A105" s="353"/>
      <c r="B105" s="149"/>
      <c r="C105" s="142"/>
      <c r="D105" s="150"/>
      <c r="E105" s="143"/>
      <c r="F105" s="354" t="s">
        <v>29</v>
      </c>
      <c r="G105" s="355">
        <f>SUBTOTAL(9,G97:G104)</f>
        <v>0</v>
      </c>
    </row>
    <row r="106" spans="1:7" ht="18.95" customHeight="1" x14ac:dyDescent="0.2">
      <c r="A106" s="156"/>
      <c r="B106" s="142"/>
      <c r="C106" s="157" t="s">
        <v>722</v>
      </c>
      <c r="D106" s="150"/>
      <c r="E106" s="327"/>
      <c r="F106" s="327"/>
      <c r="G106" s="342"/>
    </row>
    <row r="107" spans="1:7" ht="18.95" customHeight="1" x14ac:dyDescent="0.2">
      <c r="A107" s="735" t="s">
        <v>582</v>
      </c>
      <c r="B107" s="736"/>
      <c r="C107" s="737" t="s">
        <v>0</v>
      </c>
      <c r="D107" s="739" t="s">
        <v>26</v>
      </c>
      <c r="E107" s="743" t="s">
        <v>1707</v>
      </c>
      <c r="F107" s="741" t="s">
        <v>1040</v>
      </c>
      <c r="G107" s="733" t="s">
        <v>28</v>
      </c>
    </row>
    <row r="108" spans="1:7" ht="18.95" customHeight="1" x14ac:dyDescent="0.2">
      <c r="A108" s="154" t="s">
        <v>583</v>
      </c>
      <c r="B108" s="155" t="s">
        <v>584</v>
      </c>
      <c r="C108" s="738"/>
      <c r="D108" s="740"/>
      <c r="E108" s="742"/>
      <c r="F108" s="742"/>
      <c r="G108" s="734"/>
    </row>
    <row r="109" spans="1:7" ht="18.95" customHeight="1" x14ac:dyDescent="0.2">
      <c r="A109" s="348" t="str">
        <f t="shared" ref="A109:A114" si="30">IFERROR(VLOOKUP(C109,Tabla_Insumos,4,FALSE),"")</f>
        <v/>
      </c>
      <c r="B109" s="290" t="str">
        <f t="shared" ref="B109:B114" si="31">IFERROR(VLOOKUP(C109,Tabla_Insumos,5,FALSE),"")</f>
        <v/>
      </c>
      <c r="C109" s="291"/>
      <c r="D109" s="293"/>
      <c r="E109" s="346">
        <f t="shared" ref="E109:E114" si="32">IFERROR(VLOOKUP(C109,Tabla_Insumos,3,FALSE),0)</f>
        <v>0</v>
      </c>
      <c r="F109" s="349">
        <f>IF(C109="",0,D92)</f>
        <v>0</v>
      </c>
      <c r="G109" s="347">
        <f t="shared" ref="G109:G114" si="33">IFERROR(ROUND(D109*E109/F109,2),0)</f>
        <v>0</v>
      </c>
    </row>
    <row r="110" spans="1:7" ht="18.95" customHeight="1" x14ac:dyDescent="0.2">
      <c r="A110" s="348" t="str">
        <f t="shared" si="30"/>
        <v/>
      </c>
      <c r="B110" s="290" t="str">
        <f t="shared" si="31"/>
        <v/>
      </c>
      <c r="C110" s="290"/>
      <c r="D110" s="293"/>
      <c r="E110" s="346">
        <f t="shared" si="32"/>
        <v>0</v>
      </c>
      <c r="F110" s="349">
        <f>IF(C110="",0,F109)</f>
        <v>0</v>
      </c>
      <c r="G110" s="347">
        <f t="shared" si="33"/>
        <v>0</v>
      </c>
    </row>
    <row r="111" spans="1:7" ht="18.95" customHeight="1" x14ac:dyDescent="0.2">
      <c r="A111" s="348" t="str">
        <f t="shared" si="30"/>
        <v/>
      </c>
      <c r="B111" s="290" t="str">
        <f t="shared" si="31"/>
        <v/>
      </c>
      <c r="C111" s="290"/>
      <c r="D111" s="293"/>
      <c r="E111" s="346">
        <f t="shared" si="32"/>
        <v>0</v>
      </c>
      <c r="F111" s="349">
        <f>IF(C111="",0,F110)</f>
        <v>0</v>
      </c>
      <c r="G111" s="347">
        <f t="shared" si="33"/>
        <v>0</v>
      </c>
    </row>
    <row r="112" spans="1:7" ht="18.95" customHeight="1" x14ac:dyDescent="0.2">
      <c r="A112" s="348" t="str">
        <f t="shared" si="30"/>
        <v/>
      </c>
      <c r="B112" s="290" t="str">
        <f t="shared" si="31"/>
        <v/>
      </c>
      <c r="C112" s="290"/>
      <c r="D112" s="293"/>
      <c r="E112" s="346">
        <f t="shared" si="32"/>
        <v>0</v>
      </c>
      <c r="F112" s="349">
        <f>IF(C112="",0,F111)</f>
        <v>0</v>
      </c>
      <c r="G112" s="347">
        <f t="shared" si="33"/>
        <v>0</v>
      </c>
    </row>
    <row r="113" spans="1:7" ht="18.95" customHeight="1" x14ac:dyDescent="0.2">
      <c r="A113" s="348" t="str">
        <f t="shared" si="30"/>
        <v/>
      </c>
      <c r="B113" s="290" t="str">
        <f t="shared" si="31"/>
        <v/>
      </c>
      <c r="C113" s="290"/>
      <c r="D113" s="351"/>
      <c r="E113" s="346">
        <f t="shared" si="32"/>
        <v>0</v>
      </c>
      <c r="F113" s="349">
        <f>IF(C113="",0,F112)</f>
        <v>0</v>
      </c>
      <c r="G113" s="347">
        <f t="shared" si="33"/>
        <v>0</v>
      </c>
    </row>
    <row r="114" spans="1:7" ht="18.95" customHeight="1" x14ac:dyDescent="0.2">
      <c r="A114" s="348" t="str">
        <f t="shared" si="30"/>
        <v/>
      </c>
      <c r="B114" s="290" t="str">
        <f t="shared" si="31"/>
        <v/>
      </c>
      <c r="C114" s="290"/>
      <c r="D114" s="293"/>
      <c r="E114" s="346">
        <f t="shared" si="32"/>
        <v>0</v>
      </c>
      <c r="F114" s="349">
        <f>IF(C114="",0,F113)</f>
        <v>0</v>
      </c>
      <c r="G114" s="347">
        <f t="shared" si="33"/>
        <v>0</v>
      </c>
    </row>
    <row r="115" spans="1:7" ht="18.95" customHeight="1" x14ac:dyDescent="0.2">
      <c r="A115" s="353"/>
      <c r="B115" s="149"/>
      <c r="C115" s="142"/>
      <c r="D115" s="150"/>
      <c r="E115" s="143"/>
      <c r="F115" s="356" t="s">
        <v>30</v>
      </c>
      <c r="G115" s="355">
        <f>SUBTOTAL(9,G109:G114)</f>
        <v>0</v>
      </c>
    </row>
    <row r="116" spans="1:7" ht="18.95" customHeight="1" x14ac:dyDescent="0.2">
      <c r="A116" s="156"/>
      <c r="B116" s="142"/>
      <c r="C116" s="157" t="s">
        <v>1047</v>
      </c>
      <c r="D116" s="150"/>
      <c r="E116" s="327"/>
      <c r="F116" s="327"/>
      <c r="G116" s="342"/>
    </row>
    <row r="117" spans="1:7" ht="18.95" customHeight="1" x14ac:dyDescent="0.2">
      <c r="A117" s="735" t="s">
        <v>582</v>
      </c>
      <c r="B117" s="736"/>
      <c r="C117" s="737" t="s">
        <v>0</v>
      </c>
      <c r="D117" s="737" t="s">
        <v>1655</v>
      </c>
      <c r="E117" s="737" t="s">
        <v>26</v>
      </c>
      <c r="F117" s="737" t="s">
        <v>27</v>
      </c>
      <c r="G117" s="733" t="s">
        <v>28</v>
      </c>
    </row>
    <row r="118" spans="1:7" ht="18.95" customHeight="1" x14ac:dyDescent="0.2">
      <c r="A118" s="154" t="s">
        <v>583</v>
      </c>
      <c r="B118" s="155" t="s">
        <v>584</v>
      </c>
      <c r="C118" s="738"/>
      <c r="D118" s="738"/>
      <c r="E118" s="738"/>
      <c r="F118" s="738"/>
      <c r="G118" s="734"/>
    </row>
    <row r="119" spans="1:7" ht="18.95" customHeight="1" x14ac:dyDescent="0.2">
      <c r="A119" s="348" t="str">
        <f t="shared" ref="A119:A130" si="34">IFERROR(VLOOKUP(C119,Tabla_Insumos,4,FALSE),"")</f>
        <v/>
      </c>
      <c r="B119" s="290" t="str">
        <f t="shared" ref="B119:B130" si="35">IFERROR(VLOOKUP(C119,Tabla_Insumos,5,FALSE),"")</f>
        <v/>
      </c>
      <c r="C119" s="290"/>
      <c r="D119" s="608">
        <f t="shared" ref="D119:D130" si="36">IFERROR(VLOOKUP(C119,Tabla_Insumos,2,FALSE),0)</f>
        <v>0</v>
      </c>
      <c r="E119" s="293"/>
      <c r="F119" s="346">
        <f t="shared" ref="F119:F130" si="37">IFERROR(VLOOKUP(C119,Tabla_Insumos,3,FALSE),0)</f>
        <v>0</v>
      </c>
      <c r="G119" s="347">
        <f t="shared" ref="G119:G130" si="38">ROUND(E119*F119,2)</f>
        <v>0</v>
      </c>
    </row>
    <row r="120" spans="1:7" ht="18.95" customHeight="1" x14ac:dyDescent="0.2">
      <c r="A120" s="348" t="str">
        <f t="shared" si="34"/>
        <v/>
      </c>
      <c r="B120" s="290" t="str">
        <f t="shared" si="35"/>
        <v/>
      </c>
      <c r="C120" s="126"/>
      <c r="D120" s="608">
        <f t="shared" si="36"/>
        <v>0</v>
      </c>
      <c r="E120" s="293"/>
      <c r="F120" s="346">
        <f t="shared" si="37"/>
        <v>0</v>
      </c>
      <c r="G120" s="347">
        <f t="shared" si="38"/>
        <v>0</v>
      </c>
    </row>
    <row r="121" spans="1:7" ht="18.95" customHeight="1" x14ac:dyDescent="0.2">
      <c r="A121" s="348" t="str">
        <f t="shared" si="34"/>
        <v/>
      </c>
      <c r="B121" s="290" t="str">
        <f t="shared" si="35"/>
        <v/>
      </c>
      <c r="C121" s="290"/>
      <c r="D121" s="608">
        <f t="shared" si="36"/>
        <v>0</v>
      </c>
      <c r="E121" s="293"/>
      <c r="F121" s="346">
        <f t="shared" si="37"/>
        <v>0</v>
      </c>
      <c r="G121" s="347">
        <f t="shared" si="38"/>
        <v>0</v>
      </c>
    </row>
    <row r="122" spans="1:7" ht="18.95" customHeight="1" x14ac:dyDescent="0.2">
      <c r="A122" s="348" t="str">
        <f t="shared" si="34"/>
        <v/>
      </c>
      <c r="B122" s="290" t="str">
        <f t="shared" si="35"/>
        <v/>
      </c>
      <c r="C122" s="290"/>
      <c r="D122" s="608">
        <f t="shared" si="36"/>
        <v>0</v>
      </c>
      <c r="E122" s="293"/>
      <c r="F122" s="346">
        <f t="shared" si="37"/>
        <v>0</v>
      </c>
      <c r="G122" s="347">
        <f t="shared" si="38"/>
        <v>0</v>
      </c>
    </row>
    <row r="123" spans="1:7" ht="18.95" customHeight="1" x14ac:dyDescent="0.2">
      <c r="A123" s="348" t="str">
        <f t="shared" si="34"/>
        <v/>
      </c>
      <c r="B123" s="290" t="str">
        <f t="shared" si="35"/>
        <v/>
      </c>
      <c r="C123" s="290"/>
      <c r="D123" s="608">
        <f t="shared" si="36"/>
        <v>0</v>
      </c>
      <c r="E123" s="293"/>
      <c r="F123" s="346">
        <f t="shared" si="37"/>
        <v>0</v>
      </c>
      <c r="G123" s="347">
        <f t="shared" si="38"/>
        <v>0</v>
      </c>
    </row>
    <row r="124" spans="1:7" ht="18.95" customHeight="1" x14ac:dyDescent="0.2">
      <c r="A124" s="348" t="str">
        <f t="shared" si="34"/>
        <v/>
      </c>
      <c r="B124" s="290" t="str">
        <f t="shared" si="35"/>
        <v/>
      </c>
      <c r="C124" s="290"/>
      <c r="D124" s="608">
        <f t="shared" si="36"/>
        <v>0</v>
      </c>
      <c r="E124" s="293"/>
      <c r="F124" s="346">
        <f t="shared" si="37"/>
        <v>0</v>
      </c>
      <c r="G124" s="347">
        <f t="shared" si="38"/>
        <v>0</v>
      </c>
    </row>
    <row r="125" spans="1:7" ht="18.95" customHeight="1" x14ac:dyDescent="0.2">
      <c r="A125" s="348" t="str">
        <f t="shared" si="34"/>
        <v/>
      </c>
      <c r="B125" s="290" t="str">
        <f t="shared" si="35"/>
        <v/>
      </c>
      <c r="C125" s="290"/>
      <c r="D125" s="608">
        <f t="shared" si="36"/>
        <v>0</v>
      </c>
      <c r="E125" s="293"/>
      <c r="F125" s="346">
        <f t="shared" si="37"/>
        <v>0</v>
      </c>
      <c r="G125" s="347">
        <f t="shared" si="38"/>
        <v>0</v>
      </c>
    </row>
    <row r="126" spans="1:7" s="295" customFormat="1" ht="18.95" customHeight="1" x14ac:dyDescent="0.2">
      <c r="A126" s="348" t="str">
        <f t="shared" si="34"/>
        <v/>
      </c>
      <c r="B126" s="290" t="str">
        <f t="shared" si="35"/>
        <v/>
      </c>
      <c r="C126" s="290"/>
      <c r="D126" s="608">
        <f t="shared" si="36"/>
        <v>0</v>
      </c>
      <c r="E126" s="323"/>
      <c r="F126" s="346">
        <f t="shared" si="37"/>
        <v>0</v>
      </c>
      <c r="G126" s="347">
        <f t="shared" si="38"/>
        <v>0</v>
      </c>
    </row>
    <row r="127" spans="1:7" ht="18.95" customHeight="1" x14ac:dyDescent="0.2">
      <c r="A127" s="348" t="str">
        <f t="shared" si="34"/>
        <v/>
      </c>
      <c r="B127" s="290" t="str">
        <f t="shared" si="35"/>
        <v/>
      </c>
      <c r="C127" s="290"/>
      <c r="D127" s="608">
        <f t="shared" si="36"/>
        <v>0</v>
      </c>
      <c r="E127" s="293"/>
      <c r="F127" s="346">
        <f t="shared" si="37"/>
        <v>0</v>
      </c>
      <c r="G127" s="347">
        <f t="shared" si="38"/>
        <v>0</v>
      </c>
    </row>
    <row r="128" spans="1:7" ht="18.95" customHeight="1" x14ac:dyDescent="0.2">
      <c r="A128" s="348" t="str">
        <f t="shared" si="34"/>
        <v/>
      </c>
      <c r="B128" s="290" t="str">
        <f t="shared" si="35"/>
        <v/>
      </c>
      <c r="C128" s="290"/>
      <c r="D128" s="608">
        <f t="shared" si="36"/>
        <v>0</v>
      </c>
      <c r="E128" s="293"/>
      <c r="F128" s="346">
        <f t="shared" si="37"/>
        <v>0</v>
      </c>
      <c r="G128" s="347">
        <f t="shared" si="38"/>
        <v>0</v>
      </c>
    </row>
    <row r="129" spans="1:8" ht="18.95" customHeight="1" x14ac:dyDescent="0.2">
      <c r="A129" s="348" t="str">
        <f t="shared" si="34"/>
        <v/>
      </c>
      <c r="B129" s="290" t="str">
        <f t="shared" si="35"/>
        <v/>
      </c>
      <c r="C129" s="290"/>
      <c r="D129" s="608">
        <f t="shared" si="36"/>
        <v>0</v>
      </c>
      <c r="E129" s="293"/>
      <c r="F129" s="346">
        <f t="shared" si="37"/>
        <v>0</v>
      </c>
      <c r="G129" s="347">
        <f t="shared" si="38"/>
        <v>0</v>
      </c>
    </row>
    <row r="130" spans="1:8" ht="18.95" customHeight="1" x14ac:dyDescent="0.2">
      <c r="A130" s="348" t="str">
        <f t="shared" si="34"/>
        <v/>
      </c>
      <c r="B130" s="290" t="str">
        <f t="shared" si="35"/>
        <v/>
      </c>
      <c r="C130" s="290"/>
      <c r="D130" s="608">
        <f t="shared" si="36"/>
        <v>0</v>
      </c>
      <c r="E130" s="293"/>
      <c r="F130" s="346">
        <f t="shared" si="37"/>
        <v>0</v>
      </c>
      <c r="G130" s="347">
        <f t="shared" si="38"/>
        <v>0</v>
      </c>
    </row>
    <row r="131" spans="1:8" ht="18.95" customHeight="1" x14ac:dyDescent="0.2">
      <c r="A131" s="156"/>
      <c r="B131" s="142"/>
      <c r="C131" s="142"/>
      <c r="D131" s="150"/>
      <c r="E131" s="143"/>
      <c r="F131" s="356" t="s">
        <v>31</v>
      </c>
      <c r="G131" s="355">
        <f>SUBTOTAL(9,G119:G130)</f>
        <v>0</v>
      </c>
    </row>
    <row r="132" spans="1:8" ht="18.95" customHeight="1" x14ac:dyDescent="0.2">
      <c r="A132" s="156"/>
      <c r="B132" s="142"/>
      <c r="C132" s="157" t="s">
        <v>1048</v>
      </c>
      <c r="D132" s="150"/>
      <c r="E132" s="327"/>
      <c r="F132" s="327"/>
      <c r="G132" s="342"/>
    </row>
    <row r="133" spans="1:8" ht="18.95" customHeight="1" x14ac:dyDescent="0.2">
      <c r="A133" s="735" t="s">
        <v>582</v>
      </c>
      <c r="B133" s="736"/>
      <c r="C133" s="737" t="s">
        <v>0</v>
      </c>
      <c r="D133" s="739" t="s">
        <v>1750</v>
      </c>
      <c r="E133" s="741" t="s">
        <v>26</v>
      </c>
      <c r="F133" s="741" t="s">
        <v>27</v>
      </c>
      <c r="G133" s="733" t="s">
        <v>28</v>
      </c>
    </row>
    <row r="134" spans="1:8" ht="18.95" customHeight="1" x14ac:dyDescent="0.2">
      <c r="A134" s="154" t="s">
        <v>583</v>
      </c>
      <c r="B134" s="155" t="s">
        <v>584</v>
      </c>
      <c r="C134" s="738"/>
      <c r="D134" s="740"/>
      <c r="E134" s="742"/>
      <c r="F134" s="742"/>
      <c r="G134" s="734"/>
    </row>
    <row r="135" spans="1:8" ht="18.95" customHeight="1" x14ac:dyDescent="0.2">
      <c r="A135" s="348" t="str">
        <f>IFERROR(VLOOKUP(C135,Tabla_Insumos,4,FALSE),"")</f>
        <v/>
      </c>
      <c r="B135" s="290" t="s">
        <v>4</v>
      </c>
      <c r="C135" s="290"/>
      <c r="D135" s="293"/>
      <c r="E135" s="322"/>
      <c r="F135" s="324"/>
      <c r="G135" s="347">
        <f t="shared" ref="G135" si="39">ROUND(E135*F135,2)</f>
        <v>0</v>
      </c>
    </row>
    <row r="136" spans="1:8" ht="18.95" customHeight="1" x14ac:dyDescent="0.2">
      <c r="A136" s="156"/>
      <c r="B136" s="142"/>
      <c r="C136" s="142"/>
      <c r="D136" s="150"/>
      <c r="E136" s="143"/>
      <c r="F136" s="356" t="s">
        <v>1049</v>
      </c>
      <c r="G136" s="355">
        <f>SUBTOTAL(9,G135:G135)</f>
        <v>0</v>
      </c>
    </row>
    <row r="137" spans="1:8" ht="18.95" customHeight="1" thickBot="1" x14ac:dyDescent="0.25">
      <c r="A137" s="158"/>
      <c r="B137" s="159"/>
      <c r="C137" s="160"/>
      <c r="D137" s="161"/>
      <c r="E137" s="357"/>
      <c r="F137" s="357"/>
      <c r="G137" s="358"/>
    </row>
    <row r="138" spans="1:8" ht="18.95" customHeight="1" x14ac:dyDescent="0.2">
      <c r="A138" s="359">
        <f>B77</f>
        <v>2</v>
      </c>
      <c r="B138" s="360" t="str">
        <f>C77</f>
        <v xml:space="preserve">EXCAVACIÓN NO CLASIFICADA
</v>
      </c>
      <c r="C138" s="361"/>
      <c r="D138" s="361"/>
      <c r="E138" s="361" t="s">
        <v>1050</v>
      </c>
      <c r="F138" s="362" t="str">
        <f>CONCATENATE("$/",G77)</f>
        <v>$/m3</v>
      </c>
      <c r="G138" s="363">
        <f>SUBTOTAL(9,G97:G137)</f>
        <v>0</v>
      </c>
    </row>
    <row r="139" spans="1:8" ht="18.95" customHeight="1" thickBot="1" x14ac:dyDescent="0.25">
      <c r="A139" s="364"/>
      <c r="B139" s="365"/>
      <c r="C139" s="365"/>
      <c r="D139" s="365"/>
      <c r="E139" s="366" t="s">
        <v>1051</v>
      </c>
      <c r="F139" s="367" t="str">
        <f>CONCATENATE("$/",G77)</f>
        <v>$/m3</v>
      </c>
      <c r="G139" s="368" t="e">
        <f ca="1">PrecioUnitario(G138,GG_Porcentaje,Beneficio,Ingresos_Brutos,IVA)</f>
        <v>#NAME?</v>
      </c>
    </row>
    <row r="140" spans="1:8" ht="18.95" customHeight="1" thickTop="1" thickBot="1" x14ac:dyDescent="0.25">
      <c r="F140" s="294"/>
      <c r="G140" s="294"/>
    </row>
    <row r="141" spans="1:8" ht="18.95" customHeight="1" thickTop="1" x14ac:dyDescent="0.2">
      <c r="A141" s="194" t="s">
        <v>33</v>
      </c>
      <c r="B141" s="195"/>
      <c r="C141" s="195"/>
      <c r="D141" s="195"/>
      <c r="E141" s="195"/>
      <c r="F141" s="195"/>
      <c r="G141" s="196"/>
      <c r="H141" s="143">
        <f>COUNTIF($A$1:A147,"ANALISIS DE PRECIOS")</f>
        <v>3</v>
      </c>
    </row>
    <row r="142" spans="1:8" ht="18.95" customHeight="1" x14ac:dyDescent="0.2">
      <c r="A142" s="144" t="s">
        <v>720</v>
      </c>
      <c r="B142" s="145" t="str">
        <f>Comitente</f>
        <v>DIRECCIÓN PROVINCIAL DE VIALIDAD</v>
      </c>
      <c r="C142" s="139"/>
      <c r="D142" s="146"/>
      <c r="E142" s="325"/>
      <c r="F142" s="325"/>
      <c r="G142" s="326"/>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PAVIMENTACION Y ENSANCHE DE RUTA PROVINCIAL N°7 AV. JOAQUIN UÑAC</v>
      </c>
      <c r="C144" s="140"/>
      <c r="D144" s="140"/>
      <c r="E144" s="143"/>
      <c r="F144" s="145" t="s">
        <v>34</v>
      </c>
      <c r="G144" s="147">
        <f>Fecha_Base</f>
        <v>43444</v>
      </c>
      <c r="H144" s="143"/>
    </row>
    <row r="145" spans="1:8" ht="18.95" customHeight="1" x14ac:dyDescent="0.2">
      <c r="A145" s="148" t="s">
        <v>719</v>
      </c>
      <c r="B145" s="141" t="str">
        <f>Ubicación</f>
        <v>DEPARTAMENTO POCITO</v>
      </c>
      <c r="C145" s="141"/>
      <c r="D145" s="150"/>
      <c r="E145" s="143"/>
      <c r="F145" s="327"/>
      <c r="G145" s="328"/>
      <c r="H145" s="143"/>
    </row>
    <row r="146" spans="1:8" ht="18.95" customHeight="1" x14ac:dyDescent="0.2">
      <c r="A146" s="148" t="s">
        <v>35</v>
      </c>
      <c r="B146" s="151" t="str">
        <f>IFERROR(VALUE(LEFT(B147,FIND("-",B147)-1)),"")</f>
        <v/>
      </c>
      <c r="C146" s="142" t="str">
        <f>IFERROR(VLOOKUP(B146,Tabla_CyP,2,FALSE),"")</f>
        <v/>
      </c>
      <c r="D146" s="150"/>
      <c r="E146" s="143"/>
      <c r="F146" s="327"/>
      <c r="G146" s="328"/>
      <c r="H146" s="143"/>
    </row>
    <row r="147" spans="1:8" ht="18.95" customHeight="1" x14ac:dyDescent="0.2">
      <c r="A147" s="148" t="s">
        <v>24</v>
      </c>
      <c r="B147" s="152">
        <f>IFERROR(VLOOKUP(COUNTIF($A$1:A147,"ANALISIS DE PRECIOS"),Tabla_NumeroItem,4,FALSE),"")</f>
        <v>3</v>
      </c>
      <c r="C147" s="745" t="str">
        <f>IFERROR(VLOOKUP(B147,Tabla_CyP,2,FALSE),"")</f>
        <v>CONSTRUCCIÓN DE TERRAPLENES RIPIOSOS CON COMPACTACIÓN ESPECIAL</v>
      </c>
      <c r="D147" s="745"/>
      <c r="E147" s="745"/>
      <c r="F147" s="141" t="s">
        <v>25</v>
      </c>
      <c r="G147" s="153" t="str">
        <f>IFERROR(VLOOKUP(B147,Tabla_CyP,4,FALSE),"")</f>
        <v>m3</v>
      </c>
      <c r="H147" s="143"/>
    </row>
    <row r="148" spans="1:8" ht="18.95" customHeight="1" x14ac:dyDescent="0.2">
      <c r="A148" s="148"/>
      <c r="B148" s="141"/>
      <c r="C148" s="142"/>
      <c r="D148" s="150"/>
      <c r="E148" s="142"/>
      <c r="F148" s="142"/>
      <c r="G148" s="329"/>
      <c r="H148" s="143"/>
    </row>
    <row r="149" spans="1:8" ht="18.95" customHeight="1" x14ac:dyDescent="0.2">
      <c r="A149" s="330"/>
      <c r="B149" s="331"/>
      <c r="C149" s="332" t="s">
        <v>1032</v>
      </c>
      <c r="D149" s="331"/>
      <c r="E149" s="331"/>
      <c r="F149" s="331"/>
      <c r="G149" s="333"/>
      <c r="H149" s="143"/>
    </row>
    <row r="150" spans="1:8" ht="18.95" customHeight="1" x14ac:dyDescent="0.2">
      <c r="A150" s="148"/>
      <c r="B150" s="334"/>
      <c r="C150" s="335" t="s">
        <v>1033</v>
      </c>
      <c r="D150" s="336" t="s">
        <v>26</v>
      </c>
      <c r="E150" s="336" t="s">
        <v>1034</v>
      </c>
      <c r="F150" s="336" t="s">
        <v>1035</v>
      </c>
      <c r="G150" s="337" t="s">
        <v>1036</v>
      </c>
      <c r="H150" s="143"/>
    </row>
    <row r="151" spans="1:8" ht="18.95" customHeight="1" x14ac:dyDescent="0.2">
      <c r="A151" s="343"/>
      <c r="B151" s="344"/>
      <c r="C151" s="290"/>
      <c r="D151" s="293"/>
      <c r="E151" s="345"/>
      <c r="F151" s="346"/>
      <c r="G151" s="347">
        <f t="shared" ref="G151:G160" si="40">ROUND(D151*F151,2)</f>
        <v>0</v>
      </c>
    </row>
    <row r="152" spans="1:8" ht="18.95" customHeight="1" x14ac:dyDescent="0.2">
      <c r="A152" s="343"/>
      <c r="B152" s="344"/>
      <c r="C152" s="290"/>
      <c r="D152" s="293"/>
      <c r="E152" s="345"/>
      <c r="F152" s="346"/>
      <c r="G152" s="347">
        <f t="shared" si="40"/>
        <v>0</v>
      </c>
    </row>
    <row r="153" spans="1:8" ht="18.95" customHeight="1" x14ac:dyDescent="0.2">
      <c r="A153" s="343"/>
      <c r="B153" s="344"/>
      <c r="C153" s="290"/>
      <c r="D153" s="293"/>
      <c r="E153" s="345">
        <f t="shared" ref="E153:E160" si="41">IFERROR(VLOOKUP(C153,T_Equipos,4,FALSE),0)</f>
        <v>0</v>
      </c>
      <c r="F153" s="346">
        <f t="shared" ref="F153:F160" si="42">IFERROR(VLOOKUP(C153,T_Equipos,11,FALSE),0)</f>
        <v>0</v>
      </c>
      <c r="G153" s="347">
        <f t="shared" si="40"/>
        <v>0</v>
      </c>
    </row>
    <row r="154" spans="1:8" ht="18.95" customHeight="1" x14ac:dyDescent="0.2">
      <c r="A154" s="343"/>
      <c r="B154" s="344"/>
      <c r="C154" s="290"/>
      <c r="D154" s="293"/>
      <c r="E154" s="345">
        <f t="shared" si="41"/>
        <v>0</v>
      </c>
      <c r="F154" s="346">
        <f t="shared" si="42"/>
        <v>0</v>
      </c>
      <c r="G154" s="347">
        <f t="shared" si="40"/>
        <v>0</v>
      </c>
    </row>
    <row r="155" spans="1:8" ht="18.95" customHeight="1" x14ac:dyDescent="0.2">
      <c r="A155" s="343"/>
      <c r="B155" s="344"/>
      <c r="C155" s="290"/>
      <c r="D155" s="293"/>
      <c r="E155" s="345">
        <f t="shared" si="41"/>
        <v>0</v>
      </c>
      <c r="F155" s="346">
        <f t="shared" si="42"/>
        <v>0</v>
      </c>
      <c r="G155" s="347">
        <f t="shared" si="40"/>
        <v>0</v>
      </c>
    </row>
    <row r="156" spans="1:8" ht="18.95" customHeight="1" x14ac:dyDescent="0.2">
      <c r="A156" s="343"/>
      <c r="B156" s="344"/>
      <c r="C156" s="290"/>
      <c r="D156" s="293"/>
      <c r="E156" s="345">
        <f t="shared" si="41"/>
        <v>0</v>
      </c>
      <c r="F156" s="346">
        <f t="shared" si="42"/>
        <v>0</v>
      </c>
      <c r="G156" s="347">
        <f t="shared" si="40"/>
        <v>0</v>
      </c>
    </row>
    <row r="157" spans="1:8" ht="18.95" customHeight="1" x14ac:dyDescent="0.2">
      <c r="A157" s="343"/>
      <c r="B157" s="344"/>
      <c r="C157" s="290"/>
      <c r="D157" s="293"/>
      <c r="E157" s="345">
        <f t="shared" si="41"/>
        <v>0</v>
      </c>
      <c r="F157" s="346">
        <f t="shared" si="42"/>
        <v>0</v>
      </c>
      <c r="G157" s="347">
        <f t="shared" si="40"/>
        <v>0</v>
      </c>
    </row>
    <row r="158" spans="1:8" ht="18.95" customHeight="1" x14ac:dyDescent="0.2">
      <c r="A158" s="343"/>
      <c r="B158" s="344"/>
      <c r="C158" s="290"/>
      <c r="D158" s="293"/>
      <c r="E158" s="345">
        <f t="shared" si="41"/>
        <v>0</v>
      </c>
      <c r="F158" s="346">
        <f t="shared" si="42"/>
        <v>0</v>
      </c>
      <c r="G158" s="347">
        <f t="shared" si="40"/>
        <v>0</v>
      </c>
    </row>
    <row r="159" spans="1:8" ht="18.95" customHeight="1" x14ac:dyDescent="0.2">
      <c r="A159" s="343"/>
      <c r="B159" s="344"/>
      <c r="C159" s="290"/>
      <c r="D159" s="293"/>
      <c r="E159" s="345">
        <f t="shared" si="41"/>
        <v>0</v>
      </c>
      <c r="F159" s="346">
        <f t="shared" si="42"/>
        <v>0</v>
      </c>
      <c r="G159" s="347">
        <f t="shared" si="40"/>
        <v>0</v>
      </c>
    </row>
    <row r="160" spans="1:8" ht="18.95" customHeight="1" thickBot="1" x14ac:dyDescent="0.25">
      <c r="A160" s="343"/>
      <c r="B160" s="344"/>
      <c r="C160" s="290"/>
      <c r="D160" s="293"/>
      <c r="E160" s="345">
        <f t="shared" si="41"/>
        <v>0</v>
      </c>
      <c r="F160" s="346">
        <f t="shared" si="42"/>
        <v>0</v>
      </c>
      <c r="G160" s="347">
        <f t="shared" si="40"/>
        <v>0</v>
      </c>
    </row>
    <row r="161" spans="1:7" ht="18.95" customHeight="1" thickBot="1" x14ac:dyDescent="0.25">
      <c r="A161" s="148"/>
      <c r="B161" s="334"/>
      <c r="C161" s="143"/>
      <c r="D161" s="146" t="s">
        <v>1037</v>
      </c>
      <c r="E161" s="338">
        <f>SUMPRODUCT(D151:D160,E151:E160)</f>
        <v>0</v>
      </c>
      <c r="F161" s="141" t="s">
        <v>1038</v>
      </c>
      <c r="G161" s="339">
        <f>SUM(G151:G160)</f>
        <v>0</v>
      </c>
    </row>
    <row r="162" spans="1:7" ht="18.95" customHeight="1" x14ac:dyDescent="0.2">
      <c r="A162" s="148"/>
      <c r="B162" s="334"/>
      <c r="C162" s="141" t="s">
        <v>1039</v>
      </c>
      <c r="D162" s="320"/>
      <c r="E162" s="340" t="str">
        <f>CONCATENATE(G147,"/día")</f>
        <v>m3/día</v>
      </c>
      <c r="F162" s="141"/>
      <c r="G162" s="341"/>
    </row>
    <row r="163" spans="1:7" ht="18.95" customHeight="1" x14ac:dyDescent="0.2">
      <c r="A163" s="148"/>
      <c r="B163" s="334"/>
      <c r="C163" s="142"/>
      <c r="D163" s="150"/>
      <c r="E163" s="141"/>
      <c r="F163" s="141"/>
      <c r="G163" s="341"/>
    </row>
    <row r="164" spans="1:7" ht="18.95" customHeight="1" x14ac:dyDescent="0.2">
      <c r="A164" s="735" t="s">
        <v>582</v>
      </c>
      <c r="B164" s="736"/>
      <c r="C164" s="737" t="s">
        <v>0</v>
      </c>
      <c r="D164" s="743" t="s">
        <v>1053</v>
      </c>
      <c r="E164" s="743" t="s">
        <v>1706</v>
      </c>
      <c r="F164" s="743" t="s">
        <v>1054</v>
      </c>
      <c r="G164" s="743" t="s">
        <v>1055</v>
      </c>
    </row>
    <row r="165" spans="1:7" ht="18.95" customHeight="1" x14ac:dyDescent="0.2">
      <c r="A165" s="154" t="s">
        <v>583</v>
      </c>
      <c r="B165" s="155" t="s">
        <v>584</v>
      </c>
      <c r="C165" s="738"/>
      <c r="D165" s="742"/>
      <c r="E165" s="742"/>
      <c r="F165" s="744"/>
      <c r="G165" s="742"/>
    </row>
    <row r="166" spans="1:7" ht="18.95" customHeight="1" x14ac:dyDescent="0.2">
      <c r="A166" s="156"/>
      <c r="B166" s="142"/>
      <c r="C166" s="157" t="s">
        <v>1041</v>
      </c>
      <c r="D166" s="150"/>
      <c r="E166" s="142"/>
      <c r="F166" s="142"/>
      <c r="G166" s="342"/>
    </row>
    <row r="167" spans="1:7" ht="18.95" customHeight="1" x14ac:dyDescent="0.2">
      <c r="A167" s="348" t="str">
        <f t="shared" ref="A167:A174" si="43">IFERROR(VLOOKUP(C167,Tabla_Insumos,4,FALSE),"")</f>
        <v/>
      </c>
      <c r="B167" s="290" t="str">
        <f t="shared" ref="B167:B174" si="44">IFERROR(VLOOKUP(C167,Tabla_Insumos,5,FALSE),"")</f>
        <v/>
      </c>
      <c r="C167" s="290"/>
      <c r="D167" s="607">
        <f t="shared" ref="D167:D174" si="45">IFERROR(VLOOKUP(C167,Tabla_Insumos,3,FALSE),0)</f>
        <v>0</v>
      </c>
      <c r="E167" s="349">
        <f>D167*$G$21</f>
        <v>0</v>
      </c>
      <c r="F167" s="350">
        <f>IF(C167="",0,D162)</f>
        <v>0</v>
      </c>
      <c r="G167" s="347">
        <f>IFERROR(ROUND(E167/F167,2),0)</f>
        <v>0</v>
      </c>
    </row>
    <row r="168" spans="1:7" ht="18.95" customHeight="1" x14ac:dyDescent="0.2">
      <c r="A168" s="348" t="str">
        <f t="shared" si="43"/>
        <v/>
      </c>
      <c r="B168" s="290" t="str">
        <f t="shared" si="44"/>
        <v/>
      </c>
      <c r="C168" s="321"/>
      <c r="D168" s="607">
        <f t="shared" si="45"/>
        <v>0</v>
      </c>
      <c r="E168" s="349">
        <f t="shared" ref="E168:E169" si="46">D168*$G$21</f>
        <v>0</v>
      </c>
      <c r="F168" s="350">
        <f t="shared" ref="F168:F171" si="47">IF(C168="",0,F167)</f>
        <v>0</v>
      </c>
      <c r="G168" s="347">
        <f t="shared" ref="G168:G174" si="48">IFERROR(ROUND(E168/F168,2),0)</f>
        <v>0</v>
      </c>
    </row>
    <row r="169" spans="1:7" ht="18.95" customHeight="1" x14ac:dyDescent="0.2">
      <c r="A169" s="348" t="str">
        <f t="shared" si="43"/>
        <v/>
      </c>
      <c r="B169" s="290" t="str">
        <f t="shared" si="44"/>
        <v/>
      </c>
      <c r="C169" s="321"/>
      <c r="D169" s="607">
        <f t="shared" si="45"/>
        <v>0</v>
      </c>
      <c r="E169" s="349">
        <f t="shared" si="46"/>
        <v>0</v>
      </c>
      <c r="F169" s="350">
        <f t="shared" si="47"/>
        <v>0</v>
      </c>
      <c r="G169" s="347">
        <f t="shared" si="48"/>
        <v>0</v>
      </c>
    </row>
    <row r="170" spans="1:7" ht="18.95" customHeight="1" x14ac:dyDescent="0.2">
      <c r="A170" s="348" t="str">
        <f t="shared" si="43"/>
        <v/>
      </c>
      <c r="B170" s="290" t="str">
        <f t="shared" si="44"/>
        <v/>
      </c>
      <c r="C170" s="321"/>
      <c r="D170" s="607">
        <f t="shared" si="45"/>
        <v>0</v>
      </c>
      <c r="E170" s="349">
        <f>D170*$E$21</f>
        <v>0</v>
      </c>
      <c r="F170" s="350">
        <f t="shared" si="47"/>
        <v>0</v>
      </c>
      <c r="G170" s="347">
        <f t="shared" si="48"/>
        <v>0</v>
      </c>
    </row>
    <row r="171" spans="1:7" ht="18.95" customHeight="1" x14ac:dyDescent="0.2">
      <c r="A171" s="348" t="str">
        <f t="shared" si="43"/>
        <v/>
      </c>
      <c r="B171" s="290" t="str">
        <f t="shared" si="44"/>
        <v/>
      </c>
      <c r="C171" s="321"/>
      <c r="D171" s="607">
        <f t="shared" si="45"/>
        <v>0</v>
      </c>
      <c r="E171" s="349">
        <f>D171*$E$21</f>
        <v>0</v>
      </c>
      <c r="F171" s="350">
        <f t="shared" si="47"/>
        <v>0</v>
      </c>
      <c r="G171" s="347">
        <f t="shared" si="48"/>
        <v>0</v>
      </c>
    </row>
    <row r="172" spans="1:7" ht="18.95" customHeight="1" x14ac:dyDescent="0.2">
      <c r="A172" s="348" t="str">
        <f t="shared" si="43"/>
        <v/>
      </c>
      <c r="B172" s="290" t="str">
        <f t="shared" si="44"/>
        <v/>
      </c>
      <c r="C172" s="321"/>
      <c r="D172" s="607">
        <f t="shared" si="45"/>
        <v>0</v>
      </c>
      <c r="E172" s="349"/>
      <c r="F172" s="350">
        <f>IF(C172="",0,F171)</f>
        <v>0</v>
      </c>
      <c r="G172" s="347">
        <f t="shared" si="48"/>
        <v>0</v>
      </c>
    </row>
    <row r="173" spans="1:7" ht="18.95" customHeight="1" x14ac:dyDescent="0.2">
      <c r="A173" s="348" t="str">
        <f t="shared" si="43"/>
        <v/>
      </c>
      <c r="B173" s="290" t="str">
        <f t="shared" si="44"/>
        <v/>
      </c>
      <c r="C173" s="321"/>
      <c r="D173" s="607">
        <f t="shared" si="45"/>
        <v>0</v>
      </c>
      <c r="E173" s="349"/>
      <c r="F173" s="350">
        <f t="shared" ref="F173:F174" si="49">IF(C173="",0,F172)</f>
        <v>0</v>
      </c>
      <c r="G173" s="347">
        <f t="shared" si="48"/>
        <v>0</v>
      </c>
    </row>
    <row r="174" spans="1:7" ht="18.95" customHeight="1" x14ac:dyDescent="0.2">
      <c r="A174" s="348" t="str">
        <f t="shared" si="43"/>
        <v/>
      </c>
      <c r="B174" s="290" t="str">
        <f t="shared" si="44"/>
        <v/>
      </c>
      <c r="C174" s="321"/>
      <c r="D174" s="607">
        <f t="shared" si="45"/>
        <v>0</v>
      </c>
      <c r="E174" s="349"/>
      <c r="F174" s="350">
        <f t="shared" si="49"/>
        <v>0</v>
      </c>
      <c r="G174" s="347">
        <f t="shared" si="48"/>
        <v>0</v>
      </c>
    </row>
    <row r="175" spans="1:7" ht="18.95" customHeight="1" x14ac:dyDescent="0.2">
      <c r="A175" s="353"/>
      <c r="B175" s="149"/>
      <c r="C175" s="142"/>
      <c r="D175" s="150"/>
      <c r="E175" s="143"/>
      <c r="F175" s="354" t="s">
        <v>29</v>
      </c>
      <c r="G175" s="355">
        <f>SUBTOTAL(9,G167:G174)</f>
        <v>0</v>
      </c>
    </row>
    <row r="176" spans="1:7" ht="18.95" customHeight="1" x14ac:dyDescent="0.2">
      <c r="A176" s="156"/>
      <c r="B176" s="142"/>
      <c r="C176" s="157" t="s">
        <v>722</v>
      </c>
      <c r="D176" s="150"/>
      <c r="E176" s="327"/>
      <c r="F176" s="327"/>
      <c r="G176" s="342"/>
    </row>
    <row r="177" spans="1:7" ht="18.95" customHeight="1" x14ac:dyDescent="0.2">
      <c r="A177" s="735" t="s">
        <v>582</v>
      </c>
      <c r="B177" s="736"/>
      <c r="C177" s="737" t="s">
        <v>0</v>
      </c>
      <c r="D177" s="739" t="s">
        <v>26</v>
      </c>
      <c r="E177" s="743" t="s">
        <v>1707</v>
      </c>
      <c r="F177" s="741" t="s">
        <v>1040</v>
      </c>
      <c r="G177" s="733" t="s">
        <v>28</v>
      </c>
    </row>
    <row r="178" spans="1:7" ht="18.95" customHeight="1" x14ac:dyDescent="0.2">
      <c r="A178" s="154" t="s">
        <v>583</v>
      </c>
      <c r="B178" s="155" t="s">
        <v>584</v>
      </c>
      <c r="C178" s="738"/>
      <c r="D178" s="740"/>
      <c r="E178" s="742"/>
      <c r="F178" s="742"/>
      <c r="G178" s="734"/>
    </row>
    <row r="179" spans="1:7" ht="18.95" customHeight="1" x14ac:dyDescent="0.2">
      <c r="A179" s="348" t="str">
        <f t="shared" ref="A179:A184" si="50">IFERROR(VLOOKUP(C179,Tabla_Insumos,4,FALSE),"")</f>
        <v/>
      </c>
      <c r="B179" s="290" t="str">
        <f t="shared" ref="B179:B184" si="51">IFERROR(VLOOKUP(C179,Tabla_Insumos,5,FALSE),"")</f>
        <v/>
      </c>
      <c r="C179" s="291"/>
      <c r="D179" s="293"/>
      <c r="E179" s="346">
        <f t="shared" ref="E179:E184" si="52">IFERROR(VLOOKUP(C179,Tabla_Insumos,3,FALSE),0)</f>
        <v>0</v>
      </c>
      <c r="F179" s="349">
        <f>IF(C179="",0,D162)</f>
        <v>0</v>
      </c>
      <c r="G179" s="347">
        <f t="shared" ref="G179:G184" si="53">IFERROR(ROUND(D179*E179/F179,2),0)</f>
        <v>0</v>
      </c>
    </row>
    <row r="180" spans="1:7" ht="18.95" customHeight="1" x14ac:dyDescent="0.2">
      <c r="A180" s="348" t="str">
        <f t="shared" si="50"/>
        <v/>
      </c>
      <c r="B180" s="290" t="str">
        <f t="shared" si="51"/>
        <v/>
      </c>
      <c r="C180" s="290"/>
      <c r="D180" s="293"/>
      <c r="E180" s="346">
        <f t="shared" si="52"/>
        <v>0</v>
      </c>
      <c r="F180" s="349">
        <f>IF(C180="",0,F179)</f>
        <v>0</v>
      </c>
      <c r="G180" s="347">
        <f t="shared" si="53"/>
        <v>0</v>
      </c>
    </row>
    <row r="181" spans="1:7" ht="18.95" customHeight="1" x14ac:dyDescent="0.2">
      <c r="A181" s="348" t="str">
        <f t="shared" si="50"/>
        <v/>
      </c>
      <c r="B181" s="290" t="str">
        <f t="shared" si="51"/>
        <v/>
      </c>
      <c r="C181" s="290"/>
      <c r="D181" s="293"/>
      <c r="E181" s="346">
        <f t="shared" si="52"/>
        <v>0</v>
      </c>
      <c r="F181" s="349">
        <f>IF(C181="",0,F180)</f>
        <v>0</v>
      </c>
      <c r="G181" s="347">
        <f t="shared" si="53"/>
        <v>0</v>
      </c>
    </row>
    <row r="182" spans="1:7" ht="18.95" customHeight="1" x14ac:dyDescent="0.2">
      <c r="A182" s="348" t="str">
        <f t="shared" si="50"/>
        <v/>
      </c>
      <c r="B182" s="290" t="str">
        <f t="shared" si="51"/>
        <v/>
      </c>
      <c r="C182" s="290"/>
      <c r="D182" s="293"/>
      <c r="E182" s="346">
        <f t="shared" si="52"/>
        <v>0</v>
      </c>
      <c r="F182" s="349">
        <f>IF(C182="",0,F181)</f>
        <v>0</v>
      </c>
      <c r="G182" s="347">
        <f t="shared" si="53"/>
        <v>0</v>
      </c>
    </row>
    <row r="183" spans="1:7" ht="18.95" customHeight="1" x14ac:dyDescent="0.2">
      <c r="A183" s="348" t="str">
        <f t="shared" si="50"/>
        <v/>
      </c>
      <c r="B183" s="290" t="str">
        <f t="shared" si="51"/>
        <v/>
      </c>
      <c r="C183" s="290"/>
      <c r="D183" s="351"/>
      <c r="E183" s="346">
        <f t="shared" si="52"/>
        <v>0</v>
      </c>
      <c r="F183" s="349">
        <f>IF(C183="",0,F182)</f>
        <v>0</v>
      </c>
      <c r="G183" s="347">
        <f t="shared" si="53"/>
        <v>0</v>
      </c>
    </row>
    <row r="184" spans="1:7" ht="18.95" customHeight="1" x14ac:dyDescent="0.2">
      <c r="A184" s="348" t="str">
        <f t="shared" si="50"/>
        <v/>
      </c>
      <c r="B184" s="290" t="str">
        <f t="shared" si="51"/>
        <v/>
      </c>
      <c r="C184" s="290"/>
      <c r="D184" s="293"/>
      <c r="E184" s="346">
        <f t="shared" si="52"/>
        <v>0</v>
      </c>
      <c r="F184" s="349">
        <f>IF(C184="",0,F183)</f>
        <v>0</v>
      </c>
      <c r="G184" s="347">
        <f t="shared" si="53"/>
        <v>0</v>
      </c>
    </row>
    <row r="185" spans="1:7" ht="18.95" customHeight="1" x14ac:dyDescent="0.2">
      <c r="A185" s="353"/>
      <c r="B185" s="149"/>
      <c r="C185" s="142"/>
      <c r="D185" s="150"/>
      <c r="E185" s="143"/>
      <c r="F185" s="356" t="s">
        <v>30</v>
      </c>
      <c r="G185" s="355">
        <f>SUBTOTAL(9,G179:G184)</f>
        <v>0</v>
      </c>
    </row>
    <row r="186" spans="1:7" ht="18.95" customHeight="1" x14ac:dyDescent="0.2">
      <c r="A186" s="156"/>
      <c r="B186" s="142"/>
      <c r="C186" s="157" t="s">
        <v>1047</v>
      </c>
      <c r="D186" s="150"/>
      <c r="E186" s="327"/>
      <c r="F186" s="327"/>
      <c r="G186" s="342"/>
    </row>
    <row r="187" spans="1:7" ht="18.95" customHeight="1" x14ac:dyDescent="0.2">
      <c r="A187" s="735" t="s">
        <v>582</v>
      </c>
      <c r="B187" s="736"/>
      <c r="C187" s="737" t="s">
        <v>0</v>
      </c>
      <c r="D187" s="737" t="s">
        <v>1655</v>
      </c>
      <c r="E187" s="737" t="s">
        <v>26</v>
      </c>
      <c r="F187" s="737" t="s">
        <v>27</v>
      </c>
      <c r="G187" s="733" t="s">
        <v>28</v>
      </c>
    </row>
    <row r="188" spans="1:7" ht="18.95" customHeight="1" x14ac:dyDescent="0.2">
      <c r="A188" s="154" t="s">
        <v>583</v>
      </c>
      <c r="B188" s="155" t="s">
        <v>584</v>
      </c>
      <c r="C188" s="738"/>
      <c r="D188" s="738"/>
      <c r="E188" s="738"/>
      <c r="F188" s="738"/>
      <c r="G188" s="734"/>
    </row>
    <row r="189" spans="1:7" ht="18.95" customHeight="1" x14ac:dyDescent="0.2">
      <c r="A189" s="348" t="str">
        <f t="shared" ref="A189:A200" si="54">IFERROR(VLOOKUP(C189,Tabla_Insumos,4,FALSE),"")</f>
        <v/>
      </c>
      <c r="B189" s="290" t="str">
        <f t="shared" ref="B189:B200" si="55">IFERROR(VLOOKUP(C189,Tabla_Insumos,5,FALSE),"")</f>
        <v/>
      </c>
      <c r="C189" s="290"/>
      <c r="D189" s="608">
        <f t="shared" ref="D189:D200" si="56">IFERROR(VLOOKUP(C189,Tabla_Insumos,2,FALSE),0)</f>
        <v>0</v>
      </c>
      <c r="E189" s="293"/>
      <c r="F189" s="346">
        <f t="shared" ref="F189:F200" si="57">IFERROR(VLOOKUP(C189,Tabla_Insumos,3,FALSE),0)</f>
        <v>0</v>
      </c>
      <c r="G189" s="347">
        <f t="shared" ref="G189:G200" si="58">ROUND(E189*F189,2)</f>
        <v>0</v>
      </c>
    </row>
    <row r="190" spans="1:7" ht="18.95" customHeight="1" x14ac:dyDescent="0.2">
      <c r="A190" s="348" t="str">
        <f t="shared" si="54"/>
        <v/>
      </c>
      <c r="B190" s="290" t="str">
        <f t="shared" si="55"/>
        <v/>
      </c>
      <c r="C190" s="126"/>
      <c r="D190" s="608">
        <f t="shared" si="56"/>
        <v>0</v>
      </c>
      <c r="E190" s="293"/>
      <c r="F190" s="346">
        <f t="shared" si="57"/>
        <v>0</v>
      </c>
      <c r="G190" s="347">
        <f t="shared" si="58"/>
        <v>0</v>
      </c>
    </row>
    <row r="191" spans="1:7" ht="18.95" customHeight="1" x14ac:dyDescent="0.2">
      <c r="A191" s="348" t="str">
        <f t="shared" si="54"/>
        <v/>
      </c>
      <c r="B191" s="290" t="str">
        <f t="shared" si="55"/>
        <v/>
      </c>
      <c r="C191" s="290"/>
      <c r="D191" s="608">
        <f t="shared" si="56"/>
        <v>0</v>
      </c>
      <c r="E191" s="293"/>
      <c r="F191" s="346">
        <f t="shared" si="57"/>
        <v>0</v>
      </c>
      <c r="G191" s="347">
        <f t="shared" si="58"/>
        <v>0</v>
      </c>
    </row>
    <row r="192" spans="1:7" ht="18.95" customHeight="1" x14ac:dyDescent="0.2">
      <c r="A192" s="348" t="str">
        <f t="shared" si="54"/>
        <v/>
      </c>
      <c r="B192" s="290" t="str">
        <f t="shared" si="55"/>
        <v/>
      </c>
      <c r="C192" s="290"/>
      <c r="D192" s="608">
        <f t="shared" si="56"/>
        <v>0</v>
      </c>
      <c r="E192" s="293"/>
      <c r="F192" s="346">
        <f t="shared" si="57"/>
        <v>0</v>
      </c>
      <c r="G192" s="347">
        <f t="shared" si="58"/>
        <v>0</v>
      </c>
    </row>
    <row r="193" spans="1:7" ht="18.95" customHeight="1" x14ac:dyDescent="0.2">
      <c r="A193" s="348" t="str">
        <f t="shared" si="54"/>
        <v/>
      </c>
      <c r="B193" s="290" t="str">
        <f t="shared" si="55"/>
        <v/>
      </c>
      <c r="C193" s="290"/>
      <c r="D193" s="608">
        <f t="shared" si="56"/>
        <v>0</v>
      </c>
      <c r="E193" s="293"/>
      <c r="F193" s="346">
        <f t="shared" si="57"/>
        <v>0</v>
      </c>
      <c r="G193" s="347">
        <f t="shared" si="58"/>
        <v>0</v>
      </c>
    </row>
    <row r="194" spans="1:7" ht="18.95" customHeight="1" x14ac:dyDescent="0.2">
      <c r="A194" s="348" t="str">
        <f t="shared" si="54"/>
        <v/>
      </c>
      <c r="B194" s="290" t="str">
        <f t="shared" si="55"/>
        <v/>
      </c>
      <c r="C194" s="290"/>
      <c r="D194" s="608">
        <f t="shared" si="56"/>
        <v>0</v>
      </c>
      <c r="E194" s="293"/>
      <c r="F194" s="346">
        <f t="shared" si="57"/>
        <v>0</v>
      </c>
      <c r="G194" s="347">
        <f t="shared" si="58"/>
        <v>0</v>
      </c>
    </row>
    <row r="195" spans="1:7" ht="18.95" customHeight="1" x14ac:dyDescent="0.2">
      <c r="A195" s="348" t="str">
        <f t="shared" si="54"/>
        <v/>
      </c>
      <c r="B195" s="290" t="str">
        <f t="shared" si="55"/>
        <v/>
      </c>
      <c r="C195" s="290"/>
      <c r="D195" s="608">
        <f t="shared" si="56"/>
        <v>0</v>
      </c>
      <c r="E195" s="293"/>
      <c r="F195" s="346">
        <f t="shared" si="57"/>
        <v>0</v>
      </c>
      <c r="G195" s="347">
        <f t="shared" si="58"/>
        <v>0</v>
      </c>
    </row>
    <row r="196" spans="1:7" s="295" customFormat="1" ht="18.95" customHeight="1" x14ac:dyDescent="0.2">
      <c r="A196" s="348" t="str">
        <f t="shared" si="54"/>
        <v/>
      </c>
      <c r="B196" s="290" t="str">
        <f t="shared" si="55"/>
        <v/>
      </c>
      <c r="C196" s="290"/>
      <c r="D196" s="608">
        <f t="shared" si="56"/>
        <v>0</v>
      </c>
      <c r="E196" s="323"/>
      <c r="F196" s="346">
        <f t="shared" si="57"/>
        <v>0</v>
      </c>
      <c r="G196" s="347">
        <f t="shared" si="58"/>
        <v>0</v>
      </c>
    </row>
    <row r="197" spans="1:7" ht="18.95" customHeight="1" x14ac:dyDescent="0.2">
      <c r="A197" s="348" t="str">
        <f t="shared" si="54"/>
        <v/>
      </c>
      <c r="B197" s="290" t="str">
        <f t="shared" si="55"/>
        <v/>
      </c>
      <c r="C197" s="290"/>
      <c r="D197" s="608">
        <f t="shared" si="56"/>
        <v>0</v>
      </c>
      <c r="E197" s="293"/>
      <c r="F197" s="346">
        <f t="shared" si="57"/>
        <v>0</v>
      </c>
      <c r="G197" s="347">
        <f t="shared" si="58"/>
        <v>0</v>
      </c>
    </row>
    <row r="198" spans="1:7" ht="18.95" customHeight="1" x14ac:dyDescent="0.2">
      <c r="A198" s="348" t="str">
        <f t="shared" si="54"/>
        <v/>
      </c>
      <c r="B198" s="290" t="str">
        <f t="shared" si="55"/>
        <v/>
      </c>
      <c r="C198" s="290"/>
      <c r="D198" s="608">
        <f t="shared" si="56"/>
        <v>0</v>
      </c>
      <c r="E198" s="293"/>
      <c r="F198" s="346">
        <f t="shared" si="57"/>
        <v>0</v>
      </c>
      <c r="G198" s="347">
        <f t="shared" si="58"/>
        <v>0</v>
      </c>
    </row>
    <row r="199" spans="1:7" ht="18.95" customHeight="1" x14ac:dyDescent="0.2">
      <c r="A199" s="348" t="str">
        <f t="shared" si="54"/>
        <v/>
      </c>
      <c r="B199" s="290" t="str">
        <f t="shared" si="55"/>
        <v/>
      </c>
      <c r="C199" s="290"/>
      <c r="D199" s="608">
        <f t="shared" si="56"/>
        <v>0</v>
      </c>
      <c r="E199" s="293"/>
      <c r="F199" s="346">
        <f t="shared" si="57"/>
        <v>0</v>
      </c>
      <c r="G199" s="347">
        <f t="shared" si="58"/>
        <v>0</v>
      </c>
    </row>
    <row r="200" spans="1:7" ht="18.95" customHeight="1" x14ac:dyDescent="0.2">
      <c r="A200" s="348" t="str">
        <f t="shared" si="54"/>
        <v/>
      </c>
      <c r="B200" s="290" t="str">
        <f t="shared" si="55"/>
        <v/>
      </c>
      <c r="C200" s="290"/>
      <c r="D200" s="608">
        <f t="shared" si="56"/>
        <v>0</v>
      </c>
      <c r="E200" s="293"/>
      <c r="F200" s="346">
        <f t="shared" si="57"/>
        <v>0</v>
      </c>
      <c r="G200" s="347">
        <f t="shared" si="58"/>
        <v>0</v>
      </c>
    </row>
    <row r="201" spans="1:7" ht="18.95" customHeight="1" x14ac:dyDescent="0.2">
      <c r="A201" s="156"/>
      <c r="B201" s="142"/>
      <c r="C201" s="142"/>
      <c r="D201" s="150"/>
      <c r="E201" s="143"/>
      <c r="F201" s="356" t="s">
        <v>31</v>
      </c>
      <c r="G201" s="355">
        <f>SUBTOTAL(9,G189:G200)</f>
        <v>0</v>
      </c>
    </row>
    <row r="202" spans="1:7" ht="18.95" customHeight="1" x14ac:dyDescent="0.2">
      <c r="A202" s="156"/>
      <c r="B202" s="142"/>
      <c r="C202" s="157" t="s">
        <v>1048</v>
      </c>
      <c r="D202" s="150"/>
      <c r="E202" s="327"/>
      <c r="F202" s="327"/>
      <c r="G202" s="342"/>
    </row>
    <row r="203" spans="1:7" ht="18.95" customHeight="1" x14ac:dyDescent="0.2">
      <c r="A203" s="735" t="s">
        <v>582</v>
      </c>
      <c r="B203" s="736"/>
      <c r="C203" s="737" t="s">
        <v>0</v>
      </c>
      <c r="D203" s="739" t="s">
        <v>1750</v>
      </c>
      <c r="E203" s="741" t="s">
        <v>26</v>
      </c>
      <c r="F203" s="741" t="s">
        <v>27</v>
      </c>
      <c r="G203" s="733" t="s">
        <v>28</v>
      </c>
    </row>
    <row r="204" spans="1:7" ht="18.95" customHeight="1" x14ac:dyDescent="0.2">
      <c r="A204" s="154" t="s">
        <v>583</v>
      </c>
      <c r="B204" s="155" t="s">
        <v>584</v>
      </c>
      <c r="C204" s="738"/>
      <c r="D204" s="740"/>
      <c r="E204" s="742"/>
      <c r="F204" s="742"/>
      <c r="G204" s="734"/>
    </row>
    <row r="205" spans="1:7" ht="18.95" customHeight="1" x14ac:dyDescent="0.2">
      <c r="A205" s="348" t="str">
        <f>IFERROR(VLOOKUP(C205,Tabla_Insumos,4,FALSE),"")</f>
        <v/>
      </c>
      <c r="B205" s="290" t="s">
        <v>4</v>
      </c>
      <c r="C205" s="290"/>
      <c r="D205" s="293"/>
      <c r="E205" s="322"/>
      <c r="F205" s="324"/>
      <c r="G205" s="347">
        <f t="shared" ref="G205" si="59">ROUND(E205*F205,2)</f>
        <v>0</v>
      </c>
    </row>
    <row r="206" spans="1:7" ht="18.95" customHeight="1" x14ac:dyDescent="0.2">
      <c r="A206" s="156"/>
      <c r="B206" s="142"/>
      <c r="C206" s="142"/>
      <c r="D206" s="150"/>
      <c r="E206" s="143"/>
      <c r="F206" s="356" t="s">
        <v>1049</v>
      </c>
      <c r="G206" s="355">
        <f>SUBTOTAL(9,G205:G205)</f>
        <v>0</v>
      </c>
    </row>
    <row r="207" spans="1:7" ht="18.95" customHeight="1" thickBot="1" x14ac:dyDescent="0.25">
      <c r="A207" s="158"/>
      <c r="B207" s="159"/>
      <c r="C207" s="160"/>
      <c r="D207" s="161"/>
      <c r="E207" s="357"/>
      <c r="F207" s="357"/>
      <c r="G207" s="358"/>
    </row>
    <row r="208" spans="1:7" ht="18.95" customHeight="1" x14ac:dyDescent="0.2">
      <c r="A208" s="359">
        <f>B147</f>
        <v>3</v>
      </c>
      <c r="B208" s="360" t="str">
        <f>C147</f>
        <v>CONSTRUCCIÓN DE TERRAPLENES RIPIOSOS CON COMPACTACIÓN ESPECIAL</v>
      </c>
      <c r="C208" s="361"/>
      <c r="D208" s="361"/>
      <c r="E208" s="361" t="s">
        <v>1050</v>
      </c>
      <c r="F208" s="362" t="str">
        <f>CONCATENATE("$/",G147)</f>
        <v>$/m3</v>
      </c>
      <c r="G208" s="363">
        <f>SUBTOTAL(9,G167:G207)</f>
        <v>0</v>
      </c>
    </row>
    <row r="209" spans="1:8" ht="18.95" customHeight="1" thickBot="1" x14ac:dyDescent="0.25">
      <c r="A209" s="364"/>
      <c r="B209" s="365"/>
      <c r="C209" s="365"/>
      <c r="D209" s="365"/>
      <c r="E209" s="366" t="s">
        <v>1051</v>
      </c>
      <c r="F209" s="367" t="str">
        <f>CONCATENATE("$/",G147)</f>
        <v>$/m3</v>
      </c>
      <c r="G209" s="368" t="e">
        <f ca="1">PrecioUnitario(G208,GG_Porcentaje,Beneficio,Ingresos_Brutos,IVA)</f>
        <v>#NAME?</v>
      </c>
    </row>
    <row r="210" spans="1:8" ht="18.95" customHeight="1" thickTop="1" thickBot="1" x14ac:dyDescent="0.25">
      <c r="F210" s="294"/>
      <c r="G210" s="294"/>
    </row>
    <row r="211" spans="1:8" ht="18.95" customHeight="1" thickTop="1" x14ac:dyDescent="0.2">
      <c r="A211" s="194" t="s">
        <v>33</v>
      </c>
      <c r="B211" s="195"/>
      <c r="C211" s="195"/>
      <c r="D211" s="195"/>
      <c r="E211" s="195"/>
      <c r="F211" s="195"/>
      <c r="G211" s="196"/>
      <c r="H211" s="143">
        <f>COUNTIF($A$1:A217,"ANALISIS DE PRECIOS")</f>
        <v>4</v>
      </c>
    </row>
    <row r="212" spans="1:8" ht="18.95" customHeight="1" x14ac:dyDescent="0.2">
      <c r="A212" s="144" t="s">
        <v>720</v>
      </c>
      <c r="B212" s="145" t="str">
        <f>Comitente</f>
        <v>DIRECCIÓN PROVINCIAL DE VIALIDAD</v>
      </c>
      <c r="C212" s="139"/>
      <c r="D212" s="146"/>
      <c r="E212" s="325"/>
      <c r="F212" s="325"/>
      <c r="G212" s="326"/>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PAVIMENTACION Y ENSANCHE DE RUTA PROVINCIAL N°7 AV. JOAQUIN UÑAC</v>
      </c>
      <c r="C214" s="140"/>
      <c r="D214" s="140"/>
      <c r="E214" s="143"/>
      <c r="F214" s="145" t="s">
        <v>34</v>
      </c>
      <c r="G214" s="147">
        <f>Fecha_Base</f>
        <v>43444</v>
      </c>
      <c r="H214" s="143"/>
    </row>
    <row r="215" spans="1:8" ht="18.95" customHeight="1" x14ac:dyDescent="0.2">
      <c r="A215" s="148" t="s">
        <v>719</v>
      </c>
      <c r="B215" s="141" t="str">
        <f>Ubicación</f>
        <v>DEPARTAMENTO POCITO</v>
      </c>
      <c r="C215" s="141"/>
      <c r="D215" s="150"/>
      <c r="E215" s="143"/>
      <c r="F215" s="327"/>
      <c r="G215" s="328"/>
      <c r="H215" s="143"/>
    </row>
    <row r="216" spans="1:8" ht="18.95" customHeight="1" x14ac:dyDescent="0.2">
      <c r="A216" s="148" t="s">
        <v>35</v>
      </c>
      <c r="B216" s="151" t="str">
        <f>IFERROR(VALUE(LEFT(B217,FIND("-",B217)-1)),"")</f>
        <v/>
      </c>
      <c r="C216" s="142" t="str">
        <f>IFERROR(VLOOKUP(B216,Tabla_CyP,2,FALSE),"")</f>
        <v/>
      </c>
      <c r="D216" s="150"/>
      <c r="E216" s="143"/>
      <c r="F216" s="327"/>
      <c r="G216" s="328"/>
      <c r="H216" s="143"/>
    </row>
    <row r="217" spans="1:8" ht="18.95" customHeight="1" x14ac:dyDescent="0.2">
      <c r="A217" s="148" t="s">
        <v>24</v>
      </c>
      <c r="B217" s="152">
        <f>IFERROR(VLOOKUP(COUNTIF($A$1:A217,"ANALISIS DE PRECIOS"),Tabla_NumeroItem,4,FALSE),"")</f>
        <v>4</v>
      </c>
      <c r="C217" s="745" t="str">
        <f>IFERROR(VLOOKUP(B217,Tabla_CyP,2,FALSE),"")</f>
        <v>CONSTRUCCIÓN DE TERRAPLENES RIPIOSOS SIN COMPACTACIÓN ESPECIAL</v>
      </c>
      <c r="D217" s="745"/>
      <c r="E217" s="745"/>
      <c r="F217" s="141" t="s">
        <v>25</v>
      </c>
      <c r="G217" s="153" t="str">
        <f>IFERROR(VLOOKUP(B217,Tabla_CyP,4,FALSE),"")</f>
        <v>m3</v>
      </c>
      <c r="H217" s="143"/>
    </row>
    <row r="218" spans="1:8" ht="18.95" customHeight="1" x14ac:dyDescent="0.2">
      <c r="A218" s="148"/>
      <c r="B218" s="141"/>
      <c r="C218" s="142"/>
      <c r="D218" s="150"/>
      <c r="E218" s="142"/>
      <c r="F218" s="142"/>
      <c r="G218" s="329"/>
      <c r="H218" s="143"/>
    </row>
    <row r="219" spans="1:8" ht="18.95" customHeight="1" x14ac:dyDescent="0.2">
      <c r="A219" s="330"/>
      <c r="B219" s="331"/>
      <c r="C219" s="332" t="s">
        <v>1032</v>
      </c>
      <c r="D219" s="331"/>
      <c r="E219" s="331"/>
      <c r="F219" s="331"/>
      <c r="G219" s="333"/>
      <c r="H219" s="143"/>
    </row>
    <row r="220" spans="1:8" ht="18.95" customHeight="1" x14ac:dyDescent="0.2">
      <c r="A220" s="148"/>
      <c r="B220" s="334"/>
      <c r="C220" s="335" t="s">
        <v>1033</v>
      </c>
      <c r="D220" s="336" t="s">
        <v>26</v>
      </c>
      <c r="E220" s="336" t="s">
        <v>1034</v>
      </c>
      <c r="F220" s="336" t="s">
        <v>1035</v>
      </c>
      <c r="G220" s="337" t="s">
        <v>1036</v>
      </c>
      <c r="H220" s="143"/>
    </row>
    <row r="221" spans="1:8" ht="18.95" customHeight="1" x14ac:dyDescent="0.2">
      <c r="A221" s="343"/>
      <c r="B221" s="344"/>
      <c r="C221" s="290"/>
      <c r="D221" s="293"/>
      <c r="E221" s="345"/>
      <c r="F221" s="346"/>
      <c r="G221" s="347">
        <f t="shared" ref="G221:G230" si="60">ROUND(D221*F221,2)</f>
        <v>0</v>
      </c>
    </row>
    <row r="222" spans="1:8" ht="18.95" customHeight="1" x14ac:dyDescent="0.2">
      <c r="A222" s="343"/>
      <c r="B222" s="344"/>
      <c r="C222" s="290"/>
      <c r="D222" s="293"/>
      <c r="E222" s="345"/>
      <c r="F222" s="346"/>
      <c r="G222" s="347">
        <f t="shared" si="60"/>
        <v>0</v>
      </c>
    </row>
    <row r="223" spans="1:8" ht="18.95" customHeight="1" x14ac:dyDescent="0.2">
      <c r="A223" s="343"/>
      <c r="B223" s="344"/>
      <c r="C223" s="290"/>
      <c r="D223" s="293"/>
      <c r="E223" s="345">
        <f t="shared" ref="E223:E230" si="61">IFERROR(VLOOKUP(C223,T_Equipos,4,FALSE),0)</f>
        <v>0</v>
      </c>
      <c r="F223" s="346">
        <f t="shared" ref="F223:F230" si="62">IFERROR(VLOOKUP(C223,T_Equipos,11,FALSE),0)</f>
        <v>0</v>
      </c>
      <c r="G223" s="347">
        <f t="shared" si="60"/>
        <v>0</v>
      </c>
    </row>
    <row r="224" spans="1:8" ht="18.95" customHeight="1" x14ac:dyDescent="0.2">
      <c r="A224" s="343"/>
      <c r="B224" s="344"/>
      <c r="C224" s="290"/>
      <c r="D224" s="293"/>
      <c r="E224" s="345">
        <f t="shared" si="61"/>
        <v>0</v>
      </c>
      <c r="F224" s="346">
        <f t="shared" si="62"/>
        <v>0</v>
      </c>
      <c r="G224" s="347">
        <f t="shared" si="60"/>
        <v>0</v>
      </c>
    </row>
    <row r="225" spans="1:7" ht="18.95" customHeight="1" x14ac:dyDescent="0.2">
      <c r="A225" s="343"/>
      <c r="B225" s="344"/>
      <c r="C225" s="290"/>
      <c r="D225" s="293"/>
      <c r="E225" s="345">
        <f t="shared" si="61"/>
        <v>0</v>
      </c>
      <c r="F225" s="346">
        <f t="shared" si="62"/>
        <v>0</v>
      </c>
      <c r="G225" s="347">
        <f t="shared" si="60"/>
        <v>0</v>
      </c>
    </row>
    <row r="226" spans="1:7" ht="18.95" customHeight="1" x14ac:dyDescent="0.2">
      <c r="A226" s="343"/>
      <c r="B226" s="344"/>
      <c r="C226" s="290"/>
      <c r="D226" s="293"/>
      <c r="E226" s="345">
        <f t="shared" si="61"/>
        <v>0</v>
      </c>
      <c r="F226" s="346">
        <f t="shared" si="62"/>
        <v>0</v>
      </c>
      <c r="G226" s="347">
        <f t="shared" si="60"/>
        <v>0</v>
      </c>
    </row>
    <row r="227" spans="1:7" ht="18.95" customHeight="1" x14ac:dyDescent="0.2">
      <c r="A227" s="343"/>
      <c r="B227" s="344"/>
      <c r="C227" s="290"/>
      <c r="D227" s="293"/>
      <c r="E227" s="345">
        <f t="shared" si="61"/>
        <v>0</v>
      </c>
      <c r="F227" s="346">
        <f t="shared" si="62"/>
        <v>0</v>
      </c>
      <c r="G227" s="347">
        <f t="shared" si="60"/>
        <v>0</v>
      </c>
    </row>
    <row r="228" spans="1:7" ht="18.95" customHeight="1" x14ac:dyDescent="0.2">
      <c r="A228" s="343"/>
      <c r="B228" s="344"/>
      <c r="C228" s="290"/>
      <c r="D228" s="293"/>
      <c r="E228" s="345">
        <f t="shared" si="61"/>
        <v>0</v>
      </c>
      <c r="F228" s="346">
        <f t="shared" si="62"/>
        <v>0</v>
      </c>
      <c r="G228" s="347">
        <f t="shared" si="60"/>
        <v>0</v>
      </c>
    </row>
    <row r="229" spans="1:7" ht="18.95" customHeight="1" x14ac:dyDescent="0.2">
      <c r="A229" s="343"/>
      <c r="B229" s="344"/>
      <c r="C229" s="290"/>
      <c r="D229" s="293"/>
      <c r="E229" s="345">
        <f t="shared" si="61"/>
        <v>0</v>
      </c>
      <c r="F229" s="346">
        <f t="shared" si="62"/>
        <v>0</v>
      </c>
      <c r="G229" s="347">
        <f t="shared" si="60"/>
        <v>0</v>
      </c>
    </row>
    <row r="230" spans="1:7" ht="18.95" customHeight="1" thickBot="1" x14ac:dyDescent="0.25">
      <c r="A230" s="343"/>
      <c r="B230" s="344"/>
      <c r="C230" s="290"/>
      <c r="D230" s="293"/>
      <c r="E230" s="345">
        <f t="shared" si="61"/>
        <v>0</v>
      </c>
      <c r="F230" s="346">
        <f t="shared" si="62"/>
        <v>0</v>
      </c>
      <c r="G230" s="347">
        <f t="shared" si="60"/>
        <v>0</v>
      </c>
    </row>
    <row r="231" spans="1:7" ht="18.95" customHeight="1" thickBot="1" x14ac:dyDescent="0.25">
      <c r="A231" s="148"/>
      <c r="B231" s="334"/>
      <c r="C231" s="143"/>
      <c r="D231" s="146" t="s">
        <v>1037</v>
      </c>
      <c r="E231" s="338">
        <f>SUMPRODUCT(D221:D230,E221:E230)</f>
        <v>0</v>
      </c>
      <c r="F231" s="141" t="s">
        <v>1038</v>
      </c>
      <c r="G231" s="339">
        <f>SUM(G221:G230)</f>
        <v>0</v>
      </c>
    </row>
    <row r="232" spans="1:7" ht="18.95" customHeight="1" x14ac:dyDescent="0.2">
      <c r="A232" s="148"/>
      <c r="B232" s="334"/>
      <c r="C232" s="141" t="s">
        <v>1039</v>
      </c>
      <c r="D232" s="320"/>
      <c r="E232" s="340" t="str">
        <f>CONCATENATE(G217,"/día")</f>
        <v>m3/día</v>
      </c>
      <c r="F232" s="141"/>
      <c r="G232" s="341"/>
    </row>
    <row r="233" spans="1:7" ht="18.95" customHeight="1" x14ac:dyDescent="0.2">
      <c r="A233" s="148"/>
      <c r="B233" s="334"/>
      <c r="C233" s="142"/>
      <c r="D233" s="150"/>
      <c r="E233" s="141"/>
      <c r="F233" s="141"/>
      <c r="G233" s="341"/>
    </row>
    <row r="234" spans="1:7" ht="18.95" customHeight="1" x14ac:dyDescent="0.2">
      <c r="A234" s="735" t="s">
        <v>582</v>
      </c>
      <c r="B234" s="736"/>
      <c r="C234" s="737" t="s">
        <v>0</v>
      </c>
      <c r="D234" s="743" t="s">
        <v>1053</v>
      </c>
      <c r="E234" s="743" t="s">
        <v>1706</v>
      </c>
      <c r="F234" s="743" t="s">
        <v>1054</v>
      </c>
      <c r="G234" s="743" t="s">
        <v>1055</v>
      </c>
    </row>
    <row r="235" spans="1:7" ht="18.95" customHeight="1" x14ac:dyDescent="0.2">
      <c r="A235" s="154" t="s">
        <v>583</v>
      </c>
      <c r="B235" s="155" t="s">
        <v>584</v>
      </c>
      <c r="C235" s="738"/>
      <c r="D235" s="742"/>
      <c r="E235" s="742"/>
      <c r="F235" s="744"/>
      <c r="G235" s="742"/>
    </row>
    <row r="236" spans="1:7" ht="18.95" customHeight="1" x14ac:dyDescent="0.2">
      <c r="A236" s="156"/>
      <c r="B236" s="142"/>
      <c r="C236" s="157" t="s">
        <v>1041</v>
      </c>
      <c r="D236" s="150"/>
      <c r="E236" s="142"/>
      <c r="F236" s="142"/>
      <c r="G236" s="342"/>
    </row>
    <row r="237" spans="1:7" ht="18.95" customHeight="1" x14ac:dyDescent="0.2">
      <c r="A237" s="348" t="str">
        <f t="shared" ref="A237:A244" si="63">IFERROR(VLOOKUP(C237,Tabla_Insumos,4,FALSE),"")</f>
        <v/>
      </c>
      <c r="B237" s="290" t="str">
        <f t="shared" ref="B237:B244" si="64">IFERROR(VLOOKUP(C237,Tabla_Insumos,5,FALSE),"")</f>
        <v/>
      </c>
      <c r="C237" s="290"/>
      <c r="D237" s="607">
        <f t="shared" ref="D237:D244" si="65">IFERROR(VLOOKUP(C237,Tabla_Insumos,3,FALSE),0)</f>
        <v>0</v>
      </c>
      <c r="E237" s="349">
        <f>D237*$G$21</f>
        <v>0</v>
      </c>
      <c r="F237" s="350">
        <f>IF(C237="",0,D232)</f>
        <v>0</v>
      </c>
      <c r="G237" s="347">
        <f>IFERROR(ROUND(E237/F237,2),0)</f>
        <v>0</v>
      </c>
    </row>
    <row r="238" spans="1:7" ht="18.95" customHeight="1" x14ac:dyDescent="0.2">
      <c r="A238" s="348" t="str">
        <f t="shared" si="63"/>
        <v/>
      </c>
      <c r="B238" s="290" t="str">
        <f t="shared" si="64"/>
        <v/>
      </c>
      <c r="C238" s="321"/>
      <c r="D238" s="607">
        <f t="shared" si="65"/>
        <v>0</v>
      </c>
      <c r="E238" s="349">
        <f t="shared" ref="E238:E239" si="66">D238*$G$21</f>
        <v>0</v>
      </c>
      <c r="F238" s="350">
        <f t="shared" ref="F238:F241" si="67">IF(C238="",0,F237)</f>
        <v>0</v>
      </c>
      <c r="G238" s="347">
        <f t="shared" ref="G238:G244" si="68">IFERROR(ROUND(E238/F238,2),0)</f>
        <v>0</v>
      </c>
    </row>
    <row r="239" spans="1:7" ht="18.95" customHeight="1" x14ac:dyDescent="0.2">
      <c r="A239" s="348" t="str">
        <f t="shared" si="63"/>
        <v/>
      </c>
      <c r="B239" s="290" t="str">
        <f t="shared" si="64"/>
        <v/>
      </c>
      <c r="C239" s="321"/>
      <c r="D239" s="607">
        <f t="shared" si="65"/>
        <v>0</v>
      </c>
      <c r="E239" s="349">
        <f t="shared" si="66"/>
        <v>0</v>
      </c>
      <c r="F239" s="350">
        <f t="shared" si="67"/>
        <v>0</v>
      </c>
      <c r="G239" s="347">
        <f t="shared" si="68"/>
        <v>0</v>
      </c>
    </row>
    <row r="240" spans="1:7" ht="18.95" customHeight="1" x14ac:dyDescent="0.2">
      <c r="A240" s="348" t="str">
        <f t="shared" si="63"/>
        <v/>
      </c>
      <c r="B240" s="290" t="str">
        <f t="shared" si="64"/>
        <v/>
      </c>
      <c r="C240" s="321"/>
      <c r="D240" s="607">
        <f t="shared" si="65"/>
        <v>0</v>
      </c>
      <c r="E240" s="349">
        <f>D240*$E$21</f>
        <v>0</v>
      </c>
      <c r="F240" s="350">
        <f t="shared" si="67"/>
        <v>0</v>
      </c>
      <c r="G240" s="347">
        <f t="shared" si="68"/>
        <v>0</v>
      </c>
    </row>
    <row r="241" spans="1:7" ht="18.95" customHeight="1" x14ac:dyDescent="0.2">
      <c r="A241" s="348" t="str">
        <f t="shared" si="63"/>
        <v/>
      </c>
      <c r="B241" s="290" t="str">
        <f t="shared" si="64"/>
        <v/>
      </c>
      <c r="C241" s="321"/>
      <c r="D241" s="607">
        <f t="shared" si="65"/>
        <v>0</v>
      </c>
      <c r="E241" s="349">
        <f>D241*$E$21</f>
        <v>0</v>
      </c>
      <c r="F241" s="350">
        <f t="shared" si="67"/>
        <v>0</v>
      </c>
      <c r="G241" s="347">
        <f t="shared" si="68"/>
        <v>0</v>
      </c>
    </row>
    <row r="242" spans="1:7" ht="18.95" customHeight="1" x14ac:dyDescent="0.2">
      <c r="A242" s="348" t="str">
        <f t="shared" si="63"/>
        <v/>
      </c>
      <c r="B242" s="290" t="str">
        <f t="shared" si="64"/>
        <v/>
      </c>
      <c r="C242" s="321"/>
      <c r="D242" s="607">
        <f t="shared" si="65"/>
        <v>0</v>
      </c>
      <c r="E242" s="349"/>
      <c r="F242" s="350">
        <f>IF(C242="",0,F241)</f>
        <v>0</v>
      </c>
      <c r="G242" s="347">
        <f t="shared" si="68"/>
        <v>0</v>
      </c>
    </row>
    <row r="243" spans="1:7" ht="18.95" customHeight="1" x14ac:dyDescent="0.2">
      <c r="A243" s="348" t="str">
        <f t="shared" si="63"/>
        <v/>
      </c>
      <c r="B243" s="290" t="str">
        <f t="shared" si="64"/>
        <v/>
      </c>
      <c r="C243" s="321"/>
      <c r="D243" s="607">
        <f t="shared" si="65"/>
        <v>0</v>
      </c>
      <c r="E243" s="349"/>
      <c r="F243" s="350">
        <f t="shared" ref="F243:F244" si="69">IF(C243="",0,F242)</f>
        <v>0</v>
      </c>
      <c r="G243" s="347">
        <f t="shared" si="68"/>
        <v>0</v>
      </c>
    </row>
    <row r="244" spans="1:7" ht="18.95" customHeight="1" x14ac:dyDescent="0.2">
      <c r="A244" s="348" t="str">
        <f t="shared" si="63"/>
        <v/>
      </c>
      <c r="B244" s="290" t="str">
        <f t="shared" si="64"/>
        <v/>
      </c>
      <c r="C244" s="321"/>
      <c r="D244" s="607">
        <f t="shared" si="65"/>
        <v>0</v>
      </c>
      <c r="E244" s="349"/>
      <c r="F244" s="350">
        <f t="shared" si="69"/>
        <v>0</v>
      </c>
      <c r="G244" s="347">
        <f t="shared" si="68"/>
        <v>0</v>
      </c>
    </row>
    <row r="245" spans="1:7" ht="18.95" customHeight="1" x14ac:dyDescent="0.2">
      <c r="A245" s="353"/>
      <c r="B245" s="149"/>
      <c r="C245" s="142"/>
      <c r="D245" s="150"/>
      <c r="E245" s="143"/>
      <c r="F245" s="354" t="s">
        <v>29</v>
      </c>
      <c r="G245" s="355">
        <f>SUBTOTAL(9,G237:G244)</f>
        <v>0</v>
      </c>
    </row>
    <row r="246" spans="1:7" ht="18.95" customHeight="1" x14ac:dyDescent="0.2">
      <c r="A246" s="156"/>
      <c r="B246" s="142"/>
      <c r="C246" s="157" t="s">
        <v>722</v>
      </c>
      <c r="D246" s="150"/>
      <c r="E246" s="327"/>
      <c r="F246" s="327"/>
      <c r="G246" s="342"/>
    </row>
    <row r="247" spans="1:7" ht="18.95" customHeight="1" x14ac:dyDescent="0.2">
      <c r="A247" s="735" t="s">
        <v>582</v>
      </c>
      <c r="B247" s="736"/>
      <c r="C247" s="737" t="s">
        <v>0</v>
      </c>
      <c r="D247" s="739" t="s">
        <v>26</v>
      </c>
      <c r="E247" s="743" t="s">
        <v>1707</v>
      </c>
      <c r="F247" s="741" t="s">
        <v>1040</v>
      </c>
      <c r="G247" s="733" t="s">
        <v>28</v>
      </c>
    </row>
    <row r="248" spans="1:7" ht="18.95" customHeight="1" x14ac:dyDescent="0.2">
      <c r="A248" s="154" t="s">
        <v>583</v>
      </c>
      <c r="B248" s="155" t="s">
        <v>584</v>
      </c>
      <c r="C248" s="738"/>
      <c r="D248" s="740"/>
      <c r="E248" s="742"/>
      <c r="F248" s="742"/>
      <c r="G248" s="734"/>
    </row>
    <row r="249" spans="1:7" ht="18.95" customHeight="1" x14ac:dyDescent="0.2">
      <c r="A249" s="348" t="str">
        <f t="shared" ref="A249:A254" si="70">IFERROR(VLOOKUP(C249,Tabla_Insumos,4,FALSE),"")</f>
        <v/>
      </c>
      <c r="B249" s="290" t="str">
        <f t="shared" ref="B249:B254" si="71">IFERROR(VLOOKUP(C249,Tabla_Insumos,5,FALSE),"")</f>
        <v/>
      </c>
      <c r="C249" s="291"/>
      <c r="D249" s="293"/>
      <c r="E249" s="346">
        <f t="shared" ref="E249:E254" si="72">IFERROR(VLOOKUP(C249,Tabla_Insumos,3,FALSE),0)</f>
        <v>0</v>
      </c>
      <c r="F249" s="349">
        <f>IF(C249="",0,D232)</f>
        <v>0</v>
      </c>
      <c r="G249" s="347">
        <f t="shared" ref="G249:G254" si="73">IFERROR(ROUND(D249*E249/F249,2),0)</f>
        <v>0</v>
      </c>
    </row>
    <row r="250" spans="1:7" ht="18.95" customHeight="1" x14ac:dyDescent="0.2">
      <c r="A250" s="348" t="str">
        <f t="shared" si="70"/>
        <v/>
      </c>
      <c r="B250" s="290" t="str">
        <f t="shared" si="71"/>
        <v/>
      </c>
      <c r="C250" s="290"/>
      <c r="D250" s="293"/>
      <c r="E250" s="346">
        <f t="shared" si="72"/>
        <v>0</v>
      </c>
      <c r="F250" s="349">
        <f>IF(C250="",0,F249)</f>
        <v>0</v>
      </c>
      <c r="G250" s="347">
        <f t="shared" si="73"/>
        <v>0</v>
      </c>
    </row>
    <row r="251" spans="1:7" ht="18.95" customHeight="1" x14ac:dyDescent="0.2">
      <c r="A251" s="348" t="str">
        <f t="shared" si="70"/>
        <v/>
      </c>
      <c r="B251" s="290" t="str">
        <f t="shared" si="71"/>
        <v/>
      </c>
      <c r="C251" s="290"/>
      <c r="D251" s="293"/>
      <c r="E251" s="346">
        <f t="shared" si="72"/>
        <v>0</v>
      </c>
      <c r="F251" s="349">
        <f>IF(C251="",0,F250)</f>
        <v>0</v>
      </c>
      <c r="G251" s="347">
        <f t="shared" si="73"/>
        <v>0</v>
      </c>
    </row>
    <row r="252" spans="1:7" ht="18.95" customHeight="1" x14ac:dyDescent="0.2">
      <c r="A252" s="348" t="str">
        <f t="shared" si="70"/>
        <v/>
      </c>
      <c r="B252" s="290" t="str">
        <f t="shared" si="71"/>
        <v/>
      </c>
      <c r="C252" s="290"/>
      <c r="D252" s="293"/>
      <c r="E252" s="346">
        <f t="shared" si="72"/>
        <v>0</v>
      </c>
      <c r="F252" s="349">
        <f>IF(C252="",0,F251)</f>
        <v>0</v>
      </c>
      <c r="G252" s="347">
        <f t="shared" si="73"/>
        <v>0</v>
      </c>
    </row>
    <row r="253" spans="1:7" ht="18.95" customHeight="1" x14ac:dyDescent="0.2">
      <c r="A253" s="348" t="str">
        <f t="shared" si="70"/>
        <v/>
      </c>
      <c r="B253" s="290" t="str">
        <f t="shared" si="71"/>
        <v/>
      </c>
      <c r="C253" s="290"/>
      <c r="D253" s="351"/>
      <c r="E253" s="346">
        <f t="shared" si="72"/>
        <v>0</v>
      </c>
      <c r="F253" s="349">
        <f>IF(C253="",0,F252)</f>
        <v>0</v>
      </c>
      <c r="G253" s="347">
        <f t="shared" si="73"/>
        <v>0</v>
      </c>
    </row>
    <row r="254" spans="1:7" ht="18.95" customHeight="1" x14ac:dyDescent="0.2">
      <c r="A254" s="348" t="str">
        <f t="shared" si="70"/>
        <v/>
      </c>
      <c r="B254" s="290" t="str">
        <f t="shared" si="71"/>
        <v/>
      </c>
      <c r="C254" s="290"/>
      <c r="D254" s="293"/>
      <c r="E254" s="346">
        <f t="shared" si="72"/>
        <v>0</v>
      </c>
      <c r="F254" s="349">
        <f>IF(C254="",0,F253)</f>
        <v>0</v>
      </c>
      <c r="G254" s="347">
        <f t="shared" si="73"/>
        <v>0</v>
      </c>
    </row>
    <row r="255" spans="1:7" ht="18.95" customHeight="1" x14ac:dyDescent="0.2">
      <c r="A255" s="353"/>
      <c r="B255" s="149"/>
      <c r="C255" s="142"/>
      <c r="D255" s="150"/>
      <c r="E255" s="143"/>
      <c r="F255" s="356" t="s">
        <v>30</v>
      </c>
      <c r="G255" s="355">
        <f>SUBTOTAL(9,G249:G254)</f>
        <v>0</v>
      </c>
    </row>
    <row r="256" spans="1:7" ht="18.95" customHeight="1" x14ac:dyDescent="0.2">
      <c r="A256" s="156"/>
      <c r="B256" s="142"/>
      <c r="C256" s="157" t="s">
        <v>1047</v>
      </c>
      <c r="D256" s="150"/>
      <c r="E256" s="327"/>
      <c r="F256" s="327"/>
      <c r="G256" s="342"/>
    </row>
    <row r="257" spans="1:7" ht="18.95" customHeight="1" x14ac:dyDescent="0.2">
      <c r="A257" s="735" t="s">
        <v>582</v>
      </c>
      <c r="B257" s="736"/>
      <c r="C257" s="737" t="s">
        <v>0</v>
      </c>
      <c r="D257" s="737" t="s">
        <v>1655</v>
      </c>
      <c r="E257" s="737" t="s">
        <v>26</v>
      </c>
      <c r="F257" s="737" t="s">
        <v>27</v>
      </c>
      <c r="G257" s="733" t="s">
        <v>28</v>
      </c>
    </row>
    <row r="258" spans="1:7" ht="18.95" customHeight="1" x14ac:dyDescent="0.2">
      <c r="A258" s="154" t="s">
        <v>583</v>
      </c>
      <c r="B258" s="155" t="s">
        <v>584</v>
      </c>
      <c r="C258" s="738"/>
      <c r="D258" s="738"/>
      <c r="E258" s="738"/>
      <c r="F258" s="738"/>
      <c r="G258" s="734"/>
    </row>
    <row r="259" spans="1:7" ht="18.95" customHeight="1" x14ac:dyDescent="0.2">
      <c r="A259" s="348" t="str">
        <f t="shared" ref="A259:A270" si="74">IFERROR(VLOOKUP(C259,Tabla_Insumos,4,FALSE),"")</f>
        <v/>
      </c>
      <c r="B259" s="290" t="str">
        <f t="shared" ref="B259:B270" si="75">IFERROR(VLOOKUP(C259,Tabla_Insumos,5,FALSE),"")</f>
        <v/>
      </c>
      <c r="C259" s="290"/>
      <c r="D259" s="608">
        <f t="shared" ref="D259:D270" si="76">IFERROR(VLOOKUP(C259,Tabla_Insumos,2,FALSE),0)</f>
        <v>0</v>
      </c>
      <c r="E259" s="293"/>
      <c r="F259" s="346">
        <f t="shared" ref="F259:F270" si="77">IFERROR(VLOOKUP(C259,Tabla_Insumos,3,FALSE),0)</f>
        <v>0</v>
      </c>
      <c r="G259" s="347">
        <f t="shared" ref="G259:G270" si="78">ROUND(E259*F259,2)</f>
        <v>0</v>
      </c>
    </row>
    <row r="260" spans="1:7" ht="18.95" customHeight="1" x14ac:dyDescent="0.2">
      <c r="A260" s="348" t="str">
        <f t="shared" si="74"/>
        <v/>
      </c>
      <c r="B260" s="290" t="str">
        <f t="shared" si="75"/>
        <v/>
      </c>
      <c r="C260" s="126"/>
      <c r="D260" s="608">
        <f t="shared" si="76"/>
        <v>0</v>
      </c>
      <c r="E260" s="293"/>
      <c r="F260" s="346">
        <f t="shared" si="77"/>
        <v>0</v>
      </c>
      <c r="G260" s="347">
        <f t="shared" si="78"/>
        <v>0</v>
      </c>
    </row>
    <row r="261" spans="1:7" ht="18.95" customHeight="1" x14ac:dyDescent="0.2">
      <c r="A261" s="348" t="str">
        <f t="shared" si="74"/>
        <v/>
      </c>
      <c r="B261" s="290" t="str">
        <f t="shared" si="75"/>
        <v/>
      </c>
      <c r="C261" s="290"/>
      <c r="D261" s="608">
        <f t="shared" si="76"/>
        <v>0</v>
      </c>
      <c r="E261" s="293"/>
      <c r="F261" s="346">
        <f t="shared" si="77"/>
        <v>0</v>
      </c>
      <c r="G261" s="347">
        <f t="shared" si="78"/>
        <v>0</v>
      </c>
    </row>
    <row r="262" spans="1:7" ht="18.95" customHeight="1" x14ac:dyDescent="0.2">
      <c r="A262" s="348" t="str">
        <f t="shared" si="74"/>
        <v/>
      </c>
      <c r="B262" s="290" t="str">
        <f t="shared" si="75"/>
        <v/>
      </c>
      <c r="C262" s="290"/>
      <c r="D262" s="608">
        <f t="shared" si="76"/>
        <v>0</v>
      </c>
      <c r="E262" s="293"/>
      <c r="F262" s="346">
        <f t="shared" si="77"/>
        <v>0</v>
      </c>
      <c r="G262" s="347">
        <f t="shared" si="78"/>
        <v>0</v>
      </c>
    </row>
    <row r="263" spans="1:7" ht="18.95" customHeight="1" x14ac:dyDescent="0.2">
      <c r="A263" s="348" t="str">
        <f t="shared" si="74"/>
        <v/>
      </c>
      <c r="B263" s="290" t="str">
        <f t="shared" si="75"/>
        <v/>
      </c>
      <c r="C263" s="290"/>
      <c r="D263" s="608">
        <f t="shared" si="76"/>
        <v>0</v>
      </c>
      <c r="E263" s="293"/>
      <c r="F263" s="346">
        <f t="shared" si="77"/>
        <v>0</v>
      </c>
      <c r="G263" s="347">
        <f t="shared" si="78"/>
        <v>0</v>
      </c>
    </row>
    <row r="264" spans="1:7" ht="18.95" customHeight="1" x14ac:dyDescent="0.2">
      <c r="A264" s="348" t="str">
        <f t="shared" si="74"/>
        <v/>
      </c>
      <c r="B264" s="290" t="str">
        <f t="shared" si="75"/>
        <v/>
      </c>
      <c r="C264" s="290"/>
      <c r="D264" s="608">
        <f t="shared" si="76"/>
        <v>0</v>
      </c>
      <c r="E264" s="293"/>
      <c r="F264" s="346">
        <f t="shared" si="77"/>
        <v>0</v>
      </c>
      <c r="G264" s="347">
        <f t="shared" si="78"/>
        <v>0</v>
      </c>
    </row>
    <row r="265" spans="1:7" ht="18.95" customHeight="1" x14ac:dyDescent="0.2">
      <c r="A265" s="348" t="str">
        <f t="shared" si="74"/>
        <v/>
      </c>
      <c r="B265" s="290" t="str">
        <f t="shared" si="75"/>
        <v/>
      </c>
      <c r="C265" s="290"/>
      <c r="D265" s="608">
        <f t="shared" si="76"/>
        <v>0</v>
      </c>
      <c r="E265" s="293"/>
      <c r="F265" s="346">
        <f t="shared" si="77"/>
        <v>0</v>
      </c>
      <c r="G265" s="347">
        <f t="shared" si="78"/>
        <v>0</v>
      </c>
    </row>
    <row r="266" spans="1:7" s="295" customFormat="1" ht="18.95" customHeight="1" x14ac:dyDescent="0.2">
      <c r="A266" s="348" t="str">
        <f t="shared" si="74"/>
        <v/>
      </c>
      <c r="B266" s="290" t="str">
        <f t="shared" si="75"/>
        <v/>
      </c>
      <c r="C266" s="290"/>
      <c r="D266" s="608">
        <f t="shared" si="76"/>
        <v>0</v>
      </c>
      <c r="E266" s="323"/>
      <c r="F266" s="346">
        <f t="shared" si="77"/>
        <v>0</v>
      </c>
      <c r="G266" s="347">
        <f t="shared" si="78"/>
        <v>0</v>
      </c>
    </row>
    <row r="267" spans="1:7" ht="18.95" customHeight="1" x14ac:dyDescent="0.2">
      <c r="A267" s="348" t="str">
        <f t="shared" si="74"/>
        <v/>
      </c>
      <c r="B267" s="290" t="str">
        <f t="shared" si="75"/>
        <v/>
      </c>
      <c r="C267" s="290"/>
      <c r="D267" s="608">
        <f t="shared" si="76"/>
        <v>0</v>
      </c>
      <c r="E267" s="293"/>
      <c r="F267" s="346">
        <f t="shared" si="77"/>
        <v>0</v>
      </c>
      <c r="G267" s="347">
        <f t="shared" si="78"/>
        <v>0</v>
      </c>
    </row>
    <row r="268" spans="1:7" ht="18.95" customHeight="1" x14ac:dyDescent="0.2">
      <c r="A268" s="348" t="str">
        <f t="shared" si="74"/>
        <v/>
      </c>
      <c r="B268" s="290" t="str">
        <f t="shared" si="75"/>
        <v/>
      </c>
      <c r="C268" s="290"/>
      <c r="D268" s="608">
        <f t="shared" si="76"/>
        <v>0</v>
      </c>
      <c r="E268" s="293"/>
      <c r="F268" s="346">
        <f t="shared" si="77"/>
        <v>0</v>
      </c>
      <c r="G268" s="347">
        <f t="shared" si="78"/>
        <v>0</v>
      </c>
    </row>
    <row r="269" spans="1:7" ht="18.95" customHeight="1" x14ac:dyDescent="0.2">
      <c r="A269" s="348" t="str">
        <f t="shared" si="74"/>
        <v/>
      </c>
      <c r="B269" s="290" t="str">
        <f t="shared" si="75"/>
        <v/>
      </c>
      <c r="C269" s="290"/>
      <c r="D269" s="608">
        <f t="shared" si="76"/>
        <v>0</v>
      </c>
      <c r="E269" s="293"/>
      <c r="F269" s="346">
        <f t="shared" si="77"/>
        <v>0</v>
      </c>
      <c r="G269" s="347">
        <f t="shared" si="78"/>
        <v>0</v>
      </c>
    </row>
    <row r="270" spans="1:7" ht="18.95" customHeight="1" x14ac:dyDescent="0.2">
      <c r="A270" s="348" t="str">
        <f t="shared" si="74"/>
        <v/>
      </c>
      <c r="B270" s="290" t="str">
        <f t="shared" si="75"/>
        <v/>
      </c>
      <c r="C270" s="290"/>
      <c r="D270" s="608">
        <f t="shared" si="76"/>
        <v>0</v>
      </c>
      <c r="E270" s="293"/>
      <c r="F270" s="346">
        <f t="shared" si="77"/>
        <v>0</v>
      </c>
      <c r="G270" s="347">
        <f t="shared" si="78"/>
        <v>0</v>
      </c>
    </row>
    <row r="271" spans="1:7" ht="18.95" customHeight="1" x14ac:dyDescent="0.2">
      <c r="A271" s="156"/>
      <c r="B271" s="142"/>
      <c r="C271" s="142"/>
      <c r="D271" s="150"/>
      <c r="E271" s="143"/>
      <c r="F271" s="356" t="s">
        <v>31</v>
      </c>
      <c r="G271" s="355">
        <f>SUBTOTAL(9,G259:G270)</f>
        <v>0</v>
      </c>
    </row>
    <row r="272" spans="1:7" ht="18.95" customHeight="1" x14ac:dyDescent="0.2">
      <c r="A272" s="156"/>
      <c r="B272" s="142"/>
      <c r="C272" s="157" t="s">
        <v>1048</v>
      </c>
      <c r="D272" s="150"/>
      <c r="E272" s="327"/>
      <c r="F272" s="327"/>
      <c r="G272" s="342"/>
    </row>
    <row r="273" spans="1:8" ht="18.95" customHeight="1" x14ac:dyDescent="0.2">
      <c r="A273" s="735" t="s">
        <v>582</v>
      </c>
      <c r="B273" s="736"/>
      <c r="C273" s="737" t="s">
        <v>0</v>
      </c>
      <c r="D273" s="739" t="s">
        <v>1750</v>
      </c>
      <c r="E273" s="741" t="s">
        <v>26</v>
      </c>
      <c r="F273" s="741" t="s">
        <v>27</v>
      </c>
      <c r="G273" s="733" t="s">
        <v>28</v>
      </c>
    </row>
    <row r="274" spans="1:8" ht="18.95" customHeight="1" x14ac:dyDescent="0.2">
      <c r="A274" s="154" t="s">
        <v>583</v>
      </c>
      <c r="B274" s="155" t="s">
        <v>584</v>
      </c>
      <c r="C274" s="738"/>
      <c r="D274" s="740"/>
      <c r="E274" s="742"/>
      <c r="F274" s="742"/>
      <c r="G274" s="734"/>
    </row>
    <row r="275" spans="1:8" ht="18.95" customHeight="1" x14ac:dyDescent="0.2">
      <c r="A275" s="348" t="str">
        <f>IFERROR(VLOOKUP(C275,Tabla_Insumos,4,FALSE),"")</f>
        <v/>
      </c>
      <c r="B275" s="290" t="s">
        <v>4</v>
      </c>
      <c r="C275" s="290"/>
      <c r="D275" s="293"/>
      <c r="E275" s="322"/>
      <c r="F275" s="324"/>
      <c r="G275" s="347">
        <f t="shared" ref="G275" si="79">ROUND(E275*F275,2)</f>
        <v>0</v>
      </c>
    </row>
    <row r="276" spans="1:8" ht="18.95" customHeight="1" x14ac:dyDescent="0.2">
      <c r="A276" s="156"/>
      <c r="B276" s="142"/>
      <c r="C276" s="142"/>
      <c r="D276" s="150"/>
      <c r="E276" s="143"/>
      <c r="F276" s="356" t="s">
        <v>1049</v>
      </c>
      <c r="G276" s="355">
        <f>SUBTOTAL(9,G275:G275)</f>
        <v>0</v>
      </c>
    </row>
    <row r="277" spans="1:8" ht="18.95" customHeight="1" thickBot="1" x14ac:dyDescent="0.25">
      <c r="A277" s="158"/>
      <c r="B277" s="159"/>
      <c r="C277" s="160"/>
      <c r="D277" s="161"/>
      <c r="E277" s="357"/>
      <c r="F277" s="357"/>
      <c r="G277" s="358"/>
    </row>
    <row r="278" spans="1:8" ht="18.95" customHeight="1" x14ac:dyDescent="0.2">
      <c r="A278" s="359">
        <f>B217</f>
        <v>4</v>
      </c>
      <c r="B278" s="360" t="str">
        <f>C217</f>
        <v>CONSTRUCCIÓN DE TERRAPLENES RIPIOSOS SIN COMPACTACIÓN ESPECIAL</v>
      </c>
      <c r="C278" s="361"/>
      <c r="D278" s="361"/>
      <c r="E278" s="361" t="s">
        <v>1050</v>
      </c>
      <c r="F278" s="362" t="str">
        <f>CONCATENATE("$/",G217)</f>
        <v>$/m3</v>
      </c>
      <c r="G278" s="363">
        <f>SUBTOTAL(9,G237:G277)</f>
        <v>0</v>
      </c>
    </row>
    <row r="279" spans="1:8" ht="18.95" customHeight="1" thickBot="1" x14ac:dyDescent="0.25">
      <c r="A279" s="364"/>
      <c r="B279" s="365"/>
      <c r="C279" s="365"/>
      <c r="D279" s="365"/>
      <c r="E279" s="366" t="s">
        <v>1051</v>
      </c>
      <c r="F279" s="367" t="str">
        <f>CONCATENATE("$/",G217)</f>
        <v>$/m3</v>
      </c>
      <c r="G279" s="368" t="e">
        <f ca="1">PrecioUnitario(G278,GG_Porcentaje,Beneficio,Ingresos_Brutos,IVA)</f>
        <v>#NAME?</v>
      </c>
    </row>
    <row r="280" spans="1:8" ht="18.95" customHeight="1" thickTop="1" thickBot="1" x14ac:dyDescent="0.25">
      <c r="F280" s="294"/>
      <c r="G280" s="294"/>
    </row>
    <row r="281" spans="1:8" ht="18.95" customHeight="1" thickTop="1" x14ac:dyDescent="0.2">
      <c r="A281" s="194" t="s">
        <v>33</v>
      </c>
      <c r="B281" s="195"/>
      <c r="C281" s="195"/>
      <c r="D281" s="195"/>
      <c r="E281" s="195"/>
      <c r="F281" s="195"/>
      <c r="G281" s="196"/>
      <c r="H281" s="143">
        <f>COUNTIF($A$1:A287,"ANALISIS DE PRECIOS")</f>
        <v>5</v>
      </c>
    </row>
    <row r="282" spans="1:8" ht="18.95" customHeight="1" x14ac:dyDescent="0.2">
      <c r="A282" s="144" t="s">
        <v>720</v>
      </c>
      <c r="B282" s="145" t="str">
        <f>Comitente</f>
        <v>DIRECCIÓN PROVINCIAL DE VIALIDAD</v>
      </c>
      <c r="C282" s="139"/>
      <c r="D282" s="146"/>
      <c r="E282" s="325"/>
      <c r="F282" s="325"/>
      <c r="G282" s="326"/>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PAVIMENTACION Y ENSANCHE DE RUTA PROVINCIAL N°7 AV. JOAQUIN UÑAC</v>
      </c>
      <c r="C284" s="140"/>
      <c r="D284" s="140"/>
      <c r="E284" s="143"/>
      <c r="F284" s="145" t="s">
        <v>34</v>
      </c>
      <c r="G284" s="147">
        <f>Fecha_Base</f>
        <v>43444</v>
      </c>
      <c r="H284" s="143"/>
    </row>
    <row r="285" spans="1:8" ht="18.95" customHeight="1" x14ac:dyDescent="0.2">
      <c r="A285" s="148" t="s">
        <v>719</v>
      </c>
      <c r="B285" s="141" t="str">
        <f>Ubicación</f>
        <v>DEPARTAMENTO POCITO</v>
      </c>
      <c r="C285" s="141"/>
      <c r="D285" s="150"/>
      <c r="E285" s="143"/>
      <c r="F285" s="327"/>
      <c r="G285" s="328"/>
      <c r="H285" s="143"/>
    </row>
    <row r="286" spans="1:8" ht="18.95" customHeight="1" x14ac:dyDescent="0.2">
      <c r="A286" s="148" t="s">
        <v>35</v>
      </c>
      <c r="B286" s="151" t="str">
        <f>IFERROR(VALUE(LEFT(B287,FIND("-",B287)-1)),"")</f>
        <v/>
      </c>
      <c r="C286" s="142" t="str">
        <f>IFERROR(VLOOKUP(B286,Tabla_CyP,2,FALSE),"")</f>
        <v/>
      </c>
      <c r="D286" s="150"/>
      <c r="E286" s="143"/>
      <c r="F286" s="327"/>
      <c r="G286" s="328"/>
      <c r="H286" s="143"/>
    </row>
    <row r="287" spans="1:8" ht="18.95" customHeight="1" x14ac:dyDescent="0.2">
      <c r="A287" s="148" t="s">
        <v>24</v>
      </c>
      <c r="B287" s="152">
        <f>IFERROR(VLOOKUP(COUNTIF($A$1:A287,"ANALISIS DE PRECIOS"),Tabla_NumeroItem,4,FALSE),"")</f>
        <v>5</v>
      </c>
      <c r="C287" s="745" t="str">
        <f>IFERROR(VLOOKUP(B287,Tabla_CyP,2,FALSE),"")</f>
        <v>CONSTRUCCIÓN DE SUB-BASE ESTABILIZADA GRANULAR</v>
      </c>
      <c r="D287" s="745"/>
      <c r="E287" s="745"/>
      <c r="F287" s="141" t="s">
        <v>25</v>
      </c>
      <c r="G287" s="153" t="str">
        <f>IFERROR(VLOOKUP(B287,Tabla_CyP,4,FALSE),"")</f>
        <v>m3</v>
      </c>
      <c r="H287" s="143"/>
    </row>
    <row r="288" spans="1:8" ht="18.95" customHeight="1" x14ac:dyDescent="0.2">
      <c r="A288" s="148"/>
      <c r="B288" s="141"/>
      <c r="C288" s="142"/>
      <c r="D288" s="150"/>
      <c r="E288" s="142"/>
      <c r="F288" s="142"/>
      <c r="G288" s="329"/>
      <c r="H288" s="143"/>
    </row>
    <row r="289" spans="1:8" ht="18.95" customHeight="1" x14ac:dyDescent="0.2">
      <c r="A289" s="330"/>
      <c r="B289" s="331"/>
      <c r="C289" s="332" t="s">
        <v>1032</v>
      </c>
      <c r="D289" s="331"/>
      <c r="E289" s="331"/>
      <c r="F289" s="331"/>
      <c r="G289" s="333"/>
      <c r="H289" s="143"/>
    </row>
    <row r="290" spans="1:8" ht="18.95" customHeight="1" x14ac:dyDescent="0.2">
      <c r="A290" s="148"/>
      <c r="B290" s="334"/>
      <c r="C290" s="335" t="s">
        <v>1033</v>
      </c>
      <c r="D290" s="336" t="s">
        <v>26</v>
      </c>
      <c r="E290" s="336" t="s">
        <v>1034</v>
      </c>
      <c r="F290" s="336" t="s">
        <v>1035</v>
      </c>
      <c r="G290" s="337" t="s">
        <v>1036</v>
      </c>
      <c r="H290" s="143"/>
    </row>
    <row r="291" spans="1:8" ht="18.95" customHeight="1" x14ac:dyDescent="0.2">
      <c r="A291" s="343"/>
      <c r="B291" s="344"/>
      <c r="C291" s="290"/>
      <c r="D291" s="293"/>
      <c r="E291" s="345"/>
      <c r="F291" s="346"/>
      <c r="G291" s="347">
        <f t="shared" ref="G291:G300" si="80">ROUND(D291*F291,2)</f>
        <v>0</v>
      </c>
    </row>
    <row r="292" spans="1:8" ht="18.95" customHeight="1" x14ac:dyDescent="0.2">
      <c r="A292" s="343"/>
      <c r="B292" s="344"/>
      <c r="C292" s="290"/>
      <c r="D292" s="293"/>
      <c r="E292" s="345"/>
      <c r="F292" s="346"/>
      <c r="G292" s="347">
        <f t="shared" si="80"/>
        <v>0</v>
      </c>
    </row>
    <row r="293" spans="1:8" ht="18.95" customHeight="1" x14ac:dyDescent="0.2">
      <c r="A293" s="343"/>
      <c r="B293" s="344"/>
      <c r="C293" s="290"/>
      <c r="D293" s="293"/>
      <c r="E293" s="345">
        <f t="shared" ref="E293:E300" si="81">IFERROR(VLOOKUP(C293,T_Equipos,4,FALSE),0)</f>
        <v>0</v>
      </c>
      <c r="F293" s="346">
        <f t="shared" ref="F293:F300" si="82">IFERROR(VLOOKUP(C293,T_Equipos,11,FALSE),0)</f>
        <v>0</v>
      </c>
      <c r="G293" s="347">
        <f t="shared" si="80"/>
        <v>0</v>
      </c>
    </row>
    <row r="294" spans="1:8" ht="18.95" customHeight="1" x14ac:dyDescent="0.2">
      <c r="A294" s="343"/>
      <c r="B294" s="344"/>
      <c r="C294" s="290"/>
      <c r="D294" s="293"/>
      <c r="E294" s="345">
        <f t="shared" si="81"/>
        <v>0</v>
      </c>
      <c r="F294" s="346">
        <f t="shared" si="82"/>
        <v>0</v>
      </c>
      <c r="G294" s="347">
        <f t="shared" si="80"/>
        <v>0</v>
      </c>
    </row>
    <row r="295" spans="1:8" ht="18.95" customHeight="1" x14ac:dyDescent="0.2">
      <c r="A295" s="343"/>
      <c r="B295" s="344"/>
      <c r="C295" s="290"/>
      <c r="D295" s="293"/>
      <c r="E295" s="345">
        <f t="shared" si="81"/>
        <v>0</v>
      </c>
      <c r="F295" s="346">
        <f t="shared" si="82"/>
        <v>0</v>
      </c>
      <c r="G295" s="347">
        <f t="shared" si="80"/>
        <v>0</v>
      </c>
    </row>
    <row r="296" spans="1:8" ht="18.95" customHeight="1" x14ac:dyDescent="0.2">
      <c r="A296" s="343"/>
      <c r="B296" s="344"/>
      <c r="C296" s="290"/>
      <c r="D296" s="293"/>
      <c r="E296" s="345">
        <f t="shared" si="81"/>
        <v>0</v>
      </c>
      <c r="F296" s="346">
        <f t="shared" si="82"/>
        <v>0</v>
      </c>
      <c r="G296" s="347">
        <f t="shared" si="80"/>
        <v>0</v>
      </c>
    </row>
    <row r="297" spans="1:8" ht="18.95" customHeight="1" x14ac:dyDescent="0.2">
      <c r="A297" s="343"/>
      <c r="B297" s="344"/>
      <c r="C297" s="290"/>
      <c r="D297" s="293"/>
      <c r="E297" s="345">
        <f t="shared" si="81"/>
        <v>0</v>
      </c>
      <c r="F297" s="346">
        <f t="shared" si="82"/>
        <v>0</v>
      </c>
      <c r="G297" s="347">
        <f t="shared" si="80"/>
        <v>0</v>
      </c>
    </row>
    <row r="298" spans="1:8" ht="18.95" customHeight="1" x14ac:dyDescent="0.2">
      <c r="A298" s="343"/>
      <c r="B298" s="344"/>
      <c r="C298" s="290"/>
      <c r="D298" s="293"/>
      <c r="E298" s="345">
        <f t="shared" si="81"/>
        <v>0</v>
      </c>
      <c r="F298" s="346">
        <f t="shared" si="82"/>
        <v>0</v>
      </c>
      <c r="G298" s="347">
        <f t="shared" si="80"/>
        <v>0</v>
      </c>
    </row>
    <row r="299" spans="1:8" ht="18.95" customHeight="1" x14ac:dyDescent="0.2">
      <c r="A299" s="343"/>
      <c r="B299" s="344"/>
      <c r="C299" s="290"/>
      <c r="D299" s="293"/>
      <c r="E299" s="345">
        <f t="shared" si="81"/>
        <v>0</v>
      </c>
      <c r="F299" s="346">
        <f t="shared" si="82"/>
        <v>0</v>
      </c>
      <c r="G299" s="347">
        <f t="shared" si="80"/>
        <v>0</v>
      </c>
    </row>
    <row r="300" spans="1:8" ht="18.95" customHeight="1" thickBot="1" x14ac:dyDescent="0.25">
      <c r="A300" s="343"/>
      <c r="B300" s="344"/>
      <c r="C300" s="290"/>
      <c r="D300" s="293"/>
      <c r="E300" s="345">
        <f t="shared" si="81"/>
        <v>0</v>
      </c>
      <c r="F300" s="346">
        <f t="shared" si="82"/>
        <v>0</v>
      </c>
      <c r="G300" s="347">
        <f t="shared" si="80"/>
        <v>0</v>
      </c>
    </row>
    <row r="301" spans="1:8" ht="18.95" customHeight="1" thickBot="1" x14ac:dyDescent="0.25">
      <c r="A301" s="148"/>
      <c r="B301" s="334"/>
      <c r="C301" s="143"/>
      <c r="D301" s="146" t="s">
        <v>1037</v>
      </c>
      <c r="E301" s="338">
        <f>SUMPRODUCT(D291:D300,E291:E300)</f>
        <v>0</v>
      </c>
      <c r="F301" s="141" t="s">
        <v>1038</v>
      </c>
      <c r="G301" s="339">
        <f>SUM(G291:G300)</f>
        <v>0</v>
      </c>
    </row>
    <row r="302" spans="1:8" ht="18.95" customHeight="1" x14ac:dyDescent="0.2">
      <c r="A302" s="148"/>
      <c r="B302" s="334"/>
      <c r="C302" s="141" t="s">
        <v>1039</v>
      </c>
      <c r="D302" s="320"/>
      <c r="E302" s="340" t="str">
        <f>CONCATENATE(G287,"/día")</f>
        <v>m3/día</v>
      </c>
      <c r="F302" s="141"/>
      <c r="G302" s="341"/>
    </row>
    <row r="303" spans="1:8" ht="18.95" customHeight="1" x14ac:dyDescent="0.2">
      <c r="A303" s="148"/>
      <c r="B303" s="334"/>
      <c r="C303" s="142"/>
      <c r="D303" s="150"/>
      <c r="E303" s="141"/>
      <c r="F303" s="141"/>
      <c r="G303" s="341"/>
    </row>
    <row r="304" spans="1:8" ht="18.95" customHeight="1" x14ac:dyDescent="0.2">
      <c r="A304" s="735" t="s">
        <v>582</v>
      </c>
      <c r="B304" s="736"/>
      <c r="C304" s="737" t="s">
        <v>0</v>
      </c>
      <c r="D304" s="743" t="s">
        <v>1053</v>
      </c>
      <c r="E304" s="743" t="s">
        <v>1706</v>
      </c>
      <c r="F304" s="743" t="s">
        <v>1054</v>
      </c>
      <c r="G304" s="743" t="s">
        <v>1055</v>
      </c>
    </row>
    <row r="305" spans="1:7" ht="18.95" customHeight="1" x14ac:dyDescent="0.2">
      <c r="A305" s="154" t="s">
        <v>583</v>
      </c>
      <c r="B305" s="155" t="s">
        <v>584</v>
      </c>
      <c r="C305" s="738"/>
      <c r="D305" s="742"/>
      <c r="E305" s="742"/>
      <c r="F305" s="744"/>
      <c r="G305" s="742"/>
    </row>
    <row r="306" spans="1:7" ht="18.95" customHeight="1" x14ac:dyDescent="0.2">
      <c r="A306" s="156"/>
      <c r="B306" s="142"/>
      <c r="C306" s="157" t="s">
        <v>1041</v>
      </c>
      <c r="D306" s="150"/>
      <c r="E306" s="142"/>
      <c r="F306" s="142"/>
      <c r="G306" s="342"/>
    </row>
    <row r="307" spans="1:7" ht="18.95" customHeight="1" x14ac:dyDescent="0.2">
      <c r="A307" s="348" t="str">
        <f t="shared" ref="A307:A314" si="83">IFERROR(VLOOKUP(C307,Tabla_Insumos,4,FALSE),"")</f>
        <v/>
      </c>
      <c r="B307" s="290" t="str">
        <f t="shared" ref="B307:B314" si="84">IFERROR(VLOOKUP(C307,Tabla_Insumos,5,FALSE),"")</f>
        <v/>
      </c>
      <c r="C307" s="290"/>
      <c r="D307" s="607">
        <f t="shared" ref="D307:D314" si="85">IFERROR(VLOOKUP(C307,Tabla_Insumos,3,FALSE),0)</f>
        <v>0</v>
      </c>
      <c r="E307" s="349">
        <f>D307*$G$21</f>
        <v>0</v>
      </c>
      <c r="F307" s="350">
        <f>IF(C307="",0,D302)</f>
        <v>0</v>
      </c>
      <c r="G307" s="347">
        <f>IFERROR(ROUND(E307/F307,2),0)</f>
        <v>0</v>
      </c>
    </row>
    <row r="308" spans="1:7" ht="18.95" customHeight="1" x14ac:dyDescent="0.2">
      <c r="A308" s="348" t="str">
        <f t="shared" si="83"/>
        <v/>
      </c>
      <c r="B308" s="290" t="str">
        <f t="shared" si="84"/>
        <v/>
      </c>
      <c r="C308" s="321"/>
      <c r="D308" s="607">
        <f t="shared" si="85"/>
        <v>0</v>
      </c>
      <c r="E308" s="349">
        <f t="shared" ref="E308:E309" si="86">D308*$G$21</f>
        <v>0</v>
      </c>
      <c r="F308" s="350">
        <f t="shared" ref="F308:F311" si="87">IF(C308="",0,F307)</f>
        <v>0</v>
      </c>
      <c r="G308" s="347">
        <f t="shared" ref="G308:G314" si="88">IFERROR(ROUND(E308/F308,2),0)</f>
        <v>0</v>
      </c>
    </row>
    <row r="309" spans="1:7" ht="18.95" customHeight="1" x14ac:dyDescent="0.2">
      <c r="A309" s="348" t="str">
        <f t="shared" si="83"/>
        <v/>
      </c>
      <c r="B309" s="290" t="str">
        <f t="shared" si="84"/>
        <v/>
      </c>
      <c r="C309" s="321"/>
      <c r="D309" s="607">
        <f t="shared" si="85"/>
        <v>0</v>
      </c>
      <c r="E309" s="349">
        <f t="shared" si="86"/>
        <v>0</v>
      </c>
      <c r="F309" s="350">
        <f t="shared" si="87"/>
        <v>0</v>
      </c>
      <c r="G309" s="347">
        <f t="shared" si="88"/>
        <v>0</v>
      </c>
    </row>
    <row r="310" spans="1:7" ht="18.95" customHeight="1" x14ac:dyDescent="0.2">
      <c r="A310" s="348" t="str">
        <f t="shared" si="83"/>
        <v/>
      </c>
      <c r="B310" s="290" t="str">
        <f t="shared" si="84"/>
        <v/>
      </c>
      <c r="C310" s="321"/>
      <c r="D310" s="607">
        <f t="shared" si="85"/>
        <v>0</v>
      </c>
      <c r="E310" s="349">
        <f>D310*$E$21</f>
        <v>0</v>
      </c>
      <c r="F310" s="350">
        <f t="shared" si="87"/>
        <v>0</v>
      </c>
      <c r="G310" s="347">
        <f t="shared" si="88"/>
        <v>0</v>
      </c>
    </row>
    <row r="311" spans="1:7" ht="18.95" customHeight="1" x14ac:dyDescent="0.2">
      <c r="A311" s="348" t="str">
        <f t="shared" si="83"/>
        <v/>
      </c>
      <c r="B311" s="290" t="str">
        <f t="shared" si="84"/>
        <v/>
      </c>
      <c r="C311" s="321"/>
      <c r="D311" s="607">
        <f t="shared" si="85"/>
        <v>0</v>
      </c>
      <c r="E311" s="349">
        <f>D311*$E$21</f>
        <v>0</v>
      </c>
      <c r="F311" s="350">
        <f t="shared" si="87"/>
        <v>0</v>
      </c>
      <c r="G311" s="347">
        <f t="shared" si="88"/>
        <v>0</v>
      </c>
    </row>
    <row r="312" spans="1:7" ht="18.95" customHeight="1" x14ac:dyDescent="0.2">
      <c r="A312" s="348" t="str">
        <f t="shared" si="83"/>
        <v/>
      </c>
      <c r="B312" s="290" t="str">
        <f t="shared" si="84"/>
        <v/>
      </c>
      <c r="C312" s="321"/>
      <c r="D312" s="607">
        <f t="shared" si="85"/>
        <v>0</v>
      </c>
      <c r="E312" s="349"/>
      <c r="F312" s="350">
        <f>IF(C312="",0,F311)</f>
        <v>0</v>
      </c>
      <c r="G312" s="347">
        <f t="shared" si="88"/>
        <v>0</v>
      </c>
    </row>
    <row r="313" spans="1:7" ht="18.95" customHeight="1" x14ac:dyDescent="0.2">
      <c r="A313" s="348" t="str">
        <f t="shared" si="83"/>
        <v/>
      </c>
      <c r="B313" s="290" t="str">
        <f t="shared" si="84"/>
        <v/>
      </c>
      <c r="C313" s="321"/>
      <c r="D313" s="607">
        <f t="shared" si="85"/>
        <v>0</v>
      </c>
      <c r="E313" s="349"/>
      <c r="F313" s="350">
        <f t="shared" ref="F313:F314" si="89">IF(C313="",0,F312)</f>
        <v>0</v>
      </c>
      <c r="G313" s="347">
        <f t="shared" si="88"/>
        <v>0</v>
      </c>
    </row>
    <row r="314" spans="1:7" ht="18.95" customHeight="1" x14ac:dyDescent="0.2">
      <c r="A314" s="348" t="str">
        <f t="shared" si="83"/>
        <v/>
      </c>
      <c r="B314" s="290" t="str">
        <f t="shared" si="84"/>
        <v/>
      </c>
      <c r="C314" s="321"/>
      <c r="D314" s="607">
        <f t="shared" si="85"/>
        <v>0</v>
      </c>
      <c r="E314" s="349"/>
      <c r="F314" s="350">
        <f t="shared" si="89"/>
        <v>0</v>
      </c>
      <c r="G314" s="347">
        <f t="shared" si="88"/>
        <v>0</v>
      </c>
    </row>
    <row r="315" spans="1:7" ht="18.95" customHeight="1" x14ac:dyDescent="0.2">
      <c r="A315" s="353"/>
      <c r="B315" s="149"/>
      <c r="C315" s="142"/>
      <c r="D315" s="150"/>
      <c r="E315" s="143"/>
      <c r="F315" s="354" t="s">
        <v>29</v>
      </c>
      <c r="G315" s="355">
        <f>SUBTOTAL(9,G307:G314)</f>
        <v>0</v>
      </c>
    </row>
    <row r="316" spans="1:7" ht="18.95" customHeight="1" x14ac:dyDescent="0.2">
      <c r="A316" s="156"/>
      <c r="B316" s="142"/>
      <c r="C316" s="157" t="s">
        <v>722</v>
      </c>
      <c r="D316" s="150"/>
      <c r="E316" s="327"/>
      <c r="F316" s="327"/>
      <c r="G316" s="342"/>
    </row>
    <row r="317" spans="1:7" ht="18.95" customHeight="1" x14ac:dyDescent="0.2">
      <c r="A317" s="735" t="s">
        <v>582</v>
      </c>
      <c r="B317" s="736"/>
      <c r="C317" s="737" t="s">
        <v>0</v>
      </c>
      <c r="D317" s="739" t="s">
        <v>26</v>
      </c>
      <c r="E317" s="743" t="s">
        <v>1707</v>
      </c>
      <c r="F317" s="741" t="s">
        <v>1040</v>
      </c>
      <c r="G317" s="733" t="s">
        <v>28</v>
      </c>
    </row>
    <row r="318" spans="1:7" ht="18.95" customHeight="1" x14ac:dyDescent="0.2">
      <c r="A318" s="154" t="s">
        <v>583</v>
      </c>
      <c r="B318" s="155" t="s">
        <v>584</v>
      </c>
      <c r="C318" s="738"/>
      <c r="D318" s="740"/>
      <c r="E318" s="742"/>
      <c r="F318" s="742"/>
      <c r="G318" s="734"/>
    </row>
    <row r="319" spans="1:7" ht="18.95" customHeight="1" x14ac:dyDescent="0.2">
      <c r="A319" s="348" t="str">
        <f t="shared" ref="A319:A324" si="90">IFERROR(VLOOKUP(C319,Tabla_Insumos,4,FALSE),"")</f>
        <v/>
      </c>
      <c r="B319" s="290" t="str">
        <f t="shared" ref="B319:B324" si="91">IFERROR(VLOOKUP(C319,Tabla_Insumos,5,FALSE),"")</f>
        <v/>
      </c>
      <c r="C319" s="291"/>
      <c r="D319" s="293"/>
      <c r="E319" s="346">
        <f t="shared" ref="E319:E324" si="92">IFERROR(VLOOKUP(C319,Tabla_Insumos,3,FALSE),0)</f>
        <v>0</v>
      </c>
      <c r="F319" s="349">
        <f>IF(C319="",0,D302)</f>
        <v>0</v>
      </c>
      <c r="G319" s="347">
        <f t="shared" ref="G319:G324" si="93">IFERROR(ROUND(D319*E319/F319,2),0)</f>
        <v>0</v>
      </c>
    </row>
    <row r="320" spans="1:7" ht="18.95" customHeight="1" x14ac:dyDescent="0.2">
      <c r="A320" s="348" t="str">
        <f t="shared" si="90"/>
        <v/>
      </c>
      <c r="B320" s="290" t="str">
        <f t="shared" si="91"/>
        <v/>
      </c>
      <c r="C320" s="290"/>
      <c r="D320" s="293"/>
      <c r="E320" s="346">
        <f t="shared" si="92"/>
        <v>0</v>
      </c>
      <c r="F320" s="349">
        <f>IF(C320="",0,F319)</f>
        <v>0</v>
      </c>
      <c r="G320" s="347">
        <f t="shared" si="93"/>
        <v>0</v>
      </c>
    </row>
    <row r="321" spans="1:7" ht="18.95" customHeight="1" x14ac:dyDescent="0.2">
      <c r="A321" s="348" t="str">
        <f t="shared" si="90"/>
        <v/>
      </c>
      <c r="B321" s="290" t="str">
        <f t="shared" si="91"/>
        <v/>
      </c>
      <c r="C321" s="290"/>
      <c r="D321" s="293"/>
      <c r="E321" s="346">
        <f t="shared" si="92"/>
        <v>0</v>
      </c>
      <c r="F321" s="349">
        <f>IF(C321="",0,F320)</f>
        <v>0</v>
      </c>
      <c r="G321" s="347">
        <f t="shared" si="93"/>
        <v>0</v>
      </c>
    </row>
    <row r="322" spans="1:7" ht="18.95" customHeight="1" x14ac:dyDescent="0.2">
      <c r="A322" s="348" t="str">
        <f t="shared" si="90"/>
        <v/>
      </c>
      <c r="B322" s="290" t="str">
        <f t="shared" si="91"/>
        <v/>
      </c>
      <c r="C322" s="290"/>
      <c r="D322" s="293"/>
      <c r="E322" s="346">
        <f t="shared" si="92"/>
        <v>0</v>
      </c>
      <c r="F322" s="349">
        <f>IF(C322="",0,F321)</f>
        <v>0</v>
      </c>
      <c r="G322" s="347">
        <f t="shared" si="93"/>
        <v>0</v>
      </c>
    </row>
    <row r="323" spans="1:7" ht="18.95" customHeight="1" x14ac:dyDescent="0.2">
      <c r="A323" s="348" t="str">
        <f t="shared" si="90"/>
        <v/>
      </c>
      <c r="B323" s="290" t="str">
        <f t="shared" si="91"/>
        <v/>
      </c>
      <c r="C323" s="290"/>
      <c r="D323" s="351"/>
      <c r="E323" s="346">
        <f t="shared" si="92"/>
        <v>0</v>
      </c>
      <c r="F323" s="349">
        <f>IF(C323="",0,F322)</f>
        <v>0</v>
      </c>
      <c r="G323" s="347">
        <f t="shared" si="93"/>
        <v>0</v>
      </c>
    </row>
    <row r="324" spans="1:7" ht="18.95" customHeight="1" x14ac:dyDescent="0.2">
      <c r="A324" s="348" t="str">
        <f t="shared" si="90"/>
        <v/>
      </c>
      <c r="B324" s="290" t="str">
        <f t="shared" si="91"/>
        <v/>
      </c>
      <c r="C324" s="290"/>
      <c r="D324" s="293"/>
      <c r="E324" s="346">
        <f t="shared" si="92"/>
        <v>0</v>
      </c>
      <c r="F324" s="349">
        <f>IF(C324="",0,F323)</f>
        <v>0</v>
      </c>
      <c r="G324" s="347">
        <f t="shared" si="93"/>
        <v>0</v>
      </c>
    </row>
    <row r="325" spans="1:7" ht="18.95" customHeight="1" x14ac:dyDescent="0.2">
      <c r="A325" s="353"/>
      <c r="B325" s="149"/>
      <c r="C325" s="142"/>
      <c r="D325" s="150"/>
      <c r="E325" s="143"/>
      <c r="F325" s="356" t="s">
        <v>30</v>
      </c>
      <c r="G325" s="355">
        <f>SUBTOTAL(9,G319:G324)</f>
        <v>0</v>
      </c>
    </row>
    <row r="326" spans="1:7" ht="18.95" customHeight="1" x14ac:dyDescent="0.2">
      <c r="A326" s="156"/>
      <c r="B326" s="142"/>
      <c r="C326" s="157" t="s">
        <v>1047</v>
      </c>
      <c r="D326" s="150"/>
      <c r="E326" s="327"/>
      <c r="F326" s="327"/>
      <c r="G326" s="342"/>
    </row>
    <row r="327" spans="1:7" ht="18.95" customHeight="1" x14ac:dyDescent="0.2">
      <c r="A327" s="735" t="s">
        <v>582</v>
      </c>
      <c r="B327" s="736"/>
      <c r="C327" s="737" t="s">
        <v>0</v>
      </c>
      <c r="D327" s="737" t="s">
        <v>1655</v>
      </c>
      <c r="E327" s="737" t="s">
        <v>26</v>
      </c>
      <c r="F327" s="737" t="s">
        <v>27</v>
      </c>
      <c r="G327" s="733" t="s">
        <v>28</v>
      </c>
    </row>
    <row r="328" spans="1:7" ht="18.95" customHeight="1" x14ac:dyDescent="0.2">
      <c r="A328" s="154" t="s">
        <v>583</v>
      </c>
      <c r="B328" s="155" t="s">
        <v>584</v>
      </c>
      <c r="C328" s="738"/>
      <c r="D328" s="738"/>
      <c r="E328" s="738"/>
      <c r="F328" s="738"/>
      <c r="G328" s="734"/>
    </row>
    <row r="329" spans="1:7" ht="18.95" customHeight="1" x14ac:dyDescent="0.2">
      <c r="A329" s="348" t="str">
        <f t="shared" ref="A329:A340" si="94">IFERROR(VLOOKUP(C329,Tabla_Insumos,4,FALSE),"")</f>
        <v/>
      </c>
      <c r="B329" s="290" t="str">
        <f t="shared" ref="B329:B340" si="95">IFERROR(VLOOKUP(C329,Tabla_Insumos,5,FALSE),"")</f>
        <v/>
      </c>
      <c r="C329" s="290"/>
      <c r="D329" s="608">
        <f t="shared" ref="D329:D340" si="96">IFERROR(VLOOKUP(C329,Tabla_Insumos,2,FALSE),0)</f>
        <v>0</v>
      </c>
      <c r="E329" s="293"/>
      <c r="F329" s="346">
        <f t="shared" ref="F329:F340" si="97">IFERROR(VLOOKUP(C329,Tabla_Insumos,3,FALSE),0)</f>
        <v>0</v>
      </c>
      <c r="G329" s="347">
        <f t="shared" ref="G329:G340" si="98">ROUND(E329*F329,2)</f>
        <v>0</v>
      </c>
    </row>
    <row r="330" spans="1:7" ht="18.95" customHeight="1" x14ac:dyDescent="0.2">
      <c r="A330" s="348" t="str">
        <f t="shared" si="94"/>
        <v/>
      </c>
      <c r="B330" s="290" t="str">
        <f t="shared" si="95"/>
        <v/>
      </c>
      <c r="C330" s="126"/>
      <c r="D330" s="608">
        <f t="shared" si="96"/>
        <v>0</v>
      </c>
      <c r="E330" s="293"/>
      <c r="F330" s="346">
        <f t="shared" si="97"/>
        <v>0</v>
      </c>
      <c r="G330" s="347">
        <f t="shared" si="98"/>
        <v>0</v>
      </c>
    </row>
    <row r="331" spans="1:7" ht="18.95" customHeight="1" x14ac:dyDescent="0.2">
      <c r="A331" s="348" t="str">
        <f t="shared" si="94"/>
        <v/>
      </c>
      <c r="B331" s="290" t="str">
        <f t="shared" si="95"/>
        <v/>
      </c>
      <c r="C331" s="290"/>
      <c r="D331" s="608">
        <f t="shared" si="96"/>
        <v>0</v>
      </c>
      <c r="E331" s="293"/>
      <c r="F331" s="346">
        <f t="shared" si="97"/>
        <v>0</v>
      </c>
      <c r="G331" s="347">
        <f t="shared" si="98"/>
        <v>0</v>
      </c>
    </row>
    <row r="332" spans="1:7" ht="18.95" customHeight="1" x14ac:dyDescent="0.2">
      <c r="A332" s="348" t="str">
        <f t="shared" si="94"/>
        <v/>
      </c>
      <c r="B332" s="290" t="str">
        <f t="shared" si="95"/>
        <v/>
      </c>
      <c r="C332" s="290"/>
      <c r="D332" s="608">
        <f t="shared" si="96"/>
        <v>0</v>
      </c>
      <c r="E332" s="293"/>
      <c r="F332" s="346">
        <f t="shared" si="97"/>
        <v>0</v>
      </c>
      <c r="G332" s="347">
        <f t="shared" si="98"/>
        <v>0</v>
      </c>
    </row>
    <row r="333" spans="1:7" ht="18.95" customHeight="1" x14ac:dyDescent="0.2">
      <c r="A333" s="348" t="str">
        <f t="shared" si="94"/>
        <v/>
      </c>
      <c r="B333" s="290" t="str">
        <f t="shared" si="95"/>
        <v/>
      </c>
      <c r="C333" s="290"/>
      <c r="D333" s="608">
        <f t="shared" si="96"/>
        <v>0</v>
      </c>
      <c r="E333" s="293"/>
      <c r="F333" s="346">
        <f t="shared" si="97"/>
        <v>0</v>
      </c>
      <c r="G333" s="347">
        <f t="shared" si="98"/>
        <v>0</v>
      </c>
    </row>
    <row r="334" spans="1:7" ht="18.95" customHeight="1" x14ac:dyDescent="0.2">
      <c r="A334" s="348" t="str">
        <f t="shared" si="94"/>
        <v/>
      </c>
      <c r="B334" s="290" t="str">
        <f t="shared" si="95"/>
        <v/>
      </c>
      <c r="C334" s="290"/>
      <c r="D334" s="608">
        <f t="shared" si="96"/>
        <v>0</v>
      </c>
      <c r="E334" s="293"/>
      <c r="F334" s="346">
        <f t="shared" si="97"/>
        <v>0</v>
      </c>
      <c r="G334" s="347">
        <f t="shared" si="98"/>
        <v>0</v>
      </c>
    </row>
    <row r="335" spans="1:7" ht="18.95" customHeight="1" x14ac:dyDescent="0.2">
      <c r="A335" s="348" t="str">
        <f t="shared" si="94"/>
        <v/>
      </c>
      <c r="B335" s="290" t="str">
        <f t="shared" si="95"/>
        <v/>
      </c>
      <c r="C335" s="290"/>
      <c r="D335" s="608">
        <f t="shared" si="96"/>
        <v>0</v>
      </c>
      <c r="E335" s="293"/>
      <c r="F335" s="346">
        <f t="shared" si="97"/>
        <v>0</v>
      </c>
      <c r="G335" s="347">
        <f t="shared" si="98"/>
        <v>0</v>
      </c>
    </row>
    <row r="336" spans="1:7" s="295" customFormat="1" ht="18.95" customHeight="1" x14ac:dyDescent="0.2">
      <c r="A336" s="348" t="str">
        <f t="shared" si="94"/>
        <v/>
      </c>
      <c r="B336" s="290" t="str">
        <f t="shared" si="95"/>
        <v/>
      </c>
      <c r="C336" s="290"/>
      <c r="D336" s="608">
        <f t="shared" si="96"/>
        <v>0</v>
      </c>
      <c r="E336" s="323"/>
      <c r="F336" s="346">
        <f t="shared" si="97"/>
        <v>0</v>
      </c>
      <c r="G336" s="347">
        <f t="shared" si="98"/>
        <v>0</v>
      </c>
    </row>
    <row r="337" spans="1:8" ht="18.95" customHeight="1" x14ac:dyDescent="0.2">
      <c r="A337" s="348" t="str">
        <f t="shared" si="94"/>
        <v/>
      </c>
      <c r="B337" s="290" t="str">
        <f t="shared" si="95"/>
        <v/>
      </c>
      <c r="C337" s="290"/>
      <c r="D337" s="608">
        <f t="shared" si="96"/>
        <v>0</v>
      </c>
      <c r="E337" s="293"/>
      <c r="F337" s="346">
        <f t="shared" si="97"/>
        <v>0</v>
      </c>
      <c r="G337" s="347">
        <f t="shared" si="98"/>
        <v>0</v>
      </c>
    </row>
    <row r="338" spans="1:8" ht="18.95" customHeight="1" x14ac:dyDescent="0.2">
      <c r="A338" s="348" t="str">
        <f t="shared" si="94"/>
        <v/>
      </c>
      <c r="B338" s="290" t="str">
        <f t="shared" si="95"/>
        <v/>
      </c>
      <c r="C338" s="290"/>
      <c r="D338" s="608">
        <f t="shared" si="96"/>
        <v>0</v>
      </c>
      <c r="E338" s="293"/>
      <c r="F338" s="346">
        <f t="shared" si="97"/>
        <v>0</v>
      </c>
      <c r="G338" s="347">
        <f t="shared" si="98"/>
        <v>0</v>
      </c>
    </row>
    <row r="339" spans="1:8" ht="18.95" customHeight="1" x14ac:dyDescent="0.2">
      <c r="A339" s="348" t="str">
        <f t="shared" si="94"/>
        <v/>
      </c>
      <c r="B339" s="290" t="str">
        <f t="shared" si="95"/>
        <v/>
      </c>
      <c r="C339" s="290"/>
      <c r="D339" s="608">
        <f t="shared" si="96"/>
        <v>0</v>
      </c>
      <c r="E339" s="293"/>
      <c r="F339" s="346">
        <f t="shared" si="97"/>
        <v>0</v>
      </c>
      <c r="G339" s="347">
        <f t="shared" si="98"/>
        <v>0</v>
      </c>
    </row>
    <row r="340" spans="1:8" ht="18.95" customHeight="1" x14ac:dyDescent="0.2">
      <c r="A340" s="348" t="str">
        <f t="shared" si="94"/>
        <v/>
      </c>
      <c r="B340" s="290" t="str">
        <f t="shared" si="95"/>
        <v/>
      </c>
      <c r="C340" s="290"/>
      <c r="D340" s="608">
        <f t="shared" si="96"/>
        <v>0</v>
      </c>
      <c r="E340" s="293"/>
      <c r="F340" s="346">
        <f t="shared" si="97"/>
        <v>0</v>
      </c>
      <c r="G340" s="347">
        <f t="shared" si="98"/>
        <v>0</v>
      </c>
    </row>
    <row r="341" spans="1:8" ht="18.95" customHeight="1" x14ac:dyDescent="0.2">
      <c r="A341" s="156"/>
      <c r="B341" s="142"/>
      <c r="C341" s="142"/>
      <c r="D341" s="150"/>
      <c r="E341" s="143"/>
      <c r="F341" s="356" t="s">
        <v>31</v>
      </c>
      <c r="G341" s="355">
        <f>SUBTOTAL(9,G329:G340)</f>
        <v>0</v>
      </c>
    </row>
    <row r="342" spans="1:8" ht="18.95" customHeight="1" x14ac:dyDescent="0.2">
      <c r="A342" s="156"/>
      <c r="B342" s="142"/>
      <c r="C342" s="157" t="s">
        <v>1048</v>
      </c>
      <c r="D342" s="150"/>
      <c r="E342" s="327"/>
      <c r="F342" s="327"/>
      <c r="G342" s="342"/>
    </row>
    <row r="343" spans="1:8" ht="18.95" customHeight="1" x14ac:dyDescent="0.2">
      <c r="A343" s="735" t="s">
        <v>582</v>
      </c>
      <c r="B343" s="736"/>
      <c r="C343" s="737" t="s">
        <v>0</v>
      </c>
      <c r="D343" s="739" t="s">
        <v>1750</v>
      </c>
      <c r="E343" s="741" t="s">
        <v>26</v>
      </c>
      <c r="F343" s="741" t="s">
        <v>27</v>
      </c>
      <c r="G343" s="733" t="s">
        <v>28</v>
      </c>
    </row>
    <row r="344" spans="1:8" ht="18.95" customHeight="1" x14ac:dyDescent="0.2">
      <c r="A344" s="154" t="s">
        <v>583</v>
      </c>
      <c r="B344" s="155" t="s">
        <v>584</v>
      </c>
      <c r="C344" s="738"/>
      <c r="D344" s="740"/>
      <c r="E344" s="742"/>
      <c r="F344" s="742"/>
      <c r="G344" s="734"/>
    </row>
    <row r="345" spans="1:8" ht="18.95" customHeight="1" x14ac:dyDescent="0.2">
      <c r="A345" s="348" t="str">
        <f>IFERROR(VLOOKUP(C345,Tabla_Insumos,4,FALSE),"")</f>
        <v/>
      </c>
      <c r="B345" s="290" t="s">
        <v>4</v>
      </c>
      <c r="C345" s="290"/>
      <c r="D345" s="293"/>
      <c r="E345" s="322"/>
      <c r="F345" s="324"/>
      <c r="G345" s="347">
        <f t="shared" ref="G345" si="99">ROUND(E345*F345,2)</f>
        <v>0</v>
      </c>
    </row>
    <row r="346" spans="1:8" ht="18.95" customHeight="1" x14ac:dyDescent="0.2">
      <c r="A346" s="156"/>
      <c r="B346" s="142"/>
      <c r="C346" s="142"/>
      <c r="D346" s="150"/>
      <c r="E346" s="143"/>
      <c r="F346" s="356" t="s">
        <v>1049</v>
      </c>
      <c r="G346" s="355">
        <f>SUBTOTAL(9,G345:G345)</f>
        <v>0</v>
      </c>
    </row>
    <row r="347" spans="1:8" ht="18.95" customHeight="1" thickBot="1" x14ac:dyDescent="0.25">
      <c r="A347" s="158"/>
      <c r="B347" s="159"/>
      <c r="C347" s="160"/>
      <c r="D347" s="161"/>
      <c r="E347" s="357"/>
      <c r="F347" s="357"/>
      <c r="G347" s="358"/>
    </row>
    <row r="348" spans="1:8" ht="18.95" customHeight="1" x14ac:dyDescent="0.2">
      <c r="A348" s="359">
        <f>B287</f>
        <v>5</v>
      </c>
      <c r="B348" s="360" t="str">
        <f>C287</f>
        <v>CONSTRUCCIÓN DE SUB-BASE ESTABILIZADA GRANULAR</v>
      </c>
      <c r="C348" s="361"/>
      <c r="D348" s="361"/>
      <c r="E348" s="361" t="s">
        <v>1050</v>
      </c>
      <c r="F348" s="362" t="str">
        <f>CONCATENATE("$/",G287)</f>
        <v>$/m3</v>
      </c>
      <c r="G348" s="363">
        <f>SUBTOTAL(9,G307:G347)</f>
        <v>0</v>
      </c>
    </row>
    <row r="349" spans="1:8" ht="18.95" customHeight="1" thickBot="1" x14ac:dyDescent="0.25">
      <c r="A349" s="364"/>
      <c r="B349" s="365"/>
      <c r="C349" s="365"/>
      <c r="D349" s="365"/>
      <c r="E349" s="366" t="s">
        <v>1051</v>
      </c>
      <c r="F349" s="367" t="str">
        <f>CONCATENATE("$/",G287)</f>
        <v>$/m3</v>
      </c>
      <c r="G349" s="368" t="e">
        <f ca="1">PrecioUnitario(G348,GG_Porcentaje,Beneficio,Ingresos_Brutos,IVA)</f>
        <v>#NAME?</v>
      </c>
    </row>
    <row r="350" spans="1:8" ht="18.95" customHeight="1" thickTop="1" thickBot="1" x14ac:dyDescent="0.25">
      <c r="F350" s="294"/>
      <c r="G350" s="294"/>
    </row>
    <row r="351" spans="1:8" ht="18.95" customHeight="1" thickTop="1" x14ac:dyDescent="0.2">
      <c r="A351" s="194" t="s">
        <v>33</v>
      </c>
      <c r="B351" s="195"/>
      <c r="C351" s="195"/>
      <c r="D351" s="195"/>
      <c r="E351" s="195"/>
      <c r="F351" s="195"/>
      <c r="G351" s="196"/>
      <c r="H351" s="143">
        <f>COUNTIF($A$1:A357,"ANALISIS DE PRECIOS")</f>
        <v>6</v>
      </c>
    </row>
    <row r="352" spans="1:8" ht="18.95" customHeight="1" x14ac:dyDescent="0.2">
      <c r="A352" s="144" t="s">
        <v>720</v>
      </c>
      <c r="B352" s="145" t="str">
        <f>Comitente</f>
        <v>DIRECCIÓN PROVINCIAL DE VIALIDAD</v>
      </c>
      <c r="C352" s="139"/>
      <c r="D352" s="146"/>
      <c r="E352" s="325"/>
      <c r="F352" s="325"/>
      <c r="G352" s="326"/>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PAVIMENTACION Y ENSANCHE DE RUTA PROVINCIAL N°7 AV. JOAQUIN UÑAC</v>
      </c>
      <c r="C354" s="140"/>
      <c r="D354" s="140"/>
      <c r="E354" s="143"/>
      <c r="F354" s="145" t="s">
        <v>34</v>
      </c>
      <c r="G354" s="147">
        <f>Fecha_Base</f>
        <v>43444</v>
      </c>
      <c r="H354" s="143"/>
    </row>
    <row r="355" spans="1:8" ht="18.95" customHeight="1" x14ac:dyDescent="0.2">
      <c r="A355" s="148" t="s">
        <v>719</v>
      </c>
      <c r="B355" s="141" t="str">
        <f>Ubicación</f>
        <v>DEPARTAMENTO POCITO</v>
      </c>
      <c r="C355" s="141"/>
      <c r="D355" s="150"/>
      <c r="E355" s="143"/>
      <c r="F355" s="327"/>
      <c r="G355" s="328"/>
      <c r="H355" s="143"/>
    </row>
    <row r="356" spans="1:8" ht="18.95" customHeight="1" x14ac:dyDescent="0.2">
      <c r="A356" s="148" t="s">
        <v>35</v>
      </c>
      <c r="B356" s="151" t="str">
        <f>IFERROR(VALUE(LEFT(B357,FIND("-",B357)-1)),"")</f>
        <v/>
      </c>
      <c r="C356" s="142" t="str">
        <f>IFERROR(VLOOKUP(B356,Tabla_CyP,2,FALSE),"")</f>
        <v/>
      </c>
      <c r="D356" s="150"/>
      <c r="E356" s="143"/>
      <c r="F356" s="327"/>
      <c r="G356" s="328"/>
      <c r="H356" s="143"/>
    </row>
    <row r="357" spans="1:8" ht="18.95" customHeight="1" x14ac:dyDescent="0.2">
      <c r="A357" s="148" t="s">
        <v>24</v>
      </c>
      <c r="B357" s="152">
        <f>IFERROR(VLOOKUP(COUNTIF($A$1:A357,"ANALISIS DE PRECIOS"),Tabla_NumeroItem,4,FALSE),"")</f>
        <v>6</v>
      </c>
      <c r="C357" s="745" t="str">
        <f>IFERROR(VLOOKUP(B357,Tabla_CyP,2,FALSE),"")</f>
        <v>CONSTRUCCIÓN DE BASE ESTABILIZADA GRANULAR</v>
      </c>
      <c r="D357" s="745"/>
      <c r="E357" s="745"/>
      <c r="F357" s="141" t="s">
        <v>25</v>
      </c>
      <c r="G357" s="153" t="str">
        <f>IFERROR(VLOOKUP(B357,Tabla_CyP,4,FALSE),"")</f>
        <v>m3</v>
      </c>
      <c r="H357" s="143"/>
    </row>
    <row r="358" spans="1:8" ht="18.95" customHeight="1" x14ac:dyDescent="0.2">
      <c r="A358" s="148"/>
      <c r="B358" s="141"/>
      <c r="C358" s="142"/>
      <c r="D358" s="150"/>
      <c r="E358" s="142"/>
      <c r="F358" s="142"/>
      <c r="G358" s="329"/>
      <c r="H358" s="143"/>
    </row>
    <row r="359" spans="1:8" ht="18.95" customHeight="1" x14ac:dyDescent="0.2">
      <c r="A359" s="330"/>
      <c r="B359" s="331"/>
      <c r="C359" s="332" t="s">
        <v>1032</v>
      </c>
      <c r="D359" s="331"/>
      <c r="E359" s="331"/>
      <c r="F359" s="331"/>
      <c r="G359" s="333"/>
      <c r="H359" s="143"/>
    </row>
    <row r="360" spans="1:8" ht="18.95" customHeight="1" x14ac:dyDescent="0.2">
      <c r="A360" s="148"/>
      <c r="B360" s="334"/>
      <c r="C360" s="335" t="s">
        <v>1033</v>
      </c>
      <c r="D360" s="336" t="s">
        <v>26</v>
      </c>
      <c r="E360" s="336" t="s">
        <v>1034</v>
      </c>
      <c r="F360" s="336" t="s">
        <v>1035</v>
      </c>
      <c r="G360" s="337" t="s">
        <v>1036</v>
      </c>
      <c r="H360" s="143"/>
    </row>
    <row r="361" spans="1:8" ht="18.95" customHeight="1" x14ac:dyDescent="0.2">
      <c r="A361" s="343"/>
      <c r="B361" s="344"/>
      <c r="C361" s="290"/>
      <c r="D361" s="293"/>
      <c r="E361" s="345"/>
      <c r="F361" s="346"/>
      <c r="G361" s="347">
        <f t="shared" ref="G361:G370" si="100">ROUND(D361*F361,2)</f>
        <v>0</v>
      </c>
    </row>
    <row r="362" spans="1:8" ht="18.95" customHeight="1" x14ac:dyDescent="0.2">
      <c r="A362" s="343"/>
      <c r="B362" s="344"/>
      <c r="C362" s="290"/>
      <c r="D362" s="293"/>
      <c r="E362" s="345"/>
      <c r="F362" s="346"/>
      <c r="G362" s="347">
        <f t="shared" si="100"/>
        <v>0</v>
      </c>
    </row>
    <row r="363" spans="1:8" ht="18.95" customHeight="1" x14ac:dyDescent="0.2">
      <c r="A363" s="343"/>
      <c r="B363" s="344"/>
      <c r="C363" s="290"/>
      <c r="D363" s="293"/>
      <c r="E363" s="345">
        <f t="shared" ref="E363:E370" si="101">IFERROR(VLOOKUP(C363,T_Equipos,4,FALSE),0)</f>
        <v>0</v>
      </c>
      <c r="F363" s="346">
        <f t="shared" ref="F363:F370" si="102">IFERROR(VLOOKUP(C363,T_Equipos,11,FALSE),0)</f>
        <v>0</v>
      </c>
      <c r="G363" s="347">
        <f t="shared" si="100"/>
        <v>0</v>
      </c>
    </row>
    <row r="364" spans="1:8" ht="18.95" customHeight="1" x14ac:dyDescent="0.2">
      <c r="A364" s="343"/>
      <c r="B364" s="344"/>
      <c r="C364" s="290"/>
      <c r="D364" s="293"/>
      <c r="E364" s="345">
        <f t="shared" si="101"/>
        <v>0</v>
      </c>
      <c r="F364" s="346">
        <f t="shared" si="102"/>
        <v>0</v>
      </c>
      <c r="G364" s="347">
        <f t="shared" si="100"/>
        <v>0</v>
      </c>
    </row>
    <row r="365" spans="1:8" ht="18.95" customHeight="1" x14ac:dyDescent="0.2">
      <c r="A365" s="343"/>
      <c r="B365" s="344"/>
      <c r="C365" s="290"/>
      <c r="D365" s="293"/>
      <c r="E365" s="345">
        <f t="shared" si="101"/>
        <v>0</v>
      </c>
      <c r="F365" s="346">
        <f t="shared" si="102"/>
        <v>0</v>
      </c>
      <c r="G365" s="347">
        <f t="shared" si="100"/>
        <v>0</v>
      </c>
    </row>
    <row r="366" spans="1:8" ht="18.95" customHeight="1" x14ac:dyDescent="0.2">
      <c r="A366" s="343"/>
      <c r="B366" s="344"/>
      <c r="C366" s="290"/>
      <c r="D366" s="293"/>
      <c r="E366" s="345">
        <f t="shared" si="101"/>
        <v>0</v>
      </c>
      <c r="F366" s="346">
        <f t="shared" si="102"/>
        <v>0</v>
      </c>
      <c r="G366" s="347">
        <f t="shared" si="100"/>
        <v>0</v>
      </c>
    </row>
    <row r="367" spans="1:8" ht="18.95" customHeight="1" x14ac:dyDescent="0.2">
      <c r="A367" s="343"/>
      <c r="B367" s="344"/>
      <c r="C367" s="290"/>
      <c r="D367" s="293"/>
      <c r="E367" s="345">
        <f t="shared" si="101"/>
        <v>0</v>
      </c>
      <c r="F367" s="346">
        <f t="shared" si="102"/>
        <v>0</v>
      </c>
      <c r="G367" s="347">
        <f t="shared" si="100"/>
        <v>0</v>
      </c>
    </row>
    <row r="368" spans="1:8" ht="18.95" customHeight="1" x14ac:dyDescent="0.2">
      <c r="A368" s="343"/>
      <c r="B368" s="344"/>
      <c r="C368" s="290"/>
      <c r="D368" s="293"/>
      <c r="E368" s="345">
        <f t="shared" si="101"/>
        <v>0</v>
      </c>
      <c r="F368" s="346">
        <f t="shared" si="102"/>
        <v>0</v>
      </c>
      <c r="G368" s="347">
        <f t="shared" si="100"/>
        <v>0</v>
      </c>
    </row>
    <row r="369" spans="1:7" ht="18.95" customHeight="1" x14ac:dyDescent="0.2">
      <c r="A369" s="343"/>
      <c r="B369" s="344"/>
      <c r="C369" s="290"/>
      <c r="D369" s="293"/>
      <c r="E369" s="345">
        <f t="shared" si="101"/>
        <v>0</v>
      </c>
      <c r="F369" s="346">
        <f t="shared" si="102"/>
        <v>0</v>
      </c>
      <c r="G369" s="347">
        <f t="shared" si="100"/>
        <v>0</v>
      </c>
    </row>
    <row r="370" spans="1:7" ht="18.95" customHeight="1" thickBot="1" x14ac:dyDescent="0.25">
      <c r="A370" s="343"/>
      <c r="B370" s="344"/>
      <c r="C370" s="290"/>
      <c r="D370" s="293"/>
      <c r="E370" s="345">
        <f t="shared" si="101"/>
        <v>0</v>
      </c>
      <c r="F370" s="346">
        <f t="shared" si="102"/>
        <v>0</v>
      </c>
      <c r="G370" s="347">
        <f t="shared" si="100"/>
        <v>0</v>
      </c>
    </row>
    <row r="371" spans="1:7" ht="18.95" customHeight="1" thickBot="1" x14ac:dyDescent="0.25">
      <c r="A371" s="148"/>
      <c r="B371" s="334"/>
      <c r="C371" s="143"/>
      <c r="D371" s="146" t="s">
        <v>1037</v>
      </c>
      <c r="E371" s="338">
        <f>SUMPRODUCT(D361:D370,E361:E370)</f>
        <v>0</v>
      </c>
      <c r="F371" s="141" t="s">
        <v>1038</v>
      </c>
      <c r="G371" s="339">
        <f>SUM(G361:G370)</f>
        <v>0</v>
      </c>
    </row>
    <row r="372" spans="1:7" ht="18.95" customHeight="1" x14ac:dyDescent="0.2">
      <c r="A372" s="148"/>
      <c r="B372" s="334"/>
      <c r="C372" s="141" t="s">
        <v>1039</v>
      </c>
      <c r="D372" s="320"/>
      <c r="E372" s="340" t="str">
        <f>CONCATENATE(G357,"/día")</f>
        <v>m3/día</v>
      </c>
      <c r="F372" s="141"/>
      <c r="G372" s="341"/>
    </row>
    <row r="373" spans="1:7" ht="18.95" customHeight="1" x14ac:dyDescent="0.2">
      <c r="A373" s="148"/>
      <c r="B373" s="334"/>
      <c r="C373" s="142"/>
      <c r="D373" s="150"/>
      <c r="E373" s="141"/>
      <c r="F373" s="141"/>
      <c r="G373" s="341"/>
    </row>
    <row r="374" spans="1:7" ht="18.95" customHeight="1" x14ac:dyDescent="0.2">
      <c r="A374" s="735" t="s">
        <v>582</v>
      </c>
      <c r="B374" s="736"/>
      <c r="C374" s="737" t="s">
        <v>0</v>
      </c>
      <c r="D374" s="743" t="s">
        <v>1053</v>
      </c>
      <c r="E374" s="743" t="s">
        <v>1706</v>
      </c>
      <c r="F374" s="743" t="s">
        <v>1054</v>
      </c>
      <c r="G374" s="743" t="s">
        <v>1055</v>
      </c>
    </row>
    <row r="375" spans="1:7" ht="18.95" customHeight="1" x14ac:dyDescent="0.2">
      <c r="A375" s="154" t="s">
        <v>583</v>
      </c>
      <c r="B375" s="155" t="s">
        <v>584</v>
      </c>
      <c r="C375" s="738"/>
      <c r="D375" s="742"/>
      <c r="E375" s="742"/>
      <c r="F375" s="744"/>
      <c r="G375" s="742"/>
    </row>
    <row r="376" spans="1:7" ht="18.95" customHeight="1" x14ac:dyDescent="0.2">
      <c r="A376" s="156"/>
      <c r="B376" s="142"/>
      <c r="C376" s="157" t="s">
        <v>1041</v>
      </c>
      <c r="D376" s="150"/>
      <c r="E376" s="142"/>
      <c r="F376" s="142"/>
      <c r="G376" s="342"/>
    </row>
    <row r="377" spans="1:7" ht="18.95" customHeight="1" x14ac:dyDescent="0.2">
      <c r="A377" s="348" t="str">
        <f t="shared" ref="A377:A384" si="103">IFERROR(VLOOKUP(C377,Tabla_Insumos,4,FALSE),"")</f>
        <v/>
      </c>
      <c r="B377" s="290" t="str">
        <f t="shared" ref="B377:B384" si="104">IFERROR(VLOOKUP(C377,Tabla_Insumos,5,FALSE),"")</f>
        <v/>
      </c>
      <c r="C377" s="290"/>
      <c r="D377" s="607">
        <f t="shared" ref="D377:D384" si="105">IFERROR(VLOOKUP(C377,Tabla_Insumos,3,FALSE),0)</f>
        <v>0</v>
      </c>
      <c r="E377" s="349">
        <f>D377*$G$21</f>
        <v>0</v>
      </c>
      <c r="F377" s="350">
        <f>IF(C377="",0,D372)</f>
        <v>0</v>
      </c>
      <c r="G377" s="347">
        <f>IFERROR(ROUND(E377/F377,2),0)</f>
        <v>0</v>
      </c>
    </row>
    <row r="378" spans="1:7" ht="18.95" customHeight="1" x14ac:dyDescent="0.2">
      <c r="A378" s="348" t="str">
        <f t="shared" si="103"/>
        <v/>
      </c>
      <c r="B378" s="290" t="str">
        <f t="shared" si="104"/>
        <v/>
      </c>
      <c r="C378" s="321"/>
      <c r="D378" s="607">
        <f t="shared" si="105"/>
        <v>0</v>
      </c>
      <c r="E378" s="349">
        <f t="shared" ref="E378:E379" si="106">D378*$G$21</f>
        <v>0</v>
      </c>
      <c r="F378" s="350">
        <f t="shared" ref="F378:F381" si="107">IF(C378="",0,F377)</f>
        <v>0</v>
      </c>
      <c r="G378" s="347">
        <f t="shared" ref="G378:G384" si="108">IFERROR(ROUND(E378/F378,2),0)</f>
        <v>0</v>
      </c>
    </row>
    <row r="379" spans="1:7" ht="18.95" customHeight="1" x14ac:dyDescent="0.2">
      <c r="A379" s="348" t="str">
        <f t="shared" si="103"/>
        <v/>
      </c>
      <c r="B379" s="290" t="str">
        <f t="shared" si="104"/>
        <v/>
      </c>
      <c r="C379" s="321"/>
      <c r="D379" s="607">
        <f t="shared" si="105"/>
        <v>0</v>
      </c>
      <c r="E379" s="349">
        <f t="shared" si="106"/>
        <v>0</v>
      </c>
      <c r="F379" s="350">
        <f t="shared" si="107"/>
        <v>0</v>
      </c>
      <c r="G379" s="347">
        <f t="shared" si="108"/>
        <v>0</v>
      </c>
    </row>
    <row r="380" spans="1:7" ht="18.95" customHeight="1" x14ac:dyDescent="0.2">
      <c r="A380" s="348" t="str">
        <f t="shared" si="103"/>
        <v/>
      </c>
      <c r="B380" s="290" t="str">
        <f t="shared" si="104"/>
        <v/>
      </c>
      <c r="C380" s="321"/>
      <c r="D380" s="607">
        <f t="shared" si="105"/>
        <v>0</v>
      </c>
      <c r="E380" s="349">
        <f>D380*$E$21</f>
        <v>0</v>
      </c>
      <c r="F380" s="350">
        <f t="shared" si="107"/>
        <v>0</v>
      </c>
      <c r="G380" s="347">
        <f t="shared" si="108"/>
        <v>0</v>
      </c>
    </row>
    <row r="381" spans="1:7" ht="18.95" customHeight="1" x14ac:dyDescent="0.2">
      <c r="A381" s="348" t="str">
        <f t="shared" si="103"/>
        <v/>
      </c>
      <c r="B381" s="290" t="str">
        <f t="shared" si="104"/>
        <v/>
      </c>
      <c r="C381" s="321"/>
      <c r="D381" s="607">
        <f t="shared" si="105"/>
        <v>0</v>
      </c>
      <c r="E381" s="349">
        <f>D381*$E$21</f>
        <v>0</v>
      </c>
      <c r="F381" s="350">
        <f t="shared" si="107"/>
        <v>0</v>
      </c>
      <c r="G381" s="347">
        <f t="shared" si="108"/>
        <v>0</v>
      </c>
    </row>
    <row r="382" spans="1:7" ht="18.95" customHeight="1" x14ac:dyDescent="0.2">
      <c r="A382" s="348" t="str">
        <f t="shared" si="103"/>
        <v/>
      </c>
      <c r="B382" s="290" t="str">
        <f t="shared" si="104"/>
        <v/>
      </c>
      <c r="C382" s="321"/>
      <c r="D382" s="607">
        <f t="shared" si="105"/>
        <v>0</v>
      </c>
      <c r="E382" s="349"/>
      <c r="F382" s="350">
        <f>IF(C382="",0,F381)</f>
        <v>0</v>
      </c>
      <c r="G382" s="347">
        <f t="shared" si="108"/>
        <v>0</v>
      </c>
    </row>
    <row r="383" spans="1:7" ht="18.95" customHeight="1" x14ac:dyDescent="0.2">
      <c r="A383" s="348" t="str">
        <f t="shared" si="103"/>
        <v/>
      </c>
      <c r="B383" s="290" t="str">
        <f t="shared" si="104"/>
        <v/>
      </c>
      <c r="C383" s="321"/>
      <c r="D383" s="607">
        <f t="shared" si="105"/>
        <v>0</v>
      </c>
      <c r="E383" s="349"/>
      <c r="F383" s="350">
        <f t="shared" ref="F383:F384" si="109">IF(C383="",0,F382)</f>
        <v>0</v>
      </c>
      <c r="G383" s="347">
        <f t="shared" si="108"/>
        <v>0</v>
      </c>
    </row>
    <row r="384" spans="1:7" ht="18.95" customHeight="1" x14ac:dyDescent="0.2">
      <c r="A384" s="348" t="str">
        <f t="shared" si="103"/>
        <v/>
      </c>
      <c r="B384" s="290" t="str">
        <f t="shared" si="104"/>
        <v/>
      </c>
      <c r="C384" s="321"/>
      <c r="D384" s="607">
        <f t="shared" si="105"/>
        <v>0</v>
      </c>
      <c r="E384" s="349"/>
      <c r="F384" s="350">
        <f t="shared" si="109"/>
        <v>0</v>
      </c>
      <c r="G384" s="347">
        <f t="shared" si="108"/>
        <v>0</v>
      </c>
    </row>
    <row r="385" spans="1:7" ht="18.95" customHeight="1" x14ac:dyDescent="0.2">
      <c r="A385" s="353"/>
      <c r="B385" s="149"/>
      <c r="C385" s="142"/>
      <c r="D385" s="150"/>
      <c r="E385" s="143"/>
      <c r="F385" s="354" t="s">
        <v>29</v>
      </c>
      <c r="G385" s="355">
        <f>SUBTOTAL(9,G377:G384)</f>
        <v>0</v>
      </c>
    </row>
    <row r="386" spans="1:7" ht="18.95" customHeight="1" x14ac:dyDescent="0.2">
      <c r="A386" s="156"/>
      <c r="B386" s="142"/>
      <c r="C386" s="157" t="s">
        <v>722</v>
      </c>
      <c r="D386" s="150"/>
      <c r="E386" s="327"/>
      <c r="F386" s="327"/>
      <c r="G386" s="342"/>
    </row>
    <row r="387" spans="1:7" ht="18.95" customHeight="1" x14ac:dyDescent="0.2">
      <c r="A387" s="735" t="s">
        <v>582</v>
      </c>
      <c r="B387" s="736"/>
      <c r="C387" s="737" t="s">
        <v>0</v>
      </c>
      <c r="D387" s="739" t="s">
        <v>26</v>
      </c>
      <c r="E387" s="743" t="s">
        <v>1707</v>
      </c>
      <c r="F387" s="741" t="s">
        <v>1040</v>
      </c>
      <c r="G387" s="733" t="s">
        <v>28</v>
      </c>
    </row>
    <row r="388" spans="1:7" ht="18.95" customHeight="1" x14ac:dyDescent="0.2">
      <c r="A388" s="154" t="s">
        <v>583</v>
      </c>
      <c r="B388" s="155" t="s">
        <v>584</v>
      </c>
      <c r="C388" s="738"/>
      <c r="D388" s="740"/>
      <c r="E388" s="742"/>
      <c r="F388" s="742"/>
      <c r="G388" s="734"/>
    </row>
    <row r="389" spans="1:7" ht="18.95" customHeight="1" x14ac:dyDescent="0.2">
      <c r="A389" s="348" t="str">
        <f t="shared" ref="A389:A394" si="110">IFERROR(VLOOKUP(C389,Tabla_Insumos,4,FALSE),"")</f>
        <v/>
      </c>
      <c r="B389" s="290" t="str">
        <f t="shared" ref="B389:B394" si="111">IFERROR(VLOOKUP(C389,Tabla_Insumos,5,FALSE),"")</f>
        <v/>
      </c>
      <c r="C389" s="291"/>
      <c r="D389" s="293"/>
      <c r="E389" s="346">
        <f t="shared" ref="E389:E394" si="112">IFERROR(VLOOKUP(C389,Tabla_Insumos,3,FALSE),0)</f>
        <v>0</v>
      </c>
      <c r="F389" s="349">
        <f>IF(C389="",0,D372)</f>
        <v>0</v>
      </c>
      <c r="G389" s="347">
        <f t="shared" ref="G389:G394" si="113">IFERROR(ROUND(D389*E389/F389,2),0)</f>
        <v>0</v>
      </c>
    </row>
    <row r="390" spans="1:7" ht="18.95" customHeight="1" x14ac:dyDescent="0.2">
      <c r="A390" s="348" t="str">
        <f t="shared" si="110"/>
        <v/>
      </c>
      <c r="B390" s="290" t="str">
        <f t="shared" si="111"/>
        <v/>
      </c>
      <c r="C390" s="290"/>
      <c r="D390" s="293"/>
      <c r="E390" s="346">
        <f t="shared" si="112"/>
        <v>0</v>
      </c>
      <c r="F390" s="349">
        <f>IF(C390="",0,F389)</f>
        <v>0</v>
      </c>
      <c r="G390" s="347">
        <f t="shared" si="113"/>
        <v>0</v>
      </c>
    </row>
    <row r="391" spans="1:7" ht="18.95" customHeight="1" x14ac:dyDescent="0.2">
      <c r="A391" s="348" t="str">
        <f t="shared" si="110"/>
        <v/>
      </c>
      <c r="B391" s="290" t="str">
        <f t="shared" si="111"/>
        <v/>
      </c>
      <c r="C391" s="290"/>
      <c r="D391" s="293"/>
      <c r="E391" s="346">
        <f t="shared" si="112"/>
        <v>0</v>
      </c>
      <c r="F391" s="349">
        <f>IF(C391="",0,F390)</f>
        <v>0</v>
      </c>
      <c r="G391" s="347">
        <f t="shared" si="113"/>
        <v>0</v>
      </c>
    </row>
    <row r="392" spans="1:7" ht="18.95" customHeight="1" x14ac:dyDescent="0.2">
      <c r="A392" s="348" t="str">
        <f t="shared" si="110"/>
        <v/>
      </c>
      <c r="B392" s="290" t="str">
        <f t="shared" si="111"/>
        <v/>
      </c>
      <c r="C392" s="290"/>
      <c r="D392" s="293"/>
      <c r="E392" s="346">
        <f t="shared" si="112"/>
        <v>0</v>
      </c>
      <c r="F392" s="349">
        <f>IF(C392="",0,F391)</f>
        <v>0</v>
      </c>
      <c r="G392" s="347">
        <f t="shared" si="113"/>
        <v>0</v>
      </c>
    </row>
    <row r="393" spans="1:7" ht="18.95" customHeight="1" x14ac:dyDescent="0.2">
      <c r="A393" s="348" t="str">
        <f t="shared" si="110"/>
        <v/>
      </c>
      <c r="B393" s="290" t="str">
        <f t="shared" si="111"/>
        <v/>
      </c>
      <c r="C393" s="290"/>
      <c r="D393" s="351"/>
      <c r="E393" s="346">
        <f t="shared" si="112"/>
        <v>0</v>
      </c>
      <c r="F393" s="349">
        <f>IF(C393="",0,F392)</f>
        <v>0</v>
      </c>
      <c r="G393" s="347">
        <f t="shared" si="113"/>
        <v>0</v>
      </c>
    </row>
    <row r="394" spans="1:7" ht="18.95" customHeight="1" x14ac:dyDescent="0.2">
      <c r="A394" s="348" t="str">
        <f t="shared" si="110"/>
        <v/>
      </c>
      <c r="B394" s="290" t="str">
        <f t="shared" si="111"/>
        <v/>
      </c>
      <c r="C394" s="290"/>
      <c r="D394" s="293"/>
      <c r="E394" s="346">
        <f t="shared" si="112"/>
        <v>0</v>
      </c>
      <c r="F394" s="349">
        <f>IF(C394="",0,F393)</f>
        <v>0</v>
      </c>
      <c r="G394" s="347">
        <f t="shared" si="113"/>
        <v>0</v>
      </c>
    </row>
    <row r="395" spans="1:7" ht="18.95" customHeight="1" x14ac:dyDescent="0.2">
      <c r="A395" s="353"/>
      <c r="B395" s="149"/>
      <c r="C395" s="142"/>
      <c r="D395" s="150"/>
      <c r="E395" s="143"/>
      <c r="F395" s="356" t="s">
        <v>30</v>
      </c>
      <c r="G395" s="355">
        <f>SUBTOTAL(9,G389:G394)</f>
        <v>0</v>
      </c>
    </row>
    <row r="396" spans="1:7" ht="18.95" customHeight="1" x14ac:dyDescent="0.2">
      <c r="A396" s="156"/>
      <c r="B396" s="142"/>
      <c r="C396" s="157" t="s">
        <v>1047</v>
      </c>
      <c r="D396" s="150"/>
      <c r="E396" s="327"/>
      <c r="F396" s="327"/>
      <c r="G396" s="342"/>
    </row>
    <row r="397" spans="1:7" ht="18.95" customHeight="1" x14ac:dyDescent="0.2">
      <c r="A397" s="735" t="s">
        <v>582</v>
      </c>
      <c r="B397" s="736"/>
      <c r="C397" s="737" t="s">
        <v>0</v>
      </c>
      <c r="D397" s="737" t="s">
        <v>1655</v>
      </c>
      <c r="E397" s="737" t="s">
        <v>26</v>
      </c>
      <c r="F397" s="737" t="s">
        <v>27</v>
      </c>
      <c r="G397" s="733" t="s">
        <v>28</v>
      </c>
    </row>
    <row r="398" spans="1:7" ht="18.95" customHeight="1" x14ac:dyDescent="0.2">
      <c r="A398" s="154" t="s">
        <v>583</v>
      </c>
      <c r="B398" s="155" t="s">
        <v>584</v>
      </c>
      <c r="C398" s="738"/>
      <c r="D398" s="738"/>
      <c r="E398" s="738"/>
      <c r="F398" s="738"/>
      <c r="G398" s="734"/>
    </row>
    <row r="399" spans="1:7" ht="18.95" customHeight="1" x14ac:dyDescent="0.2">
      <c r="A399" s="348" t="str">
        <f t="shared" ref="A399:A410" si="114">IFERROR(VLOOKUP(C399,Tabla_Insumos,4,FALSE),"")</f>
        <v/>
      </c>
      <c r="B399" s="290" t="str">
        <f t="shared" ref="B399:B410" si="115">IFERROR(VLOOKUP(C399,Tabla_Insumos,5,FALSE),"")</f>
        <v/>
      </c>
      <c r="C399" s="290"/>
      <c r="D399" s="608">
        <f t="shared" ref="D399:D410" si="116">IFERROR(VLOOKUP(C399,Tabla_Insumos,2,FALSE),0)</f>
        <v>0</v>
      </c>
      <c r="E399" s="293"/>
      <c r="F399" s="346">
        <f t="shared" ref="F399:F410" si="117">IFERROR(VLOOKUP(C399,Tabla_Insumos,3,FALSE),0)</f>
        <v>0</v>
      </c>
      <c r="G399" s="347">
        <f t="shared" ref="G399:G410" si="118">ROUND(E399*F399,2)</f>
        <v>0</v>
      </c>
    </row>
    <row r="400" spans="1:7" ht="18.95" customHeight="1" x14ac:dyDescent="0.2">
      <c r="A400" s="348" t="str">
        <f t="shared" si="114"/>
        <v/>
      </c>
      <c r="B400" s="290" t="str">
        <f t="shared" si="115"/>
        <v/>
      </c>
      <c r="C400" s="126"/>
      <c r="D400" s="608">
        <f t="shared" si="116"/>
        <v>0</v>
      </c>
      <c r="E400" s="293"/>
      <c r="F400" s="346">
        <f t="shared" si="117"/>
        <v>0</v>
      </c>
      <c r="G400" s="347">
        <f t="shared" si="118"/>
        <v>0</v>
      </c>
    </row>
    <row r="401" spans="1:7" ht="18.95" customHeight="1" x14ac:dyDescent="0.2">
      <c r="A401" s="348" t="str">
        <f t="shared" si="114"/>
        <v/>
      </c>
      <c r="B401" s="290" t="str">
        <f t="shared" si="115"/>
        <v/>
      </c>
      <c r="C401" s="290"/>
      <c r="D401" s="608">
        <f t="shared" si="116"/>
        <v>0</v>
      </c>
      <c r="E401" s="293"/>
      <c r="F401" s="346">
        <f t="shared" si="117"/>
        <v>0</v>
      </c>
      <c r="G401" s="347">
        <f t="shared" si="118"/>
        <v>0</v>
      </c>
    </row>
    <row r="402" spans="1:7" ht="18.95" customHeight="1" x14ac:dyDescent="0.2">
      <c r="A402" s="348" t="str">
        <f t="shared" si="114"/>
        <v/>
      </c>
      <c r="B402" s="290" t="str">
        <f t="shared" si="115"/>
        <v/>
      </c>
      <c r="C402" s="290"/>
      <c r="D402" s="608">
        <f t="shared" si="116"/>
        <v>0</v>
      </c>
      <c r="E402" s="293"/>
      <c r="F402" s="346">
        <f t="shared" si="117"/>
        <v>0</v>
      </c>
      <c r="G402" s="347">
        <f t="shared" si="118"/>
        <v>0</v>
      </c>
    </row>
    <row r="403" spans="1:7" ht="18.95" customHeight="1" x14ac:dyDescent="0.2">
      <c r="A403" s="348" t="str">
        <f t="shared" si="114"/>
        <v/>
      </c>
      <c r="B403" s="290" t="str">
        <f t="shared" si="115"/>
        <v/>
      </c>
      <c r="C403" s="290"/>
      <c r="D403" s="608">
        <f t="shared" si="116"/>
        <v>0</v>
      </c>
      <c r="E403" s="293"/>
      <c r="F403" s="346">
        <f t="shared" si="117"/>
        <v>0</v>
      </c>
      <c r="G403" s="347">
        <f t="shared" si="118"/>
        <v>0</v>
      </c>
    </row>
    <row r="404" spans="1:7" ht="18.95" customHeight="1" x14ac:dyDescent="0.2">
      <c r="A404" s="348" t="str">
        <f t="shared" si="114"/>
        <v/>
      </c>
      <c r="B404" s="290" t="str">
        <f t="shared" si="115"/>
        <v/>
      </c>
      <c r="C404" s="290"/>
      <c r="D404" s="608">
        <f t="shared" si="116"/>
        <v>0</v>
      </c>
      <c r="E404" s="293"/>
      <c r="F404" s="346">
        <f t="shared" si="117"/>
        <v>0</v>
      </c>
      <c r="G404" s="347">
        <f t="shared" si="118"/>
        <v>0</v>
      </c>
    </row>
    <row r="405" spans="1:7" ht="18.95" customHeight="1" x14ac:dyDescent="0.2">
      <c r="A405" s="348" t="str">
        <f t="shared" si="114"/>
        <v/>
      </c>
      <c r="B405" s="290" t="str">
        <f t="shared" si="115"/>
        <v/>
      </c>
      <c r="C405" s="290"/>
      <c r="D405" s="608">
        <f t="shared" si="116"/>
        <v>0</v>
      </c>
      <c r="E405" s="293"/>
      <c r="F405" s="346">
        <f t="shared" si="117"/>
        <v>0</v>
      </c>
      <c r="G405" s="347">
        <f t="shared" si="118"/>
        <v>0</v>
      </c>
    </row>
    <row r="406" spans="1:7" s="295" customFormat="1" ht="18.95" customHeight="1" x14ac:dyDescent="0.2">
      <c r="A406" s="348" t="str">
        <f t="shared" si="114"/>
        <v/>
      </c>
      <c r="B406" s="290" t="str">
        <f t="shared" si="115"/>
        <v/>
      </c>
      <c r="C406" s="290"/>
      <c r="D406" s="608">
        <f t="shared" si="116"/>
        <v>0</v>
      </c>
      <c r="E406" s="323"/>
      <c r="F406" s="346">
        <f t="shared" si="117"/>
        <v>0</v>
      </c>
      <c r="G406" s="347">
        <f t="shared" si="118"/>
        <v>0</v>
      </c>
    </row>
    <row r="407" spans="1:7" ht="18.95" customHeight="1" x14ac:dyDescent="0.2">
      <c r="A407" s="348" t="str">
        <f t="shared" si="114"/>
        <v/>
      </c>
      <c r="B407" s="290" t="str">
        <f t="shared" si="115"/>
        <v/>
      </c>
      <c r="C407" s="290"/>
      <c r="D407" s="608">
        <f t="shared" si="116"/>
        <v>0</v>
      </c>
      <c r="E407" s="293"/>
      <c r="F407" s="346">
        <f t="shared" si="117"/>
        <v>0</v>
      </c>
      <c r="G407" s="347">
        <f t="shared" si="118"/>
        <v>0</v>
      </c>
    </row>
    <row r="408" spans="1:7" ht="18.95" customHeight="1" x14ac:dyDescent="0.2">
      <c r="A408" s="348" t="str">
        <f t="shared" si="114"/>
        <v/>
      </c>
      <c r="B408" s="290" t="str">
        <f t="shared" si="115"/>
        <v/>
      </c>
      <c r="C408" s="290"/>
      <c r="D408" s="608">
        <f t="shared" si="116"/>
        <v>0</v>
      </c>
      <c r="E408" s="293"/>
      <c r="F408" s="346">
        <f t="shared" si="117"/>
        <v>0</v>
      </c>
      <c r="G408" s="347">
        <f t="shared" si="118"/>
        <v>0</v>
      </c>
    </row>
    <row r="409" spans="1:7" ht="18.95" customHeight="1" x14ac:dyDescent="0.2">
      <c r="A409" s="348" t="str">
        <f t="shared" si="114"/>
        <v/>
      </c>
      <c r="B409" s="290" t="str">
        <f t="shared" si="115"/>
        <v/>
      </c>
      <c r="C409" s="290"/>
      <c r="D409" s="608">
        <f t="shared" si="116"/>
        <v>0</v>
      </c>
      <c r="E409" s="293"/>
      <c r="F409" s="346">
        <f t="shared" si="117"/>
        <v>0</v>
      </c>
      <c r="G409" s="347">
        <f t="shared" si="118"/>
        <v>0</v>
      </c>
    </row>
    <row r="410" spans="1:7" ht="18.95" customHeight="1" x14ac:dyDescent="0.2">
      <c r="A410" s="348" t="str">
        <f t="shared" si="114"/>
        <v/>
      </c>
      <c r="B410" s="290" t="str">
        <f t="shared" si="115"/>
        <v/>
      </c>
      <c r="C410" s="290"/>
      <c r="D410" s="608">
        <f t="shared" si="116"/>
        <v>0</v>
      </c>
      <c r="E410" s="293"/>
      <c r="F410" s="346">
        <f t="shared" si="117"/>
        <v>0</v>
      </c>
      <c r="G410" s="347">
        <f t="shared" si="118"/>
        <v>0</v>
      </c>
    </row>
    <row r="411" spans="1:7" ht="18.95" customHeight="1" x14ac:dyDescent="0.2">
      <c r="A411" s="156"/>
      <c r="B411" s="142"/>
      <c r="C411" s="142"/>
      <c r="D411" s="150"/>
      <c r="E411" s="143"/>
      <c r="F411" s="356" t="s">
        <v>31</v>
      </c>
      <c r="G411" s="355">
        <f>SUBTOTAL(9,G399:G410)</f>
        <v>0</v>
      </c>
    </row>
    <row r="412" spans="1:7" ht="18.95" customHeight="1" x14ac:dyDescent="0.2">
      <c r="A412" s="156"/>
      <c r="B412" s="142"/>
      <c r="C412" s="157" t="s">
        <v>1048</v>
      </c>
      <c r="D412" s="150"/>
      <c r="E412" s="327"/>
      <c r="F412" s="327"/>
      <c r="G412" s="342"/>
    </row>
    <row r="413" spans="1:7" ht="18.95" customHeight="1" x14ac:dyDescent="0.2">
      <c r="A413" s="735" t="s">
        <v>582</v>
      </c>
      <c r="B413" s="736"/>
      <c r="C413" s="737" t="s">
        <v>0</v>
      </c>
      <c r="D413" s="739" t="s">
        <v>1750</v>
      </c>
      <c r="E413" s="741" t="s">
        <v>26</v>
      </c>
      <c r="F413" s="741" t="s">
        <v>27</v>
      </c>
      <c r="G413" s="733" t="s">
        <v>28</v>
      </c>
    </row>
    <row r="414" spans="1:7" ht="18.95" customHeight="1" x14ac:dyDescent="0.2">
      <c r="A414" s="154" t="s">
        <v>583</v>
      </c>
      <c r="B414" s="155" t="s">
        <v>584</v>
      </c>
      <c r="C414" s="738"/>
      <c r="D414" s="740"/>
      <c r="E414" s="742"/>
      <c r="F414" s="742"/>
      <c r="G414" s="734"/>
    </row>
    <row r="415" spans="1:7" ht="18.95" customHeight="1" x14ac:dyDescent="0.2">
      <c r="A415" s="348" t="str">
        <f>IFERROR(VLOOKUP(C415,Tabla_Insumos,4,FALSE),"")</f>
        <v/>
      </c>
      <c r="B415" s="290" t="s">
        <v>4</v>
      </c>
      <c r="C415" s="290"/>
      <c r="D415" s="293"/>
      <c r="E415" s="322"/>
      <c r="F415" s="324"/>
      <c r="G415" s="347">
        <f t="shared" ref="G415" si="119">ROUND(E415*F415,2)</f>
        <v>0</v>
      </c>
    </row>
    <row r="416" spans="1:7" ht="18.95" customHeight="1" x14ac:dyDescent="0.2">
      <c r="A416" s="156"/>
      <c r="B416" s="142"/>
      <c r="C416" s="142"/>
      <c r="D416" s="150"/>
      <c r="E416" s="143"/>
      <c r="F416" s="356" t="s">
        <v>1049</v>
      </c>
      <c r="G416" s="355">
        <f>SUBTOTAL(9,G415:G415)</f>
        <v>0</v>
      </c>
    </row>
    <row r="417" spans="1:8" ht="18.95" customHeight="1" thickBot="1" x14ac:dyDescent="0.25">
      <c r="A417" s="158"/>
      <c r="B417" s="159"/>
      <c r="C417" s="160"/>
      <c r="D417" s="161"/>
      <c r="E417" s="357"/>
      <c r="F417" s="357"/>
      <c r="G417" s="358"/>
    </row>
    <row r="418" spans="1:8" ht="18.95" customHeight="1" x14ac:dyDescent="0.2">
      <c r="A418" s="359">
        <f>B357</f>
        <v>6</v>
      </c>
      <c r="B418" s="360" t="str">
        <f>C357</f>
        <v>CONSTRUCCIÓN DE BASE ESTABILIZADA GRANULAR</v>
      </c>
      <c r="C418" s="361"/>
      <c r="D418" s="361"/>
      <c r="E418" s="361" t="s">
        <v>1050</v>
      </c>
      <c r="F418" s="362" t="str">
        <f>CONCATENATE("$/",G357)</f>
        <v>$/m3</v>
      </c>
      <c r="G418" s="363">
        <f>SUBTOTAL(9,G377:G417)</f>
        <v>0</v>
      </c>
    </row>
    <row r="419" spans="1:8" ht="18.95" customHeight="1" thickBot="1" x14ac:dyDescent="0.25">
      <c r="A419" s="364"/>
      <c r="B419" s="365"/>
      <c r="C419" s="365"/>
      <c r="D419" s="365"/>
      <c r="E419" s="366" t="s">
        <v>1051</v>
      </c>
      <c r="F419" s="367" t="str">
        <f>CONCATENATE("$/",G357)</f>
        <v>$/m3</v>
      </c>
      <c r="G419" s="368" t="e">
        <f ca="1">PrecioUnitario(G418,GG_Porcentaje,Beneficio,Ingresos_Brutos,IVA)</f>
        <v>#NAME?</v>
      </c>
    </row>
    <row r="420" spans="1:8" ht="18.95" customHeight="1" thickTop="1" thickBot="1" x14ac:dyDescent="0.25">
      <c r="F420" s="294"/>
      <c r="G420" s="294"/>
    </row>
    <row r="421" spans="1:8" ht="18.95" customHeight="1" thickTop="1" x14ac:dyDescent="0.2">
      <c r="A421" s="194" t="s">
        <v>33</v>
      </c>
      <c r="B421" s="195"/>
      <c r="C421" s="195"/>
      <c r="D421" s="195"/>
      <c r="E421" s="195"/>
      <c r="F421" s="195"/>
      <c r="G421" s="196"/>
      <c r="H421" s="143">
        <f>COUNTIF($A$1:A427,"ANALISIS DE PRECIOS")</f>
        <v>7</v>
      </c>
    </row>
    <row r="422" spans="1:8" ht="18.95" customHeight="1" x14ac:dyDescent="0.2">
      <c r="A422" s="144" t="s">
        <v>720</v>
      </c>
      <c r="B422" s="145" t="str">
        <f>Comitente</f>
        <v>DIRECCIÓN PROVINCIAL DE VIALIDAD</v>
      </c>
      <c r="C422" s="139"/>
      <c r="D422" s="146"/>
      <c r="E422" s="325"/>
      <c r="F422" s="325"/>
      <c r="G422" s="326"/>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PAVIMENTACION Y ENSANCHE DE RUTA PROVINCIAL N°7 AV. JOAQUIN UÑAC</v>
      </c>
      <c r="C424" s="140"/>
      <c r="D424" s="140"/>
      <c r="E424" s="143"/>
      <c r="F424" s="145" t="s">
        <v>34</v>
      </c>
      <c r="G424" s="147">
        <f>Fecha_Base</f>
        <v>43444</v>
      </c>
      <c r="H424" s="143"/>
    </row>
    <row r="425" spans="1:8" ht="18.95" customHeight="1" x14ac:dyDescent="0.2">
      <c r="A425" s="148" t="s">
        <v>719</v>
      </c>
      <c r="B425" s="141" t="str">
        <f>Ubicación</f>
        <v>DEPARTAMENTO POCITO</v>
      </c>
      <c r="C425" s="141"/>
      <c r="D425" s="150"/>
      <c r="E425" s="143"/>
      <c r="F425" s="327"/>
      <c r="G425" s="328"/>
      <c r="H425" s="143"/>
    </row>
    <row r="426" spans="1:8" ht="18.95" customHeight="1" x14ac:dyDescent="0.2">
      <c r="A426" s="148" t="s">
        <v>35</v>
      </c>
      <c r="B426" s="151" t="str">
        <f>IFERROR(VALUE(LEFT(B427,FIND("-",B427)-1)),"")</f>
        <v/>
      </c>
      <c r="C426" s="142" t="str">
        <f>IFERROR(VLOOKUP(B426,Tabla_CyP,2,FALSE),"")</f>
        <v/>
      </c>
      <c r="D426" s="150"/>
      <c r="E426" s="143"/>
      <c r="F426" s="327"/>
      <c r="G426" s="328"/>
      <c r="H426" s="143"/>
    </row>
    <row r="427" spans="1:8" ht="18.95" customHeight="1" x14ac:dyDescent="0.2">
      <c r="A427" s="148" t="s">
        <v>24</v>
      </c>
      <c r="B427" s="152">
        <f>IFERROR(VLOOKUP(COUNTIF($A$1:A427,"ANALISIS DE PRECIOS"),Tabla_NumeroItem,4,FALSE),"")</f>
        <v>7</v>
      </c>
      <c r="C427" s="745" t="str">
        <f>IFERROR(VLOOKUP(B427,Tabla_CyP,2,FALSE),"")</f>
        <v>RIEGO DE IMPRIMACÓN CON EMULSIÓN
CATIÓNICA CI</v>
      </c>
      <c r="D427" s="745"/>
      <c r="E427" s="745"/>
      <c r="F427" s="141" t="s">
        <v>25</v>
      </c>
      <c r="G427" s="153" t="str">
        <f>IFERROR(VLOOKUP(B427,Tabla_CyP,4,FALSE),"")</f>
        <v>m2</v>
      </c>
      <c r="H427" s="143"/>
    </row>
    <row r="428" spans="1:8" ht="18.95" customHeight="1" x14ac:dyDescent="0.2">
      <c r="A428" s="148"/>
      <c r="B428" s="141"/>
      <c r="C428" s="142"/>
      <c r="D428" s="150"/>
      <c r="E428" s="142"/>
      <c r="F428" s="142"/>
      <c r="G428" s="329"/>
      <c r="H428" s="143"/>
    </row>
    <row r="429" spans="1:8" ht="18.95" customHeight="1" x14ac:dyDescent="0.2">
      <c r="A429" s="330"/>
      <c r="B429" s="331"/>
      <c r="C429" s="332" t="s">
        <v>1032</v>
      </c>
      <c r="D429" s="331"/>
      <c r="E429" s="331"/>
      <c r="F429" s="331"/>
      <c r="G429" s="333"/>
      <c r="H429" s="143"/>
    </row>
    <row r="430" spans="1:8" ht="18.95" customHeight="1" x14ac:dyDescent="0.2">
      <c r="A430" s="148"/>
      <c r="B430" s="334"/>
      <c r="C430" s="335" t="s">
        <v>1033</v>
      </c>
      <c r="D430" s="336" t="s">
        <v>26</v>
      </c>
      <c r="E430" s="336" t="s">
        <v>1034</v>
      </c>
      <c r="F430" s="336" t="s">
        <v>1035</v>
      </c>
      <c r="G430" s="337" t="s">
        <v>1036</v>
      </c>
      <c r="H430" s="143"/>
    </row>
    <row r="431" spans="1:8" ht="18.95" customHeight="1" x14ac:dyDescent="0.2">
      <c r="A431" s="343"/>
      <c r="B431" s="344"/>
      <c r="C431" s="290"/>
      <c r="D431" s="293"/>
      <c r="E431" s="345"/>
      <c r="F431" s="346"/>
      <c r="G431" s="347">
        <f t="shared" ref="G431:G440" si="120">ROUND(D431*F431,2)</f>
        <v>0</v>
      </c>
    </row>
    <row r="432" spans="1:8" ht="18.95" customHeight="1" x14ac:dyDescent="0.2">
      <c r="A432" s="343"/>
      <c r="B432" s="344"/>
      <c r="C432" s="290"/>
      <c r="D432" s="293"/>
      <c r="E432" s="345"/>
      <c r="F432" s="346"/>
      <c r="G432" s="347">
        <f t="shared" si="120"/>
        <v>0</v>
      </c>
    </row>
    <row r="433" spans="1:7" ht="18.95" customHeight="1" x14ac:dyDescent="0.2">
      <c r="A433" s="343"/>
      <c r="B433" s="344"/>
      <c r="C433" s="290"/>
      <c r="D433" s="293"/>
      <c r="E433" s="345">
        <f t="shared" ref="E433:E440" si="121">IFERROR(VLOOKUP(C433,T_Equipos,4,FALSE),0)</f>
        <v>0</v>
      </c>
      <c r="F433" s="346">
        <f t="shared" ref="F433:F440" si="122">IFERROR(VLOOKUP(C433,T_Equipos,11,FALSE),0)</f>
        <v>0</v>
      </c>
      <c r="G433" s="347">
        <f t="shared" si="120"/>
        <v>0</v>
      </c>
    </row>
    <row r="434" spans="1:7" ht="18.95" customHeight="1" x14ac:dyDescent="0.2">
      <c r="A434" s="343"/>
      <c r="B434" s="344"/>
      <c r="C434" s="290"/>
      <c r="D434" s="293"/>
      <c r="E434" s="345">
        <f t="shared" si="121"/>
        <v>0</v>
      </c>
      <c r="F434" s="346">
        <f t="shared" si="122"/>
        <v>0</v>
      </c>
      <c r="G434" s="347">
        <f t="shared" si="120"/>
        <v>0</v>
      </c>
    </row>
    <row r="435" spans="1:7" ht="18.95" customHeight="1" x14ac:dyDescent="0.2">
      <c r="A435" s="343"/>
      <c r="B435" s="344"/>
      <c r="C435" s="290"/>
      <c r="D435" s="293"/>
      <c r="E435" s="345">
        <f t="shared" si="121"/>
        <v>0</v>
      </c>
      <c r="F435" s="346">
        <f t="shared" si="122"/>
        <v>0</v>
      </c>
      <c r="G435" s="347">
        <f t="shared" si="120"/>
        <v>0</v>
      </c>
    </row>
    <row r="436" spans="1:7" ht="18.95" customHeight="1" x14ac:dyDescent="0.2">
      <c r="A436" s="343"/>
      <c r="B436" s="344"/>
      <c r="C436" s="290"/>
      <c r="D436" s="293"/>
      <c r="E436" s="345">
        <f t="shared" si="121"/>
        <v>0</v>
      </c>
      <c r="F436" s="346">
        <f t="shared" si="122"/>
        <v>0</v>
      </c>
      <c r="G436" s="347">
        <f t="shared" si="120"/>
        <v>0</v>
      </c>
    </row>
    <row r="437" spans="1:7" ht="18.95" customHeight="1" x14ac:dyDescent="0.2">
      <c r="A437" s="343"/>
      <c r="B437" s="344"/>
      <c r="C437" s="290"/>
      <c r="D437" s="293"/>
      <c r="E437" s="345">
        <f t="shared" si="121"/>
        <v>0</v>
      </c>
      <c r="F437" s="346">
        <f t="shared" si="122"/>
        <v>0</v>
      </c>
      <c r="G437" s="347">
        <f t="shared" si="120"/>
        <v>0</v>
      </c>
    </row>
    <row r="438" spans="1:7" ht="18.95" customHeight="1" x14ac:dyDescent="0.2">
      <c r="A438" s="343"/>
      <c r="B438" s="344"/>
      <c r="C438" s="290"/>
      <c r="D438" s="293"/>
      <c r="E438" s="345">
        <f t="shared" si="121"/>
        <v>0</v>
      </c>
      <c r="F438" s="346">
        <f t="shared" si="122"/>
        <v>0</v>
      </c>
      <c r="G438" s="347">
        <f t="shared" si="120"/>
        <v>0</v>
      </c>
    </row>
    <row r="439" spans="1:7" ht="18.95" customHeight="1" x14ac:dyDescent="0.2">
      <c r="A439" s="343"/>
      <c r="B439" s="344"/>
      <c r="C439" s="290"/>
      <c r="D439" s="293"/>
      <c r="E439" s="345">
        <f t="shared" si="121"/>
        <v>0</v>
      </c>
      <c r="F439" s="346">
        <f t="shared" si="122"/>
        <v>0</v>
      </c>
      <c r="G439" s="347">
        <f t="shared" si="120"/>
        <v>0</v>
      </c>
    </row>
    <row r="440" spans="1:7" ht="18.95" customHeight="1" thickBot="1" x14ac:dyDescent="0.25">
      <c r="A440" s="343"/>
      <c r="B440" s="344"/>
      <c r="C440" s="290"/>
      <c r="D440" s="293"/>
      <c r="E440" s="345">
        <f t="shared" si="121"/>
        <v>0</v>
      </c>
      <c r="F440" s="346">
        <f t="shared" si="122"/>
        <v>0</v>
      </c>
      <c r="G440" s="347">
        <f t="shared" si="120"/>
        <v>0</v>
      </c>
    </row>
    <row r="441" spans="1:7" ht="18.95" customHeight="1" thickBot="1" x14ac:dyDescent="0.25">
      <c r="A441" s="148"/>
      <c r="B441" s="334"/>
      <c r="C441" s="143"/>
      <c r="D441" s="146" t="s">
        <v>1037</v>
      </c>
      <c r="E441" s="338">
        <f>SUMPRODUCT(D431:D440,E431:E440)</f>
        <v>0</v>
      </c>
      <c r="F441" s="141" t="s">
        <v>1038</v>
      </c>
      <c r="G441" s="339">
        <f>SUM(G431:G440)</f>
        <v>0</v>
      </c>
    </row>
    <row r="442" spans="1:7" ht="18.95" customHeight="1" x14ac:dyDescent="0.2">
      <c r="A442" s="148"/>
      <c r="B442" s="334"/>
      <c r="C442" s="141" t="s">
        <v>1039</v>
      </c>
      <c r="D442" s="320"/>
      <c r="E442" s="340" t="str">
        <f>CONCATENATE(G427,"/día")</f>
        <v>m2/día</v>
      </c>
      <c r="F442" s="141"/>
      <c r="G442" s="341"/>
    </row>
    <row r="443" spans="1:7" ht="18.95" customHeight="1" x14ac:dyDescent="0.2">
      <c r="A443" s="148"/>
      <c r="B443" s="334"/>
      <c r="C443" s="142"/>
      <c r="D443" s="150"/>
      <c r="E443" s="141"/>
      <c r="F443" s="141"/>
      <c r="G443" s="341"/>
    </row>
    <row r="444" spans="1:7" ht="18.95" customHeight="1" x14ac:dyDescent="0.2">
      <c r="A444" s="735" t="s">
        <v>582</v>
      </c>
      <c r="B444" s="736"/>
      <c r="C444" s="737" t="s">
        <v>0</v>
      </c>
      <c r="D444" s="743" t="s">
        <v>1053</v>
      </c>
      <c r="E444" s="743" t="s">
        <v>1706</v>
      </c>
      <c r="F444" s="743" t="s">
        <v>1054</v>
      </c>
      <c r="G444" s="743" t="s">
        <v>1055</v>
      </c>
    </row>
    <row r="445" spans="1:7" ht="18.95" customHeight="1" x14ac:dyDescent="0.2">
      <c r="A445" s="154" t="s">
        <v>583</v>
      </c>
      <c r="B445" s="155" t="s">
        <v>584</v>
      </c>
      <c r="C445" s="738"/>
      <c r="D445" s="742"/>
      <c r="E445" s="742"/>
      <c r="F445" s="744"/>
      <c r="G445" s="742"/>
    </row>
    <row r="446" spans="1:7" ht="18.95" customHeight="1" x14ac:dyDescent="0.2">
      <c r="A446" s="156"/>
      <c r="B446" s="142"/>
      <c r="C446" s="157" t="s">
        <v>1041</v>
      </c>
      <c r="D446" s="150"/>
      <c r="E446" s="142"/>
      <c r="F446" s="142"/>
      <c r="G446" s="342"/>
    </row>
    <row r="447" spans="1:7" ht="18.95" customHeight="1" x14ac:dyDescent="0.2">
      <c r="A447" s="348" t="str">
        <f t="shared" ref="A447:A454" si="123">IFERROR(VLOOKUP(C447,Tabla_Insumos,4,FALSE),"")</f>
        <v/>
      </c>
      <c r="B447" s="290" t="str">
        <f t="shared" ref="B447:B454" si="124">IFERROR(VLOOKUP(C447,Tabla_Insumos,5,FALSE),"")</f>
        <v/>
      </c>
      <c r="C447" s="290"/>
      <c r="D447" s="607">
        <f t="shared" ref="D447:D454" si="125">IFERROR(VLOOKUP(C447,Tabla_Insumos,3,FALSE),0)</f>
        <v>0</v>
      </c>
      <c r="E447" s="349">
        <f>D447*$G$21</f>
        <v>0</v>
      </c>
      <c r="F447" s="350">
        <f>IF(C447="",0,D442)</f>
        <v>0</v>
      </c>
      <c r="G447" s="347">
        <f>IFERROR(ROUND(E447/F447,2),0)</f>
        <v>0</v>
      </c>
    </row>
    <row r="448" spans="1:7" ht="18.95" customHeight="1" x14ac:dyDescent="0.2">
      <c r="A448" s="348" t="str">
        <f t="shared" si="123"/>
        <v/>
      </c>
      <c r="B448" s="290" t="str">
        <f t="shared" si="124"/>
        <v/>
      </c>
      <c r="C448" s="321"/>
      <c r="D448" s="607">
        <f t="shared" si="125"/>
        <v>0</v>
      </c>
      <c r="E448" s="349">
        <f t="shared" ref="E448:E449" si="126">D448*$G$21</f>
        <v>0</v>
      </c>
      <c r="F448" s="350">
        <f t="shared" ref="F448:F451" si="127">IF(C448="",0,F447)</f>
        <v>0</v>
      </c>
      <c r="G448" s="347">
        <f t="shared" ref="G448:G454" si="128">IFERROR(ROUND(E448/F448,2),0)</f>
        <v>0</v>
      </c>
    </row>
    <row r="449" spans="1:7" ht="18.95" customHeight="1" x14ac:dyDescent="0.2">
      <c r="A449" s="348" t="str">
        <f t="shared" si="123"/>
        <v/>
      </c>
      <c r="B449" s="290" t="str">
        <f t="shared" si="124"/>
        <v/>
      </c>
      <c r="C449" s="321"/>
      <c r="D449" s="607">
        <f t="shared" si="125"/>
        <v>0</v>
      </c>
      <c r="E449" s="349">
        <f t="shared" si="126"/>
        <v>0</v>
      </c>
      <c r="F449" s="350">
        <f t="shared" si="127"/>
        <v>0</v>
      </c>
      <c r="G449" s="347">
        <f t="shared" si="128"/>
        <v>0</v>
      </c>
    </row>
    <row r="450" spans="1:7" ht="18.95" customHeight="1" x14ac:dyDescent="0.2">
      <c r="A450" s="348" t="str">
        <f t="shared" si="123"/>
        <v/>
      </c>
      <c r="B450" s="290" t="str">
        <f t="shared" si="124"/>
        <v/>
      </c>
      <c r="C450" s="321"/>
      <c r="D450" s="607">
        <f t="shared" si="125"/>
        <v>0</v>
      </c>
      <c r="E450" s="349">
        <f>D450*$E$21</f>
        <v>0</v>
      </c>
      <c r="F450" s="350">
        <f t="shared" si="127"/>
        <v>0</v>
      </c>
      <c r="G450" s="347">
        <f t="shared" si="128"/>
        <v>0</v>
      </c>
    </row>
    <row r="451" spans="1:7" ht="18.95" customHeight="1" x14ac:dyDescent="0.2">
      <c r="A451" s="348" t="str">
        <f t="shared" si="123"/>
        <v/>
      </c>
      <c r="B451" s="290" t="str">
        <f t="shared" si="124"/>
        <v/>
      </c>
      <c r="C451" s="321"/>
      <c r="D451" s="607">
        <f t="shared" si="125"/>
        <v>0</v>
      </c>
      <c r="E451" s="349">
        <f>D451*$E$21</f>
        <v>0</v>
      </c>
      <c r="F451" s="350">
        <f t="shared" si="127"/>
        <v>0</v>
      </c>
      <c r="G451" s="347">
        <f t="shared" si="128"/>
        <v>0</v>
      </c>
    </row>
    <row r="452" spans="1:7" ht="18.95" customHeight="1" x14ac:dyDescent="0.2">
      <c r="A452" s="348" t="str">
        <f t="shared" si="123"/>
        <v/>
      </c>
      <c r="B452" s="290" t="str">
        <f t="shared" si="124"/>
        <v/>
      </c>
      <c r="C452" s="321"/>
      <c r="D452" s="607">
        <f t="shared" si="125"/>
        <v>0</v>
      </c>
      <c r="E452" s="349"/>
      <c r="F452" s="350">
        <f>IF(C452="",0,F451)</f>
        <v>0</v>
      </c>
      <c r="G452" s="347">
        <f t="shared" si="128"/>
        <v>0</v>
      </c>
    </row>
    <row r="453" spans="1:7" ht="18.95" customHeight="1" x14ac:dyDescent="0.2">
      <c r="A453" s="348" t="str">
        <f t="shared" si="123"/>
        <v/>
      </c>
      <c r="B453" s="290" t="str">
        <f t="shared" si="124"/>
        <v/>
      </c>
      <c r="C453" s="321"/>
      <c r="D453" s="607">
        <f t="shared" si="125"/>
        <v>0</v>
      </c>
      <c r="E453" s="349"/>
      <c r="F453" s="350">
        <f t="shared" ref="F453:F454" si="129">IF(C453="",0,F452)</f>
        <v>0</v>
      </c>
      <c r="G453" s="347">
        <f t="shared" si="128"/>
        <v>0</v>
      </c>
    </row>
    <row r="454" spans="1:7" ht="18.95" customHeight="1" x14ac:dyDescent="0.2">
      <c r="A454" s="348" t="str">
        <f t="shared" si="123"/>
        <v/>
      </c>
      <c r="B454" s="290" t="str">
        <f t="shared" si="124"/>
        <v/>
      </c>
      <c r="C454" s="321"/>
      <c r="D454" s="607">
        <f t="shared" si="125"/>
        <v>0</v>
      </c>
      <c r="E454" s="349"/>
      <c r="F454" s="350">
        <f t="shared" si="129"/>
        <v>0</v>
      </c>
      <c r="G454" s="347">
        <f t="shared" si="128"/>
        <v>0</v>
      </c>
    </row>
    <row r="455" spans="1:7" ht="18.95" customHeight="1" x14ac:dyDescent="0.2">
      <c r="A455" s="353"/>
      <c r="B455" s="149"/>
      <c r="C455" s="142"/>
      <c r="D455" s="150"/>
      <c r="E455" s="143"/>
      <c r="F455" s="354" t="s">
        <v>29</v>
      </c>
      <c r="G455" s="355">
        <f>SUBTOTAL(9,G447:G454)</f>
        <v>0</v>
      </c>
    </row>
    <row r="456" spans="1:7" ht="18.95" customHeight="1" x14ac:dyDescent="0.2">
      <c r="A456" s="156"/>
      <c r="B456" s="142"/>
      <c r="C456" s="157" t="s">
        <v>722</v>
      </c>
      <c r="D456" s="150"/>
      <c r="E456" s="327"/>
      <c r="F456" s="327"/>
      <c r="G456" s="342"/>
    </row>
    <row r="457" spans="1:7" ht="18.95" customHeight="1" x14ac:dyDescent="0.2">
      <c r="A457" s="735" t="s">
        <v>582</v>
      </c>
      <c r="B457" s="736"/>
      <c r="C457" s="737" t="s">
        <v>0</v>
      </c>
      <c r="D457" s="739" t="s">
        <v>26</v>
      </c>
      <c r="E457" s="743" t="s">
        <v>1707</v>
      </c>
      <c r="F457" s="741" t="s">
        <v>1040</v>
      </c>
      <c r="G457" s="733" t="s">
        <v>28</v>
      </c>
    </row>
    <row r="458" spans="1:7" ht="18.95" customHeight="1" x14ac:dyDescent="0.2">
      <c r="A458" s="154" t="s">
        <v>583</v>
      </c>
      <c r="B458" s="155" t="s">
        <v>584</v>
      </c>
      <c r="C458" s="738"/>
      <c r="D458" s="740"/>
      <c r="E458" s="742"/>
      <c r="F458" s="742"/>
      <c r="G458" s="734"/>
    </row>
    <row r="459" spans="1:7" ht="18.95" customHeight="1" x14ac:dyDescent="0.2">
      <c r="A459" s="348" t="str">
        <f t="shared" ref="A459:A464" si="130">IFERROR(VLOOKUP(C459,Tabla_Insumos,4,FALSE),"")</f>
        <v/>
      </c>
      <c r="B459" s="290" t="str">
        <f t="shared" ref="B459:B464" si="131">IFERROR(VLOOKUP(C459,Tabla_Insumos,5,FALSE),"")</f>
        <v/>
      </c>
      <c r="C459" s="291"/>
      <c r="D459" s="293"/>
      <c r="E459" s="346">
        <f t="shared" ref="E459:E464" si="132">IFERROR(VLOOKUP(C459,Tabla_Insumos,3,FALSE),0)</f>
        <v>0</v>
      </c>
      <c r="F459" s="349">
        <f>IF(C459="",0,D442)</f>
        <v>0</v>
      </c>
      <c r="G459" s="347">
        <f t="shared" ref="G459:G464" si="133">IFERROR(ROUND(D459*E459/F459,2),0)</f>
        <v>0</v>
      </c>
    </row>
    <row r="460" spans="1:7" ht="18.95" customHeight="1" x14ac:dyDescent="0.2">
      <c r="A460" s="348" t="str">
        <f t="shared" si="130"/>
        <v/>
      </c>
      <c r="B460" s="290" t="str">
        <f t="shared" si="131"/>
        <v/>
      </c>
      <c r="C460" s="290"/>
      <c r="D460" s="293"/>
      <c r="E460" s="346">
        <f t="shared" si="132"/>
        <v>0</v>
      </c>
      <c r="F460" s="349">
        <f>IF(C460="",0,F459)</f>
        <v>0</v>
      </c>
      <c r="G460" s="347">
        <f t="shared" si="133"/>
        <v>0</v>
      </c>
    </row>
    <row r="461" spans="1:7" ht="18.95" customHeight="1" x14ac:dyDescent="0.2">
      <c r="A461" s="348" t="str">
        <f t="shared" si="130"/>
        <v/>
      </c>
      <c r="B461" s="290" t="str">
        <f t="shared" si="131"/>
        <v/>
      </c>
      <c r="C461" s="290"/>
      <c r="D461" s="293"/>
      <c r="E461" s="346">
        <f t="shared" si="132"/>
        <v>0</v>
      </c>
      <c r="F461" s="349">
        <f>IF(C461="",0,F460)</f>
        <v>0</v>
      </c>
      <c r="G461" s="347">
        <f t="shared" si="133"/>
        <v>0</v>
      </c>
    </row>
    <row r="462" spans="1:7" ht="18.95" customHeight="1" x14ac:dyDescent="0.2">
      <c r="A462" s="348" t="str">
        <f t="shared" si="130"/>
        <v/>
      </c>
      <c r="B462" s="290" t="str">
        <f t="shared" si="131"/>
        <v/>
      </c>
      <c r="C462" s="290"/>
      <c r="D462" s="293"/>
      <c r="E462" s="346">
        <f t="shared" si="132"/>
        <v>0</v>
      </c>
      <c r="F462" s="349">
        <f>IF(C462="",0,F461)</f>
        <v>0</v>
      </c>
      <c r="G462" s="347">
        <f t="shared" si="133"/>
        <v>0</v>
      </c>
    </row>
    <row r="463" spans="1:7" ht="18.95" customHeight="1" x14ac:dyDescent="0.2">
      <c r="A463" s="348" t="str">
        <f t="shared" si="130"/>
        <v/>
      </c>
      <c r="B463" s="290" t="str">
        <f t="shared" si="131"/>
        <v/>
      </c>
      <c r="C463" s="290"/>
      <c r="D463" s="351"/>
      <c r="E463" s="346">
        <f t="shared" si="132"/>
        <v>0</v>
      </c>
      <c r="F463" s="349">
        <f>IF(C463="",0,F462)</f>
        <v>0</v>
      </c>
      <c r="G463" s="347">
        <f t="shared" si="133"/>
        <v>0</v>
      </c>
    </row>
    <row r="464" spans="1:7" ht="18.95" customHeight="1" x14ac:dyDescent="0.2">
      <c r="A464" s="348" t="str">
        <f t="shared" si="130"/>
        <v/>
      </c>
      <c r="B464" s="290" t="str">
        <f t="shared" si="131"/>
        <v/>
      </c>
      <c r="C464" s="290"/>
      <c r="D464" s="293"/>
      <c r="E464" s="346">
        <f t="shared" si="132"/>
        <v>0</v>
      </c>
      <c r="F464" s="349">
        <f>IF(C464="",0,F463)</f>
        <v>0</v>
      </c>
      <c r="G464" s="347">
        <f t="shared" si="133"/>
        <v>0</v>
      </c>
    </row>
    <row r="465" spans="1:7" ht="18.95" customHeight="1" x14ac:dyDescent="0.2">
      <c r="A465" s="353"/>
      <c r="B465" s="149"/>
      <c r="C465" s="142"/>
      <c r="D465" s="150"/>
      <c r="E465" s="143"/>
      <c r="F465" s="356" t="s">
        <v>30</v>
      </c>
      <c r="G465" s="355">
        <f>SUBTOTAL(9,G459:G464)</f>
        <v>0</v>
      </c>
    </row>
    <row r="466" spans="1:7" ht="18.95" customHeight="1" x14ac:dyDescent="0.2">
      <c r="A466" s="156"/>
      <c r="B466" s="142"/>
      <c r="C466" s="157" t="s">
        <v>1047</v>
      </c>
      <c r="D466" s="150"/>
      <c r="E466" s="327"/>
      <c r="F466" s="327"/>
      <c r="G466" s="342"/>
    </row>
    <row r="467" spans="1:7" ht="18.95" customHeight="1" x14ac:dyDescent="0.2">
      <c r="A467" s="735" t="s">
        <v>582</v>
      </c>
      <c r="B467" s="736"/>
      <c r="C467" s="737" t="s">
        <v>0</v>
      </c>
      <c r="D467" s="737" t="s">
        <v>1655</v>
      </c>
      <c r="E467" s="737" t="s">
        <v>26</v>
      </c>
      <c r="F467" s="737" t="s">
        <v>27</v>
      </c>
      <c r="G467" s="733" t="s">
        <v>28</v>
      </c>
    </row>
    <row r="468" spans="1:7" ht="18.95" customHeight="1" x14ac:dyDescent="0.2">
      <c r="A468" s="154" t="s">
        <v>583</v>
      </c>
      <c r="B468" s="155" t="s">
        <v>584</v>
      </c>
      <c r="C468" s="738"/>
      <c r="D468" s="738"/>
      <c r="E468" s="738"/>
      <c r="F468" s="738"/>
      <c r="G468" s="734"/>
    </row>
    <row r="469" spans="1:7" ht="18.95" customHeight="1" x14ac:dyDescent="0.2">
      <c r="A469" s="348" t="str">
        <f t="shared" ref="A469:A480" si="134">IFERROR(VLOOKUP(C469,Tabla_Insumos,4,FALSE),"")</f>
        <v/>
      </c>
      <c r="B469" s="290" t="str">
        <f t="shared" ref="B469:B480" si="135">IFERROR(VLOOKUP(C469,Tabla_Insumos,5,FALSE),"")</f>
        <v/>
      </c>
      <c r="C469" s="290"/>
      <c r="D469" s="608">
        <f t="shared" ref="D469:D480" si="136">IFERROR(VLOOKUP(C469,Tabla_Insumos,2,FALSE),0)</f>
        <v>0</v>
      </c>
      <c r="E469" s="293"/>
      <c r="F469" s="346">
        <f t="shared" ref="F469:F480" si="137">IFERROR(VLOOKUP(C469,Tabla_Insumos,3,FALSE),0)</f>
        <v>0</v>
      </c>
      <c r="G469" s="347">
        <f t="shared" ref="G469:G480" si="138">ROUND(E469*F469,2)</f>
        <v>0</v>
      </c>
    </row>
    <row r="470" spans="1:7" ht="18.95" customHeight="1" x14ac:dyDescent="0.2">
      <c r="A470" s="348" t="str">
        <f t="shared" si="134"/>
        <v/>
      </c>
      <c r="B470" s="290" t="str">
        <f t="shared" si="135"/>
        <v/>
      </c>
      <c r="C470" s="126"/>
      <c r="D470" s="608">
        <f t="shared" si="136"/>
        <v>0</v>
      </c>
      <c r="E470" s="293"/>
      <c r="F470" s="346">
        <f t="shared" si="137"/>
        <v>0</v>
      </c>
      <c r="G470" s="347">
        <f t="shared" si="138"/>
        <v>0</v>
      </c>
    </row>
    <row r="471" spans="1:7" ht="18.95" customHeight="1" x14ac:dyDescent="0.2">
      <c r="A471" s="348" t="str">
        <f t="shared" si="134"/>
        <v/>
      </c>
      <c r="B471" s="290" t="str">
        <f t="shared" si="135"/>
        <v/>
      </c>
      <c r="C471" s="290"/>
      <c r="D471" s="608">
        <f t="shared" si="136"/>
        <v>0</v>
      </c>
      <c r="E471" s="293"/>
      <c r="F471" s="346">
        <f t="shared" si="137"/>
        <v>0</v>
      </c>
      <c r="G471" s="347">
        <f t="shared" si="138"/>
        <v>0</v>
      </c>
    </row>
    <row r="472" spans="1:7" ht="18.95" customHeight="1" x14ac:dyDescent="0.2">
      <c r="A472" s="348" t="str">
        <f t="shared" si="134"/>
        <v/>
      </c>
      <c r="B472" s="290" t="str">
        <f t="shared" si="135"/>
        <v/>
      </c>
      <c r="C472" s="290"/>
      <c r="D472" s="608">
        <f t="shared" si="136"/>
        <v>0</v>
      </c>
      <c r="E472" s="293"/>
      <c r="F472" s="346">
        <f t="shared" si="137"/>
        <v>0</v>
      </c>
      <c r="G472" s="347">
        <f t="shared" si="138"/>
        <v>0</v>
      </c>
    </row>
    <row r="473" spans="1:7" ht="18.95" customHeight="1" x14ac:dyDescent="0.2">
      <c r="A473" s="348" t="str">
        <f t="shared" si="134"/>
        <v/>
      </c>
      <c r="B473" s="290" t="str">
        <f t="shared" si="135"/>
        <v/>
      </c>
      <c r="C473" s="290"/>
      <c r="D473" s="608">
        <f t="shared" si="136"/>
        <v>0</v>
      </c>
      <c r="E473" s="293"/>
      <c r="F473" s="346">
        <f t="shared" si="137"/>
        <v>0</v>
      </c>
      <c r="G473" s="347">
        <f t="shared" si="138"/>
        <v>0</v>
      </c>
    </row>
    <row r="474" spans="1:7" ht="18.95" customHeight="1" x14ac:dyDescent="0.2">
      <c r="A474" s="348" t="str">
        <f t="shared" si="134"/>
        <v/>
      </c>
      <c r="B474" s="290" t="str">
        <f t="shared" si="135"/>
        <v/>
      </c>
      <c r="C474" s="290"/>
      <c r="D474" s="608">
        <f t="shared" si="136"/>
        <v>0</v>
      </c>
      <c r="E474" s="293"/>
      <c r="F474" s="346">
        <f t="shared" si="137"/>
        <v>0</v>
      </c>
      <c r="G474" s="347">
        <f t="shared" si="138"/>
        <v>0</v>
      </c>
    </row>
    <row r="475" spans="1:7" ht="18.95" customHeight="1" x14ac:dyDescent="0.2">
      <c r="A475" s="348" t="str">
        <f t="shared" si="134"/>
        <v/>
      </c>
      <c r="B475" s="290" t="str">
        <f t="shared" si="135"/>
        <v/>
      </c>
      <c r="C475" s="290"/>
      <c r="D475" s="608">
        <f t="shared" si="136"/>
        <v>0</v>
      </c>
      <c r="E475" s="293"/>
      <c r="F475" s="346">
        <f t="shared" si="137"/>
        <v>0</v>
      </c>
      <c r="G475" s="347">
        <f t="shared" si="138"/>
        <v>0</v>
      </c>
    </row>
    <row r="476" spans="1:7" s="295" customFormat="1" ht="18.95" customHeight="1" x14ac:dyDescent="0.2">
      <c r="A476" s="348" t="str">
        <f t="shared" si="134"/>
        <v/>
      </c>
      <c r="B476" s="290" t="str">
        <f t="shared" si="135"/>
        <v/>
      </c>
      <c r="C476" s="290"/>
      <c r="D476" s="608">
        <f t="shared" si="136"/>
        <v>0</v>
      </c>
      <c r="E476" s="323"/>
      <c r="F476" s="346">
        <f t="shared" si="137"/>
        <v>0</v>
      </c>
      <c r="G476" s="347">
        <f t="shared" si="138"/>
        <v>0</v>
      </c>
    </row>
    <row r="477" spans="1:7" ht="18.95" customHeight="1" x14ac:dyDescent="0.2">
      <c r="A477" s="348" t="str">
        <f t="shared" si="134"/>
        <v/>
      </c>
      <c r="B477" s="290" t="str">
        <f t="shared" si="135"/>
        <v/>
      </c>
      <c r="C477" s="290"/>
      <c r="D477" s="608">
        <f t="shared" si="136"/>
        <v>0</v>
      </c>
      <c r="E477" s="293"/>
      <c r="F477" s="346">
        <f t="shared" si="137"/>
        <v>0</v>
      </c>
      <c r="G477" s="347">
        <f t="shared" si="138"/>
        <v>0</v>
      </c>
    </row>
    <row r="478" spans="1:7" ht="18.95" customHeight="1" x14ac:dyDescent="0.2">
      <c r="A478" s="348" t="str">
        <f t="shared" si="134"/>
        <v/>
      </c>
      <c r="B478" s="290" t="str">
        <f t="shared" si="135"/>
        <v/>
      </c>
      <c r="C478" s="290"/>
      <c r="D478" s="608">
        <f t="shared" si="136"/>
        <v>0</v>
      </c>
      <c r="E478" s="293"/>
      <c r="F478" s="346">
        <f t="shared" si="137"/>
        <v>0</v>
      </c>
      <c r="G478" s="347">
        <f t="shared" si="138"/>
        <v>0</v>
      </c>
    </row>
    <row r="479" spans="1:7" ht="18.95" customHeight="1" x14ac:dyDescent="0.2">
      <c r="A479" s="348" t="str">
        <f t="shared" si="134"/>
        <v/>
      </c>
      <c r="B479" s="290" t="str">
        <f t="shared" si="135"/>
        <v/>
      </c>
      <c r="C479" s="290"/>
      <c r="D479" s="608">
        <f t="shared" si="136"/>
        <v>0</v>
      </c>
      <c r="E479" s="293"/>
      <c r="F479" s="346">
        <f t="shared" si="137"/>
        <v>0</v>
      </c>
      <c r="G479" s="347">
        <f t="shared" si="138"/>
        <v>0</v>
      </c>
    </row>
    <row r="480" spans="1:7" ht="18.95" customHeight="1" x14ac:dyDescent="0.2">
      <c r="A480" s="348" t="str">
        <f t="shared" si="134"/>
        <v/>
      </c>
      <c r="B480" s="290" t="str">
        <f t="shared" si="135"/>
        <v/>
      </c>
      <c r="C480" s="290"/>
      <c r="D480" s="608">
        <f t="shared" si="136"/>
        <v>0</v>
      </c>
      <c r="E480" s="293"/>
      <c r="F480" s="346">
        <f t="shared" si="137"/>
        <v>0</v>
      </c>
      <c r="G480" s="347">
        <f t="shared" si="138"/>
        <v>0</v>
      </c>
    </row>
    <row r="481" spans="1:8" ht="18.95" customHeight="1" x14ac:dyDescent="0.2">
      <c r="A481" s="156"/>
      <c r="B481" s="142"/>
      <c r="C481" s="142"/>
      <c r="D481" s="150"/>
      <c r="E481" s="143"/>
      <c r="F481" s="356" t="s">
        <v>31</v>
      </c>
      <c r="G481" s="355">
        <f>SUBTOTAL(9,G469:G480)</f>
        <v>0</v>
      </c>
    </row>
    <row r="482" spans="1:8" ht="18.95" customHeight="1" x14ac:dyDescent="0.2">
      <c r="A482" s="156"/>
      <c r="B482" s="142"/>
      <c r="C482" s="157" t="s">
        <v>1048</v>
      </c>
      <c r="D482" s="150"/>
      <c r="E482" s="327"/>
      <c r="F482" s="327"/>
      <c r="G482" s="342"/>
    </row>
    <row r="483" spans="1:8" ht="18.95" customHeight="1" x14ac:dyDescent="0.2">
      <c r="A483" s="735" t="s">
        <v>582</v>
      </c>
      <c r="B483" s="736"/>
      <c r="C483" s="737" t="s">
        <v>0</v>
      </c>
      <c r="D483" s="739" t="s">
        <v>1750</v>
      </c>
      <c r="E483" s="741" t="s">
        <v>26</v>
      </c>
      <c r="F483" s="741" t="s">
        <v>27</v>
      </c>
      <c r="G483" s="733" t="s">
        <v>28</v>
      </c>
    </row>
    <row r="484" spans="1:8" ht="18.95" customHeight="1" x14ac:dyDescent="0.2">
      <c r="A484" s="154" t="s">
        <v>583</v>
      </c>
      <c r="B484" s="155" t="s">
        <v>584</v>
      </c>
      <c r="C484" s="738"/>
      <c r="D484" s="740"/>
      <c r="E484" s="742"/>
      <c r="F484" s="742"/>
      <c r="G484" s="734"/>
    </row>
    <row r="485" spans="1:8" ht="18.95" customHeight="1" x14ac:dyDescent="0.2">
      <c r="A485" s="348" t="str">
        <f>IFERROR(VLOOKUP(C485,Tabla_Insumos,4,FALSE),"")</f>
        <v/>
      </c>
      <c r="B485" s="290" t="s">
        <v>4</v>
      </c>
      <c r="C485" s="290"/>
      <c r="D485" s="293"/>
      <c r="E485" s="322"/>
      <c r="F485" s="324"/>
      <c r="G485" s="347">
        <f t="shared" ref="G485" si="139">ROUND(E485*F485,2)</f>
        <v>0</v>
      </c>
    </row>
    <row r="486" spans="1:8" ht="18.95" customHeight="1" x14ac:dyDescent="0.2">
      <c r="A486" s="156"/>
      <c r="B486" s="142"/>
      <c r="C486" s="142"/>
      <c r="D486" s="150"/>
      <c r="E486" s="143"/>
      <c r="F486" s="356" t="s">
        <v>1049</v>
      </c>
      <c r="G486" s="355">
        <f>SUBTOTAL(9,G485:G485)</f>
        <v>0</v>
      </c>
    </row>
    <row r="487" spans="1:8" ht="18.95" customHeight="1" thickBot="1" x14ac:dyDescent="0.25">
      <c r="A487" s="158"/>
      <c r="B487" s="159"/>
      <c r="C487" s="160"/>
      <c r="D487" s="161"/>
      <c r="E487" s="357"/>
      <c r="F487" s="357"/>
      <c r="G487" s="358"/>
    </row>
    <row r="488" spans="1:8" ht="18.95" customHeight="1" x14ac:dyDescent="0.2">
      <c r="A488" s="359">
        <f>B427</f>
        <v>7</v>
      </c>
      <c r="B488" s="360" t="str">
        <f>C427</f>
        <v>RIEGO DE IMPRIMACÓN CON EMULSIÓN
CATIÓNICA CI</v>
      </c>
      <c r="C488" s="361"/>
      <c r="D488" s="361"/>
      <c r="E488" s="361" t="s">
        <v>1050</v>
      </c>
      <c r="F488" s="362" t="str">
        <f>CONCATENATE("$/",G427)</f>
        <v>$/m2</v>
      </c>
      <c r="G488" s="363">
        <f>SUBTOTAL(9,G447:G487)</f>
        <v>0</v>
      </c>
    </row>
    <row r="489" spans="1:8" ht="18.95" customHeight="1" thickBot="1" x14ac:dyDescent="0.25">
      <c r="A489" s="364"/>
      <c r="B489" s="365"/>
      <c r="C489" s="365"/>
      <c r="D489" s="365"/>
      <c r="E489" s="366" t="s">
        <v>1051</v>
      </c>
      <c r="F489" s="367" t="str">
        <f>CONCATENATE("$/",G427)</f>
        <v>$/m2</v>
      </c>
      <c r="G489" s="368" t="e">
        <f ca="1">PrecioUnitario(G488,GG_Porcentaje,Beneficio,Ingresos_Brutos,IVA)</f>
        <v>#NAME?</v>
      </c>
    </row>
    <row r="490" spans="1:8" ht="18.95" customHeight="1" thickTop="1" thickBot="1" x14ac:dyDescent="0.25">
      <c r="F490" s="294"/>
      <c r="G490" s="294"/>
    </row>
    <row r="491" spans="1:8" ht="18.95" customHeight="1" thickTop="1" x14ac:dyDescent="0.2">
      <c r="A491" s="194" t="s">
        <v>33</v>
      </c>
      <c r="B491" s="195"/>
      <c r="C491" s="195"/>
      <c r="D491" s="195"/>
      <c r="E491" s="195"/>
      <c r="F491" s="195"/>
      <c r="G491" s="196"/>
      <c r="H491" s="143">
        <f>COUNTIF($A$1:A497,"ANALISIS DE PRECIOS")</f>
        <v>8</v>
      </c>
    </row>
    <row r="492" spans="1:8" ht="18.95" customHeight="1" x14ac:dyDescent="0.2">
      <c r="A492" s="144" t="s">
        <v>720</v>
      </c>
      <c r="B492" s="145" t="str">
        <f>Comitente</f>
        <v>DIRECCIÓN PROVINCIAL DE VIALIDAD</v>
      </c>
      <c r="C492" s="139"/>
      <c r="D492" s="146"/>
      <c r="E492" s="325"/>
      <c r="F492" s="325"/>
      <c r="G492" s="326"/>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PAVIMENTACION Y ENSANCHE DE RUTA PROVINCIAL N°7 AV. JOAQUIN UÑAC</v>
      </c>
      <c r="C494" s="140"/>
      <c r="D494" s="140"/>
      <c r="E494" s="143"/>
      <c r="F494" s="145" t="s">
        <v>34</v>
      </c>
      <c r="G494" s="147">
        <f>Fecha_Base</f>
        <v>43444</v>
      </c>
      <c r="H494" s="143"/>
    </row>
    <row r="495" spans="1:8" ht="18.95" customHeight="1" x14ac:dyDescent="0.2">
      <c r="A495" s="148" t="s">
        <v>719</v>
      </c>
      <c r="B495" s="141" t="str">
        <f>Ubicación</f>
        <v>DEPARTAMENTO POCITO</v>
      </c>
      <c r="C495" s="141"/>
      <c r="D495" s="150"/>
      <c r="E495" s="143"/>
      <c r="F495" s="327"/>
      <c r="G495" s="328"/>
      <c r="H495" s="143"/>
    </row>
    <row r="496" spans="1:8" ht="18.95" customHeight="1" x14ac:dyDescent="0.2">
      <c r="A496" s="148" t="s">
        <v>35</v>
      </c>
      <c r="B496" s="151" t="str">
        <f>IFERROR(VALUE(LEFT(B497,FIND("-",B497)-1)),"")</f>
        <v/>
      </c>
      <c r="C496" s="142" t="str">
        <f>IFERROR(VLOOKUP(B496,Tabla_CyP,2,FALSE),"")</f>
        <v/>
      </c>
      <c r="D496" s="150"/>
      <c r="E496" s="143"/>
      <c r="F496" s="327"/>
      <c r="G496" s="328"/>
      <c r="H496" s="143"/>
    </row>
    <row r="497" spans="1:8" ht="18.95" customHeight="1" x14ac:dyDescent="0.2">
      <c r="A497" s="148" t="s">
        <v>24</v>
      </c>
      <c r="B497" s="152">
        <f>IFERROR(VLOOKUP(COUNTIF($A$1:A497,"ANALISIS DE PRECIOS"),Tabla_NumeroItem,4,FALSE),"")</f>
        <v>8</v>
      </c>
      <c r="C497" s="745" t="str">
        <f>IFERROR(VLOOKUP(B497,Tabla_CyP,2,FALSE),"")</f>
        <v>RIEGO DE LIGA CON EMULSIÓN
CATIÓNICA E.R.1</v>
      </c>
      <c r="D497" s="745"/>
      <c r="E497" s="745"/>
      <c r="F497" s="141" t="s">
        <v>25</v>
      </c>
      <c r="G497" s="153" t="str">
        <f>IFERROR(VLOOKUP(B497,Tabla_CyP,4,FALSE),"")</f>
        <v>m2</v>
      </c>
      <c r="H497" s="143"/>
    </row>
    <row r="498" spans="1:8" ht="18.95" customHeight="1" x14ac:dyDescent="0.2">
      <c r="A498" s="148"/>
      <c r="B498" s="141"/>
      <c r="C498" s="142"/>
      <c r="D498" s="150"/>
      <c r="E498" s="142"/>
      <c r="F498" s="142"/>
      <c r="G498" s="329"/>
      <c r="H498" s="143"/>
    </row>
    <row r="499" spans="1:8" ht="18.95" customHeight="1" x14ac:dyDescent="0.2">
      <c r="A499" s="330"/>
      <c r="B499" s="331"/>
      <c r="C499" s="332" t="s">
        <v>1032</v>
      </c>
      <c r="D499" s="331"/>
      <c r="E499" s="331"/>
      <c r="F499" s="331"/>
      <c r="G499" s="333"/>
      <c r="H499" s="143"/>
    </row>
    <row r="500" spans="1:8" ht="18.95" customHeight="1" x14ac:dyDescent="0.2">
      <c r="A500" s="148"/>
      <c r="B500" s="334"/>
      <c r="C500" s="335" t="s">
        <v>1033</v>
      </c>
      <c r="D500" s="336" t="s">
        <v>26</v>
      </c>
      <c r="E500" s="336" t="s">
        <v>1034</v>
      </c>
      <c r="F500" s="336" t="s">
        <v>1035</v>
      </c>
      <c r="G500" s="337" t="s">
        <v>1036</v>
      </c>
      <c r="H500" s="143"/>
    </row>
    <row r="501" spans="1:8" ht="18.95" customHeight="1" x14ac:dyDescent="0.2">
      <c r="A501" s="343"/>
      <c r="B501" s="344"/>
      <c r="C501" s="290"/>
      <c r="D501" s="293"/>
      <c r="E501" s="345"/>
      <c r="F501" s="346"/>
      <c r="G501" s="347">
        <f t="shared" ref="G501:G510" si="140">ROUND(D501*F501,2)</f>
        <v>0</v>
      </c>
    </row>
    <row r="502" spans="1:8" ht="18.95" customHeight="1" x14ac:dyDescent="0.2">
      <c r="A502" s="343"/>
      <c r="B502" s="344"/>
      <c r="C502" s="290"/>
      <c r="D502" s="293"/>
      <c r="E502" s="345"/>
      <c r="F502" s="346"/>
      <c r="G502" s="347">
        <f t="shared" si="140"/>
        <v>0</v>
      </c>
    </row>
    <row r="503" spans="1:8" ht="18.95" customHeight="1" x14ac:dyDescent="0.2">
      <c r="A503" s="343"/>
      <c r="B503" s="344"/>
      <c r="C503" s="290"/>
      <c r="D503" s="293"/>
      <c r="E503" s="345">
        <f t="shared" ref="E503:E510" si="141">IFERROR(VLOOKUP(C503,T_Equipos,4,FALSE),0)</f>
        <v>0</v>
      </c>
      <c r="F503" s="346">
        <f t="shared" ref="F503:F510" si="142">IFERROR(VLOOKUP(C503,T_Equipos,11,FALSE),0)</f>
        <v>0</v>
      </c>
      <c r="G503" s="347">
        <f t="shared" si="140"/>
        <v>0</v>
      </c>
    </row>
    <row r="504" spans="1:8" ht="18.95" customHeight="1" x14ac:dyDescent="0.2">
      <c r="A504" s="343"/>
      <c r="B504" s="344"/>
      <c r="C504" s="290"/>
      <c r="D504" s="293"/>
      <c r="E504" s="345">
        <f t="shared" si="141"/>
        <v>0</v>
      </c>
      <c r="F504" s="346">
        <f t="shared" si="142"/>
        <v>0</v>
      </c>
      <c r="G504" s="347">
        <f t="shared" si="140"/>
        <v>0</v>
      </c>
    </row>
    <row r="505" spans="1:8" ht="18.95" customHeight="1" x14ac:dyDescent="0.2">
      <c r="A505" s="343"/>
      <c r="B505" s="344"/>
      <c r="C505" s="290"/>
      <c r="D505" s="293"/>
      <c r="E505" s="345">
        <f t="shared" si="141"/>
        <v>0</v>
      </c>
      <c r="F505" s="346">
        <f t="shared" si="142"/>
        <v>0</v>
      </c>
      <c r="G505" s="347">
        <f t="shared" si="140"/>
        <v>0</v>
      </c>
    </row>
    <row r="506" spans="1:8" ht="18.95" customHeight="1" x14ac:dyDescent="0.2">
      <c r="A506" s="343"/>
      <c r="B506" s="344"/>
      <c r="C506" s="290"/>
      <c r="D506" s="293"/>
      <c r="E506" s="345">
        <f t="shared" si="141"/>
        <v>0</v>
      </c>
      <c r="F506" s="346">
        <f t="shared" si="142"/>
        <v>0</v>
      </c>
      <c r="G506" s="347">
        <f t="shared" si="140"/>
        <v>0</v>
      </c>
    </row>
    <row r="507" spans="1:8" ht="18.95" customHeight="1" x14ac:dyDescent="0.2">
      <c r="A507" s="343"/>
      <c r="B507" s="344"/>
      <c r="C507" s="290"/>
      <c r="D507" s="293"/>
      <c r="E507" s="345">
        <f t="shared" si="141"/>
        <v>0</v>
      </c>
      <c r="F507" s="346">
        <f t="shared" si="142"/>
        <v>0</v>
      </c>
      <c r="G507" s="347">
        <f t="shared" si="140"/>
        <v>0</v>
      </c>
    </row>
    <row r="508" spans="1:8" ht="18.95" customHeight="1" x14ac:dyDescent="0.2">
      <c r="A508" s="343"/>
      <c r="B508" s="344"/>
      <c r="C508" s="290"/>
      <c r="D508" s="293"/>
      <c r="E508" s="345">
        <f t="shared" si="141"/>
        <v>0</v>
      </c>
      <c r="F508" s="346">
        <f t="shared" si="142"/>
        <v>0</v>
      </c>
      <c r="G508" s="347">
        <f t="shared" si="140"/>
        <v>0</v>
      </c>
    </row>
    <row r="509" spans="1:8" ht="18.95" customHeight="1" x14ac:dyDescent="0.2">
      <c r="A509" s="343"/>
      <c r="B509" s="344"/>
      <c r="C509" s="290"/>
      <c r="D509" s="293"/>
      <c r="E509" s="345">
        <f t="shared" si="141"/>
        <v>0</v>
      </c>
      <c r="F509" s="346">
        <f t="shared" si="142"/>
        <v>0</v>
      </c>
      <c r="G509" s="347">
        <f t="shared" si="140"/>
        <v>0</v>
      </c>
    </row>
    <row r="510" spans="1:8" ht="18.95" customHeight="1" thickBot="1" x14ac:dyDescent="0.25">
      <c r="A510" s="343"/>
      <c r="B510" s="344"/>
      <c r="C510" s="290"/>
      <c r="D510" s="293"/>
      <c r="E510" s="345">
        <f t="shared" si="141"/>
        <v>0</v>
      </c>
      <c r="F510" s="346">
        <f t="shared" si="142"/>
        <v>0</v>
      </c>
      <c r="G510" s="347">
        <f t="shared" si="140"/>
        <v>0</v>
      </c>
    </row>
    <row r="511" spans="1:8" ht="18.95" customHeight="1" thickBot="1" x14ac:dyDescent="0.25">
      <c r="A511" s="148"/>
      <c r="B511" s="334"/>
      <c r="C511" s="143"/>
      <c r="D511" s="146" t="s">
        <v>1037</v>
      </c>
      <c r="E511" s="338">
        <f>SUMPRODUCT(D501:D510,E501:E510)</f>
        <v>0</v>
      </c>
      <c r="F511" s="141" t="s">
        <v>1038</v>
      </c>
      <c r="G511" s="339">
        <f>SUM(G501:G510)</f>
        <v>0</v>
      </c>
    </row>
    <row r="512" spans="1:8" ht="18.95" customHeight="1" x14ac:dyDescent="0.2">
      <c r="A512" s="148"/>
      <c r="B512" s="334"/>
      <c r="C512" s="141" t="s">
        <v>1039</v>
      </c>
      <c r="D512" s="320"/>
      <c r="E512" s="340" t="str">
        <f>CONCATENATE(G497,"/día")</f>
        <v>m2/día</v>
      </c>
      <c r="F512" s="141"/>
      <c r="G512" s="341"/>
    </row>
    <row r="513" spans="1:7" ht="18.95" customHeight="1" x14ac:dyDescent="0.2">
      <c r="A513" s="148"/>
      <c r="B513" s="334"/>
      <c r="C513" s="142"/>
      <c r="D513" s="150"/>
      <c r="E513" s="141"/>
      <c r="F513" s="141"/>
      <c r="G513" s="341"/>
    </row>
    <row r="514" spans="1:7" ht="18.95" customHeight="1" x14ac:dyDescent="0.2">
      <c r="A514" s="735" t="s">
        <v>582</v>
      </c>
      <c r="B514" s="736"/>
      <c r="C514" s="737" t="s">
        <v>0</v>
      </c>
      <c r="D514" s="743" t="s">
        <v>1053</v>
      </c>
      <c r="E514" s="743" t="s">
        <v>1706</v>
      </c>
      <c r="F514" s="743" t="s">
        <v>1054</v>
      </c>
      <c r="G514" s="743" t="s">
        <v>1055</v>
      </c>
    </row>
    <row r="515" spans="1:7" ht="18.95" customHeight="1" x14ac:dyDescent="0.2">
      <c r="A515" s="154" t="s">
        <v>583</v>
      </c>
      <c r="B515" s="155" t="s">
        <v>584</v>
      </c>
      <c r="C515" s="738"/>
      <c r="D515" s="742"/>
      <c r="E515" s="742"/>
      <c r="F515" s="744"/>
      <c r="G515" s="742"/>
    </row>
    <row r="516" spans="1:7" ht="18.95" customHeight="1" x14ac:dyDescent="0.2">
      <c r="A516" s="156"/>
      <c r="B516" s="142"/>
      <c r="C516" s="157" t="s">
        <v>1041</v>
      </c>
      <c r="D516" s="150"/>
      <c r="E516" s="142"/>
      <c r="F516" s="142"/>
      <c r="G516" s="342"/>
    </row>
    <row r="517" spans="1:7" ht="18.95" customHeight="1" x14ac:dyDescent="0.2">
      <c r="A517" s="348" t="str">
        <f t="shared" ref="A517:A524" si="143">IFERROR(VLOOKUP(C517,Tabla_Insumos,4,FALSE),"")</f>
        <v/>
      </c>
      <c r="B517" s="290" t="str">
        <f t="shared" ref="B517:B524" si="144">IFERROR(VLOOKUP(C517,Tabla_Insumos,5,FALSE),"")</f>
        <v/>
      </c>
      <c r="C517" s="290"/>
      <c r="D517" s="607">
        <f t="shared" ref="D517:D524" si="145">IFERROR(VLOOKUP(C517,Tabla_Insumos,3,FALSE),0)</f>
        <v>0</v>
      </c>
      <c r="E517" s="349">
        <f>D517*$G$21</f>
        <v>0</v>
      </c>
      <c r="F517" s="350">
        <f>IF(C517="",0,D512)</f>
        <v>0</v>
      </c>
      <c r="G517" s="347">
        <f>IFERROR(ROUND(E517/F517,2),0)</f>
        <v>0</v>
      </c>
    </row>
    <row r="518" spans="1:7" ht="18.95" customHeight="1" x14ac:dyDescent="0.2">
      <c r="A518" s="348" t="str">
        <f t="shared" si="143"/>
        <v/>
      </c>
      <c r="B518" s="290" t="str">
        <f t="shared" si="144"/>
        <v/>
      </c>
      <c r="C518" s="321"/>
      <c r="D518" s="607">
        <f t="shared" si="145"/>
        <v>0</v>
      </c>
      <c r="E518" s="349">
        <f t="shared" ref="E518:E519" si="146">D518*$G$21</f>
        <v>0</v>
      </c>
      <c r="F518" s="350">
        <f t="shared" ref="F518:F521" si="147">IF(C518="",0,F517)</f>
        <v>0</v>
      </c>
      <c r="G518" s="347">
        <f t="shared" ref="G518:G524" si="148">IFERROR(ROUND(E518/F518,2),0)</f>
        <v>0</v>
      </c>
    </row>
    <row r="519" spans="1:7" ht="18.95" customHeight="1" x14ac:dyDescent="0.2">
      <c r="A519" s="348" t="str">
        <f t="shared" si="143"/>
        <v/>
      </c>
      <c r="B519" s="290" t="str">
        <f t="shared" si="144"/>
        <v/>
      </c>
      <c r="C519" s="321"/>
      <c r="D519" s="607">
        <f t="shared" si="145"/>
        <v>0</v>
      </c>
      <c r="E519" s="349">
        <f t="shared" si="146"/>
        <v>0</v>
      </c>
      <c r="F519" s="350">
        <f t="shared" si="147"/>
        <v>0</v>
      </c>
      <c r="G519" s="347">
        <f t="shared" si="148"/>
        <v>0</v>
      </c>
    </row>
    <row r="520" spans="1:7" ht="18.95" customHeight="1" x14ac:dyDescent="0.2">
      <c r="A520" s="348" t="str">
        <f t="shared" si="143"/>
        <v/>
      </c>
      <c r="B520" s="290" t="str">
        <f t="shared" si="144"/>
        <v/>
      </c>
      <c r="C520" s="321"/>
      <c r="D520" s="607">
        <f t="shared" si="145"/>
        <v>0</v>
      </c>
      <c r="E520" s="349">
        <f>D520*$E$21</f>
        <v>0</v>
      </c>
      <c r="F520" s="350">
        <f t="shared" si="147"/>
        <v>0</v>
      </c>
      <c r="G520" s="347">
        <f t="shared" si="148"/>
        <v>0</v>
      </c>
    </row>
    <row r="521" spans="1:7" ht="18.95" customHeight="1" x14ac:dyDescent="0.2">
      <c r="A521" s="348" t="str">
        <f t="shared" si="143"/>
        <v/>
      </c>
      <c r="B521" s="290" t="str">
        <f t="shared" si="144"/>
        <v/>
      </c>
      <c r="C521" s="321"/>
      <c r="D521" s="607">
        <f t="shared" si="145"/>
        <v>0</v>
      </c>
      <c r="E521" s="349">
        <f>D521*$E$21</f>
        <v>0</v>
      </c>
      <c r="F521" s="350">
        <f t="shared" si="147"/>
        <v>0</v>
      </c>
      <c r="G521" s="347">
        <f t="shared" si="148"/>
        <v>0</v>
      </c>
    </row>
    <row r="522" spans="1:7" ht="18.95" customHeight="1" x14ac:dyDescent="0.2">
      <c r="A522" s="348" t="str">
        <f t="shared" si="143"/>
        <v/>
      </c>
      <c r="B522" s="290" t="str">
        <f t="shared" si="144"/>
        <v/>
      </c>
      <c r="C522" s="321"/>
      <c r="D522" s="607">
        <f t="shared" si="145"/>
        <v>0</v>
      </c>
      <c r="E522" s="349"/>
      <c r="F522" s="350">
        <f>IF(C522="",0,F521)</f>
        <v>0</v>
      </c>
      <c r="G522" s="347">
        <f t="shared" si="148"/>
        <v>0</v>
      </c>
    </row>
    <row r="523" spans="1:7" ht="18.95" customHeight="1" x14ac:dyDescent="0.2">
      <c r="A523" s="348" t="str">
        <f t="shared" si="143"/>
        <v/>
      </c>
      <c r="B523" s="290" t="str">
        <f t="shared" si="144"/>
        <v/>
      </c>
      <c r="C523" s="321"/>
      <c r="D523" s="607">
        <f t="shared" si="145"/>
        <v>0</v>
      </c>
      <c r="E523" s="349"/>
      <c r="F523" s="350">
        <f t="shared" ref="F523:F524" si="149">IF(C523="",0,F522)</f>
        <v>0</v>
      </c>
      <c r="G523" s="347">
        <f t="shared" si="148"/>
        <v>0</v>
      </c>
    </row>
    <row r="524" spans="1:7" ht="18.95" customHeight="1" x14ac:dyDescent="0.2">
      <c r="A524" s="348" t="str">
        <f t="shared" si="143"/>
        <v/>
      </c>
      <c r="B524" s="290" t="str">
        <f t="shared" si="144"/>
        <v/>
      </c>
      <c r="C524" s="321"/>
      <c r="D524" s="607">
        <f t="shared" si="145"/>
        <v>0</v>
      </c>
      <c r="E524" s="349"/>
      <c r="F524" s="350">
        <f t="shared" si="149"/>
        <v>0</v>
      </c>
      <c r="G524" s="347">
        <f t="shared" si="148"/>
        <v>0</v>
      </c>
    </row>
    <row r="525" spans="1:7" ht="18.95" customHeight="1" x14ac:dyDescent="0.2">
      <c r="A525" s="353"/>
      <c r="B525" s="149"/>
      <c r="C525" s="142"/>
      <c r="D525" s="150"/>
      <c r="E525" s="143"/>
      <c r="F525" s="354" t="s">
        <v>29</v>
      </c>
      <c r="G525" s="355">
        <f>SUBTOTAL(9,G517:G524)</f>
        <v>0</v>
      </c>
    </row>
    <row r="526" spans="1:7" ht="18.95" customHeight="1" x14ac:dyDescent="0.2">
      <c r="A526" s="156"/>
      <c r="B526" s="142"/>
      <c r="C526" s="157" t="s">
        <v>722</v>
      </c>
      <c r="D526" s="150"/>
      <c r="E526" s="327"/>
      <c r="F526" s="327"/>
      <c r="G526" s="342"/>
    </row>
    <row r="527" spans="1:7" ht="18.95" customHeight="1" x14ac:dyDescent="0.2">
      <c r="A527" s="735" t="s">
        <v>582</v>
      </c>
      <c r="B527" s="736"/>
      <c r="C527" s="737" t="s">
        <v>0</v>
      </c>
      <c r="D527" s="739" t="s">
        <v>26</v>
      </c>
      <c r="E527" s="743" t="s">
        <v>1707</v>
      </c>
      <c r="F527" s="741" t="s">
        <v>1040</v>
      </c>
      <c r="G527" s="733" t="s">
        <v>28</v>
      </c>
    </row>
    <row r="528" spans="1:7" ht="18.95" customHeight="1" x14ac:dyDescent="0.2">
      <c r="A528" s="154" t="s">
        <v>583</v>
      </c>
      <c r="B528" s="155" t="s">
        <v>584</v>
      </c>
      <c r="C528" s="738"/>
      <c r="D528" s="740"/>
      <c r="E528" s="742"/>
      <c r="F528" s="742"/>
      <c r="G528" s="734"/>
    </row>
    <row r="529" spans="1:7" ht="18.95" customHeight="1" x14ac:dyDescent="0.2">
      <c r="A529" s="348" t="str">
        <f t="shared" ref="A529:A534" si="150">IFERROR(VLOOKUP(C529,Tabla_Insumos,4,FALSE),"")</f>
        <v/>
      </c>
      <c r="B529" s="290" t="str">
        <f t="shared" ref="B529:B534" si="151">IFERROR(VLOOKUP(C529,Tabla_Insumos,5,FALSE),"")</f>
        <v/>
      </c>
      <c r="C529" s="291"/>
      <c r="D529" s="293"/>
      <c r="E529" s="346">
        <f t="shared" ref="E529:E534" si="152">IFERROR(VLOOKUP(C529,Tabla_Insumos,3,FALSE),0)</f>
        <v>0</v>
      </c>
      <c r="F529" s="349">
        <f>IF(C529="",0,D512)</f>
        <v>0</v>
      </c>
      <c r="G529" s="347">
        <f t="shared" ref="G529:G534" si="153">IFERROR(ROUND(D529*E529/F529,2),0)</f>
        <v>0</v>
      </c>
    </row>
    <row r="530" spans="1:7" ht="18.95" customHeight="1" x14ac:dyDescent="0.2">
      <c r="A530" s="348" t="str">
        <f t="shared" si="150"/>
        <v/>
      </c>
      <c r="B530" s="290" t="str">
        <f t="shared" si="151"/>
        <v/>
      </c>
      <c r="C530" s="290"/>
      <c r="D530" s="293"/>
      <c r="E530" s="346">
        <f t="shared" si="152"/>
        <v>0</v>
      </c>
      <c r="F530" s="349">
        <f>IF(C530="",0,F529)</f>
        <v>0</v>
      </c>
      <c r="G530" s="347">
        <f t="shared" si="153"/>
        <v>0</v>
      </c>
    </row>
    <row r="531" spans="1:7" ht="18.95" customHeight="1" x14ac:dyDescent="0.2">
      <c r="A531" s="348" t="str">
        <f t="shared" si="150"/>
        <v/>
      </c>
      <c r="B531" s="290" t="str">
        <f t="shared" si="151"/>
        <v/>
      </c>
      <c r="C531" s="290"/>
      <c r="D531" s="293"/>
      <c r="E531" s="346">
        <f t="shared" si="152"/>
        <v>0</v>
      </c>
      <c r="F531" s="349">
        <f>IF(C531="",0,F530)</f>
        <v>0</v>
      </c>
      <c r="G531" s="347">
        <f t="shared" si="153"/>
        <v>0</v>
      </c>
    </row>
    <row r="532" spans="1:7" ht="18.95" customHeight="1" x14ac:dyDescent="0.2">
      <c r="A532" s="348" t="str">
        <f t="shared" si="150"/>
        <v/>
      </c>
      <c r="B532" s="290" t="str">
        <f t="shared" si="151"/>
        <v/>
      </c>
      <c r="C532" s="290"/>
      <c r="D532" s="293"/>
      <c r="E532" s="346">
        <f t="shared" si="152"/>
        <v>0</v>
      </c>
      <c r="F532" s="349">
        <f>IF(C532="",0,F531)</f>
        <v>0</v>
      </c>
      <c r="G532" s="347">
        <f t="shared" si="153"/>
        <v>0</v>
      </c>
    </row>
    <row r="533" spans="1:7" ht="18.95" customHeight="1" x14ac:dyDescent="0.2">
      <c r="A533" s="348" t="str">
        <f t="shared" si="150"/>
        <v/>
      </c>
      <c r="B533" s="290" t="str">
        <f t="shared" si="151"/>
        <v/>
      </c>
      <c r="C533" s="290"/>
      <c r="D533" s="351"/>
      <c r="E533" s="346">
        <f t="shared" si="152"/>
        <v>0</v>
      </c>
      <c r="F533" s="349">
        <f>IF(C533="",0,F532)</f>
        <v>0</v>
      </c>
      <c r="G533" s="347">
        <f t="shared" si="153"/>
        <v>0</v>
      </c>
    </row>
    <row r="534" spans="1:7" ht="18.95" customHeight="1" x14ac:dyDescent="0.2">
      <c r="A534" s="348" t="str">
        <f t="shared" si="150"/>
        <v/>
      </c>
      <c r="B534" s="290" t="str">
        <f t="shared" si="151"/>
        <v/>
      </c>
      <c r="C534" s="290"/>
      <c r="D534" s="293"/>
      <c r="E534" s="346">
        <f t="shared" si="152"/>
        <v>0</v>
      </c>
      <c r="F534" s="349">
        <f>IF(C534="",0,F533)</f>
        <v>0</v>
      </c>
      <c r="G534" s="347">
        <f t="shared" si="153"/>
        <v>0</v>
      </c>
    </row>
    <row r="535" spans="1:7" ht="18.95" customHeight="1" x14ac:dyDescent="0.2">
      <c r="A535" s="353"/>
      <c r="B535" s="149"/>
      <c r="C535" s="142"/>
      <c r="D535" s="150"/>
      <c r="E535" s="143"/>
      <c r="F535" s="356" t="s">
        <v>30</v>
      </c>
      <c r="G535" s="355">
        <f>SUBTOTAL(9,G529:G534)</f>
        <v>0</v>
      </c>
    </row>
    <row r="536" spans="1:7" ht="18.95" customHeight="1" x14ac:dyDescent="0.2">
      <c r="A536" s="156"/>
      <c r="B536" s="142"/>
      <c r="C536" s="157" t="s">
        <v>1047</v>
      </c>
      <c r="D536" s="150"/>
      <c r="E536" s="327"/>
      <c r="F536" s="327"/>
      <c r="G536" s="342"/>
    </row>
    <row r="537" spans="1:7" ht="18.95" customHeight="1" x14ac:dyDescent="0.2">
      <c r="A537" s="735" t="s">
        <v>582</v>
      </c>
      <c r="B537" s="736"/>
      <c r="C537" s="737" t="s">
        <v>0</v>
      </c>
      <c r="D537" s="737" t="s">
        <v>1655</v>
      </c>
      <c r="E537" s="737" t="s">
        <v>26</v>
      </c>
      <c r="F537" s="737" t="s">
        <v>27</v>
      </c>
      <c r="G537" s="733" t="s">
        <v>28</v>
      </c>
    </row>
    <row r="538" spans="1:7" ht="18.95" customHeight="1" x14ac:dyDescent="0.2">
      <c r="A538" s="154" t="s">
        <v>583</v>
      </c>
      <c r="B538" s="155" t="s">
        <v>584</v>
      </c>
      <c r="C538" s="738"/>
      <c r="D538" s="738"/>
      <c r="E538" s="738"/>
      <c r="F538" s="738"/>
      <c r="G538" s="734"/>
    </row>
    <row r="539" spans="1:7" ht="18.95" customHeight="1" x14ac:dyDescent="0.2">
      <c r="A539" s="348" t="str">
        <f t="shared" ref="A539:A550" si="154">IFERROR(VLOOKUP(C539,Tabla_Insumos,4,FALSE),"")</f>
        <v/>
      </c>
      <c r="B539" s="290" t="str">
        <f t="shared" ref="B539:B550" si="155">IFERROR(VLOOKUP(C539,Tabla_Insumos,5,FALSE),"")</f>
        <v/>
      </c>
      <c r="C539" s="290"/>
      <c r="D539" s="608">
        <f t="shared" ref="D539:D550" si="156">IFERROR(VLOOKUP(C539,Tabla_Insumos,2,FALSE),0)</f>
        <v>0</v>
      </c>
      <c r="E539" s="293"/>
      <c r="F539" s="346">
        <f t="shared" ref="F539:F550" si="157">IFERROR(VLOOKUP(C539,Tabla_Insumos,3,FALSE),0)</f>
        <v>0</v>
      </c>
      <c r="G539" s="347">
        <f t="shared" ref="G539:G550" si="158">ROUND(E539*F539,2)</f>
        <v>0</v>
      </c>
    </row>
    <row r="540" spans="1:7" ht="18.95" customHeight="1" x14ac:dyDescent="0.2">
      <c r="A540" s="348" t="str">
        <f t="shared" si="154"/>
        <v/>
      </c>
      <c r="B540" s="290" t="str">
        <f t="shared" si="155"/>
        <v/>
      </c>
      <c r="C540" s="126"/>
      <c r="D540" s="608">
        <f t="shared" si="156"/>
        <v>0</v>
      </c>
      <c r="E540" s="293"/>
      <c r="F540" s="346">
        <f t="shared" si="157"/>
        <v>0</v>
      </c>
      <c r="G540" s="347">
        <f t="shared" si="158"/>
        <v>0</v>
      </c>
    </row>
    <row r="541" spans="1:7" ht="18.95" customHeight="1" x14ac:dyDescent="0.2">
      <c r="A541" s="348" t="str">
        <f t="shared" si="154"/>
        <v/>
      </c>
      <c r="B541" s="290" t="str">
        <f t="shared" si="155"/>
        <v/>
      </c>
      <c r="C541" s="290"/>
      <c r="D541" s="608">
        <f t="shared" si="156"/>
        <v>0</v>
      </c>
      <c r="E541" s="293"/>
      <c r="F541" s="346">
        <f t="shared" si="157"/>
        <v>0</v>
      </c>
      <c r="G541" s="347">
        <f t="shared" si="158"/>
        <v>0</v>
      </c>
    </row>
    <row r="542" spans="1:7" ht="18.95" customHeight="1" x14ac:dyDescent="0.2">
      <c r="A542" s="348" t="str">
        <f t="shared" si="154"/>
        <v/>
      </c>
      <c r="B542" s="290" t="str">
        <f t="shared" si="155"/>
        <v/>
      </c>
      <c r="C542" s="290"/>
      <c r="D542" s="608">
        <f t="shared" si="156"/>
        <v>0</v>
      </c>
      <c r="E542" s="293"/>
      <c r="F542" s="346">
        <f t="shared" si="157"/>
        <v>0</v>
      </c>
      <c r="G542" s="347">
        <f t="shared" si="158"/>
        <v>0</v>
      </c>
    </row>
    <row r="543" spans="1:7" ht="18.95" customHeight="1" x14ac:dyDescent="0.2">
      <c r="A543" s="348" t="str">
        <f t="shared" si="154"/>
        <v/>
      </c>
      <c r="B543" s="290" t="str">
        <f t="shared" si="155"/>
        <v/>
      </c>
      <c r="C543" s="290"/>
      <c r="D543" s="608">
        <f t="shared" si="156"/>
        <v>0</v>
      </c>
      <c r="E543" s="293"/>
      <c r="F543" s="346">
        <f t="shared" si="157"/>
        <v>0</v>
      </c>
      <c r="G543" s="347">
        <f t="shared" si="158"/>
        <v>0</v>
      </c>
    </row>
    <row r="544" spans="1:7" ht="18.95" customHeight="1" x14ac:dyDescent="0.2">
      <c r="A544" s="348" t="str">
        <f t="shared" si="154"/>
        <v/>
      </c>
      <c r="B544" s="290" t="str">
        <f t="shared" si="155"/>
        <v/>
      </c>
      <c r="C544" s="290"/>
      <c r="D544" s="608">
        <f t="shared" si="156"/>
        <v>0</v>
      </c>
      <c r="E544" s="293"/>
      <c r="F544" s="346">
        <f t="shared" si="157"/>
        <v>0</v>
      </c>
      <c r="G544" s="347">
        <f t="shared" si="158"/>
        <v>0</v>
      </c>
    </row>
    <row r="545" spans="1:7" ht="18.95" customHeight="1" x14ac:dyDescent="0.2">
      <c r="A545" s="348" t="str">
        <f t="shared" si="154"/>
        <v/>
      </c>
      <c r="B545" s="290" t="str">
        <f t="shared" si="155"/>
        <v/>
      </c>
      <c r="C545" s="290"/>
      <c r="D545" s="608">
        <f t="shared" si="156"/>
        <v>0</v>
      </c>
      <c r="E545" s="293"/>
      <c r="F545" s="346">
        <f t="shared" si="157"/>
        <v>0</v>
      </c>
      <c r="G545" s="347">
        <f t="shared" si="158"/>
        <v>0</v>
      </c>
    </row>
    <row r="546" spans="1:7" s="295" customFormat="1" ht="18.95" customHeight="1" x14ac:dyDescent="0.2">
      <c r="A546" s="348" t="str">
        <f t="shared" si="154"/>
        <v/>
      </c>
      <c r="B546" s="290" t="str">
        <f t="shared" si="155"/>
        <v/>
      </c>
      <c r="C546" s="290"/>
      <c r="D546" s="608">
        <f t="shared" si="156"/>
        <v>0</v>
      </c>
      <c r="E546" s="323"/>
      <c r="F546" s="346">
        <f t="shared" si="157"/>
        <v>0</v>
      </c>
      <c r="G546" s="347">
        <f t="shared" si="158"/>
        <v>0</v>
      </c>
    </row>
    <row r="547" spans="1:7" ht="18.95" customHeight="1" x14ac:dyDescent="0.2">
      <c r="A547" s="348" t="str">
        <f t="shared" si="154"/>
        <v/>
      </c>
      <c r="B547" s="290" t="str">
        <f t="shared" si="155"/>
        <v/>
      </c>
      <c r="C547" s="290"/>
      <c r="D547" s="608">
        <f t="shared" si="156"/>
        <v>0</v>
      </c>
      <c r="E547" s="293"/>
      <c r="F547" s="346">
        <f t="shared" si="157"/>
        <v>0</v>
      </c>
      <c r="G547" s="347">
        <f t="shared" si="158"/>
        <v>0</v>
      </c>
    </row>
    <row r="548" spans="1:7" ht="18.95" customHeight="1" x14ac:dyDescent="0.2">
      <c r="A548" s="348" t="str">
        <f t="shared" si="154"/>
        <v/>
      </c>
      <c r="B548" s="290" t="str">
        <f t="shared" si="155"/>
        <v/>
      </c>
      <c r="C548" s="290"/>
      <c r="D548" s="608">
        <f t="shared" si="156"/>
        <v>0</v>
      </c>
      <c r="E548" s="293"/>
      <c r="F548" s="346">
        <f t="shared" si="157"/>
        <v>0</v>
      </c>
      <c r="G548" s="347">
        <f t="shared" si="158"/>
        <v>0</v>
      </c>
    </row>
    <row r="549" spans="1:7" ht="18.95" customHeight="1" x14ac:dyDescent="0.2">
      <c r="A549" s="348" t="str">
        <f t="shared" si="154"/>
        <v/>
      </c>
      <c r="B549" s="290" t="str">
        <f t="shared" si="155"/>
        <v/>
      </c>
      <c r="C549" s="290"/>
      <c r="D549" s="608">
        <f t="shared" si="156"/>
        <v>0</v>
      </c>
      <c r="E549" s="293"/>
      <c r="F549" s="346">
        <f t="shared" si="157"/>
        <v>0</v>
      </c>
      <c r="G549" s="347">
        <f t="shared" si="158"/>
        <v>0</v>
      </c>
    </row>
    <row r="550" spans="1:7" ht="18.95" customHeight="1" x14ac:dyDescent="0.2">
      <c r="A550" s="348" t="str">
        <f t="shared" si="154"/>
        <v/>
      </c>
      <c r="B550" s="290" t="str">
        <f t="shared" si="155"/>
        <v/>
      </c>
      <c r="C550" s="290"/>
      <c r="D550" s="608">
        <f t="shared" si="156"/>
        <v>0</v>
      </c>
      <c r="E550" s="293"/>
      <c r="F550" s="346">
        <f t="shared" si="157"/>
        <v>0</v>
      </c>
      <c r="G550" s="347">
        <f t="shared" si="158"/>
        <v>0</v>
      </c>
    </row>
    <row r="551" spans="1:7" ht="18.95" customHeight="1" x14ac:dyDescent="0.2">
      <c r="A551" s="156"/>
      <c r="B551" s="142"/>
      <c r="C551" s="142"/>
      <c r="D551" s="150"/>
      <c r="E551" s="143"/>
      <c r="F551" s="356" t="s">
        <v>31</v>
      </c>
      <c r="G551" s="355">
        <f>SUBTOTAL(9,G539:G550)</f>
        <v>0</v>
      </c>
    </row>
    <row r="552" spans="1:7" ht="18.95" customHeight="1" x14ac:dyDescent="0.2">
      <c r="A552" s="156"/>
      <c r="B552" s="142"/>
      <c r="C552" s="157" t="s">
        <v>1048</v>
      </c>
      <c r="D552" s="150"/>
      <c r="E552" s="327"/>
      <c r="F552" s="327"/>
      <c r="G552" s="342"/>
    </row>
    <row r="553" spans="1:7" ht="18.95" customHeight="1" x14ac:dyDescent="0.2">
      <c r="A553" s="735" t="s">
        <v>582</v>
      </c>
      <c r="B553" s="736"/>
      <c r="C553" s="737" t="s">
        <v>0</v>
      </c>
      <c r="D553" s="739" t="s">
        <v>1750</v>
      </c>
      <c r="E553" s="741" t="s">
        <v>26</v>
      </c>
      <c r="F553" s="741" t="s">
        <v>27</v>
      </c>
      <c r="G553" s="733" t="s">
        <v>28</v>
      </c>
    </row>
    <row r="554" spans="1:7" ht="18.95" customHeight="1" x14ac:dyDescent="0.2">
      <c r="A554" s="154" t="s">
        <v>583</v>
      </c>
      <c r="B554" s="155" t="s">
        <v>584</v>
      </c>
      <c r="C554" s="738"/>
      <c r="D554" s="740"/>
      <c r="E554" s="742"/>
      <c r="F554" s="742"/>
      <c r="G554" s="734"/>
    </row>
    <row r="555" spans="1:7" ht="18.95" customHeight="1" x14ac:dyDescent="0.2">
      <c r="A555" s="348" t="str">
        <f>IFERROR(VLOOKUP(C555,Tabla_Insumos,4,FALSE),"")</f>
        <v/>
      </c>
      <c r="B555" s="290" t="s">
        <v>4</v>
      </c>
      <c r="C555" s="290"/>
      <c r="D555" s="293"/>
      <c r="E555" s="322"/>
      <c r="F555" s="324"/>
      <c r="G555" s="347">
        <f t="shared" ref="G555" si="159">ROUND(E555*F555,2)</f>
        <v>0</v>
      </c>
    </row>
    <row r="556" spans="1:7" ht="18.95" customHeight="1" x14ac:dyDescent="0.2">
      <c r="A556" s="156"/>
      <c r="B556" s="142"/>
      <c r="C556" s="142"/>
      <c r="D556" s="150"/>
      <c r="E556" s="143"/>
      <c r="F556" s="356" t="s">
        <v>1049</v>
      </c>
      <c r="G556" s="355">
        <f>SUBTOTAL(9,G555:G555)</f>
        <v>0</v>
      </c>
    </row>
    <row r="557" spans="1:7" ht="18.95" customHeight="1" thickBot="1" x14ac:dyDescent="0.25">
      <c r="A557" s="158"/>
      <c r="B557" s="159"/>
      <c r="C557" s="160"/>
      <c r="D557" s="161"/>
      <c r="E557" s="357"/>
      <c r="F557" s="357"/>
      <c r="G557" s="358"/>
    </row>
    <row r="558" spans="1:7" ht="18.95" customHeight="1" x14ac:dyDescent="0.2">
      <c r="A558" s="359">
        <f>B497</f>
        <v>8</v>
      </c>
      <c r="B558" s="360" t="str">
        <f>C497</f>
        <v>RIEGO DE LIGA CON EMULSIÓN
CATIÓNICA E.R.1</v>
      </c>
      <c r="C558" s="361"/>
      <c r="D558" s="361"/>
      <c r="E558" s="361" t="s">
        <v>1050</v>
      </c>
      <c r="F558" s="362" t="str">
        <f>CONCATENATE("$/",G497)</f>
        <v>$/m2</v>
      </c>
      <c r="G558" s="363">
        <f>SUBTOTAL(9,G517:G557)</f>
        <v>0</v>
      </c>
    </row>
    <row r="559" spans="1:7" ht="18.95" customHeight="1" thickBot="1" x14ac:dyDescent="0.25">
      <c r="A559" s="364"/>
      <c r="B559" s="365"/>
      <c r="C559" s="365"/>
      <c r="D559" s="365"/>
      <c r="E559" s="366" t="s">
        <v>1051</v>
      </c>
      <c r="F559" s="367" t="str">
        <f>CONCATENATE("$/",G497)</f>
        <v>$/m2</v>
      </c>
      <c r="G559" s="368" t="e">
        <f ca="1">PrecioUnitario(G558,GG_Porcentaje,Beneficio,Ingresos_Brutos,IVA)</f>
        <v>#NAME?</v>
      </c>
    </row>
    <row r="560" spans="1:7" ht="18.95" customHeight="1" thickTop="1" thickBot="1" x14ac:dyDescent="0.25">
      <c r="F560" s="294"/>
      <c r="G560" s="294"/>
    </row>
    <row r="561" spans="1:8" ht="18.95" customHeight="1" thickTop="1" x14ac:dyDescent="0.2">
      <c r="A561" s="194" t="s">
        <v>33</v>
      </c>
      <c r="B561" s="195"/>
      <c r="C561" s="195"/>
      <c r="D561" s="195"/>
      <c r="E561" s="195"/>
      <c r="F561" s="195"/>
      <c r="G561" s="196"/>
      <c r="H561" s="143">
        <f>COUNTIF($A$1:A567,"ANALISIS DE PRECIOS")</f>
        <v>9</v>
      </c>
    </row>
    <row r="562" spans="1:8" ht="18.95" customHeight="1" x14ac:dyDescent="0.2">
      <c r="A562" s="144" t="s">
        <v>720</v>
      </c>
      <c r="B562" s="145" t="str">
        <f>Comitente</f>
        <v>DIRECCIÓN PROVINCIAL DE VIALIDAD</v>
      </c>
      <c r="C562" s="139"/>
      <c r="D562" s="146"/>
      <c r="E562" s="325"/>
      <c r="F562" s="325"/>
      <c r="G562" s="326"/>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PAVIMENTACION Y ENSANCHE DE RUTA PROVINCIAL N°7 AV. JOAQUIN UÑAC</v>
      </c>
      <c r="C564" s="140"/>
      <c r="D564" s="140"/>
      <c r="E564" s="143"/>
      <c r="F564" s="145" t="s">
        <v>34</v>
      </c>
      <c r="G564" s="147">
        <f>Fecha_Base</f>
        <v>43444</v>
      </c>
      <c r="H564" s="143"/>
    </row>
    <row r="565" spans="1:8" ht="18.95" customHeight="1" x14ac:dyDescent="0.2">
      <c r="A565" s="148" t="s">
        <v>719</v>
      </c>
      <c r="B565" s="141" t="str">
        <f>Ubicación</f>
        <v>DEPARTAMENTO POCITO</v>
      </c>
      <c r="C565" s="141"/>
      <c r="D565" s="150"/>
      <c r="E565" s="143"/>
      <c r="F565" s="327"/>
      <c r="G565" s="328"/>
      <c r="H565" s="143"/>
    </row>
    <row r="566" spans="1:8" ht="18.95" customHeight="1" x14ac:dyDescent="0.2">
      <c r="A566" s="148" t="s">
        <v>35</v>
      </c>
      <c r="B566" s="151" t="str">
        <f>IFERROR(VALUE(LEFT(B567,FIND("-",B567)-1)),"")</f>
        <v/>
      </c>
      <c r="C566" s="142" t="str">
        <f>IFERROR(VLOOKUP(B566,Tabla_CyP,2,FALSE),"")</f>
        <v/>
      </c>
      <c r="D566" s="150"/>
      <c r="E566" s="143"/>
      <c r="F566" s="327"/>
      <c r="G566" s="328"/>
      <c r="H566" s="143"/>
    </row>
    <row r="567" spans="1:8" ht="18.95" customHeight="1" x14ac:dyDescent="0.2">
      <c r="A567" s="148" t="s">
        <v>24</v>
      </c>
      <c r="B567" s="152">
        <f>IFERROR(VLOOKUP(COUNTIF($A$1:A567,"ANALISIS DE PRECIOS"),Tabla_NumeroItem,4,FALSE),"")</f>
        <v>9</v>
      </c>
      <c r="C567" s="745" t="str">
        <f>IFERROR(VLOOKUP(B567,Tabla_CyP,2,FALSE),"")</f>
        <v>CARPETA CON MEZCLA BITUMINOSA TIPO CONCRETO ASFÁLTICO
Incluído materiales, colocación y transporte. En 0,05m de espesor</v>
      </c>
      <c r="D567" s="745"/>
      <c r="E567" s="745"/>
      <c r="F567" s="141" t="s">
        <v>25</v>
      </c>
      <c r="G567" s="153" t="str">
        <f>IFERROR(VLOOKUP(B567,Tabla_CyP,4,FALSE),"")</f>
        <v>m2</v>
      </c>
      <c r="H567" s="143"/>
    </row>
    <row r="568" spans="1:8" ht="18.95" customHeight="1" x14ac:dyDescent="0.2">
      <c r="A568" s="148"/>
      <c r="B568" s="141"/>
      <c r="C568" s="142"/>
      <c r="D568" s="150"/>
      <c r="E568" s="142"/>
      <c r="F568" s="142"/>
      <c r="G568" s="329"/>
      <c r="H568" s="143"/>
    </row>
    <row r="569" spans="1:8" ht="18.95" customHeight="1" x14ac:dyDescent="0.2">
      <c r="A569" s="330"/>
      <c r="B569" s="331"/>
      <c r="C569" s="332" t="s">
        <v>1032</v>
      </c>
      <c r="D569" s="331"/>
      <c r="E569" s="331"/>
      <c r="F569" s="331"/>
      <c r="G569" s="333"/>
      <c r="H569" s="143"/>
    </row>
    <row r="570" spans="1:8" ht="18.95" customHeight="1" x14ac:dyDescent="0.2">
      <c r="A570" s="148"/>
      <c r="B570" s="334"/>
      <c r="C570" s="335" t="s">
        <v>1033</v>
      </c>
      <c r="D570" s="336" t="s">
        <v>26</v>
      </c>
      <c r="E570" s="336" t="s">
        <v>1034</v>
      </c>
      <c r="F570" s="336" t="s">
        <v>1035</v>
      </c>
      <c r="G570" s="337" t="s">
        <v>1036</v>
      </c>
      <c r="H570" s="143"/>
    </row>
    <row r="571" spans="1:8" ht="18.95" customHeight="1" x14ac:dyDescent="0.2">
      <c r="A571" s="343"/>
      <c r="B571" s="344"/>
      <c r="C571" s="290"/>
      <c r="D571" s="293"/>
      <c r="E571" s="345"/>
      <c r="F571" s="346"/>
      <c r="G571" s="347">
        <f t="shared" ref="G571:G580" si="160">ROUND(D571*F571,2)</f>
        <v>0</v>
      </c>
    </row>
    <row r="572" spans="1:8" ht="18.95" customHeight="1" x14ac:dyDescent="0.2">
      <c r="A572" s="343"/>
      <c r="B572" s="344"/>
      <c r="C572" s="290"/>
      <c r="D572" s="293"/>
      <c r="E572" s="345"/>
      <c r="F572" s="346"/>
      <c r="G572" s="347">
        <f t="shared" si="160"/>
        <v>0</v>
      </c>
    </row>
    <row r="573" spans="1:8" ht="18.95" customHeight="1" x14ac:dyDescent="0.2">
      <c r="A573" s="343"/>
      <c r="B573" s="344"/>
      <c r="C573" s="290"/>
      <c r="D573" s="293"/>
      <c r="E573" s="345">
        <f t="shared" ref="E573:E580" si="161">IFERROR(VLOOKUP(C573,T_Equipos,4,FALSE),0)</f>
        <v>0</v>
      </c>
      <c r="F573" s="346">
        <f t="shared" ref="F573:F580" si="162">IFERROR(VLOOKUP(C573,T_Equipos,11,FALSE),0)</f>
        <v>0</v>
      </c>
      <c r="G573" s="347">
        <f t="shared" si="160"/>
        <v>0</v>
      </c>
    </row>
    <row r="574" spans="1:8" ht="18.95" customHeight="1" x14ac:dyDescent="0.2">
      <c r="A574" s="343"/>
      <c r="B574" s="344"/>
      <c r="C574" s="290"/>
      <c r="D574" s="293"/>
      <c r="E574" s="345">
        <f t="shared" si="161"/>
        <v>0</v>
      </c>
      <c r="F574" s="346">
        <f t="shared" si="162"/>
        <v>0</v>
      </c>
      <c r="G574" s="347">
        <f t="shared" si="160"/>
        <v>0</v>
      </c>
    </row>
    <row r="575" spans="1:8" ht="18.95" customHeight="1" x14ac:dyDescent="0.2">
      <c r="A575" s="343"/>
      <c r="B575" s="344"/>
      <c r="C575" s="290"/>
      <c r="D575" s="293"/>
      <c r="E575" s="345">
        <f t="shared" si="161"/>
        <v>0</v>
      </c>
      <c r="F575" s="346">
        <f t="shared" si="162"/>
        <v>0</v>
      </c>
      <c r="G575" s="347">
        <f t="shared" si="160"/>
        <v>0</v>
      </c>
    </row>
    <row r="576" spans="1:8" ht="18.95" customHeight="1" x14ac:dyDescent="0.2">
      <c r="A576" s="343"/>
      <c r="B576" s="344"/>
      <c r="C576" s="290"/>
      <c r="D576" s="293"/>
      <c r="E576" s="345">
        <f t="shared" si="161"/>
        <v>0</v>
      </c>
      <c r="F576" s="346">
        <f t="shared" si="162"/>
        <v>0</v>
      </c>
      <c r="G576" s="347">
        <f t="shared" si="160"/>
        <v>0</v>
      </c>
    </row>
    <row r="577" spans="1:7" ht="18.95" customHeight="1" x14ac:dyDescent="0.2">
      <c r="A577" s="343"/>
      <c r="B577" s="344"/>
      <c r="C577" s="290"/>
      <c r="D577" s="293"/>
      <c r="E577" s="345">
        <f t="shared" si="161"/>
        <v>0</v>
      </c>
      <c r="F577" s="346">
        <f t="shared" si="162"/>
        <v>0</v>
      </c>
      <c r="G577" s="347">
        <f t="shared" si="160"/>
        <v>0</v>
      </c>
    </row>
    <row r="578" spans="1:7" ht="18.95" customHeight="1" x14ac:dyDescent="0.2">
      <c r="A578" s="343"/>
      <c r="B578" s="344"/>
      <c r="C578" s="290"/>
      <c r="D578" s="293"/>
      <c r="E578" s="345">
        <f t="shared" si="161"/>
        <v>0</v>
      </c>
      <c r="F578" s="346">
        <f t="shared" si="162"/>
        <v>0</v>
      </c>
      <c r="G578" s="347">
        <f t="shared" si="160"/>
        <v>0</v>
      </c>
    </row>
    <row r="579" spans="1:7" ht="18.95" customHeight="1" x14ac:dyDescent="0.2">
      <c r="A579" s="343"/>
      <c r="B579" s="344"/>
      <c r="C579" s="290"/>
      <c r="D579" s="293"/>
      <c r="E579" s="345">
        <f t="shared" si="161"/>
        <v>0</v>
      </c>
      <c r="F579" s="346">
        <f t="shared" si="162"/>
        <v>0</v>
      </c>
      <c r="G579" s="347">
        <f t="shared" si="160"/>
        <v>0</v>
      </c>
    </row>
    <row r="580" spans="1:7" ht="18.95" customHeight="1" thickBot="1" x14ac:dyDescent="0.25">
      <c r="A580" s="343"/>
      <c r="B580" s="344"/>
      <c r="C580" s="290"/>
      <c r="D580" s="293"/>
      <c r="E580" s="345">
        <f t="shared" si="161"/>
        <v>0</v>
      </c>
      <c r="F580" s="346">
        <f t="shared" si="162"/>
        <v>0</v>
      </c>
      <c r="G580" s="347">
        <f t="shared" si="160"/>
        <v>0</v>
      </c>
    </row>
    <row r="581" spans="1:7" ht="18.95" customHeight="1" thickBot="1" x14ac:dyDescent="0.25">
      <c r="A581" s="148"/>
      <c r="B581" s="334"/>
      <c r="C581" s="143"/>
      <c r="D581" s="146" t="s">
        <v>1037</v>
      </c>
      <c r="E581" s="338">
        <f>SUMPRODUCT(D571:D580,E571:E580)</f>
        <v>0</v>
      </c>
      <c r="F581" s="141" t="s">
        <v>1038</v>
      </c>
      <c r="G581" s="339">
        <f>SUM(G571:G580)</f>
        <v>0</v>
      </c>
    </row>
    <row r="582" spans="1:7" ht="18.95" customHeight="1" x14ac:dyDescent="0.2">
      <c r="A582" s="148"/>
      <c r="B582" s="334"/>
      <c r="C582" s="141" t="s">
        <v>1039</v>
      </c>
      <c r="D582" s="320"/>
      <c r="E582" s="340" t="str">
        <f>CONCATENATE(G567,"/día")</f>
        <v>m2/día</v>
      </c>
      <c r="F582" s="141"/>
      <c r="G582" s="341"/>
    </row>
    <row r="583" spans="1:7" ht="18.95" customHeight="1" x14ac:dyDescent="0.2">
      <c r="A583" s="148"/>
      <c r="B583" s="334"/>
      <c r="C583" s="142"/>
      <c r="D583" s="150"/>
      <c r="E583" s="141"/>
      <c r="F583" s="141"/>
      <c r="G583" s="341"/>
    </row>
    <row r="584" spans="1:7" ht="18.95" customHeight="1" x14ac:dyDescent="0.2">
      <c r="A584" s="735" t="s">
        <v>582</v>
      </c>
      <c r="B584" s="736"/>
      <c r="C584" s="737" t="s">
        <v>0</v>
      </c>
      <c r="D584" s="743" t="s">
        <v>1053</v>
      </c>
      <c r="E584" s="743" t="s">
        <v>1706</v>
      </c>
      <c r="F584" s="743" t="s">
        <v>1054</v>
      </c>
      <c r="G584" s="743" t="s">
        <v>1055</v>
      </c>
    </row>
    <row r="585" spans="1:7" ht="18.95" customHeight="1" x14ac:dyDescent="0.2">
      <c r="A585" s="154" t="s">
        <v>583</v>
      </c>
      <c r="B585" s="155" t="s">
        <v>584</v>
      </c>
      <c r="C585" s="738"/>
      <c r="D585" s="742"/>
      <c r="E585" s="742"/>
      <c r="F585" s="744"/>
      <c r="G585" s="742"/>
    </row>
    <row r="586" spans="1:7" ht="18.95" customHeight="1" x14ac:dyDescent="0.2">
      <c r="A586" s="156"/>
      <c r="B586" s="142"/>
      <c r="C586" s="157" t="s">
        <v>1041</v>
      </c>
      <c r="D586" s="150"/>
      <c r="E586" s="142"/>
      <c r="F586" s="142"/>
      <c r="G586" s="342"/>
    </row>
    <row r="587" spans="1:7" ht="18.95" customHeight="1" x14ac:dyDescent="0.2">
      <c r="A587" s="348" t="str">
        <f t="shared" ref="A587:A594" si="163">IFERROR(VLOOKUP(C587,Tabla_Insumos,4,FALSE),"")</f>
        <v/>
      </c>
      <c r="B587" s="290" t="str">
        <f t="shared" ref="B587:B594" si="164">IFERROR(VLOOKUP(C587,Tabla_Insumos,5,FALSE),"")</f>
        <v/>
      </c>
      <c r="C587" s="290"/>
      <c r="D587" s="607">
        <f t="shared" ref="D587:D594" si="165">IFERROR(VLOOKUP(C587,Tabla_Insumos,3,FALSE),0)</f>
        <v>0</v>
      </c>
      <c r="E587" s="349">
        <f>D587*$G$21</f>
        <v>0</v>
      </c>
      <c r="F587" s="350">
        <f>IF(C587="",0,D582)</f>
        <v>0</v>
      </c>
      <c r="G587" s="347">
        <f>IFERROR(ROUND(E587/F587,2),0)</f>
        <v>0</v>
      </c>
    </row>
    <row r="588" spans="1:7" ht="18.95" customHeight="1" x14ac:dyDescent="0.2">
      <c r="A588" s="348" t="str">
        <f t="shared" si="163"/>
        <v/>
      </c>
      <c r="B588" s="290" t="str">
        <f t="shared" si="164"/>
        <v/>
      </c>
      <c r="C588" s="321"/>
      <c r="D588" s="607">
        <f t="shared" si="165"/>
        <v>0</v>
      </c>
      <c r="E588" s="349">
        <f t="shared" ref="E588:E589" si="166">D588*$G$21</f>
        <v>0</v>
      </c>
      <c r="F588" s="350">
        <f t="shared" ref="F588:F591" si="167">IF(C588="",0,F587)</f>
        <v>0</v>
      </c>
      <c r="G588" s="347">
        <f t="shared" ref="G588:G594" si="168">IFERROR(ROUND(E588/F588,2),0)</f>
        <v>0</v>
      </c>
    </row>
    <row r="589" spans="1:7" ht="18.95" customHeight="1" x14ac:dyDescent="0.2">
      <c r="A589" s="348" t="str">
        <f t="shared" si="163"/>
        <v/>
      </c>
      <c r="B589" s="290" t="str">
        <f t="shared" si="164"/>
        <v/>
      </c>
      <c r="C589" s="321"/>
      <c r="D589" s="607">
        <f t="shared" si="165"/>
        <v>0</v>
      </c>
      <c r="E589" s="349">
        <f t="shared" si="166"/>
        <v>0</v>
      </c>
      <c r="F589" s="350">
        <f t="shared" si="167"/>
        <v>0</v>
      </c>
      <c r="G589" s="347">
        <f t="shared" si="168"/>
        <v>0</v>
      </c>
    </row>
    <row r="590" spans="1:7" ht="18.95" customHeight="1" x14ac:dyDescent="0.2">
      <c r="A590" s="348" t="str">
        <f t="shared" si="163"/>
        <v/>
      </c>
      <c r="B590" s="290" t="str">
        <f t="shared" si="164"/>
        <v/>
      </c>
      <c r="C590" s="321"/>
      <c r="D590" s="607">
        <f t="shared" si="165"/>
        <v>0</v>
      </c>
      <c r="E590" s="349">
        <f>D590*$E$21</f>
        <v>0</v>
      </c>
      <c r="F590" s="350">
        <f t="shared" si="167"/>
        <v>0</v>
      </c>
      <c r="G590" s="347">
        <f t="shared" si="168"/>
        <v>0</v>
      </c>
    </row>
    <row r="591" spans="1:7" ht="18.95" customHeight="1" x14ac:dyDescent="0.2">
      <c r="A591" s="348" t="str">
        <f t="shared" si="163"/>
        <v/>
      </c>
      <c r="B591" s="290" t="str">
        <f t="shared" si="164"/>
        <v/>
      </c>
      <c r="C591" s="321"/>
      <c r="D591" s="607">
        <f t="shared" si="165"/>
        <v>0</v>
      </c>
      <c r="E591" s="349">
        <f>D591*$E$21</f>
        <v>0</v>
      </c>
      <c r="F591" s="350">
        <f t="shared" si="167"/>
        <v>0</v>
      </c>
      <c r="G591" s="347">
        <f t="shared" si="168"/>
        <v>0</v>
      </c>
    </row>
    <row r="592" spans="1:7" ht="18.95" customHeight="1" x14ac:dyDescent="0.2">
      <c r="A592" s="348" t="str">
        <f t="shared" si="163"/>
        <v/>
      </c>
      <c r="B592" s="290" t="str">
        <f t="shared" si="164"/>
        <v/>
      </c>
      <c r="C592" s="321"/>
      <c r="D592" s="607">
        <f t="shared" si="165"/>
        <v>0</v>
      </c>
      <c r="E592" s="349"/>
      <c r="F592" s="350">
        <f>IF(C592="",0,F591)</f>
        <v>0</v>
      </c>
      <c r="G592" s="347">
        <f t="shared" si="168"/>
        <v>0</v>
      </c>
    </row>
    <row r="593" spans="1:7" ht="18.95" customHeight="1" x14ac:dyDescent="0.2">
      <c r="A593" s="348" t="str">
        <f t="shared" si="163"/>
        <v/>
      </c>
      <c r="B593" s="290" t="str">
        <f t="shared" si="164"/>
        <v/>
      </c>
      <c r="C593" s="321"/>
      <c r="D593" s="607">
        <f t="shared" si="165"/>
        <v>0</v>
      </c>
      <c r="E593" s="349"/>
      <c r="F593" s="350">
        <f t="shared" ref="F593:F594" si="169">IF(C593="",0,F592)</f>
        <v>0</v>
      </c>
      <c r="G593" s="347">
        <f t="shared" si="168"/>
        <v>0</v>
      </c>
    </row>
    <row r="594" spans="1:7" ht="18.95" customHeight="1" x14ac:dyDescent="0.2">
      <c r="A594" s="348" t="str">
        <f t="shared" si="163"/>
        <v/>
      </c>
      <c r="B594" s="290" t="str">
        <f t="shared" si="164"/>
        <v/>
      </c>
      <c r="C594" s="321"/>
      <c r="D594" s="607">
        <f t="shared" si="165"/>
        <v>0</v>
      </c>
      <c r="E594" s="349"/>
      <c r="F594" s="350">
        <f t="shared" si="169"/>
        <v>0</v>
      </c>
      <c r="G594" s="347">
        <f t="shared" si="168"/>
        <v>0</v>
      </c>
    </row>
    <row r="595" spans="1:7" ht="18.95" customHeight="1" x14ac:dyDescent="0.2">
      <c r="A595" s="353"/>
      <c r="B595" s="149"/>
      <c r="C595" s="142"/>
      <c r="D595" s="150"/>
      <c r="E595" s="143"/>
      <c r="F595" s="354" t="s">
        <v>29</v>
      </c>
      <c r="G595" s="355">
        <f>SUBTOTAL(9,G587:G594)</f>
        <v>0</v>
      </c>
    </row>
    <row r="596" spans="1:7" ht="18.95" customHeight="1" x14ac:dyDescent="0.2">
      <c r="A596" s="156"/>
      <c r="B596" s="142"/>
      <c r="C596" s="157" t="s">
        <v>722</v>
      </c>
      <c r="D596" s="150"/>
      <c r="E596" s="327"/>
      <c r="F596" s="327"/>
      <c r="G596" s="342"/>
    </row>
    <row r="597" spans="1:7" ht="18.95" customHeight="1" x14ac:dyDescent="0.2">
      <c r="A597" s="735" t="s">
        <v>582</v>
      </c>
      <c r="B597" s="736"/>
      <c r="C597" s="737" t="s">
        <v>0</v>
      </c>
      <c r="D597" s="739" t="s">
        <v>26</v>
      </c>
      <c r="E597" s="743" t="s">
        <v>1707</v>
      </c>
      <c r="F597" s="741" t="s">
        <v>1040</v>
      </c>
      <c r="G597" s="733" t="s">
        <v>28</v>
      </c>
    </row>
    <row r="598" spans="1:7" ht="18.95" customHeight="1" x14ac:dyDescent="0.2">
      <c r="A598" s="154" t="s">
        <v>583</v>
      </c>
      <c r="B598" s="155" t="s">
        <v>584</v>
      </c>
      <c r="C598" s="738"/>
      <c r="D598" s="740"/>
      <c r="E598" s="742"/>
      <c r="F598" s="742"/>
      <c r="G598" s="734"/>
    </row>
    <row r="599" spans="1:7" ht="18.95" customHeight="1" x14ac:dyDescent="0.2">
      <c r="A599" s="348" t="str">
        <f t="shared" ref="A599:A604" si="170">IFERROR(VLOOKUP(C599,Tabla_Insumos,4,FALSE),"")</f>
        <v/>
      </c>
      <c r="B599" s="290" t="str">
        <f t="shared" ref="B599:B604" si="171">IFERROR(VLOOKUP(C599,Tabla_Insumos,5,FALSE),"")</f>
        <v/>
      </c>
      <c r="C599" s="291"/>
      <c r="D599" s="293"/>
      <c r="E599" s="346">
        <f t="shared" ref="E599:E604" si="172">IFERROR(VLOOKUP(C599,Tabla_Insumos,3,FALSE),0)</f>
        <v>0</v>
      </c>
      <c r="F599" s="349">
        <f>IF(C599="",0,D582)</f>
        <v>0</v>
      </c>
      <c r="G599" s="347">
        <f t="shared" ref="G599:G604" si="173">IFERROR(ROUND(D599*E599/F599,2),0)</f>
        <v>0</v>
      </c>
    </row>
    <row r="600" spans="1:7" ht="18.95" customHeight="1" x14ac:dyDescent="0.2">
      <c r="A600" s="348" t="str">
        <f t="shared" si="170"/>
        <v/>
      </c>
      <c r="B600" s="290" t="str">
        <f t="shared" si="171"/>
        <v/>
      </c>
      <c r="C600" s="290"/>
      <c r="D600" s="293"/>
      <c r="E600" s="346">
        <f t="shared" si="172"/>
        <v>0</v>
      </c>
      <c r="F600" s="349">
        <f>IF(C600="",0,F599)</f>
        <v>0</v>
      </c>
      <c r="G600" s="347">
        <f t="shared" si="173"/>
        <v>0</v>
      </c>
    </row>
    <row r="601" spans="1:7" ht="18.95" customHeight="1" x14ac:dyDescent="0.2">
      <c r="A601" s="348" t="str">
        <f t="shared" si="170"/>
        <v/>
      </c>
      <c r="B601" s="290" t="str">
        <f t="shared" si="171"/>
        <v/>
      </c>
      <c r="C601" s="290"/>
      <c r="D601" s="293"/>
      <c r="E601" s="346">
        <f t="shared" si="172"/>
        <v>0</v>
      </c>
      <c r="F601" s="349">
        <f>IF(C601="",0,F600)</f>
        <v>0</v>
      </c>
      <c r="G601" s="347">
        <f t="shared" si="173"/>
        <v>0</v>
      </c>
    </row>
    <row r="602" spans="1:7" ht="18.95" customHeight="1" x14ac:dyDescent="0.2">
      <c r="A602" s="348" t="str">
        <f t="shared" si="170"/>
        <v/>
      </c>
      <c r="B602" s="290" t="str">
        <f t="shared" si="171"/>
        <v/>
      </c>
      <c r="C602" s="290"/>
      <c r="D602" s="293"/>
      <c r="E602" s="346">
        <f t="shared" si="172"/>
        <v>0</v>
      </c>
      <c r="F602" s="349">
        <f>IF(C602="",0,F601)</f>
        <v>0</v>
      </c>
      <c r="G602" s="347">
        <f t="shared" si="173"/>
        <v>0</v>
      </c>
    </row>
    <row r="603" spans="1:7" ht="18.95" customHeight="1" x14ac:dyDescent="0.2">
      <c r="A603" s="348" t="str">
        <f t="shared" si="170"/>
        <v/>
      </c>
      <c r="B603" s="290" t="str">
        <f t="shared" si="171"/>
        <v/>
      </c>
      <c r="C603" s="290"/>
      <c r="D603" s="351"/>
      <c r="E603" s="346">
        <f t="shared" si="172"/>
        <v>0</v>
      </c>
      <c r="F603" s="349">
        <f>IF(C603="",0,F602)</f>
        <v>0</v>
      </c>
      <c r="G603" s="347">
        <f t="shared" si="173"/>
        <v>0</v>
      </c>
    </row>
    <row r="604" spans="1:7" ht="18.95" customHeight="1" x14ac:dyDescent="0.2">
      <c r="A604" s="348" t="str">
        <f t="shared" si="170"/>
        <v/>
      </c>
      <c r="B604" s="290" t="str">
        <f t="shared" si="171"/>
        <v/>
      </c>
      <c r="C604" s="290"/>
      <c r="D604" s="293"/>
      <c r="E604" s="346">
        <f t="shared" si="172"/>
        <v>0</v>
      </c>
      <c r="F604" s="349">
        <f>IF(C604="",0,F603)</f>
        <v>0</v>
      </c>
      <c r="G604" s="347">
        <f t="shared" si="173"/>
        <v>0</v>
      </c>
    </row>
    <row r="605" spans="1:7" ht="18.95" customHeight="1" x14ac:dyDescent="0.2">
      <c r="A605" s="353"/>
      <c r="B605" s="149"/>
      <c r="C605" s="142"/>
      <c r="D605" s="150"/>
      <c r="E605" s="143"/>
      <c r="F605" s="356" t="s">
        <v>30</v>
      </c>
      <c r="G605" s="355">
        <f>SUBTOTAL(9,G599:G604)</f>
        <v>0</v>
      </c>
    </row>
    <row r="606" spans="1:7" ht="18.95" customHeight="1" x14ac:dyDescent="0.2">
      <c r="A606" s="156"/>
      <c r="B606" s="142"/>
      <c r="C606" s="157" t="s">
        <v>1047</v>
      </c>
      <c r="D606" s="150"/>
      <c r="E606" s="327"/>
      <c r="F606" s="327"/>
      <c r="G606" s="342"/>
    </row>
    <row r="607" spans="1:7" ht="18.95" customHeight="1" x14ac:dyDescent="0.2">
      <c r="A607" s="735" t="s">
        <v>582</v>
      </c>
      <c r="B607" s="736"/>
      <c r="C607" s="737" t="s">
        <v>0</v>
      </c>
      <c r="D607" s="737" t="s">
        <v>1655</v>
      </c>
      <c r="E607" s="737" t="s">
        <v>26</v>
      </c>
      <c r="F607" s="737" t="s">
        <v>27</v>
      </c>
      <c r="G607" s="733" t="s">
        <v>28</v>
      </c>
    </row>
    <row r="608" spans="1:7" ht="18.95" customHeight="1" x14ac:dyDescent="0.2">
      <c r="A608" s="154" t="s">
        <v>583</v>
      </c>
      <c r="B608" s="155" t="s">
        <v>584</v>
      </c>
      <c r="C608" s="738"/>
      <c r="D608" s="738"/>
      <c r="E608" s="738"/>
      <c r="F608" s="738"/>
      <c r="G608" s="734"/>
    </row>
    <row r="609" spans="1:7" ht="18.95" customHeight="1" x14ac:dyDescent="0.2">
      <c r="A609" s="348" t="str">
        <f t="shared" ref="A609:A620" si="174">IFERROR(VLOOKUP(C609,Tabla_Insumos,4,FALSE),"")</f>
        <v/>
      </c>
      <c r="B609" s="290" t="str">
        <f t="shared" ref="B609:B620" si="175">IFERROR(VLOOKUP(C609,Tabla_Insumos,5,FALSE),"")</f>
        <v/>
      </c>
      <c r="C609" s="290"/>
      <c r="D609" s="608">
        <f t="shared" ref="D609:D620" si="176">IFERROR(VLOOKUP(C609,Tabla_Insumos,2,FALSE),0)</f>
        <v>0</v>
      </c>
      <c r="E609" s="293"/>
      <c r="F609" s="346">
        <f t="shared" ref="F609:F620" si="177">IFERROR(VLOOKUP(C609,Tabla_Insumos,3,FALSE),0)</f>
        <v>0</v>
      </c>
      <c r="G609" s="347">
        <f t="shared" ref="G609:G620" si="178">ROUND(E609*F609,2)</f>
        <v>0</v>
      </c>
    </row>
    <row r="610" spans="1:7" ht="18.95" customHeight="1" x14ac:dyDescent="0.2">
      <c r="A610" s="348" t="str">
        <f t="shared" si="174"/>
        <v/>
      </c>
      <c r="B610" s="290" t="str">
        <f t="shared" si="175"/>
        <v/>
      </c>
      <c r="C610" s="126"/>
      <c r="D610" s="608">
        <f t="shared" si="176"/>
        <v>0</v>
      </c>
      <c r="E610" s="293"/>
      <c r="F610" s="346">
        <f t="shared" si="177"/>
        <v>0</v>
      </c>
      <c r="G610" s="347">
        <f t="shared" si="178"/>
        <v>0</v>
      </c>
    </row>
    <row r="611" spans="1:7" ht="18.95" customHeight="1" x14ac:dyDescent="0.2">
      <c r="A611" s="348" t="str">
        <f t="shared" si="174"/>
        <v/>
      </c>
      <c r="B611" s="290" t="str">
        <f t="shared" si="175"/>
        <v/>
      </c>
      <c r="C611" s="290"/>
      <c r="D611" s="608">
        <f t="shared" si="176"/>
        <v>0</v>
      </c>
      <c r="E611" s="293"/>
      <c r="F611" s="346">
        <f t="shared" si="177"/>
        <v>0</v>
      </c>
      <c r="G611" s="347">
        <f t="shared" si="178"/>
        <v>0</v>
      </c>
    </row>
    <row r="612" spans="1:7" ht="18.95" customHeight="1" x14ac:dyDescent="0.2">
      <c r="A612" s="348" t="str">
        <f t="shared" si="174"/>
        <v/>
      </c>
      <c r="B612" s="290" t="str">
        <f t="shared" si="175"/>
        <v/>
      </c>
      <c r="C612" s="290"/>
      <c r="D612" s="608">
        <f t="shared" si="176"/>
        <v>0</v>
      </c>
      <c r="E612" s="293"/>
      <c r="F612" s="346">
        <f t="shared" si="177"/>
        <v>0</v>
      </c>
      <c r="G612" s="347">
        <f t="shared" si="178"/>
        <v>0</v>
      </c>
    </row>
    <row r="613" spans="1:7" ht="18.95" customHeight="1" x14ac:dyDescent="0.2">
      <c r="A613" s="348" t="str">
        <f t="shared" si="174"/>
        <v/>
      </c>
      <c r="B613" s="290" t="str">
        <f t="shared" si="175"/>
        <v/>
      </c>
      <c r="C613" s="290"/>
      <c r="D613" s="608">
        <f t="shared" si="176"/>
        <v>0</v>
      </c>
      <c r="E613" s="293"/>
      <c r="F613" s="346">
        <f t="shared" si="177"/>
        <v>0</v>
      </c>
      <c r="G613" s="347">
        <f t="shared" si="178"/>
        <v>0</v>
      </c>
    </row>
    <row r="614" spans="1:7" ht="18.95" customHeight="1" x14ac:dyDescent="0.2">
      <c r="A614" s="348" t="str">
        <f t="shared" si="174"/>
        <v/>
      </c>
      <c r="B614" s="290" t="str">
        <f t="shared" si="175"/>
        <v/>
      </c>
      <c r="C614" s="290"/>
      <c r="D614" s="608">
        <f t="shared" si="176"/>
        <v>0</v>
      </c>
      <c r="E614" s="293"/>
      <c r="F614" s="346">
        <f t="shared" si="177"/>
        <v>0</v>
      </c>
      <c r="G614" s="347">
        <f t="shared" si="178"/>
        <v>0</v>
      </c>
    </row>
    <row r="615" spans="1:7" ht="18.95" customHeight="1" x14ac:dyDescent="0.2">
      <c r="A615" s="348" t="str">
        <f t="shared" si="174"/>
        <v/>
      </c>
      <c r="B615" s="290" t="str">
        <f t="shared" si="175"/>
        <v/>
      </c>
      <c r="C615" s="290"/>
      <c r="D615" s="608">
        <f t="shared" si="176"/>
        <v>0</v>
      </c>
      <c r="E615" s="293"/>
      <c r="F615" s="346">
        <f t="shared" si="177"/>
        <v>0</v>
      </c>
      <c r="G615" s="347">
        <f t="shared" si="178"/>
        <v>0</v>
      </c>
    </row>
    <row r="616" spans="1:7" s="295" customFormat="1" ht="18.95" customHeight="1" x14ac:dyDescent="0.2">
      <c r="A616" s="348" t="str">
        <f t="shared" si="174"/>
        <v/>
      </c>
      <c r="B616" s="290" t="str">
        <f t="shared" si="175"/>
        <v/>
      </c>
      <c r="C616" s="290"/>
      <c r="D616" s="608">
        <f t="shared" si="176"/>
        <v>0</v>
      </c>
      <c r="E616" s="323"/>
      <c r="F616" s="346">
        <f t="shared" si="177"/>
        <v>0</v>
      </c>
      <c r="G616" s="347">
        <f t="shared" si="178"/>
        <v>0</v>
      </c>
    </row>
    <row r="617" spans="1:7" ht="18.95" customHeight="1" x14ac:dyDescent="0.2">
      <c r="A617" s="348" t="str">
        <f t="shared" si="174"/>
        <v/>
      </c>
      <c r="B617" s="290" t="str">
        <f t="shared" si="175"/>
        <v/>
      </c>
      <c r="C617" s="290"/>
      <c r="D617" s="608">
        <f t="shared" si="176"/>
        <v>0</v>
      </c>
      <c r="E617" s="293"/>
      <c r="F617" s="346">
        <f t="shared" si="177"/>
        <v>0</v>
      </c>
      <c r="G617" s="347">
        <f t="shared" si="178"/>
        <v>0</v>
      </c>
    </row>
    <row r="618" spans="1:7" ht="18.95" customHeight="1" x14ac:dyDescent="0.2">
      <c r="A618" s="348" t="str">
        <f t="shared" si="174"/>
        <v/>
      </c>
      <c r="B618" s="290" t="str">
        <f t="shared" si="175"/>
        <v/>
      </c>
      <c r="C618" s="290"/>
      <c r="D618" s="608">
        <f t="shared" si="176"/>
        <v>0</v>
      </c>
      <c r="E618" s="293"/>
      <c r="F618" s="346">
        <f t="shared" si="177"/>
        <v>0</v>
      </c>
      <c r="G618" s="347">
        <f t="shared" si="178"/>
        <v>0</v>
      </c>
    </row>
    <row r="619" spans="1:7" ht="18.95" customHeight="1" x14ac:dyDescent="0.2">
      <c r="A619" s="348" t="str">
        <f t="shared" si="174"/>
        <v/>
      </c>
      <c r="B619" s="290" t="str">
        <f t="shared" si="175"/>
        <v/>
      </c>
      <c r="C619" s="290"/>
      <c r="D619" s="608">
        <f t="shared" si="176"/>
        <v>0</v>
      </c>
      <c r="E619" s="293"/>
      <c r="F619" s="346">
        <f t="shared" si="177"/>
        <v>0</v>
      </c>
      <c r="G619" s="347">
        <f t="shared" si="178"/>
        <v>0</v>
      </c>
    </row>
    <row r="620" spans="1:7" ht="18.95" customHeight="1" x14ac:dyDescent="0.2">
      <c r="A620" s="348" t="str">
        <f t="shared" si="174"/>
        <v/>
      </c>
      <c r="B620" s="290" t="str">
        <f t="shared" si="175"/>
        <v/>
      </c>
      <c r="C620" s="290"/>
      <c r="D620" s="608">
        <f t="shared" si="176"/>
        <v>0</v>
      </c>
      <c r="E620" s="293"/>
      <c r="F620" s="346">
        <f t="shared" si="177"/>
        <v>0</v>
      </c>
      <c r="G620" s="347">
        <f t="shared" si="178"/>
        <v>0</v>
      </c>
    </row>
    <row r="621" spans="1:7" ht="18.95" customHeight="1" x14ac:dyDescent="0.2">
      <c r="A621" s="156"/>
      <c r="B621" s="142"/>
      <c r="C621" s="142"/>
      <c r="D621" s="150"/>
      <c r="E621" s="143"/>
      <c r="F621" s="356" t="s">
        <v>31</v>
      </c>
      <c r="G621" s="355">
        <f>SUBTOTAL(9,G609:G620)</f>
        <v>0</v>
      </c>
    </row>
    <row r="622" spans="1:7" ht="18.95" customHeight="1" x14ac:dyDescent="0.2">
      <c r="A622" s="156"/>
      <c r="B622" s="142"/>
      <c r="C622" s="157" t="s">
        <v>1048</v>
      </c>
      <c r="D622" s="150"/>
      <c r="E622" s="327"/>
      <c r="F622" s="327"/>
      <c r="G622" s="342"/>
    </row>
    <row r="623" spans="1:7" ht="18.95" customHeight="1" x14ac:dyDescent="0.2">
      <c r="A623" s="735" t="s">
        <v>582</v>
      </c>
      <c r="B623" s="736"/>
      <c r="C623" s="737" t="s">
        <v>0</v>
      </c>
      <c r="D623" s="739" t="s">
        <v>1750</v>
      </c>
      <c r="E623" s="741" t="s">
        <v>26</v>
      </c>
      <c r="F623" s="741" t="s">
        <v>27</v>
      </c>
      <c r="G623" s="733" t="s">
        <v>28</v>
      </c>
    </row>
    <row r="624" spans="1:7" ht="18.95" customHeight="1" x14ac:dyDescent="0.2">
      <c r="A624" s="154" t="s">
        <v>583</v>
      </c>
      <c r="B624" s="155" t="s">
        <v>584</v>
      </c>
      <c r="C624" s="738"/>
      <c r="D624" s="740"/>
      <c r="E624" s="742"/>
      <c r="F624" s="742"/>
      <c r="G624" s="734"/>
    </row>
    <row r="625" spans="1:8" ht="18.95" customHeight="1" x14ac:dyDescent="0.2">
      <c r="A625" s="348" t="str">
        <f>IFERROR(VLOOKUP(C625,Tabla_Insumos,4,FALSE),"")</f>
        <v/>
      </c>
      <c r="B625" s="290" t="s">
        <v>4</v>
      </c>
      <c r="C625" s="290"/>
      <c r="D625" s="293"/>
      <c r="E625" s="322"/>
      <c r="F625" s="324"/>
      <c r="G625" s="347">
        <f t="shared" ref="G625" si="179">ROUND(E625*F625,2)</f>
        <v>0</v>
      </c>
    </row>
    <row r="626" spans="1:8" ht="18.95" customHeight="1" x14ac:dyDescent="0.2">
      <c r="A626" s="156"/>
      <c r="B626" s="142"/>
      <c r="C626" s="142"/>
      <c r="D626" s="150"/>
      <c r="E626" s="143"/>
      <c r="F626" s="356" t="s">
        <v>1049</v>
      </c>
      <c r="G626" s="355">
        <f>SUBTOTAL(9,G625:G625)</f>
        <v>0</v>
      </c>
    </row>
    <row r="627" spans="1:8" ht="18.95" customHeight="1" thickBot="1" x14ac:dyDescent="0.25">
      <c r="A627" s="158"/>
      <c r="B627" s="159"/>
      <c r="C627" s="160"/>
      <c r="D627" s="161"/>
      <c r="E627" s="357"/>
      <c r="F627" s="357"/>
      <c r="G627" s="358"/>
    </row>
    <row r="628" spans="1:8" ht="18.95" customHeight="1" x14ac:dyDescent="0.2">
      <c r="A628" s="359">
        <f>B567</f>
        <v>9</v>
      </c>
      <c r="B628" s="360" t="str">
        <f>C567</f>
        <v>CARPETA CON MEZCLA BITUMINOSA TIPO CONCRETO ASFÁLTICO
Incluído materiales, colocación y transporte. En 0,05m de espesor</v>
      </c>
      <c r="C628" s="361"/>
      <c r="D628" s="361"/>
      <c r="E628" s="361" t="s">
        <v>1050</v>
      </c>
      <c r="F628" s="362" t="str">
        <f>CONCATENATE("$/",G567)</f>
        <v>$/m2</v>
      </c>
      <c r="G628" s="363">
        <f>SUBTOTAL(9,G587:G627)</f>
        <v>0</v>
      </c>
    </row>
    <row r="629" spans="1:8" ht="18.95" customHeight="1" thickBot="1" x14ac:dyDescent="0.25">
      <c r="A629" s="364"/>
      <c r="B629" s="365"/>
      <c r="C629" s="365"/>
      <c r="D629" s="365"/>
      <c r="E629" s="366" t="s">
        <v>1051</v>
      </c>
      <c r="F629" s="367" t="str">
        <f>CONCATENATE("$/",G567)</f>
        <v>$/m2</v>
      </c>
      <c r="G629" s="368" t="e">
        <f ca="1">PrecioUnitario(G628,GG_Porcentaje,Beneficio,Ingresos_Brutos,IVA)</f>
        <v>#NAME?</v>
      </c>
    </row>
    <row r="630" spans="1:8" ht="18.95" customHeight="1" thickTop="1" thickBot="1" x14ac:dyDescent="0.25">
      <c r="F630" s="294"/>
      <c r="G630" s="294"/>
    </row>
    <row r="631" spans="1:8" ht="18.95" customHeight="1" thickTop="1" x14ac:dyDescent="0.2">
      <c r="A631" s="194" t="s">
        <v>33</v>
      </c>
      <c r="B631" s="195"/>
      <c r="C631" s="195"/>
      <c r="D631" s="195"/>
      <c r="E631" s="195"/>
      <c r="F631" s="195"/>
      <c r="G631" s="196"/>
      <c r="H631" s="143">
        <f>COUNTIF($A$1:A637,"ANALISIS DE PRECIOS")</f>
        <v>10</v>
      </c>
    </row>
    <row r="632" spans="1:8" ht="18.95" customHeight="1" x14ac:dyDescent="0.2">
      <c r="A632" s="144" t="s">
        <v>720</v>
      </c>
      <c r="B632" s="145" t="str">
        <f>Comitente</f>
        <v>DIRECCIÓN PROVINCIAL DE VIALIDAD</v>
      </c>
      <c r="C632" s="139"/>
      <c r="D632" s="146"/>
      <c r="E632" s="325"/>
      <c r="F632" s="325"/>
      <c r="G632" s="326"/>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PAVIMENTACION Y ENSANCHE DE RUTA PROVINCIAL N°7 AV. JOAQUIN UÑAC</v>
      </c>
      <c r="C634" s="140"/>
      <c r="D634" s="140"/>
      <c r="E634" s="143"/>
      <c r="F634" s="145" t="s">
        <v>34</v>
      </c>
      <c r="G634" s="147">
        <f>Fecha_Base</f>
        <v>43444</v>
      </c>
      <c r="H634" s="143"/>
    </row>
    <row r="635" spans="1:8" ht="18.95" customHeight="1" x14ac:dyDescent="0.2">
      <c r="A635" s="148" t="s">
        <v>719</v>
      </c>
      <c r="B635" s="141" t="str">
        <f>Ubicación</f>
        <v>DEPARTAMENTO POCITO</v>
      </c>
      <c r="C635" s="141"/>
      <c r="D635" s="150"/>
      <c r="E635" s="143"/>
      <c r="F635" s="327"/>
      <c r="G635" s="328"/>
      <c r="H635" s="143"/>
    </row>
    <row r="636" spans="1:8" ht="18.95" customHeight="1" x14ac:dyDescent="0.2">
      <c r="A636" s="148" t="s">
        <v>35</v>
      </c>
      <c r="B636" s="151" t="str">
        <f>IFERROR(VALUE(LEFT(B637,FIND("-",B637)-1)),"")</f>
        <v/>
      </c>
      <c r="C636" s="142" t="str">
        <f>IFERROR(VLOOKUP(B636,Tabla_CyP,2,FALSE),"")</f>
        <v/>
      </c>
      <c r="D636" s="150"/>
      <c r="E636" s="143"/>
      <c r="F636" s="327"/>
      <c r="G636" s="328"/>
      <c r="H636" s="143"/>
    </row>
    <row r="637" spans="1:8" ht="18.95" customHeight="1" x14ac:dyDescent="0.2">
      <c r="A637" s="148" t="s">
        <v>24</v>
      </c>
      <c r="B637" s="152">
        <f>IFERROR(VLOOKUP(COUNTIF($A$1:A637,"ANALISIS DE PRECIOS"),Tabla_NumeroItem,4,FALSE),"")</f>
        <v>10</v>
      </c>
      <c r="C637" s="745" t="str">
        <f>IFERROR(VLOOKUP(B637,Tabla_CyP,2,FALSE),"")</f>
        <v>EXCAVACIÓN PARA FUNDACIONES</v>
      </c>
      <c r="D637" s="745"/>
      <c r="E637" s="745"/>
      <c r="F637" s="141" t="s">
        <v>25</v>
      </c>
      <c r="G637" s="153" t="str">
        <f>IFERROR(VLOOKUP(B637,Tabla_CyP,4,FALSE),"")</f>
        <v>m3</v>
      </c>
      <c r="H637" s="143"/>
    </row>
    <row r="638" spans="1:8" ht="18.95" customHeight="1" x14ac:dyDescent="0.2">
      <c r="A638" s="148"/>
      <c r="B638" s="141"/>
      <c r="C638" s="142"/>
      <c r="D638" s="150"/>
      <c r="E638" s="142"/>
      <c r="F638" s="142"/>
      <c r="G638" s="329"/>
      <c r="H638" s="143"/>
    </row>
    <row r="639" spans="1:8" ht="18.95" customHeight="1" x14ac:dyDescent="0.2">
      <c r="A639" s="330"/>
      <c r="B639" s="331"/>
      <c r="C639" s="332" t="s">
        <v>1032</v>
      </c>
      <c r="D639" s="331"/>
      <c r="E639" s="331"/>
      <c r="F639" s="331"/>
      <c r="G639" s="333"/>
      <c r="H639" s="143"/>
    </row>
    <row r="640" spans="1:8" ht="18.95" customHeight="1" x14ac:dyDescent="0.2">
      <c r="A640" s="148"/>
      <c r="B640" s="334"/>
      <c r="C640" s="335" t="s">
        <v>1033</v>
      </c>
      <c r="D640" s="336" t="s">
        <v>26</v>
      </c>
      <c r="E640" s="336" t="s">
        <v>1034</v>
      </c>
      <c r="F640" s="336" t="s">
        <v>1035</v>
      </c>
      <c r="G640" s="337" t="s">
        <v>1036</v>
      </c>
      <c r="H640" s="143"/>
    </row>
    <row r="641" spans="1:7" ht="18.95" customHeight="1" x14ac:dyDescent="0.2">
      <c r="A641" s="343"/>
      <c r="B641" s="344"/>
      <c r="C641" s="290"/>
      <c r="D641" s="293"/>
      <c r="E641" s="345"/>
      <c r="F641" s="346"/>
      <c r="G641" s="347">
        <f t="shared" ref="G641:G650" si="180">ROUND(D641*F641,2)</f>
        <v>0</v>
      </c>
    </row>
    <row r="642" spans="1:7" ht="18.95" customHeight="1" x14ac:dyDescent="0.2">
      <c r="A642" s="343"/>
      <c r="B642" s="344"/>
      <c r="C642" s="290"/>
      <c r="D642" s="293"/>
      <c r="E642" s="345"/>
      <c r="F642" s="346"/>
      <c r="G642" s="347">
        <f t="shared" si="180"/>
        <v>0</v>
      </c>
    </row>
    <row r="643" spans="1:7" ht="18.95" customHeight="1" x14ac:dyDescent="0.2">
      <c r="A643" s="343"/>
      <c r="B643" s="344"/>
      <c r="C643" s="290"/>
      <c r="D643" s="293"/>
      <c r="E643" s="345">
        <f t="shared" ref="E643:E650" si="181">IFERROR(VLOOKUP(C643,T_Equipos,4,FALSE),0)</f>
        <v>0</v>
      </c>
      <c r="F643" s="346">
        <f t="shared" ref="F643:F650" si="182">IFERROR(VLOOKUP(C643,T_Equipos,11,FALSE),0)</f>
        <v>0</v>
      </c>
      <c r="G643" s="347">
        <f t="shared" si="180"/>
        <v>0</v>
      </c>
    </row>
    <row r="644" spans="1:7" ht="18.95" customHeight="1" x14ac:dyDescent="0.2">
      <c r="A644" s="343"/>
      <c r="B644" s="344"/>
      <c r="C644" s="290"/>
      <c r="D644" s="293"/>
      <c r="E644" s="345">
        <f t="shared" si="181"/>
        <v>0</v>
      </c>
      <c r="F644" s="346">
        <f t="shared" si="182"/>
        <v>0</v>
      </c>
      <c r="G644" s="347">
        <f t="shared" si="180"/>
        <v>0</v>
      </c>
    </row>
    <row r="645" spans="1:7" ht="18.95" customHeight="1" x14ac:dyDescent="0.2">
      <c r="A645" s="343"/>
      <c r="B645" s="344"/>
      <c r="C645" s="290"/>
      <c r="D645" s="293"/>
      <c r="E645" s="345">
        <f t="shared" si="181"/>
        <v>0</v>
      </c>
      <c r="F645" s="346">
        <f t="shared" si="182"/>
        <v>0</v>
      </c>
      <c r="G645" s="347">
        <f t="shared" si="180"/>
        <v>0</v>
      </c>
    </row>
    <row r="646" spans="1:7" ht="18.95" customHeight="1" x14ac:dyDescent="0.2">
      <c r="A646" s="343"/>
      <c r="B646" s="344"/>
      <c r="C646" s="290"/>
      <c r="D646" s="293"/>
      <c r="E646" s="345">
        <f t="shared" si="181"/>
        <v>0</v>
      </c>
      <c r="F646" s="346">
        <f t="shared" si="182"/>
        <v>0</v>
      </c>
      <c r="G646" s="347">
        <f t="shared" si="180"/>
        <v>0</v>
      </c>
    </row>
    <row r="647" spans="1:7" ht="18.95" customHeight="1" x14ac:dyDescent="0.2">
      <c r="A647" s="343"/>
      <c r="B647" s="344"/>
      <c r="C647" s="290"/>
      <c r="D647" s="293"/>
      <c r="E647" s="345">
        <f t="shared" si="181"/>
        <v>0</v>
      </c>
      <c r="F647" s="346">
        <f t="shared" si="182"/>
        <v>0</v>
      </c>
      <c r="G647" s="347">
        <f t="shared" si="180"/>
        <v>0</v>
      </c>
    </row>
    <row r="648" spans="1:7" ht="18.95" customHeight="1" x14ac:dyDescent="0.2">
      <c r="A648" s="343"/>
      <c r="B648" s="344"/>
      <c r="C648" s="290"/>
      <c r="D648" s="293"/>
      <c r="E648" s="345">
        <f t="shared" si="181"/>
        <v>0</v>
      </c>
      <c r="F648" s="346">
        <f t="shared" si="182"/>
        <v>0</v>
      </c>
      <c r="G648" s="347">
        <f t="shared" si="180"/>
        <v>0</v>
      </c>
    </row>
    <row r="649" spans="1:7" ht="18.95" customHeight="1" x14ac:dyDescent="0.2">
      <c r="A649" s="343"/>
      <c r="B649" s="344"/>
      <c r="C649" s="290"/>
      <c r="D649" s="293"/>
      <c r="E649" s="345">
        <f t="shared" si="181"/>
        <v>0</v>
      </c>
      <c r="F649" s="346">
        <f t="shared" si="182"/>
        <v>0</v>
      </c>
      <c r="G649" s="347">
        <f t="shared" si="180"/>
        <v>0</v>
      </c>
    </row>
    <row r="650" spans="1:7" ht="18.95" customHeight="1" thickBot="1" x14ac:dyDescent="0.25">
      <c r="A650" s="343"/>
      <c r="B650" s="344"/>
      <c r="C650" s="290"/>
      <c r="D650" s="293"/>
      <c r="E650" s="345">
        <f t="shared" si="181"/>
        <v>0</v>
      </c>
      <c r="F650" s="346">
        <f t="shared" si="182"/>
        <v>0</v>
      </c>
      <c r="G650" s="347">
        <f t="shared" si="180"/>
        <v>0</v>
      </c>
    </row>
    <row r="651" spans="1:7" ht="18.95" customHeight="1" thickBot="1" x14ac:dyDescent="0.25">
      <c r="A651" s="148"/>
      <c r="B651" s="334"/>
      <c r="C651" s="143"/>
      <c r="D651" s="146" t="s">
        <v>1037</v>
      </c>
      <c r="E651" s="338">
        <f>SUMPRODUCT(D641:D650,E641:E650)</f>
        <v>0</v>
      </c>
      <c r="F651" s="141" t="s">
        <v>1038</v>
      </c>
      <c r="G651" s="339">
        <f>SUM(G641:G650)</f>
        <v>0</v>
      </c>
    </row>
    <row r="652" spans="1:7" ht="18.95" customHeight="1" x14ac:dyDescent="0.2">
      <c r="A652" s="148"/>
      <c r="B652" s="334"/>
      <c r="C652" s="141" t="s">
        <v>1039</v>
      </c>
      <c r="D652" s="320"/>
      <c r="E652" s="340" t="str">
        <f>CONCATENATE(G637,"/día")</f>
        <v>m3/día</v>
      </c>
      <c r="F652" s="141"/>
      <c r="G652" s="341"/>
    </row>
    <row r="653" spans="1:7" ht="18.95" customHeight="1" x14ac:dyDescent="0.2">
      <c r="A653" s="148"/>
      <c r="B653" s="334"/>
      <c r="C653" s="142"/>
      <c r="D653" s="150"/>
      <c r="E653" s="141"/>
      <c r="F653" s="141"/>
      <c r="G653" s="341"/>
    </row>
    <row r="654" spans="1:7" ht="18.95" customHeight="1" x14ac:dyDescent="0.2">
      <c r="A654" s="735" t="s">
        <v>582</v>
      </c>
      <c r="B654" s="736"/>
      <c r="C654" s="737" t="s">
        <v>0</v>
      </c>
      <c r="D654" s="743" t="s">
        <v>1053</v>
      </c>
      <c r="E654" s="743" t="s">
        <v>1706</v>
      </c>
      <c r="F654" s="743" t="s">
        <v>1054</v>
      </c>
      <c r="G654" s="743" t="s">
        <v>1055</v>
      </c>
    </row>
    <row r="655" spans="1:7" ht="18.95" customHeight="1" x14ac:dyDescent="0.2">
      <c r="A655" s="154" t="s">
        <v>583</v>
      </c>
      <c r="B655" s="155" t="s">
        <v>584</v>
      </c>
      <c r="C655" s="738"/>
      <c r="D655" s="742"/>
      <c r="E655" s="742"/>
      <c r="F655" s="744"/>
      <c r="G655" s="742"/>
    </row>
    <row r="656" spans="1:7" ht="18.95" customHeight="1" x14ac:dyDescent="0.2">
      <c r="A656" s="156"/>
      <c r="B656" s="142"/>
      <c r="C656" s="157" t="s">
        <v>1041</v>
      </c>
      <c r="D656" s="150"/>
      <c r="E656" s="142"/>
      <c r="F656" s="142"/>
      <c r="G656" s="342"/>
    </row>
    <row r="657" spans="1:7" ht="18.95" customHeight="1" x14ac:dyDescent="0.2">
      <c r="A657" s="348" t="str">
        <f t="shared" ref="A657:A664" si="183">IFERROR(VLOOKUP(C657,Tabla_Insumos,4,FALSE),"")</f>
        <v/>
      </c>
      <c r="B657" s="290" t="str">
        <f t="shared" ref="B657:B664" si="184">IFERROR(VLOOKUP(C657,Tabla_Insumos,5,FALSE),"")</f>
        <v/>
      </c>
      <c r="C657" s="290"/>
      <c r="D657" s="607">
        <f t="shared" ref="D657:D664" si="185">IFERROR(VLOOKUP(C657,Tabla_Insumos,3,FALSE),0)</f>
        <v>0</v>
      </c>
      <c r="E657" s="349">
        <f>D657*$G$21</f>
        <v>0</v>
      </c>
      <c r="F657" s="350">
        <f>IF(C657="",0,D652)</f>
        <v>0</v>
      </c>
      <c r="G657" s="347">
        <f>IFERROR(ROUND(E657/F657,2),0)</f>
        <v>0</v>
      </c>
    </row>
    <row r="658" spans="1:7" ht="18.95" customHeight="1" x14ac:dyDescent="0.2">
      <c r="A658" s="348" t="str">
        <f t="shared" si="183"/>
        <v/>
      </c>
      <c r="B658" s="290" t="str">
        <f t="shared" si="184"/>
        <v/>
      </c>
      <c r="C658" s="321"/>
      <c r="D658" s="607">
        <f t="shared" si="185"/>
        <v>0</v>
      </c>
      <c r="E658" s="349">
        <f t="shared" ref="E658:E659" si="186">D658*$G$21</f>
        <v>0</v>
      </c>
      <c r="F658" s="350">
        <f t="shared" ref="F658:F661" si="187">IF(C658="",0,F657)</f>
        <v>0</v>
      </c>
      <c r="G658" s="347">
        <f t="shared" ref="G658:G664" si="188">IFERROR(ROUND(E658/F658,2),0)</f>
        <v>0</v>
      </c>
    </row>
    <row r="659" spans="1:7" ht="18.95" customHeight="1" x14ac:dyDescent="0.2">
      <c r="A659" s="348" t="str">
        <f t="shared" si="183"/>
        <v/>
      </c>
      <c r="B659" s="290" t="str">
        <f t="shared" si="184"/>
        <v/>
      </c>
      <c r="C659" s="321"/>
      <c r="D659" s="607">
        <f t="shared" si="185"/>
        <v>0</v>
      </c>
      <c r="E659" s="349">
        <f t="shared" si="186"/>
        <v>0</v>
      </c>
      <c r="F659" s="350">
        <f t="shared" si="187"/>
        <v>0</v>
      </c>
      <c r="G659" s="347">
        <f t="shared" si="188"/>
        <v>0</v>
      </c>
    </row>
    <row r="660" spans="1:7" ht="18.95" customHeight="1" x14ac:dyDescent="0.2">
      <c r="A660" s="348" t="str">
        <f t="shared" si="183"/>
        <v/>
      </c>
      <c r="B660" s="290" t="str">
        <f t="shared" si="184"/>
        <v/>
      </c>
      <c r="C660" s="321"/>
      <c r="D660" s="607">
        <f t="shared" si="185"/>
        <v>0</v>
      </c>
      <c r="E660" s="349">
        <f>D660*$E$21</f>
        <v>0</v>
      </c>
      <c r="F660" s="350">
        <f t="shared" si="187"/>
        <v>0</v>
      </c>
      <c r="G660" s="347">
        <f t="shared" si="188"/>
        <v>0</v>
      </c>
    </row>
    <row r="661" spans="1:7" ht="18.95" customHeight="1" x14ac:dyDescent="0.2">
      <c r="A661" s="348" t="str">
        <f t="shared" si="183"/>
        <v/>
      </c>
      <c r="B661" s="290" t="str">
        <f t="shared" si="184"/>
        <v/>
      </c>
      <c r="C661" s="321"/>
      <c r="D661" s="607">
        <f t="shared" si="185"/>
        <v>0</v>
      </c>
      <c r="E661" s="349">
        <f>D661*$E$21</f>
        <v>0</v>
      </c>
      <c r="F661" s="350">
        <f t="shared" si="187"/>
        <v>0</v>
      </c>
      <c r="G661" s="347">
        <f t="shared" si="188"/>
        <v>0</v>
      </c>
    </row>
    <row r="662" spans="1:7" ht="18.95" customHeight="1" x14ac:dyDescent="0.2">
      <c r="A662" s="348" t="str">
        <f t="shared" si="183"/>
        <v/>
      </c>
      <c r="B662" s="290" t="str">
        <f t="shared" si="184"/>
        <v/>
      </c>
      <c r="C662" s="321"/>
      <c r="D662" s="607">
        <f t="shared" si="185"/>
        <v>0</v>
      </c>
      <c r="E662" s="349"/>
      <c r="F662" s="350">
        <f>IF(C662="",0,F661)</f>
        <v>0</v>
      </c>
      <c r="G662" s="347">
        <f t="shared" si="188"/>
        <v>0</v>
      </c>
    </row>
    <row r="663" spans="1:7" ht="18.95" customHeight="1" x14ac:dyDescent="0.2">
      <c r="A663" s="348" t="str">
        <f t="shared" si="183"/>
        <v/>
      </c>
      <c r="B663" s="290" t="str">
        <f t="shared" si="184"/>
        <v/>
      </c>
      <c r="C663" s="321"/>
      <c r="D663" s="607">
        <f t="shared" si="185"/>
        <v>0</v>
      </c>
      <c r="E663" s="349"/>
      <c r="F663" s="350">
        <f t="shared" ref="F663:F664" si="189">IF(C663="",0,F662)</f>
        <v>0</v>
      </c>
      <c r="G663" s="347">
        <f t="shared" si="188"/>
        <v>0</v>
      </c>
    </row>
    <row r="664" spans="1:7" ht="18.95" customHeight="1" x14ac:dyDescent="0.2">
      <c r="A664" s="348" t="str">
        <f t="shared" si="183"/>
        <v/>
      </c>
      <c r="B664" s="290" t="str">
        <f t="shared" si="184"/>
        <v/>
      </c>
      <c r="C664" s="321"/>
      <c r="D664" s="607">
        <f t="shared" si="185"/>
        <v>0</v>
      </c>
      <c r="E664" s="349"/>
      <c r="F664" s="350">
        <f t="shared" si="189"/>
        <v>0</v>
      </c>
      <c r="G664" s="347">
        <f t="shared" si="188"/>
        <v>0</v>
      </c>
    </row>
    <row r="665" spans="1:7" ht="18.95" customHeight="1" x14ac:dyDescent="0.2">
      <c r="A665" s="353"/>
      <c r="B665" s="149"/>
      <c r="C665" s="142"/>
      <c r="D665" s="150"/>
      <c r="E665" s="143"/>
      <c r="F665" s="354" t="s">
        <v>29</v>
      </c>
      <c r="G665" s="355">
        <f>SUBTOTAL(9,G657:G664)</f>
        <v>0</v>
      </c>
    </row>
    <row r="666" spans="1:7" ht="18.95" customHeight="1" x14ac:dyDescent="0.2">
      <c r="A666" s="156"/>
      <c r="B666" s="142"/>
      <c r="C666" s="157" t="s">
        <v>722</v>
      </c>
      <c r="D666" s="150"/>
      <c r="E666" s="327"/>
      <c r="F666" s="327"/>
      <c r="G666" s="342"/>
    </row>
    <row r="667" spans="1:7" ht="18.95" customHeight="1" x14ac:dyDescent="0.2">
      <c r="A667" s="735" t="s">
        <v>582</v>
      </c>
      <c r="B667" s="736"/>
      <c r="C667" s="737" t="s">
        <v>0</v>
      </c>
      <c r="D667" s="739" t="s">
        <v>26</v>
      </c>
      <c r="E667" s="743" t="s">
        <v>1707</v>
      </c>
      <c r="F667" s="741" t="s">
        <v>1040</v>
      </c>
      <c r="G667" s="733" t="s">
        <v>28</v>
      </c>
    </row>
    <row r="668" spans="1:7" ht="18.95" customHeight="1" x14ac:dyDescent="0.2">
      <c r="A668" s="154" t="s">
        <v>583</v>
      </c>
      <c r="B668" s="155" t="s">
        <v>584</v>
      </c>
      <c r="C668" s="738"/>
      <c r="D668" s="740"/>
      <c r="E668" s="742"/>
      <c r="F668" s="742"/>
      <c r="G668" s="734"/>
    </row>
    <row r="669" spans="1:7" ht="18.95" customHeight="1" x14ac:dyDescent="0.2">
      <c r="A669" s="348" t="str">
        <f t="shared" ref="A669:A674" si="190">IFERROR(VLOOKUP(C669,Tabla_Insumos,4,FALSE),"")</f>
        <v/>
      </c>
      <c r="B669" s="290" t="str">
        <f t="shared" ref="B669:B674" si="191">IFERROR(VLOOKUP(C669,Tabla_Insumos,5,FALSE),"")</f>
        <v/>
      </c>
      <c r="C669" s="291"/>
      <c r="D669" s="293"/>
      <c r="E669" s="346">
        <f t="shared" ref="E669:E674" si="192">IFERROR(VLOOKUP(C669,Tabla_Insumos,3,FALSE),0)</f>
        <v>0</v>
      </c>
      <c r="F669" s="349">
        <f>IF(C669="",0,D652)</f>
        <v>0</v>
      </c>
      <c r="G669" s="347">
        <f t="shared" ref="G669:G674" si="193">IFERROR(ROUND(D669*E669/F669,2),0)</f>
        <v>0</v>
      </c>
    </row>
    <row r="670" spans="1:7" ht="18.95" customHeight="1" x14ac:dyDescent="0.2">
      <c r="A670" s="348" t="str">
        <f t="shared" si="190"/>
        <v/>
      </c>
      <c r="B670" s="290" t="str">
        <f t="shared" si="191"/>
        <v/>
      </c>
      <c r="C670" s="290"/>
      <c r="D670" s="293"/>
      <c r="E670" s="346">
        <f t="shared" si="192"/>
        <v>0</v>
      </c>
      <c r="F670" s="349">
        <f>IF(C670="",0,F669)</f>
        <v>0</v>
      </c>
      <c r="G670" s="347">
        <f t="shared" si="193"/>
        <v>0</v>
      </c>
    </row>
    <row r="671" spans="1:7" ht="18.95" customHeight="1" x14ac:dyDescent="0.2">
      <c r="A671" s="348" t="str">
        <f t="shared" si="190"/>
        <v/>
      </c>
      <c r="B671" s="290" t="str">
        <f t="shared" si="191"/>
        <v/>
      </c>
      <c r="C671" s="290"/>
      <c r="D671" s="293"/>
      <c r="E671" s="346">
        <f t="shared" si="192"/>
        <v>0</v>
      </c>
      <c r="F671" s="349">
        <f>IF(C671="",0,F670)</f>
        <v>0</v>
      </c>
      <c r="G671" s="347">
        <f t="shared" si="193"/>
        <v>0</v>
      </c>
    </row>
    <row r="672" spans="1:7" ht="18.95" customHeight="1" x14ac:dyDescent="0.2">
      <c r="A672" s="348" t="str">
        <f t="shared" si="190"/>
        <v/>
      </c>
      <c r="B672" s="290" t="str">
        <f t="shared" si="191"/>
        <v/>
      </c>
      <c r="C672" s="290"/>
      <c r="D672" s="293"/>
      <c r="E672" s="346">
        <f t="shared" si="192"/>
        <v>0</v>
      </c>
      <c r="F672" s="349">
        <f>IF(C672="",0,F671)</f>
        <v>0</v>
      </c>
      <c r="G672" s="347">
        <f t="shared" si="193"/>
        <v>0</v>
      </c>
    </row>
    <row r="673" spans="1:7" ht="18.95" customHeight="1" x14ac:dyDescent="0.2">
      <c r="A673" s="348" t="str">
        <f t="shared" si="190"/>
        <v/>
      </c>
      <c r="B673" s="290" t="str">
        <f t="shared" si="191"/>
        <v/>
      </c>
      <c r="C673" s="290"/>
      <c r="D673" s="351"/>
      <c r="E673" s="346">
        <f t="shared" si="192"/>
        <v>0</v>
      </c>
      <c r="F673" s="349">
        <f>IF(C673="",0,F672)</f>
        <v>0</v>
      </c>
      <c r="G673" s="347">
        <f t="shared" si="193"/>
        <v>0</v>
      </c>
    </row>
    <row r="674" spans="1:7" ht="18.95" customHeight="1" x14ac:dyDescent="0.2">
      <c r="A674" s="348" t="str">
        <f t="shared" si="190"/>
        <v/>
      </c>
      <c r="B674" s="290" t="str">
        <f t="shared" si="191"/>
        <v/>
      </c>
      <c r="C674" s="290"/>
      <c r="D674" s="293"/>
      <c r="E674" s="346">
        <f t="shared" si="192"/>
        <v>0</v>
      </c>
      <c r="F674" s="349">
        <f>IF(C674="",0,F673)</f>
        <v>0</v>
      </c>
      <c r="G674" s="347">
        <f t="shared" si="193"/>
        <v>0</v>
      </c>
    </row>
    <row r="675" spans="1:7" ht="18.95" customHeight="1" x14ac:dyDescent="0.2">
      <c r="A675" s="353"/>
      <c r="B675" s="149"/>
      <c r="C675" s="142"/>
      <c r="D675" s="150"/>
      <c r="E675" s="143"/>
      <c r="F675" s="356" t="s">
        <v>30</v>
      </c>
      <c r="G675" s="355">
        <f>SUBTOTAL(9,G669:G674)</f>
        <v>0</v>
      </c>
    </row>
    <row r="676" spans="1:7" ht="18.95" customHeight="1" x14ac:dyDescent="0.2">
      <c r="A676" s="156"/>
      <c r="B676" s="142"/>
      <c r="C676" s="157" t="s">
        <v>1047</v>
      </c>
      <c r="D676" s="150"/>
      <c r="E676" s="327"/>
      <c r="F676" s="327"/>
      <c r="G676" s="342"/>
    </row>
    <row r="677" spans="1:7" ht="18.95" customHeight="1" x14ac:dyDescent="0.2">
      <c r="A677" s="735" t="s">
        <v>582</v>
      </c>
      <c r="B677" s="736"/>
      <c r="C677" s="737" t="s">
        <v>0</v>
      </c>
      <c r="D677" s="737" t="s">
        <v>1655</v>
      </c>
      <c r="E677" s="737" t="s">
        <v>26</v>
      </c>
      <c r="F677" s="737" t="s">
        <v>27</v>
      </c>
      <c r="G677" s="733" t="s">
        <v>28</v>
      </c>
    </row>
    <row r="678" spans="1:7" ht="18.95" customHeight="1" x14ac:dyDescent="0.2">
      <c r="A678" s="154" t="s">
        <v>583</v>
      </c>
      <c r="B678" s="155" t="s">
        <v>584</v>
      </c>
      <c r="C678" s="738"/>
      <c r="D678" s="738"/>
      <c r="E678" s="738"/>
      <c r="F678" s="738"/>
      <c r="G678" s="734"/>
    </row>
    <row r="679" spans="1:7" ht="18.95" customHeight="1" x14ac:dyDescent="0.2">
      <c r="A679" s="348" t="str">
        <f t="shared" ref="A679:A690" si="194">IFERROR(VLOOKUP(C679,Tabla_Insumos,4,FALSE),"")</f>
        <v/>
      </c>
      <c r="B679" s="290" t="str">
        <f t="shared" ref="B679:B690" si="195">IFERROR(VLOOKUP(C679,Tabla_Insumos,5,FALSE),"")</f>
        <v/>
      </c>
      <c r="C679" s="290"/>
      <c r="D679" s="608">
        <f t="shared" ref="D679:D690" si="196">IFERROR(VLOOKUP(C679,Tabla_Insumos,2,FALSE),0)</f>
        <v>0</v>
      </c>
      <c r="E679" s="293"/>
      <c r="F679" s="346">
        <f t="shared" ref="F679:F690" si="197">IFERROR(VLOOKUP(C679,Tabla_Insumos,3,FALSE),0)</f>
        <v>0</v>
      </c>
      <c r="G679" s="347">
        <f t="shared" ref="G679:G690" si="198">ROUND(E679*F679,2)</f>
        <v>0</v>
      </c>
    </row>
    <row r="680" spans="1:7" ht="18.95" customHeight="1" x14ac:dyDescent="0.2">
      <c r="A680" s="348" t="str">
        <f t="shared" si="194"/>
        <v/>
      </c>
      <c r="B680" s="290" t="str">
        <f t="shared" si="195"/>
        <v/>
      </c>
      <c r="C680" s="126"/>
      <c r="D680" s="608">
        <f t="shared" si="196"/>
        <v>0</v>
      </c>
      <c r="E680" s="293"/>
      <c r="F680" s="346">
        <f t="shared" si="197"/>
        <v>0</v>
      </c>
      <c r="G680" s="347">
        <f t="shared" si="198"/>
        <v>0</v>
      </c>
    </row>
    <row r="681" spans="1:7" ht="18.95" customHeight="1" x14ac:dyDescent="0.2">
      <c r="A681" s="348" t="str">
        <f t="shared" si="194"/>
        <v/>
      </c>
      <c r="B681" s="290" t="str">
        <f t="shared" si="195"/>
        <v/>
      </c>
      <c r="C681" s="290"/>
      <c r="D681" s="608">
        <f t="shared" si="196"/>
        <v>0</v>
      </c>
      <c r="E681" s="293"/>
      <c r="F681" s="346">
        <f t="shared" si="197"/>
        <v>0</v>
      </c>
      <c r="G681" s="347">
        <f t="shared" si="198"/>
        <v>0</v>
      </c>
    </row>
    <row r="682" spans="1:7" ht="18.95" customHeight="1" x14ac:dyDescent="0.2">
      <c r="A682" s="348" t="str">
        <f t="shared" si="194"/>
        <v/>
      </c>
      <c r="B682" s="290" t="str">
        <f t="shared" si="195"/>
        <v/>
      </c>
      <c r="C682" s="290"/>
      <c r="D682" s="608">
        <f t="shared" si="196"/>
        <v>0</v>
      </c>
      <c r="E682" s="293"/>
      <c r="F682" s="346">
        <f t="shared" si="197"/>
        <v>0</v>
      </c>
      <c r="G682" s="347">
        <f t="shared" si="198"/>
        <v>0</v>
      </c>
    </row>
    <row r="683" spans="1:7" ht="18.95" customHeight="1" x14ac:dyDescent="0.2">
      <c r="A683" s="348" t="str">
        <f t="shared" si="194"/>
        <v/>
      </c>
      <c r="B683" s="290" t="str">
        <f t="shared" si="195"/>
        <v/>
      </c>
      <c r="C683" s="290"/>
      <c r="D683" s="608">
        <f t="shared" si="196"/>
        <v>0</v>
      </c>
      <c r="E683" s="293"/>
      <c r="F683" s="346">
        <f t="shared" si="197"/>
        <v>0</v>
      </c>
      <c r="G683" s="347">
        <f t="shared" si="198"/>
        <v>0</v>
      </c>
    </row>
    <row r="684" spans="1:7" ht="18.95" customHeight="1" x14ac:dyDescent="0.2">
      <c r="A684" s="348" t="str">
        <f t="shared" si="194"/>
        <v/>
      </c>
      <c r="B684" s="290" t="str">
        <f t="shared" si="195"/>
        <v/>
      </c>
      <c r="C684" s="290"/>
      <c r="D684" s="608">
        <f t="shared" si="196"/>
        <v>0</v>
      </c>
      <c r="E684" s="293"/>
      <c r="F684" s="346">
        <f t="shared" si="197"/>
        <v>0</v>
      </c>
      <c r="G684" s="347">
        <f t="shared" si="198"/>
        <v>0</v>
      </c>
    </row>
    <row r="685" spans="1:7" ht="18.95" customHeight="1" x14ac:dyDescent="0.2">
      <c r="A685" s="348" t="str">
        <f t="shared" si="194"/>
        <v/>
      </c>
      <c r="B685" s="290" t="str">
        <f t="shared" si="195"/>
        <v/>
      </c>
      <c r="C685" s="290"/>
      <c r="D685" s="608">
        <f t="shared" si="196"/>
        <v>0</v>
      </c>
      <c r="E685" s="293"/>
      <c r="F685" s="346">
        <f t="shared" si="197"/>
        <v>0</v>
      </c>
      <c r="G685" s="347">
        <f t="shared" si="198"/>
        <v>0</v>
      </c>
    </row>
    <row r="686" spans="1:7" s="295" customFormat="1" ht="18.95" customHeight="1" x14ac:dyDescent="0.2">
      <c r="A686" s="348" t="str">
        <f t="shared" si="194"/>
        <v/>
      </c>
      <c r="B686" s="290" t="str">
        <f t="shared" si="195"/>
        <v/>
      </c>
      <c r="C686" s="290"/>
      <c r="D686" s="608">
        <f t="shared" si="196"/>
        <v>0</v>
      </c>
      <c r="E686" s="323"/>
      <c r="F686" s="346">
        <f t="shared" si="197"/>
        <v>0</v>
      </c>
      <c r="G686" s="347">
        <f t="shared" si="198"/>
        <v>0</v>
      </c>
    </row>
    <row r="687" spans="1:7" ht="18.95" customHeight="1" x14ac:dyDescent="0.2">
      <c r="A687" s="348" t="str">
        <f t="shared" si="194"/>
        <v/>
      </c>
      <c r="B687" s="290" t="str">
        <f t="shared" si="195"/>
        <v/>
      </c>
      <c r="C687" s="290"/>
      <c r="D687" s="608">
        <f t="shared" si="196"/>
        <v>0</v>
      </c>
      <c r="E687" s="293"/>
      <c r="F687" s="346">
        <f t="shared" si="197"/>
        <v>0</v>
      </c>
      <c r="G687" s="347">
        <f t="shared" si="198"/>
        <v>0</v>
      </c>
    </row>
    <row r="688" spans="1:7" ht="18.95" customHeight="1" x14ac:dyDescent="0.2">
      <c r="A688" s="348" t="str">
        <f t="shared" si="194"/>
        <v/>
      </c>
      <c r="B688" s="290" t="str">
        <f t="shared" si="195"/>
        <v/>
      </c>
      <c r="C688" s="290"/>
      <c r="D688" s="608">
        <f t="shared" si="196"/>
        <v>0</v>
      </c>
      <c r="E688" s="293"/>
      <c r="F688" s="346">
        <f t="shared" si="197"/>
        <v>0</v>
      </c>
      <c r="G688" s="347">
        <f t="shared" si="198"/>
        <v>0</v>
      </c>
    </row>
    <row r="689" spans="1:8" ht="18.95" customHeight="1" x14ac:dyDescent="0.2">
      <c r="A689" s="348" t="str">
        <f t="shared" si="194"/>
        <v/>
      </c>
      <c r="B689" s="290" t="str">
        <f t="shared" si="195"/>
        <v/>
      </c>
      <c r="C689" s="290"/>
      <c r="D689" s="608">
        <f t="shared" si="196"/>
        <v>0</v>
      </c>
      <c r="E689" s="293"/>
      <c r="F689" s="346">
        <f t="shared" si="197"/>
        <v>0</v>
      </c>
      <c r="G689" s="347">
        <f t="shared" si="198"/>
        <v>0</v>
      </c>
    </row>
    <row r="690" spans="1:8" ht="18.95" customHeight="1" x14ac:dyDescent="0.2">
      <c r="A690" s="348" t="str">
        <f t="shared" si="194"/>
        <v/>
      </c>
      <c r="B690" s="290" t="str">
        <f t="shared" si="195"/>
        <v/>
      </c>
      <c r="C690" s="290"/>
      <c r="D690" s="608">
        <f t="shared" si="196"/>
        <v>0</v>
      </c>
      <c r="E690" s="293"/>
      <c r="F690" s="346">
        <f t="shared" si="197"/>
        <v>0</v>
      </c>
      <c r="G690" s="347">
        <f t="shared" si="198"/>
        <v>0</v>
      </c>
    </row>
    <row r="691" spans="1:8" ht="18.95" customHeight="1" x14ac:dyDescent="0.2">
      <c r="A691" s="156"/>
      <c r="B691" s="142"/>
      <c r="C691" s="142"/>
      <c r="D691" s="150"/>
      <c r="E691" s="143"/>
      <c r="F691" s="356" t="s">
        <v>31</v>
      </c>
      <c r="G691" s="355">
        <f>SUBTOTAL(9,G679:G690)</f>
        <v>0</v>
      </c>
    </row>
    <row r="692" spans="1:8" ht="18.95" customHeight="1" x14ac:dyDescent="0.2">
      <c r="A692" s="156"/>
      <c r="B692" s="142"/>
      <c r="C692" s="157" t="s">
        <v>1048</v>
      </c>
      <c r="D692" s="150"/>
      <c r="E692" s="327"/>
      <c r="F692" s="327"/>
      <c r="G692" s="342"/>
    </row>
    <row r="693" spans="1:8" ht="18.95" customHeight="1" x14ac:dyDescent="0.2">
      <c r="A693" s="735" t="s">
        <v>582</v>
      </c>
      <c r="B693" s="736"/>
      <c r="C693" s="737" t="s">
        <v>0</v>
      </c>
      <c r="D693" s="739" t="s">
        <v>1750</v>
      </c>
      <c r="E693" s="741" t="s">
        <v>26</v>
      </c>
      <c r="F693" s="741" t="s">
        <v>27</v>
      </c>
      <c r="G693" s="733" t="s">
        <v>28</v>
      </c>
    </row>
    <row r="694" spans="1:8" ht="18.95" customHeight="1" x14ac:dyDescent="0.2">
      <c r="A694" s="154" t="s">
        <v>583</v>
      </c>
      <c r="B694" s="155" t="s">
        <v>584</v>
      </c>
      <c r="C694" s="738"/>
      <c r="D694" s="740"/>
      <c r="E694" s="742"/>
      <c r="F694" s="742"/>
      <c r="G694" s="734"/>
    </row>
    <row r="695" spans="1:8" ht="18.95" customHeight="1" x14ac:dyDescent="0.2">
      <c r="A695" s="348" t="str">
        <f>IFERROR(VLOOKUP(C695,Tabla_Insumos,4,FALSE),"")</f>
        <v/>
      </c>
      <c r="B695" s="290" t="s">
        <v>4</v>
      </c>
      <c r="C695" s="290"/>
      <c r="D695" s="293"/>
      <c r="E695" s="322"/>
      <c r="F695" s="324"/>
      <c r="G695" s="347">
        <f t="shared" ref="G695" si="199">ROUND(E695*F695,2)</f>
        <v>0</v>
      </c>
    </row>
    <row r="696" spans="1:8" ht="18.95" customHeight="1" x14ac:dyDescent="0.2">
      <c r="A696" s="156"/>
      <c r="B696" s="142"/>
      <c r="C696" s="142"/>
      <c r="D696" s="150"/>
      <c r="E696" s="143"/>
      <c r="F696" s="356" t="s">
        <v>1049</v>
      </c>
      <c r="G696" s="355">
        <f>SUBTOTAL(9,G695:G695)</f>
        <v>0</v>
      </c>
    </row>
    <row r="697" spans="1:8" ht="18.95" customHeight="1" thickBot="1" x14ac:dyDescent="0.25">
      <c r="A697" s="158"/>
      <c r="B697" s="159"/>
      <c r="C697" s="160"/>
      <c r="D697" s="161"/>
      <c r="E697" s="357"/>
      <c r="F697" s="357"/>
      <c r="G697" s="358"/>
    </row>
    <row r="698" spans="1:8" ht="18.95" customHeight="1" x14ac:dyDescent="0.2">
      <c r="A698" s="359">
        <f>B637</f>
        <v>10</v>
      </c>
      <c r="B698" s="360" t="str">
        <f>C637</f>
        <v>EXCAVACIÓN PARA FUNDACIONES</v>
      </c>
      <c r="C698" s="361"/>
      <c r="D698" s="361"/>
      <c r="E698" s="361" t="s">
        <v>1050</v>
      </c>
      <c r="F698" s="362" t="str">
        <f>CONCATENATE("$/",G637)</f>
        <v>$/m3</v>
      </c>
      <c r="G698" s="363">
        <f>SUBTOTAL(9,G657:G697)</f>
        <v>0</v>
      </c>
    </row>
    <row r="699" spans="1:8" ht="18.95" customHeight="1" thickBot="1" x14ac:dyDescent="0.25">
      <c r="A699" s="364"/>
      <c r="B699" s="365"/>
      <c r="C699" s="365"/>
      <c r="D699" s="365"/>
      <c r="E699" s="366" t="s">
        <v>1051</v>
      </c>
      <c r="F699" s="367" t="str">
        <f>CONCATENATE("$/",G637)</f>
        <v>$/m3</v>
      </c>
      <c r="G699" s="368" t="e">
        <f ca="1">PrecioUnitario(G698,GG_Porcentaje,Beneficio,Ingresos_Brutos,IVA)</f>
        <v>#NAME?</v>
      </c>
    </row>
    <row r="700" spans="1:8" ht="18.95" customHeight="1" thickTop="1" thickBot="1" x14ac:dyDescent="0.25">
      <c r="F700" s="294"/>
      <c r="G700" s="294"/>
    </row>
    <row r="701" spans="1:8" ht="18.95" customHeight="1" thickTop="1" x14ac:dyDescent="0.2">
      <c r="A701" s="194" t="s">
        <v>33</v>
      </c>
      <c r="B701" s="195"/>
      <c r="C701" s="195"/>
      <c r="D701" s="195"/>
      <c r="E701" s="195"/>
      <c r="F701" s="195"/>
      <c r="G701" s="196"/>
      <c r="H701" s="143">
        <f>COUNTIF($A$1:A707,"ANALISIS DE PRECIOS")</f>
        <v>11</v>
      </c>
    </row>
    <row r="702" spans="1:8" ht="18.95" customHeight="1" x14ac:dyDescent="0.2">
      <c r="A702" s="144" t="s">
        <v>720</v>
      </c>
      <c r="B702" s="145" t="str">
        <f>Comitente</f>
        <v>DIRECCIÓN PROVINCIAL DE VIALIDAD</v>
      </c>
      <c r="C702" s="139"/>
      <c r="D702" s="146"/>
      <c r="E702" s="325"/>
      <c r="F702" s="325"/>
      <c r="G702" s="326"/>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PAVIMENTACION Y ENSANCHE DE RUTA PROVINCIAL N°7 AV. JOAQUIN UÑAC</v>
      </c>
      <c r="C704" s="140"/>
      <c r="D704" s="140"/>
      <c r="E704" s="143"/>
      <c r="F704" s="145" t="s">
        <v>34</v>
      </c>
      <c r="G704" s="147">
        <f>Fecha_Base</f>
        <v>43444</v>
      </c>
      <c r="H704" s="143"/>
    </row>
    <row r="705" spans="1:8" ht="18.95" customHeight="1" x14ac:dyDescent="0.2">
      <c r="A705" s="148" t="s">
        <v>719</v>
      </c>
      <c r="B705" s="141" t="str">
        <f>Ubicación</f>
        <v>DEPARTAMENTO POCITO</v>
      </c>
      <c r="C705" s="141"/>
      <c r="D705" s="150"/>
      <c r="E705" s="143"/>
      <c r="F705" s="327"/>
      <c r="G705" s="328"/>
      <c r="H705" s="143"/>
    </row>
    <row r="706" spans="1:8" ht="18.95" customHeight="1" x14ac:dyDescent="0.2">
      <c r="A706" s="148" t="s">
        <v>35</v>
      </c>
      <c r="B706" s="151" t="str">
        <f>IFERROR(VALUE(LEFT(B707,FIND("-",B707)-1)),"")</f>
        <v/>
      </c>
      <c r="C706" s="142" t="str">
        <f>IFERROR(VLOOKUP(B706,Tabla_CyP,2,FALSE),"")</f>
        <v/>
      </c>
      <c r="D706" s="150"/>
      <c r="E706" s="143"/>
      <c r="F706" s="327"/>
      <c r="G706" s="328"/>
      <c r="H706" s="143"/>
    </row>
    <row r="707" spans="1:8" ht="18.95" customHeight="1" x14ac:dyDescent="0.2">
      <c r="A707" s="148" t="s">
        <v>24</v>
      </c>
      <c r="B707" s="152">
        <f>IFERROR(VLOOKUP(COUNTIF($A$1:A707,"ANALISIS DE PRECIOS"),Tabla_NumeroItem,4,FALSE),"")</f>
        <v>11</v>
      </c>
      <c r="C707" s="745" t="str">
        <f>IFERROR(VLOOKUP(B707,Tabla_CyP,2,FALSE),"")</f>
        <v>HORMIGÓN DE CEMENTO PORTLAND TIPO H-21, EXCLUIDO ARMADURA</v>
      </c>
      <c r="D707" s="745"/>
      <c r="E707" s="745"/>
      <c r="F707" s="141" t="s">
        <v>25</v>
      </c>
      <c r="G707" s="153" t="str">
        <f>IFERROR(VLOOKUP(B707,Tabla_CyP,4,FALSE),"")</f>
        <v>m3</v>
      </c>
      <c r="H707" s="143"/>
    </row>
    <row r="708" spans="1:8" ht="18.95" customHeight="1" x14ac:dyDescent="0.2">
      <c r="A708" s="148"/>
      <c r="B708" s="141"/>
      <c r="C708" s="142"/>
      <c r="D708" s="150"/>
      <c r="E708" s="142"/>
      <c r="F708" s="142"/>
      <c r="G708" s="329"/>
      <c r="H708" s="143"/>
    </row>
    <row r="709" spans="1:8" ht="18.95" customHeight="1" x14ac:dyDescent="0.2">
      <c r="A709" s="330"/>
      <c r="B709" s="331"/>
      <c r="C709" s="332" t="s">
        <v>1032</v>
      </c>
      <c r="D709" s="331"/>
      <c r="E709" s="331"/>
      <c r="F709" s="331"/>
      <c r="G709" s="333"/>
      <c r="H709" s="143"/>
    </row>
    <row r="710" spans="1:8" ht="18.95" customHeight="1" x14ac:dyDescent="0.2">
      <c r="A710" s="148"/>
      <c r="B710" s="334"/>
      <c r="C710" s="335" t="s">
        <v>1033</v>
      </c>
      <c r="D710" s="336" t="s">
        <v>26</v>
      </c>
      <c r="E710" s="336" t="s">
        <v>1034</v>
      </c>
      <c r="F710" s="336" t="s">
        <v>1035</v>
      </c>
      <c r="G710" s="337" t="s">
        <v>1036</v>
      </c>
      <c r="H710" s="143"/>
    </row>
    <row r="711" spans="1:8" ht="18.95" customHeight="1" x14ac:dyDescent="0.2">
      <c r="A711" s="343"/>
      <c r="B711" s="344"/>
      <c r="C711" s="290"/>
      <c r="D711" s="293"/>
      <c r="E711" s="345"/>
      <c r="F711" s="346"/>
      <c r="G711" s="347">
        <f t="shared" ref="G711:G720" si="200">ROUND(D711*F711,2)</f>
        <v>0</v>
      </c>
    </row>
    <row r="712" spans="1:8" ht="18.95" customHeight="1" x14ac:dyDescent="0.2">
      <c r="A712" s="343"/>
      <c r="B712" s="344"/>
      <c r="C712" s="290"/>
      <c r="D712" s="293"/>
      <c r="E712" s="345"/>
      <c r="F712" s="346"/>
      <c r="G712" s="347">
        <f t="shared" si="200"/>
        <v>0</v>
      </c>
    </row>
    <row r="713" spans="1:8" ht="18.95" customHeight="1" x14ac:dyDescent="0.2">
      <c r="A713" s="343"/>
      <c r="B713" s="344"/>
      <c r="C713" s="290"/>
      <c r="D713" s="293"/>
      <c r="E713" s="345">
        <f t="shared" ref="E713:E720" si="201">IFERROR(VLOOKUP(C713,T_Equipos,4,FALSE),0)</f>
        <v>0</v>
      </c>
      <c r="F713" s="346">
        <f t="shared" ref="F713:F720" si="202">IFERROR(VLOOKUP(C713,T_Equipos,11,FALSE),0)</f>
        <v>0</v>
      </c>
      <c r="G713" s="347">
        <f t="shared" si="200"/>
        <v>0</v>
      </c>
    </row>
    <row r="714" spans="1:8" ht="18.95" customHeight="1" x14ac:dyDescent="0.2">
      <c r="A714" s="343"/>
      <c r="B714" s="344"/>
      <c r="C714" s="290"/>
      <c r="D714" s="293"/>
      <c r="E714" s="345">
        <f t="shared" si="201"/>
        <v>0</v>
      </c>
      <c r="F714" s="346">
        <f t="shared" si="202"/>
        <v>0</v>
      </c>
      <c r="G714" s="347">
        <f t="shared" si="200"/>
        <v>0</v>
      </c>
    </row>
    <row r="715" spans="1:8" ht="18.95" customHeight="1" x14ac:dyDescent="0.2">
      <c r="A715" s="343"/>
      <c r="B715" s="344"/>
      <c r="C715" s="290"/>
      <c r="D715" s="293"/>
      <c r="E715" s="345">
        <f t="shared" si="201"/>
        <v>0</v>
      </c>
      <c r="F715" s="346">
        <f t="shared" si="202"/>
        <v>0</v>
      </c>
      <c r="G715" s="347">
        <f t="shared" si="200"/>
        <v>0</v>
      </c>
    </row>
    <row r="716" spans="1:8" ht="18.95" customHeight="1" x14ac:dyDescent="0.2">
      <c r="A716" s="343"/>
      <c r="B716" s="344"/>
      <c r="C716" s="290"/>
      <c r="D716" s="293"/>
      <c r="E716" s="345">
        <f t="shared" si="201"/>
        <v>0</v>
      </c>
      <c r="F716" s="346">
        <f t="shared" si="202"/>
        <v>0</v>
      </c>
      <c r="G716" s="347">
        <f t="shared" si="200"/>
        <v>0</v>
      </c>
    </row>
    <row r="717" spans="1:8" ht="18.95" customHeight="1" x14ac:dyDescent="0.2">
      <c r="A717" s="343"/>
      <c r="B717" s="344"/>
      <c r="C717" s="290"/>
      <c r="D717" s="293"/>
      <c r="E717" s="345">
        <f t="shared" si="201"/>
        <v>0</v>
      </c>
      <c r="F717" s="346">
        <f t="shared" si="202"/>
        <v>0</v>
      </c>
      <c r="G717" s="347">
        <f t="shared" si="200"/>
        <v>0</v>
      </c>
    </row>
    <row r="718" spans="1:8" ht="18.95" customHeight="1" x14ac:dyDescent="0.2">
      <c r="A718" s="343"/>
      <c r="B718" s="344"/>
      <c r="C718" s="290"/>
      <c r="D718" s="293"/>
      <c r="E718" s="345">
        <f t="shared" si="201"/>
        <v>0</v>
      </c>
      <c r="F718" s="346">
        <f t="shared" si="202"/>
        <v>0</v>
      </c>
      <c r="G718" s="347">
        <f t="shared" si="200"/>
        <v>0</v>
      </c>
    </row>
    <row r="719" spans="1:8" ht="18.95" customHeight="1" x14ac:dyDescent="0.2">
      <c r="A719" s="343"/>
      <c r="B719" s="344"/>
      <c r="C719" s="290"/>
      <c r="D719" s="293"/>
      <c r="E719" s="345">
        <f t="shared" si="201"/>
        <v>0</v>
      </c>
      <c r="F719" s="346">
        <f t="shared" si="202"/>
        <v>0</v>
      </c>
      <c r="G719" s="347">
        <f t="shared" si="200"/>
        <v>0</v>
      </c>
    </row>
    <row r="720" spans="1:8" ht="18.95" customHeight="1" thickBot="1" x14ac:dyDescent="0.25">
      <c r="A720" s="343"/>
      <c r="B720" s="344"/>
      <c r="C720" s="290"/>
      <c r="D720" s="293"/>
      <c r="E720" s="345">
        <f t="shared" si="201"/>
        <v>0</v>
      </c>
      <c r="F720" s="346">
        <f t="shared" si="202"/>
        <v>0</v>
      </c>
      <c r="G720" s="347">
        <f t="shared" si="200"/>
        <v>0</v>
      </c>
    </row>
    <row r="721" spans="1:7" ht="18.95" customHeight="1" thickBot="1" x14ac:dyDescent="0.25">
      <c r="A721" s="148"/>
      <c r="B721" s="334"/>
      <c r="C721" s="143"/>
      <c r="D721" s="146" t="s">
        <v>1037</v>
      </c>
      <c r="E721" s="338">
        <f>SUMPRODUCT(D711:D720,E711:E720)</f>
        <v>0</v>
      </c>
      <c r="F721" s="141" t="s">
        <v>1038</v>
      </c>
      <c r="G721" s="339">
        <f>SUM(G711:G720)</f>
        <v>0</v>
      </c>
    </row>
    <row r="722" spans="1:7" ht="18.95" customHeight="1" x14ac:dyDescent="0.2">
      <c r="A722" s="148"/>
      <c r="B722" s="334"/>
      <c r="C722" s="141" t="s">
        <v>1039</v>
      </c>
      <c r="D722" s="320"/>
      <c r="E722" s="340" t="str">
        <f>CONCATENATE(G707,"/día")</f>
        <v>m3/día</v>
      </c>
      <c r="F722" s="141"/>
      <c r="G722" s="341"/>
    </row>
    <row r="723" spans="1:7" ht="18.95" customHeight="1" x14ac:dyDescent="0.2">
      <c r="A723" s="148"/>
      <c r="B723" s="334"/>
      <c r="C723" s="142"/>
      <c r="D723" s="150"/>
      <c r="E723" s="141"/>
      <c r="F723" s="141"/>
      <c r="G723" s="341"/>
    </row>
    <row r="724" spans="1:7" ht="18.95" customHeight="1" x14ac:dyDescent="0.2">
      <c r="A724" s="735" t="s">
        <v>582</v>
      </c>
      <c r="B724" s="736"/>
      <c r="C724" s="737" t="s">
        <v>0</v>
      </c>
      <c r="D724" s="743" t="s">
        <v>1053</v>
      </c>
      <c r="E724" s="743" t="s">
        <v>1706</v>
      </c>
      <c r="F724" s="743" t="s">
        <v>1054</v>
      </c>
      <c r="G724" s="743" t="s">
        <v>1055</v>
      </c>
    </row>
    <row r="725" spans="1:7" ht="18.95" customHeight="1" x14ac:dyDescent="0.2">
      <c r="A725" s="154" t="s">
        <v>583</v>
      </c>
      <c r="B725" s="155" t="s">
        <v>584</v>
      </c>
      <c r="C725" s="738"/>
      <c r="D725" s="742"/>
      <c r="E725" s="742"/>
      <c r="F725" s="744"/>
      <c r="G725" s="742"/>
    </row>
    <row r="726" spans="1:7" ht="18.95" customHeight="1" x14ac:dyDescent="0.2">
      <c r="A726" s="156"/>
      <c r="B726" s="142"/>
      <c r="C726" s="157" t="s">
        <v>1041</v>
      </c>
      <c r="D726" s="150"/>
      <c r="E726" s="142"/>
      <c r="F726" s="142"/>
      <c r="G726" s="342"/>
    </row>
    <row r="727" spans="1:7" ht="18.95" customHeight="1" x14ac:dyDescent="0.2">
      <c r="A727" s="348" t="str">
        <f t="shared" ref="A727:A734" si="203">IFERROR(VLOOKUP(C727,Tabla_Insumos,4,FALSE),"")</f>
        <v/>
      </c>
      <c r="B727" s="290" t="str">
        <f t="shared" ref="B727:B734" si="204">IFERROR(VLOOKUP(C727,Tabla_Insumos,5,FALSE),"")</f>
        <v/>
      </c>
      <c r="C727" s="290"/>
      <c r="D727" s="607">
        <f t="shared" ref="D727:D734" si="205">IFERROR(VLOOKUP(C727,Tabla_Insumos,3,FALSE),0)</f>
        <v>0</v>
      </c>
      <c r="E727" s="349">
        <f>D727*$G$21</f>
        <v>0</v>
      </c>
      <c r="F727" s="350">
        <f>IF(C727="",0,D722)</f>
        <v>0</v>
      </c>
      <c r="G727" s="347">
        <f>IFERROR(ROUND(E727/F727,2),0)</f>
        <v>0</v>
      </c>
    </row>
    <row r="728" spans="1:7" ht="18.95" customHeight="1" x14ac:dyDescent="0.2">
      <c r="A728" s="348" t="str">
        <f t="shared" si="203"/>
        <v/>
      </c>
      <c r="B728" s="290" t="str">
        <f t="shared" si="204"/>
        <v/>
      </c>
      <c r="C728" s="321"/>
      <c r="D728" s="607">
        <f t="shared" si="205"/>
        <v>0</v>
      </c>
      <c r="E728" s="349">
        <f t="shared" ref="E728:E729" si="206">D728*$G$21</f>
        <v>0</v>
      </c>
      <c r="F728" s="350">
        <f t="shared" ref="F728:F731" si="207">IF(C728="",0,F727)</f>
        <v>0</v>
      </c>
      <c r="G728" s="347">
        <f t="shared" ref="G728:G734" si="208">IFERROR(ROUND(E728/F728,2),0)</f>
        <v>0</v>
      </c>
    </row>
    <row r="729" spans="1:7" ht="18.95" customHeight="1" x14ac:dyDescent="0.2">
      <c r="A729" s="348" t="str">
        <f t="shared" si="203"/>
        <v/>
      </c>
      <c r="B729" s="290" t="str">
        <f t="shared" si="204"/>
        <v/>
      </c>
      <c r="C729" s="321"/>
      <c r="D729" s="607">
        <f t="shared" si="205"/>
        <v>0</v>
      </c>
      <c r="E729" s="349">
        <f t="shared" si="206"/>
        <v>0</v>
      </c>
      <c r="F729" s="350">
        <f t="shared" si="207"/>
        <v>0</v>
      </c>
      <c r="G729" s="347">
        <f t="shared" si="208"/>
        <v>0</v>
      </c>
    </row>
    <row r="730" spans="1:7" ht="18.95" customHeight="1" x14ac:dyDescent="0.2">
      <c r="A730" s="348" t="str">
        <f t="shared" si="203"/>
        <v/>
      </c>
      <c r="B730" s="290" t="str">
        <f t="shared" si="204"/>
        <v/>
      </c>
      <c r="C730" s="321"/>
      <c r="D730" s="607">
        <f t="shared" si="205"/>
        <v>0</v>
      </c>
      <c r="E730" s="349">
        <f>D730*$E$21</f>
        <v>0</v>
      </c>
      <c r="F730" s="350">
        <f t="shared" si="207"/>
        <v>0</v>
      </c>
      <c r="G730" s="347">
        <f t="shared" si="208"/>
        <v>0</v>
      </c>
    </row>
    <row r="731" spans="1:7" ht="18.95" customHeight="1" x14ac:dyDescent="0.2">
      <c r="A731" s="348" t="str">
        <f t="shared" si="203"/>
        <v/>
      </c>
      <c r="B731" s="290" t="str">
        <f t="shared" si="204"/>
        <v/>
      </c>
      <c r="C731" s="321"/>
      <c r="D731" s="607">
        <f t="shared" si="205"/>
        <v>0</v>
      </c>
      <c r="E731" s="349">
        <f>D731*$E$21</f>
        <v>0</v>
      </c>
      <c r="F731" s="350">
        <f t="shared" si="207"/>
        <v>0</v>
      </c>
      <c r="G731" s="347">
        <f t="shared" si="208"/>
        <v>0</v>
      </c>
    </row>
    <row r="732" spans="1:7" ht="18.95" customHeight="1" x14ac:dyDescent="0.2">
      <c r="A732" s="348" t="str">
        <f t="shared" si="203"/>
        <v/>
      </c>
      <c r="B732" s="290" t="str">
        <f t="shared" si="204"/>
        <v/>
      </c>
      <c r="C732" s="321"/>
      <c r="D732" s="607">
        <f t="shared" si="205"/>
        <v>0</v>
      </c>
      <c r="E732" s="349"/>
      <c r="F732" s="350">
        <f>IF(C732="",0,F731)</f>
        <v>0</v>
      </c>
      <c r="G732" s="347">
        <f t="shared" si="208"/>
        <v>0</v>
      </c>
    </row>
    <row r="733" spans="1:7" ht="18.95" customHeight="1" x14ac:dyDescent="0.2">
      <c r="A733" s="348" t="str">
        <f t="shared" si="203"/>
        <v/>
      </c>
      <c r="B733" s="290" t="str">
        <f t="shared" si="204"/>
        <v/>
      </c>
      <c r="C733" s="321"/>
      <c r="D733" s="607">
        <f t="shared" si="205"/>
        <v>0</v>
      </c>
      <c r="E733" s="349"/>
      <c r="F733" s="350">
        <f t="shared" ref="F733:F734" si="209">IF(C733="",0,F732)</f>
        <v>0</v>
      </c>
      <c r="G733" s="347">
        <f t="shared" si="208"/>
        <v>0</v>
      </c>
    </row>
    <row r="734" spans="1:7" ht="18.95" customHeight="1" x14ac:dyDescent="0.2">
      <c r="A734" s="348" t="str">
        <f t="shared" si="203"/>
        <v/>
      </c>
      <c r="B734" s="290" t="str">
        <f t="shared" si="204"/>
        <v/>
      </c>
      <c r="C734" s="321"/>
      <c r="D734" s="607">
        <f t="shared" si="205"/>
        <v>0</v>
      </c>
      <c r="E734" s="349"/>
      <c r="F734" s="350">
        <f t="shared" si="209"/>
        <v>0</v>
      </c>
      <c r="G734" s="347">
        <f t="shared" si="208"/>
        <v>0</v>
      </c>
    </row>
    <row r="735" spans="1:7" ht="18.95" customHeight="1" x14ac:dyDescent="0.2">
      <c r="A735" s="353"/>
      <c r="B735" s="149"/>
      <c r="C735" s="142"/>
      <c r="D735" s="150"/>
      <c r="E735" s="143"/>
      <c r="F735" s="354" t="s">
        <v>29</v>
      </c>
      <c r="G735" s="355">
        <f>SUBTOTAL(9,G727:G734)</f>
        <v>0</v>
      </c>
    </row>
    <row r="736" spans="1:7" ht="18.95" customHeight="1" x14ac:dyDescent="0.2">
      <c r="A736" s="156"/>
      <c r="B736" s="142"/>
      <c r="C736" s="157" t="s">
        <v>722</v>
      </c>
      <c r="D736" s="150"/>
      <c r="E736" s="327"/>
      <c r="F736" s="327"/>
      <c r="G736" s="342"/>
    </row>
    <row r="737" spans="1:7" ht="18.95" customHeight="1" x14ac:dyDescent="0.2">
      <c r="A737" s="735" t="s">
        <v>582</v>
      </c>
      <c r="B737" s="736"/>
      <c r="C737" s="737" t="s">
        <v>0</v>
      </c>
      <c r="D737" s="739" t="s">
        <v>26</v>
      </c>
      <c r="E737" s="743" t="s">
        <v>1707</v>
      </c>
      <c r="F737" s="741" t="s">
        <v>1040</v>
      </c>
      <c r="G737" s="733" t="s">
        <v>28</v>
      </c>
    </row>
    <row r="738" spans="1:7" ht="18.95" customHeight="1" x14ac:dyDescent="0.2">
      <c r="A738" s="154" t="s">
        <v>583</v>
      </c>
      <c r="B738" s="155" t="s">
        <v>584</v>
      </c>
      <c r="C738" s="738"/>
      <c r="D738" s="740"/>
      <c r="E738" s="742"/>
      <c r="F738" s="742"/>
      <c r="G738" s="734"/>
    </row>
    <row r="739" spans="1:7" ht="18.95" customHeight="1" x14ac:dyDescent="0.2">
      <c r="A739" s="348" t="str">
        <f t="shared" ref="A739:A744" si="210">IFERROR(VLOOKUP(C739,Tabla_Insumos,4,FALSE),"")</f>
        <v/>
      </c>
      <c r="B739" s="290" t="str">
        <f t="shared" ref="B739:B744" si="211">IFERROR(VLOOKUP(C739,Tabla_Insumos,5,FALSE),"")</f>
        <v/>
      </c>
      <c r="C739" s="291"/>
      <c r="D739" s="293"/>
      <c r="E739" s="346">
        <f t="shared" ref="E739:E744" si="212">IFERROR(VLOOKUP(C739,Tabla_Insumos,3,FALSE),0)</f>
        <v>0</v>
      </c>
      <c r="F739" s="349">
        <f>IF(C739="",0,D722)</f>
        <v>0</v>
      </c>
      <c r="G739" s="347">
        <f t="shared" ref="G739:G744" si="213">IFERROR(ROUND(D739*E739/F739,2),0)</f>
        <v>0</v>
      </c>
    </row>
    <row r="740" spans="1:7" ht="18.95" customHeight="1" x14ac:dyDescent="0.2">
      <c r="A740" s="348" t="str">
        <f t="shared" si="210"/>
        <v/>
      </c>
      <c r="B740" s="290" t="str">
        <f t="shared" si="211"/>
        <v/>
      </c>
      <c r="C740" s="290"/>
      <c r="D740" s="293"/>
      <c r="E740" s="346">
        <f t="shared" si="212"/>
        <v>0</v>
      </c>
      <c r="F740" s="349">
        <f>IF(C740="",0,F739)</f>
        <v>0</v>
      </c>
      <c r="G740" s="347">
        <f t="shared" si="213"/>
        <v>0</v>
      </c>
    </row>
    <row r="741" spans="1:7" ht="18.95" customHeight="1" x14ac:dyDescent="0.2">
      <c r="A741" s="348" t="str">
        <f t="shared" si="210"/>
        <v/>
      </c>
      <c r="B741" s="290" t="str">
        <f t="shared" si="211"/>
        <v/>
      </c>
      <c r="C741" s="290"/>
      <c r="D741" s="293"/>
      <c r="E741" s="346">
        <f t="shared" si="212"/>
        <v>0</v>
      </c>
      <c r="F741" s="349">
        <f>IF(C741="",0,F740)</f>
        <v>0</v>
      </c>
      <c r="G741" s="347">
        <f t="shared" si="213"/>
        <v>0</v>
      </c>
    </row>
    <row r="742" spans="1:7" ht="18.95" customHeight="1" x14ac:dyDescent="0.2">
      <c r="A742" s="348" t="str">
        <f t="shared" si="210"/>
        <v/>
      </c>
      <c r="B742" s="290" t="str">
        <f t="shared" si="211"/>
        <v/>
      </c>
      <c r="C742" s="290"/>
      <c r="D742" s="293"/>
      <c r="E742" s="346">
        <f t="shared" si="212"/>
        <v>0</v>
      </c>
      <c r="F742" s="349">
        <f>IF(C742="",0,F741)</f>
        <v>0</v>
      </c>
      <c r="G742" s="347">
        <f t="shared" si="213"/>
        <v>0</v>
      </c>
    </row>
    <row r="743" spans="1:7" ht="18.95" customHeight="1" x14ac:dyDescent="0.2">
      <c r="A743" s="348" t="str">
        <f t="shared" si="210"/>
        <v/>
      </c>
      <c r="B743" s="290" t="str">
        <f t="shared" si="211"/>
        <v/>
      </c>
      <c r="C743" s="290"/>
      <c r="D743" s="351"/>
      <c r="E743" s="346">
        <f t="shared" si="212"/>
        <v>0</v>
      </c>
      <c r="F743" s="349">
        <f>IF(C743="",0,F742)</f>
        <v>0</v>
      </c>
      <c r="G743" s="347">
        <f t="shared" si="213"/>
        <v>0</v>
      </c>
    </row>
    <row r="744" spans="1:7" ht="18.95" customHeight="1" x14ac:dyDescent="0.2">
      <c r="A744" s="348" t="str">
        <f t="shared" si="210"/>
        <v/>
      </c>
      <c r="B744" s="290" t="str">
        <f t="shared" si="211"/>
        <v/>
      </c>
      <c r="C744" s="290"/>
      <c r="D744" s="293"/>
      <c r="E744" s="346">
        <f t="shared" si="212"/>
        <v>0</v>
      </c>
      <c r="F744" s="349">
        <f>IF(C744="",0,F743)</f>
        <v>0</v>
      </c>
      <c r="G744" s="347">
        <f t="shared" si="213"/>
        <v>0</v>
      </c>
    </row>
    <row r="745" spans="1:7" ht="18.95" customHeight="1" x14ac:dyDescent="0.2">
      <c r="A745" s="353"/>
      <c r="B745" s="149"/>
      <c r="C745" s="142"/>
      <c r="D745" s="150"/>
      <c r="E745" s="143"/>
      <c r="F745" s="356" t="s">
        <v>30</v>
      </c>
      <c r="G745" s="355">
        <f>SUBTOTAL(9,G739:G744)</f>
        <v>0</v>
      </c>
    </row>
    <row r="746" spans="1:7" ht="18.95" customHeight="1" x14ac:dyDescent="0.2">
      <c r="A746" s="156"/>
      <c r="B746" s="142"/>
      <c r="C746" s="157" t="s">
        <v>1047</v>
      </c>
      <c r="D746" s="150"/>
      <c r="E746" s="327"/>
      <c r="F746" s="327"/>
      <c r="G746" s="342"/>
    </row>
    <row r="747" spans="1:7" ht="18.95" customHeight="1" x14ac:dyDescent="0.2">
      <c r="A747" s="735" t="s">
        <v>582</v>
      </c>
      <c r="B747" s="736"/>
      <c r="C747" s="737" t="s">
        <v>0</v>
      </c>
      <c r="D747" s="737" t="s">
        <v>1655</v>
      </c>
      <c r="E747" s="737" t="s">
        <v>26</v>
      </c>
      <c r="F747" s="737" t="s">
        <v>27</v>
      </c>
      <c r="G747" s="733" t="s">
        <v>28</v>
      </c>
    </row>
    <row r="748" spans="1:7" ht="18.95" customHeight="1" x14ac:dyDescent="0.2">
      <c r="A748" s="154" t="s">
        <v>583</v>
      </c>
      <c r="B748" s="155" t="s">
        <v>584</v>
      </c>
      <c r="C748" s="738"/>
      <c r="D748" s="738"/>
      <c r="E748" s="738"/>
      <c r="F748" s="738"/>
      <c r="G748" s="734"/>
    </row>
    <row r="749" spans="1:7" ht="18.95" customHeight="1" x14ac:dyDescent="0.2">
      <c r="A749" s="348" t="str">
        <f t="shared" ref="A749:A760" si="214">IFERROR(VLOOKUP(C749,Tabla_Insumos,4,FALSE),"")</f>
        <v/>
      </c>
      <c r="B749" s="290" t="str">
        <f t="shared" ref="B749:B760" si="215">IFERROR(VLOOKUP(C749,Tabla_Insumos,5,FALSE),"")</f>
        <v/>
      </c>
      <c r="C749" s="290"/>
      <c r="D749" s="608">
        <f t="shared" ref="D749:D760" si="216">IFERROR(VLOOKUP(C749,Tabla_Insumos,2,FALSE),0)</f>
        <v>0</v>
      </c>
      <c r="E749" s="293"/>
      <c r="F749" s="346">
        <f t="shared" ref="F749:F760" si="217">IFERROR(VLOOKUP(C749,Tabla_Insumos,3,FALSE),0)</f>
        <v>0</v>
      </c>
      <c r="G749" s="347">
        <f t="shared" ref="G749:G760" si="218">ROUND(E749*F749,2)</f>
        <v>0</v>
      </c>
    </row>
    <row r="750" spans="1:7" ht="18.95" customHeight="1" x14ac:dyDescent="0.2">
      <c r="A750" s="348" t="str">
        <f t="shared" si="214"/>
        <v/>
      </c>
      <c r="B750" s="290" t="str">
        <f t="shared" si="215"/>
        <v/>
      </c>
      <c r="C750" s="126"/>
      <c r="D750" s="608">
        <f t="shared" si="216"/>
        <v>0</v>
      </c>
      <c r="E750" s="293"/>
      <c r="F750" s="346">
        <f t="shared" si="217"/>
        <v>0</v>
      </c>
      <c r="G750" s="347">
        <f t="shared" si="218"/>
        <v>0</v>
      </c>
    </row>
    <row r="751" spans="1:7" ht="18.95" customHeight="1" x14ac:dyDescent="0.2">
      <c r="A751" s="348" t="str">
        <f t="shared" si="214"/>
        <v/>
      </c>
      <c r="B751" s="290" t="str">
        <f t="shared" si="215"/>
        <v/>
      </c>
      <c r="C751" s="290"/>
      <c r="D751" s="608">
        <f t="shared" si="216"/>
        <v>0</v>
      </c>
      <c r="E751" s="293"/>
      <c r="F751" s="346">
        <f t="shared" si="217"/>
        <v>0</v>
      </c>
      <c r="G751" s="347">
        <f t="shared" si="218"/>
        <v>0</v>
      </c>
    </row>
    <row r="752" spans="1:7" ht="18.95" customHeight="1" x14ac:dyDescent="0.2">
      <c r="A752" s="348" t="str">
        <f t="shared" si="214"/>
        <v/>
      </c>
      <c r="B752" s="290" t="str">
        <f t="shared" si="215"/>
        <v/>
      </c>
      <c r="C752" s="290"/>
      <c r="D752" s="608">
        <f t="shared" si="216"/>
        <v>0</v>
      </c>
      <c r="E752" s="293"/>
      <c r="F752" s="346">
        <f t="shared" si="217"/>
        <v>0</v>
      </c>
      <c r="G752" s="347">
        <f t="shared" si="218"/>
        <v>0</v>
      </c>
    </row>
    <row r="753" spans="1:7" ht="18.95" customHeight="1" x14ac:dyDescent="0.2">
      <c r="A753" s="348" t="str">
        <f t="shared" si="214"/>
        <v/>
      </c>
      <c r="B753" s="290" t="str">
        <f t="shared" si="215"/>
        <v/>
      </c>
      <c r="C753" s="290"/>
      <c r="D753" s="608">
        <f t="shared" si="216"/>
        <v>0</v>
      </c>
      <c r="E753" s="293"/>
      <c r="F753" s="346">
        <f t="shared" si="217"/>
        <v>0</v>
      </c>
      <c r="G753" s="347">
        <f t="shared" si="218"/>
        <v>0</v>
      </c>
    </row>
    <row r="754" spans="1:7" ht="18.95" customHeight="1" x14ac:dyDescent="0.2">
      <c r="A754" s="348" t="str">
        <f t="shared" si="214"/>
        <v/>
      </c>
      <c r="B754" s="290" t="str">
        <f t="shared" si="215"/>
        <v/>
      </c>
      <c r="C754" s="290"/>
      <c r="D754" s="608">
        <f t="shared" si="216"/>
        <v>0</v>
      </c>
      <c r="E754" s="293"/>
      <c r="F754" s="346">
        <f t="shared" si="217"/>
        <v>0</v>
      </c>
      <c r="G754" s="347">
        <f t="shared" si="218"/>
        <v>0</v>
      </c>
    </row>
    <row r="755" spans="1:7" ht="18.95" customHeight="1" x14ac:dyDescent="0.2">
      <c r="A755" s="348" t="str">
        <f t="shared" si="214"/>
        <v/>
      </c>
      <c r="B755" s="290" t="str">
        <f t="shared" si="215"/>
        <v/>
      </c>
      <c r="C755" s="290"/>
      <c r="D755" s="608">
        <f t="shared" si="216"/>
        <v>0</v>
      </c>
      <c r="E755" s="293"/>
      <c r="F755" s="346">
        <f t="shared" si="217"/>
        <v>0</v>
      </c>
      <c r="G755" s="347">
        <f t="shared" si="218"/>
        <v>0</v>
      </c>
    </row>
    <row r="756" spans="1:7" s="295" customFormat="1" ht="18.95" customHeight="1" x14ac:dyDescent="0.2">
      <c r="A756" s="348" t="str">
        <f t="shared" si="214"/>
        <v/>
      </c>
      <c r="B756" s="290" t="str">
        <f t="shared" si="215"/>
        <v/>
      </c>
      <c r="C756" s="290"/>
      <c r="D756" s="608">
        <f t="shared" si="216"/>
        <v>0</v>
      </c>
      <c r="E756" s="323"/>
      <c r="F756" s="346">
        <f t="shared" si="217"/>
        <v>0</v>
      </c>
      <c r="G756" s="347">
        <f t="shared" si="218"/>
        <v>0</v>
      </c>
    </row>
    <row r="757" spans="1:7" ht="18.95" customHeight="1" x14ac:dyDescent="0.2">
      <c r="A757" s="348" t="str">
        <f t="shared" si="214"/>
        <v/>
      </c>
      <c r="B757" s="290" t="str">
        <f t="shared" si="215"/>
        <v/>
      </c>
      <c r="C757" s="290"/>
      <c r="D757" s="608">
        <f t="shared" si="216"/>
        <v>0</v>
      </c>
      <c r="E757" s="293"/>
      <c r="F757" s="346">
        <f t="shared" si="217"/>
        <v>0</v>
      </c>
      <c r="G757" s="347">
        <f t="shared" si="218"/>
        <v>0</v>
      </c>
    </row>
    <row r="758" spans="1:7" ht="18.95" customHeight="1" x14ac:dyDescent="0.2">
      <c r="A758" s="348" t="str">
        <f t="shared" si="214"/>
        <v/>
      </c>
      <c r="B758" s="290" t="str">
        <f t="shared" si="215"/>
        <v/>
      </c>
      <c r="C758" s="290"/>
      <c r="D758" s="608">
        <f t="shared" si="216"/>
        <v>0</v>
      </c>
      <c r="E758" s="293"/>
      <c r="F758" s="346">
        <f t="shared" si="217"/>
        <v>0</v>
      </c>
      <c r="G758" s="347">
        <f t="shared" si="218"/>
        <v>0</v>
      </c>
    </row>
    <row r="759" spans="1:7" ht="18.95" customHeight="1" x14ac:dyDescent="0.2">
      <c r="A759" s="348" t="str">
        <f t="shared" si="214"/>
        <v/>
      </c>
      <c r="B759" s="290" t="str">
        <f t="shared" si="215"/>
        <v/>
      </c>
      <c r="C759" s="290"/>
      <c r="D759" s="608">
        <f t="shared" si="216"/>
        <v>0</v>
      </c>
      <c r="E759" s="293"/>
      <c r="F759" s="346">
        <f t="shared" si="217"/>
        <v>0</v>
      </c>
      <c r="G759" s="347">
        <f t="shared" si="218"/>
        <v>0</v>
      </c>
    </row>
    <row r="760" spans="1:7" ht="18.95" customHeight="1" x14ac:dyDescent="0.2">
      <c r="A760" s="348" t="str">
        <f t="shared" si="214"/>
        <v/>
      </c>
      <c r="B760" s="290" t="str">
        <f t="shared" si="215"/>
        <v/>
      </c>
      <c r="C760" s="290"/>
      <c r="D760" s="608">
        <f t="shared" si="216"/>
        <v>0</v>
      </c>
      <c r="E760" s="293"/>
      <c r="F760" s="346">
        <f t="shared" si="217"/>
        <v>0</v>
      </c>
      <c r="G760" s="347">
        <f t="shared" si="218"/>
        <v>0</v>
      </c>
    </row>
    <row r="761" spans="1:7" ht="18.95" customHeight="1" x14ac:dyDescent="0.2">
      <c r="A761" s="156"/>
      <c r="B761" s="142"/>
      <c r="C761" s="142"/>
      <c r="D761" s="150"/>
      <c r="E761" s="143"/>
      <c r="F761" s="356" t="s">
        <v>31</v>
      </c>
      <c r="G761" s="355">
        <f>SUBTOTAL(9,G749:G760)</f>
        <v>0</v>
      </c>
    </row>
    <row r="762" spans="1:7" ht="18.95" customHeight="1" x14ac:dyDescent="0.2">
      <c r="A762" s="156"/>
      <c r="B762" s="142"/>
      <c r="C762" s="157" t="s">
        <v>1048</v>
      </c>
      <c r="D762" s="150"/>
      <c r="E762" s="327"/>
      <c r="F762" s="327"/>
      <c r="G762" s="342"/>
    </row>
    <row r="763" spans="1:7" ht="18.95" customHeight="1" x14ac:dyDescent="0.2">
      <c r="A763" s="735" t="s">
        <v>582</v>
      </c>
      <c r="B763" s="736"/>
      <c r="C763" s="737" t="s">
        <v>0</v>
      </c>
      <c r="D763" s="739" t="s">
        <v>1750</v>
      </c>
      <c r="E763" s="741" t="s">
        <v>26</v>
      </c>
      <c r="F763" s="741" t="s">
        <v>27</v>
      </c>
      <c r="G763" s="733" t="s">
        <v>28</v>
      </c>
    </row>
    <row r="764" spans="1:7" ht="18.95" customHeight="1" x14ac:dyDescent="0.2">
      <c r="A764" s="154" t="s">
        <v>583</v>
      </c>
      <c r="B764" s="155" t="s">
        <v>584</v>
      </c>
      <c r="C764" s="738"/>
      <c r="D764" s="740"/>
      <c r="E764" s="742"/>
      <c r="F764" s="742"/>
      <c r="G764" s="734"/>
    </row>
    <row r="765" spans="1:7" ht="18.95" customHeight="1" x14ac:dyDescent="0.2">
      <c r="A765" s="348" t="str">
        <f>IFERROR(VLOOKUP(C765,Tabla_Insumos,4,FALSE),"")</f>
        <v/>
      </c>
      <c r="B765" s="290" t="s">
        <v>4</v>
      </c>
      <c r="C765" s="290"/>
      <c r="D765" s="293"/>
      <c r="E765" s="322"/>
      <c r="F765" s="324"/>
      <c r="G765" s="347">
        <f t="shared" ref="G765" si="219">ROUND(E765*F765,2)</f>
        <v>0</v>
      </c>
    </row>
    <row r="766" spans="1:7" ht="18.95" customHeight="1" x14ac:dyDescent="0.2">
      <c r="A766" s="156"/>
      <c r="B766" s="142"/>
      <c r="C766" s="142"/>
      <c r="D766" s="150"/>
      <c r="E766" s="143"/>
      <c r="F766" s="356" t="s">
        <v>1049</v>
      </c>
      <c r="G766" s="355">
        <f>SUBTOTAL(9,G765:G765)</f>
        <v>0</v>
      </c>
    </row>
    <row r="767" spans="1:7" ht="18.95" customHeight="1" thickBot="1" x14ac:dyDescent="0.25">
      <c r="A767" s="158"/>
      <c r="B767" s="159"/>
      <c r="C767" s="160"/>
      <c r="D767" s="161"/>
      <c r="E767" s="357"/>
      <c r="F767" s="357"/>
      <c r="G767" s="358"/>
    </row>
    <row r="768" spans="1:7" ht="18.95" customHeight="1" x14ac:dyDescent="0.2">
      <c r="A768" s="359">
        <f>B707</f>
        <v>11</v>
      </c>
      <c r="B768" s="360" t="str">
        <f>C707</f>
        <v>HORMIGÓN DE CEMENTO PORTLAND TIPO H-21, EXCLUIDO ARMADURA</v>
      </c>
      <c r="C768" s="361"/>
      <c r="D768" s="361"/>
      <c r="E768" s="361" t="s">
        <v>1050</v>
      </c>
      <c r="F768" s="362" t="str">
        <f>CONCATENATE("$/",G707)</f>
        <v>$/m3</v>
      </c>
      <c r="G768" s="363">
        <f>SUBTOTAL(9,G727:G767)</f>
        <v>0</v>
      </c>
    </row>
    <row r="769" spans="1:8" ht="18.95" customHeight="1" thickBot="1" x14ac:dyDescent="0.25">
      <c r="A769" s="364"/>
      <c r="B769" s="365"/>
      <c r="C769" s="365"/>
      <c r="D769" s="365"/>
      <c r="E769" s="366" t="s">
        <v>1051</v>
      </c>
      <c r="F769" s="367" t="str">
        <f>CONCATENATE("$/",G707)</f>
        <v>$/m3</v>
      </c>
      <c r="G769" s="368" t="e">
        <f ca="1">PrecioUnitario(G768,GG_Porcentaje,Beneficio,Ingresos_Brutos,IVA)</f>
        <v>#NAME?</v>
      </c>
    </row>
    <row r="770" spans="1:8" ht="18.95" customHeight="1" thickTop="1" thickBot="1" x14ac:dyDescent="0.25">
      <c r="F770" s="294"/>
      <c r="G770" s="294"/>
    </row>
    <row r="771" spans="1:8" ht="18.95" customHeight="1" thickTop="1" x14ac:dyDescent="0.2">
      <c r="A771" s="194" t="s">
        <v>33</v>
      </c>
      <c r="B771" s="195"/>
      <c r="C771" s="195"/>
      <c r="D771" s="195"/>
      <c r="E771" s="195"/>
      <c r="F771" s="195"/>
      <c r="G771" s="196"/>
      <c r="H771" s="143">
        <f>COUNTIF($A$1:A777,"ANALISIS DE PRECIOS")</f>
        <v>12</v>
      </c>
    </row>
    <row r="772" spans="1:8" ht="18.95" customHeight="1" x14ac:dyDescent="0.2">
      <c r="A772" s="144" t="s">
        <v>720</v>
      </c>
      <c r="B772" s="145" t="str">
        <f>Comitente</f>
        <v>DIRECCIÓN PROVINCIAL DE VIALIDAD</v>
      </c>
      <c r="C772" s="139"/>
      <c r="D772" s="146"/>
      <c r="E772" s="325"/>
      <c r="F772" s="325"/>
      <c r="G772" s="326"/>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PAVIMENTACION Y ENSANCHE DE RUTA PROVINCIAL N°7 AV. JOAQUIN UÑAC</v>
      </c>
      <c r="C774" s="140"/>
      <c r="D774" s="140"/>
      <c r="E774" s="143"/>
      <c r="F774" s="145" t="s">
        <v>34</v>
      </c>
      <c r="G774" s="147">
        <f>Fecha_Base</f>
        <v>43444</v>
      </c>
      <c r="H774" s="143"/>
    </row>
    <row r="775" spans="1:8" ht="18.95" customHeight="1" x14ac:dyDescent="0.2">
      <c r="A775" s="148" t="s">
        <v>719</v>
      </c>
      <c r="B775" s="141" t="str">
        <f>Ubicación</f>
        <v>DEPARTAMENTO POCITO</v>
      </c>
      <c r="C775" s="141"/>
      <c r="D775" s="150"/>
      <c r="E775" s="143"/>
      <c r="F775" s="327"/>
      <c r="G775" s="328"/>
      <c r="H775" s="143"/>
    </row>
    <row r="776" spans="1:8" ht="18.95" customHeight="1" x14ac:dyDescent="0.2">
      <c r="A776" s="148" t="s">
        <v>35</v>
      </c>
      <c r="B776" s="151" t="str">
        <f>IFERROR(VALUE(LEFT(B777,FIND("-",B777)-1)),"")</f>
        <v/>
      </c>
      <c r="C776" s="142" t="str">
        <f>IFERROR(VLOOKUP(B776,Tabla_CyP,2,FALSE),"")</f>
        <v/>
      </c>
      <c r="D776" s="150"/>
      <c r="E776" s="143"/>
      <c r="F776" s="327"/>
      <c r="G776" s="328"/>
      <c r="H776" s="143"/>
    </row>
    <row r="777" spans="1:8" ht="18.95" customHeight="1" x14ac:dyDescent="0.2">
      <c r="A777" s="148" t="s">
        <v>24</v>
      </c>
      <c r="B777" s="152">
        <f>IFERROR(VLOOKUP(COUNTIF($A$1:A777,"ANALISIS DE PRECIOS"),Tabla_NumeroItem,4,FALSE),"")</f>
        <v>12</v>
      </c>
      <c r="C777" s="745" t="str">
        <f>IFERROR(VLOOKUP(B777,Tabla_CyP,2,FALSE),"")</f>
        <v>HORMIGÓN DE CEMENTO PORTLAND TIPO H-17, EXCLUIDO ARMADURA</v>
      </c>
      <c r="D777" s="745"/>
      <c r="E777" s="745"/>
      <c r="F777" s="141" t="s">
        <v>25</v>
      </c>
      <c r="G777" s="153" t="str">
        <f>IFERROR(VLOOKUP(B777,Tabla_CyP,4,FALSE),"")</f>
        <v>m3</v>
      </c>
      <c r="H777" s="143"/>
    </row>
    <row r="778" spans="1:8" ht="18.95" customHeight="1" x14ac:dyDescent="0.2">
      <c r="A778" s="148"/>
      <c r="B778" s="141"/>
      <c r="C778" s="142"/>
      <c r="D778" s="150"/>
      <c r="E778" s="142"/>
      <c r="F778" s="142"/>
      <c r="G778" s="329"/>
      <c r="H778" s="143"/>
    </row>
    <row r="779" spans="1:8" ht="18.95" customHeight="1" x14ac:dyDescent="0.2">
      <c r="A779" s="330"/>
      <c r="B779" s="331"/>
      <c r="C779" s="332" t="s">
        <v>1032</v>
      </c>
      <c r="D779" s="331"/>
      <c r="E779" s="331"/>
      <c r="F779" s="331"/>
      <c r="G779" s="333"/>
      <c r="H779" s="143"/>
    </row>
    <row r="780" spans="1:8" ht="18.95" customHeight="1" x14ac:dyDescent="0.2">
      <c r="A780" s="148"/>
      <c r="B780" s="334"/>
      <c r="C780" s="335" t="s">
        <v>1033</v>
      </c>
      <c r="D780" s="336" t="s">
        <v>26</v>
      </c>
      <c r="E780" s="336" t="s">
        <v>1034</v>
      </c>
      <c r="F780" s="336" t="s">
        <v>1035</v>
      </c>
      <c r="G780" s="337" t="s">
        <v>1036</v>
      </c>
      <c r="H780" s="143"/>
    </row>
    <row r="781" spans="1:8" ht="18.95" customHeight="1" x14ac:dyDescent="0.2">
      <c r="A781" s="343"/>
      <c r="B781" s="344"/>
      <c r="C781" s="290"/>
      <c r="D781" s="293"/>
      <c r="E781" s="345"/>
      <c r="F781" s="346"/>
      <c r="G781" s="347">
        <f t="shared" ref="G781:G790" si="220">ROUND(D781*F781,2)</f>
        <v>0</v>
      </c>
    </row>
    <row r="782" spans="1:8" ht="18.95" customHeight="1" x14ac:dyDescent="0.2">
      <c r="A782" s="343"/>
      <c r="B782" s="344"/>
      <c r="C782" s="290"/>
      <c r="D782" s="293"/>
      <c r="E782" s="345"/>
      <c r="F782" s="346"/>
      <c r="G782" s="347">
        <f t="shared" si="220"/>
        <v>0</v>
      </c>
    </row>
    <row r="783" spans="1:8" ht="18.95" customHeight="1" x14ac:dyDescent="0.2">
      <c r="A783" s="343"/>
      <c r="B783" s="344"/>
      <c r="C783" s="290"/>
      <c r="D783" s="293"/>
      <c r="E783" s="345">
        <f t="shared" ref="E783:E790" si="221">IFERROR(VLOOKUP(C783,T_Equipos,4,FALSE),0)</f>
        <v>0</v>
      </c>
      <c r="F783" s="346">
        <f t="shared" ref="F783:F790" si="222">IFERROR(VLOOKUP(C783,T_Equipos,11,FALSE),0)</f>
        <v>0</v>
      </c>
      <c r="G783" s="347">
        <f t="shared" si="220"/>
        <v>0</v>
      </c>
    </row>
    <row r="784" spans="1:8" ht="18.95" customHeight="1" x14ac:dyDescent="0.2">
      <c r="A784" s="343"/>
      <c r="B784" s="344"/>
      <c r="C784" s="290"/>
      <c r="D784" s="293"/>
      <c r="E784" s="345">
        <f t="shared" si="221"/>
        <v>0</v>
      </c>
      <c r="F784" s="346">
        <f t="shared" si="222"/>
        <v>0</v>
      </c>
      <c r="G784" s="347">
        <f t="shared" si="220"/>
        <v>0</v>
      </c>
    </row>
    <row r="785" spans="1:7" ht="18.95" customHeight="1" x14ac:dyDescent="0.2">
      <c r="A785" s="343"/>
      <c r="B785" s="344"/>
      <c r="C785" s="290"/>
      <c r="D785" s="293"/>
      <c r="E785" s="345">
        <f t="shared" si="221"/>
        <v>0</v>
      </c>
      <c r="F785" s="346">
        <f t="shared" si="222"/>
        <v>0</v>
      </c>
      <c r="G785" s="347">
        <f t="shared" si="220"/>
        <v>0</v>
      </c>
    </row>
    <row r="786" spans="1:7" ht="18.95" customHeight="1" x14ac:dyDescent="0.2">
      <c r="A786" s="343"/>
      <c r="B786" s="344"/>
      <c r="C786" s="290"/>
      <c r="D786" s="293"/>
      <c r="E786" s="345">
        <f t="shared" si="221"/>
        <v>0</v>
      </c>
      <c r="F786" s="346">
        <f t="shared" si="222"/>
        <v>0</v>
      </c>
      <c r="G786" s="347">
        <f t="shared" si="220"/>
        <v>0</v>
      </c>
    </row>
    <row r="787" spans="1:7" ht="18.95" customHeight="1" x14ac:dyDescent="0.2">
      <c r="A787" s="343"/>
      <c r="B787" s="344"/>
      <c r="C787" s="290"/>
      <c r="D787" s="293"/>
      <c r="E787" s="345">
        <f t="shared" si="221"/>
        <v>0</v>
      </c>
      <c r="F787" s="346">
        <f t="shared" si="222"/>
        <v>0</v>
      </c>
      <c r="G787" s="347">
        <f t="shared" si="220"/>
        <v>0</v>
      </c>
    </row>
    <row r="788" spans="1:7" ht="18.95" customHeight="1" x14ac:dyDescent="0.2">
      <c r="A788" s="343"/>
      <c r="B788" s="344"/>
      <c r="C788" s="290"/>
      <c r="D788" s="293"/>
      <c r="E788" s="345">
        <f t="shared" si="221"/>
        <v>0</v>
      </c>
      <c r="F788" s="346">
        <f t="shared" si="222"/>
        <v>0</v>
      </c>
      <c r="G788" s="347">
        <f t="shared" si="220"/>
        <v>0</v>
      </c>
    </row>
    <row r="789" spans="1:7" ht="18.95" customHeight="1" x14ac:dyDescent="0.2">
      <c r="A789" s="343"/>
      <c r="B789" s="344"/>
      <c r="C789" s="290"/>
      <c r="D789" s="293"/>
      <c r="E789" s="345">
        <f t="shared" si="221"/>
        <v>0</v>
      </c>
      <c r="F789" s="346">
        <f t="shared" si="222"/>
        <v>0</v>
      </c>
      <c r="G789" s="347">
        <f t="shared" si="220"/>
        <v>0</v>
      </c>
    </row>
    <row r="790" spans="1:7" ht="18.95" customHeight="1" thickBot="1" x14ac:dyDescent="0.25">
      <c r="A790" s="343"/>
      <c r="B790" s="344"/>
      <c r="C790" s="290"/>
      <c r="D790" s="293"/>
      <c r="E790" s="345">
        <f t="shared" si="221"/>
        <v>0</v>
      </c>
      <c r="F790" s="346">
        <f t="shared" si="222"/>
        <v>0</v>
      </c>
      <c r="G790" s="347">
        <f t="shared" si="220"/>
        <v>0</v>
      </c>
    </row>
    <row r="791" spans="1:7" ht="18.95" customHeight="1" thickBot="1" x14ac:dyDescent="0.25">
      <c r="A791" s="148"/>
      <c r="B791" s="334"/>
      <c r="C791" s="143"/>
      <c r="D791" s="146" t="s">
        <v>1037</v>
      </c>
      <c r="E791" s="338">
        <f>SUMPRODUCT(D781:D790,E781:E790)</f>
        <v>0</v>
      </c>
      <c r="F791" s="141" t="s">
        <v>1038</v>
      </c>
      <c r="G791" s="339">
        <f>SUM(G781:G790)</f>
        <v>0</v>
      </c>
    </row>
    <row r="792" spans="1:7" ht="18.95" customHeight="1" x14ac:dyDescent="0.2">
      <c r="A792" s="148"/>
      <c r="B792" s="334"/>
      <c r="C792" s="141" t="s">
        <v>1039</v>
      </c>
      <c r="D792" s="320"/>
      <c r="E792" s="340" t="str">
        <f>CONCATENATE(G777,"/día")</f>
        <v>m3/día</v>
      </c>
      <c r="F792" s="141"/>
      <c r="G792" s="341"/>
    </row>
    <row r="793" spans="1:7" ht="18.95" customHeight="1" x14ac:dyDescent="0.2">
      <c r="A793" s="148"/>
      <c r="B793" s="334"/>
      <c r="C793" s="142"/>
      <c r="D793" s="150"/>
      <c r="E793" s="141"/>
      <c r="F793" s="141"/>
      <c r="G793" s="341"/>
    </row>
    <row r="794" spans="1:7" ht="18.95" customHeight="1" x14ac:dyDescent="0.2">
      <c r="A794" s="735" t="s">
        <v>582</v>
      </c>
      <c r="B794" s="736"/>
      <c r="C794" s="737" t="s">
        <v>0</v>
      </c>
      <c r="D794" s="743" t="s">
        <v>1053</v>
      </c>
      <c r="E794" s="743" t="s">
        <v>1706</v>
      </c>
      <c r="F794" s="743" t="s">
        <v>1054</v>
      </c>
      <c r="G794" s="743" t="s">
        <v>1055</v>
      </c>
    </row>
    <row r="795" spans="1:7" ht="18.95" customHeight="1" x14ac:dyDescent="0.2">
      <c r="A795" s="154" t="s">
        <v>583</v>
      </c>
      <c r="B795" s="155" t="s">
        <v>584</v>
      </c>
      <c r="C795" s="738"/>
      <c r="D795" s="742"/>
      <c r="E795" s="742"/>
      <c r="F795" s="744"/>
      <c r="G795" s="742"/>
    </row>
    <row r="796" spans="1:7" ht="18.95" customHeight="1" x14ac:dyDescent="0.2">
      <c r="A796" s="156"/>
      <c r="B796" s="142"/>
      <c r="C796" s="157" t="s">
        <v>1041</v>
      </c>
      <c r="D796" s="150"/>
      <c r="E796" s="142"/>
      <c r="F796" s="142"/>
      <c r="G796" s="342"/>
    </row>
    <row r="797" spans="1:7" ht="18.95" customHeight="1" x14ac:dyDescent="0.2">
      <c r="A797" s="348" t="str">
        <f t="shared" ref="A797:A804" si="223">IFERROR(VLOOKUP(C797,Tabla_Insumos,4,FALSE),"")</f>
        <v/>
      </c>
      <c r="B797" s="290" t="str">
        <f t="shared" ref="B797:B804" si="224">IFERROR(VLOOKUP(C797,Tabla_Insumos,5,FALSE),"")</f>
        <v/>
      </c>
      <c r="C797" s="290"/>
      <c r="D797" s="607">
        <f t="shared" ref="D797:D804" si="225">IFERROR(VLOOKUP(C797,Tabla_Insumos,3,FALSE),0)</f>
        <v>0</v>
      </c>
      <c r="E797" s="349">
        <f>D797*$G$21</f>
        <v>0</v>
      </c>
      <c r="F797" s="350">
        <f>IF(C797="",0,D792)</f>
        <v>0</v>
      </c>
      <c r="G797" s="347">
        <f>IFERROR(ROUND(E797/F797,2),0)</f>
        <v>0</v>
      </c>
    </row>
    <row r="798" spans="1:7" ht="18.95" customHeight="1" x14ac:dyDescent="0.2">
      <c r="A798" s="348" t="str">
        <f t="shared" si="223"/>
        <v/>
      </c>
      <c r="B798" s="290" t="str">
        <f t="shared" si="224"/>
        <v/>
      </c>
      <c r="C798" s="321"/>
      <c r="D798" s="607">
        <f t="shared" si="225"/>
        <v>0</v>
      </c>
      <c r="E798" s="349">
        <f t="shared" ref="E798:E799" si="226">D798*$G$21</f>
        <v>0</v>
      </c>
      <c r="F798" s="350">
        <f t="shared" ref="F798:F801" si="227">IF(C798="",0,F797)</f>
        <v>0</v>
      </c>
      <c r="G798" s="347">
        <f t="shared" ref="G798:G804" si="228">IFERROR(ROUND(E798/F798,2),0)</f>
        <v>0</v>
      </c>
    </row>
    <row r="799" spans="1:7" ht="18.95" customHeight="1" x14ac:dyDescent="0.2">
      <c r="A799" s="348" t="str">
        <f t="shared" si="223"/>
        <v/>
      </c>
      <c r="B799" s="290" t="str">
        <f t="shared" si="224"/>
        <v/>
      </c>
      <c r="C799" s="321"/>
      <c r="D799" s="607">
        <f t="shared" si="225"/>
        <v>0</v>
      </c>
      <c r="E799" s="349">
        <f t="shared" si="226"/>
        <v>0</v>
      </c>
      <c r="F799" s="350">
        <f t="shared" si="227"/>
        <v>0</v>
      </c>
      <c r="G799" s="347">
        <f t="shared" si="228"/>
        <v>0</v>
      </c>
    </row>
    <row r="800" spans="1:7" ht="18.95" customHeight="1" x14ac:dyDescent="0.2">
      <c r="A800" s="348" t="str">
        <f t="shared" si="223"/>
        <v/>
      </c>
      <c r="B800" s="290" t="str">
        <f t="shared" si="224"/>
        <v/>
      </c>
      <c r="C800" s="321"/>
      <c r="D800" s="607">
        <f t="shared" si="225"/>
        <v>0</v>
      </c>
      <c r="E800" s="349">
        <f>D800*$E$21</f>
        <v>0</v>
      </c>
      <c r="F800" s="350">
        <f t="shared" si="227"/>
        <v>0</v>
      </c>
      <c r="G800" s="347">
        <f t="shared" si="228"/>
        <v>0</v>
      </c>
    </row>
    <row r="801" spans="1:7" ht="18.95" customHeight="1" x14ac:dyDescent="0.2">
      <c r="A801" s="348" t="str">
        <f t="shared" si="223"/>
        <v/>
      </c>
      <c r="B801" s="290" t="str">
        <f t="shared" si="224"/>
        <v/>
      </c>
      <c r="C801" s="321"/>
      <c r="D801" s="607">
        <f t="shared" si="225"/>
        <v>0</v>
      </c>
      <c r="E801" s="349">
        <f>D801*$E$21</f>
        <v>0</v>
      </c>
      <c r="F801" s="350">
        <f t="shared" si="227"/>
        <v>0</v>
      </c>
      <c r="G801" s="347">
        <f t="shared" si="228"/>
        <v>0</v>
      </c>
    </row>
    <row r="802" spans="1:7" ht="18.95" customHeight="1" x14ac:dyDescent="0.2">
      <c r="A802" s="348" t="str">
        <f t="shared" si="223"/>
        <v/>
      </c>
      <c r="B802" s="290" t="str">
        <f t="shared" si="224"/>
        <v/>
      </c>
      <c r="C802" s="321"/>
      <c r="D802" s="607">
        <f t="shared" si="225"/>
        <v>0</v>
      </c>
      <c r="E802" s="349"/>
      <c r="F802" s="350">
        <f>IF(C802="",0,F801)</f>
        <v>0</v>
      </c>
      <c r="G802" s="347">
        <f t="shared" si="228"/>
        <v>0</v>
      </c>
    </row>
    <row r="803" spans="1:7" ht="18.95" customHeight="1" x14ac:dyDescent="0.2">
      <c r="A803" s="348" t="str">
        <f t="shared" si="223"/>
        <v/>
      </c>
      <c r="B803" s="290" t="str">
        <f t="shared" si="224"/>
        <v/>
      </c>
      <c r="C803" s="321"/>
      <c r="D803" s="607">
        <f t="shared" si="225"/>
        <v>0</v>
      </c>
      <c r="E803" s="349"/>
      <c r="F803" s="350">
        <f t="shared" ref="F803:F804" si="229">IF(C803="",0,F802)</f>
        <v>0</v>
      </c>
      <c r="G803" s="347">
        <f t="shared" si="228"/>
        <v>0</v>
      </c>
    </row>
    <row r="804" spans="1:7" ht="18.95" customHeight="1" x14ac:dyDescent="0.2">
      <c r="A804" s="348" t="str">
        <f t="shared" si="223"/>
        <v/>
      </c>
      <c r="B804" s="290" t="str">
        <f t="shared" si="224"/>
        <v/>
      </c>
      <c r="C804" s="321"/>
      <c r="D804" s="607">
        <f t="shared" si="225"/>
        <v>0</v>
      </c>
      <c r="E804" s="349"/>
      <c r="F804" s="350">
        <f t="shared" si="229"/>
        <v>0</v>
      </c>
      <c r="G804" s="347">
        <f t="shared" si="228"/>
        <v>0</v>
      </c>
    </row>
    <row r="805" spans="1:7" ht="18.95" customHeight="1" x14ac:dyDescent="0.2">
      <c r="A805" s="353"/>
      <c r="B805" s="149"/>
      <c r="C805" s="142"/>
      <c r="D805" s="150"/>
      <c r="E805" s="143"/>
      <c r="F805" s="354" t="s">
        <v>29</v>
      </c>
      <c r="G805" s="355">
        <f>SUBTOTAL(9,G797:G804)</f>
        <v>0</v>
      </c>
    </row>
    <row r="806" spans="1:7" ht="18.95" customHeight="1" x14ac:dyDescent="0.2">
      <c r="A806" s="156"/>
      <c r="B806" s="142"/>
      <c r="C806" s="157" t="s">
        <v>722</v>
      </c>
      <c r="D806" s="150"/>
      <c r="E806" s="327"/>
      <c r="F806" s="327"/>
      <c r="G806" s="342"/>
    </row>
    <row r="807" spans="1:7" ht="18.95" customHeight="1" x14ac:dyDescent="0.2">
      <c r="A807" s="735" t="s">
        <v>582</v>
      </c>
      <c r="B807" s="736"/>
      <c r="C807" s="737" t="s">
        <v>0</v>
      </c>
      <c r="D807" s="739" t="s">
        <v>26</v>
      </c>
      <c r="E807" s="743" t="s">
        <v>1707</v>
      </c>
      <c r="F807" s="741" t="s">
        <v>1040</v>
      </c>
      <c r="G807" s="733" t="s">
        <v>28</v>
      </c>
    </row>
    <row r="808" spans="1:7" ht="18.95" customHeight="1" x14ac:dyDescent="0.2">
      <c r="A808" s="154" t="s">
        <v>583</v>
      </c>
      <c r="B808" s="155" t="s">
        <v>584</v>
      </c>
      <c r="C808" s="738"/>
      <c r="D808" s="740"/>
      <c r="E808" s="742"/>
      <c r="F808" s="742"/>
      <c r="G808" s="734"/>
    </row>
    <row r="809" spans="1:7" ht="18.95" customHeight="1" x14ac:dyDescent="0.2">
      <c r="A809" s="348" t="str">
        <f t="shared" ref="A809:A814" si="230">IFERROR(VLOOKUP(C809,Tabla_Insumos,4,FALSE),"")</f>
        <v/>
      </c>
      <c r="B809" s="290" t="str">
        <f t="shared" ref="B809:B814" si="231">IFERROR(VLOOKUP(C809,Tabla_Insumos,5,FALSE),"")</f>
        <v/>
      </c>
      <c r="C809" s="291"/>
      <c r="D809" s="293"/>
      <c r="E809" s="346">
        <f t="shared" ref="E809:E814" si="232">IFERROR(VLOOKUP(C809,Tabla_Insumos,3,FALSE),0)</f>
        <v>0</v>
      </c>
      <c r="F809" s="349">
        <f>IF(C809="",0,D792)</f>
        <v>0</v>
      </c>
      <c r="G809" s="347">
        <f t="shared" ref="G809:G814" si="233">IFERROR(ROUND(D809*E809/F809,2),0)</f>
        <v>0</v>
      </c>
    </row>
    <row r="810" spans="1:7" ht="18.95" customHeight="1" x14ac:dyDescent="0.2">
      <c r="A810" s="348" t="str">
        <f t="shared" si="230"/>
        <v/>
      </c>
      <c r="B810" s="290" t="str">
        <f t="shared" si="231"/>
        <v/>
      </c>
      <c r="C810" s="290"/>
      <c r="D810" s="293"/>
      <c r="E810" s="346">
        <f t="shared" si="232"/>
        <v>0</v>
      </c>
      <c r="F810" s="349">
        <f>IF(C810="",0,F809)</f>
        <v>0</v>
      </c>
      <c r="G810" s="347">
        <f t="shared" si="233"/>
        <v>0</v>
      </c>
    </row>
    <row r="811" spans="1:7" ht="18.95" customHeight="1" x14ac:dyDescent="0.2">
      <c r="A811" s="348" t="str">
        <f t="shared" si="230"/>
        <v/>
      </c>
      <c r="B811" s="290" t="str">
        <f t="shared" si="231"/>
        <v/>
      </c>
      <c r="C811" s="290"/>
      <c r="D811" s="293"/>
      <c r="E811" s="346">
        <f t="shared" si="232"/>
        <v>0</v>
      </c>
      <c r="F811" s="349">
        <f>IF(C811="",0,F810)</f>
        <v>0</v>
      </c>
      <c r="G811" s="347">
        <f t="shared" si="233"/>
        <v>0</v>
      </c>
    </row>
    <row r="812" spans="1:7" ht="18.95" customHeight="1" x14ac:dyDescent="0.2">
      <c r="A812" s="348" t="str">
        <f t="shared" si="230"/>
        <v/>
      </c>
      <c r="B812" s="290" t="str">
        <f t="shared" si="231"/>
        <v/>
      </c>
      <c r="C812" s="290"/>
      <c r="D812" s="293"/>
      <c r="E812" s="346">
        <f t="shared" si="232"/>
        <v>0</v>
      </c>
      <c r="F812" s="349">
        <f>IF(C812="",0,F811)</f>
        <v>0</v>
      </c>
      <c r="G812" s="347">
        <f t="shared" si="233"/>
        <v>0</v>
      </c>
    </row>
    <row r="813" spans="1:7" ht="18.95" customHeight="1" x14ac:dyDescent="0.2">
      <c r="A813" s="348" t="str">
        <f t="shared" si="230"/>
        <v/>
      </c>
      <c r="B813" s="290" t="str">
        <f t="shared" si="231"/>
        <v/>
      </c>
      <c r="C813" s="290"/>
      <c r="D813" s="351"/>
      <c r="E813" s="346">
        <f t="shared" si="232"/>
        <v>0</v>
      </c>
      <c r="F813" s="349">
        <f>IF(C813="",0,F812)</f>
        <v>0</v>
      </c>
      <c r="G813" s="347">
        <f t="shared" si="233"/>
        <v>0</v>
      </c>
    </row>
    <row r="814" spans="1:7" ht="18.95" customHeight="1" x14ac:dyDescent="0.2">
      <c r="A814" s="348" t="str">
        <f t="shared" si="230"/>
        <v/>
      </c>
      <c r="B814" s="290" t="str">
        <f t="shared" si="231"/>
        <v/>
      </c>
      <c r="C814" s="290"/>
      <c r="D814" s="293"/>
      <c r="E814" s="346">
        <f t="shared" si="232"/>
        <v>0</v>
      </c>
      <c r="F814" s="349">
        <f>IF(C814="",0,F813)</f>
        <v>0</v>
      </c>
      <c r="G814" s="347">
        <f t="shared" si="233"/>
        <v>0</v>
      </c>
    </row>
    <row r="815" spans="1:7" ht="18.95" customHeight="1" x14ac:dyDescent="0.2">
      <c r="A815" s="353"/>
      <c r="B815" s="149"/>
      <c r="C815" s="142"/>
      <c r="D815" s="150"/>
      <c r="E815" s="143"/>
      <c r="F815" s="356" t="s">
        <v>30</v>
      </c>
      <c r="G815" s="355">
        <f>SUBTOTAL(9,G809:G814)</f>
        <v>0</v>
      </c>
    </row>
    <row r="816" spans="1:7" ht="18.95" customHeight="1" x14ac:dyDescent="0.2">
      <c r="A816" s="156"/>
      <c r="B816" s="142"/>
      <c r="C816" s="157" t="s">
        <v>1047</v>
      </c>
      <c r="D816" s="150"/>
      <c r="E816" s="327"/>
      <c r="F816" s="327"/>
      <c r="G816" s="342"/>
    </row>
    <row r="817" spans="1:7" ht="18.95" customHeight="1" x14ac:dyDescent="0.2">
      <c r="A817" s="735" t="s">
        <v>582</v>
      </c>
      <c r="B817" s="736"/>
      <c r="C817" s="737" t="s">
        <v>0</v>
      </c>
      <c r="D817" s="737" t="s">
        <v>1655</v>
      </c>
      <c r="E817" s="737" t="s">
        <v>26</v>
      </c>
      <c r="F817" s="737" t="s">
        <v>27</v>
      </c>
      <c r="G817" s="733" t="s">
        <v>28</v>
      </c>
    </row>
    <row r="818" spans="1:7" ht="18.95" customHeight="1" x14ac:dyDescent="0.2">
      <c r="A818" s="154" t="s">
        <v>583</v>
      </c>
      <c r="B818" s="155" t="s">
        <v>584</v>
      </c>
      <c r="C818" s="738"/>
      <c r="D818" s="738"/>
      <c r="E818" s="738"/>
      <c r="F818" s="738"/>
      <c r="G818" s="734"/>
    </row>
    <row r="819" spans="1:7" ht="18.95" customHeight="1" x14ac:dyDescent="0.2">
      <c r="A819" s="348" t="str">
        <f t="shared" ref="A819:A830" si="234">IFERROR(VLOOKUP(C819,Tabla_Insumos,4,FALSE),"")</f>
        <v/>
      </c>
      <c r="B819" s="290" t="str">
        <f t="shared" ref="B819:B830" si="235">IFERROR(VLOOKUP(C819,Tabla_Insumos,5,FALSE),"")</f>
        <v/>
      </c>
      <c r="C819" s="290"/>
      <c r="D819" s="608">
        <f t="shared" ref="D819:D830" si="236">IFERROR(VLOOKUP(C819,Tabla_Insumos,2,FALSE),0)</f>
        <v>0</v>
      </c>
      <c r="E819" s="293"/>
      <c r="F819" s="346">
        <f t="shared" ref="F819:F830" si="237">IFERROR(VLOOKUP(C819,Tabla_Insumos,3,FALSE),0)</f>
        <v>0</v>
      </c>
      <c r="G819" s="347">
        <f t="shared" ref="G819:G830" si="238">ROUND(E819*F819,2)</f>
        <v>0</v>
      </c>
    </row>
    <row r="820" spans="1:7" ht="18.95" customHeight="1" x14ac:dyDescent="0.2">
      <c r="A820" s="348" t="str">
        <f t="shared" si="234"/>
        <v/>
      </c>
      <c r="B820" s="290" t="str">
        <f t="shared" si="235"/>
        <v/>
      </c>
      <c r="C820" s="126"/>
      <c r="D820" s="608">
        <f t="shared" si="236"/>
        <v>0</v>
      </c>
      <c r="E820" s="293"/>
      <c r="F820" s="346">
        <f t="shared" si="237"/>
        <v>0</v>
      </c>
      <c r="G820" s="347">
        <f t="shared" si="238"/>
        <v>0</v>
      </c>
    </row>
    <row r="821" spans="1:7" ht="18.95" customHeight="1" x14ac:dyDescent="0.2">
      <c r="A821" s="348" t="str">
        <f t="shared" si="234"/>
        <v/>
      </c>
      <c r="B821" s="290" t="str">
        <f t="shared" si="235"/>
        <v/>
      </c>
      <c r="C821" s="290"/>
      <c r="D821" s="608">
        <f t="shared" si="236"/>
        <v>0</v>
      </c>
      <c r="E821" s="293"/>
      <c r="F821" s="346">
        <f t="shared" si="237"/>
        <v>0</v>
      </c>
      <c r="G821" s="347">
        <f t="shared" si="238"/>
        <v>0</v>
      </c>
    </row>
    <row r="822" spans="1:7" ht="18.95" customHeight="1" x14ac:dyDescent="0.2">
      <c r="A822" s="348" t="str">
        <f t="shared" si="234"/>
        <v/>
      </c>
      <c r="B822" s="290" t="str">
        <f t="shared" si="235"/>
        <v/>
      </c>
      <c r="C822" s="290"/>
      <c r="D822" s="608">
        <f t="shared" si="236"/>
        <v>0</v>
      </c>
      <c r="E822" s="293"/>
      <c r="F822" s="346">
        <f t="shared" si="237"/>
        <v>0</v>
      </c>
      <c r="G822" s="347">
        <f t="shared" si="238"/>
        <v>0</v>
      </c>
    </row>
    <row r="823" spans="1:7" ht="18.95" customHeight="1" x14ac:dyDescent="0.2">
      <c r="A823" s="348" t="str">
        <f t="shared" si="234"/>
        <v/>
      </c>
      <c r="B823" s="290" t="str">
        <f t="shared" si="235"/>
        <v/>
      </c>
      <c r="C823" s="290"/>
      <c r="D823" s="608">
        <f t="shared" si="236"/>
        <v>0</v>
      </c>
      <c r="E823" s="293"/>
      <c r="F823" s="346">
        <f t="shared" si="237"/>
        <v>0</v>
      </c>
      <c r="G823" s="347">
        <f t="shared" si="238"/>
        <v>0</v>
      </c>
    </row>
    <row r="824" spans="1:7" ht="18.95" customHeight="1" x14ac:dyDescent="0.2">
      <c r="A824" s="348" t="str">
        <f t="shared" si="234"/>
        <v/>
      </c>
      <c r="B824" s="290" t="str">
        <f t="shared" si="235"/>
        <v/>
      </c>
      <c r="C824" s="290"/>
      <c r="D824" s="608">
        <f t="shared" si="236"/>
        <v>0</v>
      </c>
      <c r="E824" s="293"/>
      <c r="F824" s="346">
        <f t="shared" si="237"/>
        <v>0</v>
      </c>
      <c r="G824" s="347">
        <f t="shared" si="238"/>
        <v>0</v>
      </c>
    </row>
    <row r="825" spans="1:7" ht="18.95" customHeight="1" x14ac:dyDescent="0.2">
      <c r="A825" s="348" t="str">
        <f t="shared" si="234"/>
        <v/>
      </c>
      <c r="B825" s="290" t="str">
        <f t="shared" si="235"/>
        <v/>
      </c>
      <c r="C825" s="290"/>
      <c r="D825" s="608">
        <f t="shared" si="236"/>
        <v>0</v>
      </c>
      <c r="E825" s="293"/>
      <c r="F825" s="346">
        <f t="shared" si="237"/>
        <v>0</v>
      </c>
      <c r="G825" s="347">
        <f t="shared" si="238"/>
        <v>0</v>
      </c>
    </row>
    <row r="826" spans="1:7" s="295" customFormat="1" ht="18.95" customHeight="1" x14ac:dyDescent="0.2">
      <c r="A826" s="348" t="str">
        <f t="shared" si="234"/>
        <v/>
      </c>
      <c r="B826" s="290" t="str">
        <f t="shared" si="235"/>
        <v/>
      </c>
      <c r="C826" s="290"/>
      <c r="D826" s="608">
        <f t="shared" si="236"/>
        <v>0</v>
      </c>
      <c r="E826" s="323"/>
      <c r="F826" s="346">
        <f t="shared" si="237"/>
        <v>0</v>
      </c>
      <c r="G826" s="347">
        <f t="shared" si="238"/>
        <v>0</v>
      </c>
    </row>
    <row r="827" spans="1:7" ht="18.95" customHeight="1" x14ac:dyDescent="0.2">
      <c r="A827" s="348" t="str">
        <f t="shared" si="234"/>
        <v/>
      </c>
      <c r="B827" s="290" t="str">
        <f t="shared" si="235"/>
        <v/>
      </c>
      <c r="C827" s="290"/>
      <c r="D827" s="608">
        <f t="shared" si="236"/>
        <v>0</v>
      </c>
      <c r="E827" s="293"/>
      <c r="F827" s="346">
        <f t="shared" si="237"/>
        <v>0</v>
      </c>
      <c r="G827" s="347">
        <f t="shared" si="238"/>
        <v>0</v>
      </c>
    </row>
    <row r="828" spans="1:7" ht="18.95" customHeight="1" x14ac:dyDescent="0.2">
      <c r="A828" s="348" t="str">
        <f t="shared" si="234"/>
        <v/>
      </c>
      <c r="B828" s="290" t="str">
        <f t="shared" si="235"/>
        <v/>
      </c>
      <c r="C828" s="290"/>
      <c r="D828" s="608">
        <f t="shared" si="236"/>
        <v>0</v>
      </c>
      <c r="E828" s="293"/>
      <c r="F828" s="346">
        <f t="shared" si="237"/>
        <v>0</v>
      </c>
      <c r="G828" s="347">
        <f t="shared" si="238"/>
        <v>0</v>
      </c>
    </row>
    <row r="829" spans="1:7" ht="18.95" customHeight="1" x14ac:dyDescent="0.2">
      <c r="A829" s="348" t="str">
        <f t="shared" si="234"/>
        <v/>
      </c>
      <c r="B829" s="290" t="str">
        <f t="shared" si="235"/>
        <v/>
      </c>
      <c r="C829" s="290"/>
      <c r="D829" s="608">
        <f t="shared" si="236"/>
        <v>0</v>
      </c>
      <c r="E829" s="293"/>
      <c r="F829" s="346">
        <f t="shared" si="237"/>
        <v>0</v>
      </c>
      <c r="G829" s="347">
        <f t="shared" si="238"/>
        <v>0</v>
      </c>
    </row>
    <row r="830" spans="1:7" ht="18.95" customHeight="1" x14ac:dyDescent="0.2">
      <c r="A830" s="348" t="str">
        <f t="shared" si="234"/>
        <v/>
      </c>
      <c r="B830" s="290" t="str">
        <f t="shared" si="235"/>
        <v/>
      </c>
      <c r="C830" s="290"/>
      <c r="D830" s="608">
        <f t="shared" si="236"/>
        <v>0</v>
      </c>
      <c r="E830" s="293"/>
      <c r="F830" s="346">
        <f t="shared" si="237"/>
        <v>0</v>
      </c>
      <c r="G830" s="347">
        <f t="shared" si="238"/>
        <v>0</v>
      </c>
    </row>
    <row r="831" spans="1:7" ht="18.95" customHeight="1" x14ac:dyDescent="0.2">
      <c r="A831" s="156"/>
      <c r="B831" s="142"/>
      <c r="C831" s="142"/>
      <c r="D831" s="150"/>
      <c r="E831" s="143"/>
      <c r="F831" s="356" t="s">
        <v>31</v>
      </c>
      <c r="G831" s="355">
        <f>SUBTOTAL(9,G819:G830)</f>
        <v>0</v>
      </c>
    </row>
    <row r="832" spans="1:7" ht="18.95" customHeight="1" x14ac:dyDescent="0.2">
      <c r="A832" s="156"/>
      <c r="B832" s="142"/>
      <c r="C832" s="157" t="s">
        <v>1048</v>
      </c>
      <c r="D832" s="150"/>
      <c r="E832" s="327"/>
      <c r="F832" s="327"/>
      <c r="G832" s="342"/>
    </row>
    <row r="833" spans="1:8" ht="18.95" customHeight="1" x14ac:dyDescent="0.2">
      <c r="A833" s="735" t="s">
        <v>582</v>
      </c>
      <c r="B833" s="736"/>
      <c r="C833" s="737" t="s">
        <v>0</v>
      </c>
      <c r="D833" s="739" t="s">
        <v>1750</v>
      </c>
      <c r="E833" s="741" t="s">
        <v>26</v>
      </c>
      <c r="F833" s="741" t="s">
        <v>27</v>
      </c>
      <c r="G833" s="733" t="s">
        <v>28</v>
      </c>
    </row>
    <row r="834" spans="1:8" ht="18.95" customHeight="1" x14ac:dyDescent="0.2">
      <c r="A834" s="154" t="s">
        <v>583</v>
      </c>
      <c r="B834" s="155" t="s">
        <v>584</v>
      </c>
      <c r="C834" s="738"/>
      <c r="D834" s="740"/>
      <c r="E834" s="742"/>
      <c r="F834" s="742"/>
      <c r="G834" s="734"/>
    </row>
    <row r="835" spans="1:8" ht="18.95" customHeight="1" x14ac:dyDescent="0.2">
      <c r="A835" s="348" t="str">
        <f>IFERROR(VLOOKUP(C835,Tabla_Insumos,4,FALSE),"")</f>
        <v/>
      </c>
      <c r="B835" s="290" t="s">
        <v>4</v>
      </c>
      <c r="C835" s="290"/>
      <c r="D835" s="293"/>
      <c r="E835" s="322"/>
      <c r="F835" s="324"/>
      <c r="G835" s="347">
        <f t="shared" ref="G835" si="239">ROUND(E835*F835,2)</f>
        <v>0</v>
      </c>
    </row>
    <row r="836" spans="1:8" ht="18.95" customHeight="1" x14ac:dyDescent="0.2">
      <c r="A836" s="156"/>
      <c r="B836" s="142"/>
      <c r="C836" s="142"/>
      <c r="D836" s="150"/>
      <c r="E836" s="143"/>
      <c r="F836" s="356" t="s">
        <v>1049</v>
      </c>
      <c r="G836" s="355">
        <f>SUBTOTAL(9,G835:G835)</f>
        <v>0</v>
      </c>
    </row>
    <row r="837" spans="1:8" ht="18.95" customHeight="1" thickBot="1" x14ac:dyDescent="0.25">
      <c r="A837" s="158"/>
      <c r="B837" s="159"/>
      <c r="C837" s="160"/>
      <c r="D837" s="161"/>
      <c r="E837" s="357"/>
      <c r="F837" s="357"/>
      <c r="G837" s="358"/>
    </row>
    <row r="838" spans="1:8" ht="18.95" customHeight="1" x14ac:dyDescent="0.2">
      <c r="A838" s="359">
        <f>B777</f>
        <v>12</v>
      </c>
      <c r="B838" s="360" t="str">
        <f>C777</f>
        <v>HORMIGÓN DE CEMENTO PORTLAND TIPO H-17, EXCLUIDO ARMADURA</v>
      </c>
      <c r="C838" s="361"/>
      <c r="D838" s="361"/>
      <c r="E838" s="361" t="s">
        <v>1050</v>
      </c>
      <c r="F838" s="362" t="str">
        <f>CONCATENATE("$/",G777)</f>
        <v>$/m3</v>
      </c>
      <c r="G838" s="363">
        <f>SUBTOTAL(9,G797:G837)</f>
        <v>0</v>
      </c>
    </row>
    <row r="839" spans="1:8" ht="18.95" customHeight="1" thickBot="1" x14ac:dyDescent="0.25">
      <c r="A839" s="364"/>
      <c r="B839" s="365"/>
      <c r="C839" s="365"/>
      <c r="D839" s="365"/>
      <c r="E839" s="366" t="s">
        <v>1051</v>
      </c>
      <c r="F839" s="367" t="str">
        <f>CONCATENATE("$/",G777)</f>
        <v>$/m3</v>
      </c>
      <c r="G839" s="368" t="e">
        <f ca="1">PrecioUnitario(G838,GG_Porcentaje,Beneficio,Ingresos_Brutos,IVA)</f>
        <v>#NAME?</v>
      </c>
    </row>
    <row r="840" spans="1:8" ht="18.95" customHeight="1" thickTop="1" thickBot="1" x14ac:dyDescent="0.25">
      <c r="F840" s="294"/>
      <c r="G840" s="294"/>
    </row>
    <row r="841" spans="1:8" ht="18.95" customHeight="1" thickTop="1" x14ac:dyDescent="0.2">
      <c r="A841" s="194" t="s">
        <v>33</v>
      </c>
      <c r="B841" s="195"/>
      <c r="C841" s="195"/>
      <c r="D841" s="195"/>
      <c r="E841" s="195"/>
      <c r="F841" s="195"/>
      <c r="G841" s="196"/>
      <c r="H841" s="143">
        <f>COUNTIF($A$1:A847,"ANALISIS DE PRECIOS")</f>
        <v>13</v>
      </c>
    </row>
    <row r="842" spans="1:8" ht="18.95" customHeight="1" x14ac:dyDescent="0.2">
      <c r="A842" s="144" t="s">
        <v>720</v>
      </c>
      <c r="B842" s="145" t="str">
        <f>Comitente</f>
        <v>DIRECCIÓN PROVINCIAL DE VIALIDAD</v>
      </c>
      <c r="C842" s="139"/>
      <c r="D842" s="146"/>
      <c r="E842" s="325"/>
      <c r="F842" s="325"/>
      <c r="G842" s="326"/>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PAVIMENTACION Y ENSANCHE DE RUTA PROVINCIAL N°7 AV. JOAQUIN UÑAC</v>
      </c>
      <c r="C844" s="140"/>
      <c r="D844" s="140"/>
      <c r="E844" s="143"/>
      <c r="F844" s="145" t="s">
        <v>34</v>
      </c>
      <c r="G844" s="147">
        <f>Fecha_Base</f>
        <v>43444</v>
      </c>
      <c r="H844" s="143"/>
    </row>
    <row r="845" spans="1:8" ht="18.95" customHeight="1" x14ac:dyDescent="0.2">
      <c r="A845" s="148" t="s">
        <v>719</v>
      </c>
      <c r="B845" s="141" t="str">
        <f>Ubicación</f>
        <v>DEPARTAMENTO POCITO</v>
      </c>
      <c r="C845" s="141"/>
      <c r="D845" s="150"/>
      <c r="E845" s="143"/>
      <c r="F845" s="327"/>
      <c r="G845" s="328"/>
      <c r="H845" s="143"/>
    </row>
    <row r="846" spans="1:8" ht="18.95" customHeight="1" x14ac:dyDescent="0.2">
      <c r="A846" s="148" t="s">
        <v>35</v>
      </c>
      <c r="B846" s="151" t="str">
        <f>IFERROR(VALUE(LEFT(B847,FIND("-",B847)-1)),"")</f>
        <v/>
      </c>
      <c r="C846" s="142" t="str">
        <f>IFERROR(VLOOKUP(B846,Tabla_CyP,2,FALSE),"")</f>
        <v/>
      </c>
      <c r="D846" s="150"/>
      <c r="E846" s="143"/>
      <c r="F846" s="327"/>
      <c r="G846" s="328"/>
      <c r="H846" s="143"/>
    </row>
    <row r="847" spans="1:8" ht="18.95" customHeight="1" x14ac:dyDescent="0.2">
      <c r="A847" s="148" t="s">
        <v>24</v>
      </c>
      <c r="B847" s="152">
        <f>IFERROR(VLOOKUP(COUNTIF($A$1:A847,"ANALISIS DE PRECIOS"),Tabla_NumeroItem,4,FALSE),"")</f>
        <v>13</v>
      </c>
      <c r="C847" s="745" t="str">
        <f>IFERROR(VLOOKUP(B847,Tabla_CyP,2,FALSE),"")</f>
        <v>HORMIGÓN DE CEMENTO PORTLAND TIPO H-13</v>
      </c>
      <c r="D847" s="745"/>
      <c r="E847" s="745"/>
      <c r="F847" s="141" t="s">
        <v>25</v>
      </c>
      <c r="G847" s="153" t="str">
        <f>IFERROR(VLOOKUP(B847,Tabla_CyP,4,FALSE),"")</f>
        <v>m3</v>
      </c>
      <c r="H847" s="143"/>
    </row>
    <row r="848" spans="1:8" ht="18.95" customHeight="1" x14ac:dyDescent="0.2">
      <c r="A848" s="148"/>
      <c r="B848" s="141"/>
      <c r="C848" s="142"/>
      <c r="D848" s="150"/>
      <c r="E848" s="142"/>
      <c r="F848" s="142"/>
      <c r="G848" s="329"/>
      <c r="H848" s="143"/>
    </row>
    <row r="849" spans="1:8" ht="18.95" customHeight="1" x14ac:dyDescent="0.2">
      <c r="A849" s="330"/>
      <c r="B849" s="331"/>
      <c r="C849" s="332" t="s">
        <v>1032</v>
      </c>
      <c r="D849" s="331"/>
      <c r="E849" s="331"/>
      <c r="F849" s="331"/>
      <c r="G849" s="333"/>
      <c r="H849" s="143"/>
    </row>
    <row r="850" spans="1:8" ht="18.95" customHeight="1" x14ac:dyDescent="0.2">
      <c r="A850" s="148"/>
      <c r="B850" s="334"/>
      <c r="C850" s="335" t="s">
        <v>1033</v>
      </c>
      <c r="D850" s="336" t="s">
        <v>26</v>
      </c>
      <c r="E850" s="336" t="s">
        <v>1034</v>
      </c>
      <c r="F850" s="336" t="s">
        <v>1035</v>
      </c>
      <c r="G850" s="337" t="s">
        <v>1036</v>
      </c>
      <c r="H850" s="143"/>
    </row>
    <row r="851" spans="1:8" ht="18.95" customHeight="1" x14ac:dyDescent="0.2">
      <c r="A851" s="343"/>
      <c r="B851" s="344"/>
      <c r="C851" s="290"/>
      <c r="D851" s="293"/>
      <c r="E851" s="345"/>
      <c r="F851" s="346"/>
      <c r="G851" s="347">
        <f t="shared" ref="G851:G860" si="240">ROUND(D851*F851,2)</f>
        <v>0</v>
      </c>
    </row>
    <row r="852" spans="1:8" ht="18.95" customHeight="1" x14ac:dyDescent="0.2">
      <c r="A852" s="343"/>
      <c r="B852" s="344"/>
      <c r="C852" s="290"/>
      <c r="D852" s="293"/>
      <c r="E852" s="345"/>
      <c r="F852" s="346"/>
      <c r="G852" s="347">
        <f t="shared" si="240"/>
        <v>0</v>
      </c>
    </row>
    <row r="853" spans="1:8" ht="18.95" customHeight="1" x14ac:dyDescent="0.2">
      <c r="A853" s="343"/>
      <c r="B853" s="344"/>
      <c r="C853" s="290"/>
      <c r="D853" s="293"/>
      <c r="E853" s="345">
        <f t="shared" ref="E853:E860" si="241">IFERROR(VLOOKUP(C853,T_Equipos,4,FALSE),0)</f>
        <v>0</v>
      </c>
      <c r="F853" s="346">
        <f t="shared" ref="F853:F860" si="242">IFERROR(VLOOKUP(C853,T_Equipos,11,FALSE),0)</f>
        <v>0</v>
      </c>
      <c r="G853" s="347">
        <f t="shared" si="240"/>
        <v>0</v>
      </c>
    </row>
    <row r="854" spans="1:8" ht="18.95" customHeight="1" x14ac:dyDescent="0.2">
      <c r="A854" s="343"/>
      <c r="B854" s="344"/>
      <c r="C854" s="290"/>
      <c r="D854" s="293"/>
      <c r="E854" s="345">
        <f t="shared" si="241"/>
        <v>0</v>
      </c>
      <c r="F854" s="346">
        <f t="shared" si="242"/>
        <v>0</v>
      </c>
      <c r="G854" s="347">
        <f t="shared" si="240"/>
        <v>0</v>
      </c>
    </row>
    <row r="855" spans="1:8" ht="18.95" customHeight="1" x14ac:dyDescent="0.2">
      <c r="A855" s="343"/>
      <c r="B855" s="344"/>
      <c r="C855" s="290"/>
      <c r="D855" s="293"/>
      <c r="E855" s="345">
        <f t="shared" si="241"/>
        <v>0</v>
      </c>
      <c r="F855" s="346">
        <f t="shared" si="242"/>
        <v>0</v>
      </c>
      <c r="G855" s="347">
        <f t="shared" si="240"/>
        <v>0</v>
      </c>
    </row>
    <row r="856" spans="1:8" ht="18.95" customHeight="1" x14ac:dyDescent="0.2">
      <c r="A856" s="343"/>
      <c r="B856" s="344"/>
      <c r="C856" s="290"/>
      <c r="D856" s="293"/>
      <c r="E856" s="345">
        <f t="shared" si="241"/>
        <v>0</v>
      </c>
      <c r="F856" s="346">
        <f t="shared" si="242"/>
        <v>0</v>
      </c>
      <c r="G856" s="347">
        <f t="shared" si="240"/>
        <v>0</v>
      </c>
    </row>
    <row r="857" spans="1:8" ht="18.95" customHeight="1" x14ac:dyDescent="0.2">
      <c r="A857" s="343"/>
      <c r="B857" s="344"/>
      <c r="C857" s="290"/>
      <c r="D857" s="293"/>
      <c r="E857" s="345">
        <f t="shared" si="241"/>
        <v>0</v>
      </c>
      <c r="F857" s="346">
        <f t="shared" si="242"/>
        <v>0</v>
      </c>
      <c r="G857" s="347">
        <f t="shared" si="240"/>
        <v>0</v>
      </c>
    </row>
    <row r="858" spans="1:8" ht="18.95" customHeight="1" x14ac:dyDescent="0.2">
      <c r="A858" s="343"/>
      <c r="B858" s="344"/>
      <c r="C858" s="290"/>
      <c r="D858" s="293"/>
      <c r="E858" s="345">
        <f t="shared" si="241"/>
        <v>0</v>
      </c>
      <c r="F858" s="346">
        <f t="shared" si="242"/>
        <v>0</v>
      </c>
      <c r="G858" s="347">
        <f t="shared" si="240"/>
        <v>0</v>
      </c>
    </row>
    <row r="859" spans="1:8" ht="18.95" customHeight="1" x14ac:dyDescent="0.2">
      <c r="A859" s="343"/>
      <c r="B859" s="344"/>
      <c r="C859" s="290"/>
      <c r="D859" s="293"/>
      <c r="E859" s="345">
        <f t="shared" si="241"/>
        <v>0</v>
      </c>
      <c r="F859" s="346">
        <f t="shared" si="242"/>
        <v>0</v>
      </c>
      <c r="G859" s="347">
        <f t="shared" si="240"/>
        <v>0</v>
      </c>
    </row>
    <row r="860" spans="1:8" ht="18.95" customHeight="1" thickBot="1" x14ac:dyDescent="0.25">
      <c r="A860" s="343"/>
      <c r="B860" s="344"/>
      <c r="C860" s="290"/>
      <c r="D860" s="293"/>
      <c r="E860" s="345">
        <f t="shared" si="241"/>
        <v>0</v>
      </c>
      <c r="F860" s="346">
        <f t="shared" si="242"/>
        <v>0</v>
      </c>
      <c r="G860" s="347">
        <f t="shared" si="240"/>
        <v>0</v>
      </c>
    </row>
    <row r="861" spans="1:8" ht="18.95" customHeight="1" thickBot="1" x14ac:dyDescent="0.25">
      <c r="A861" s="148"/>
      <c r="B861" s="334"/>
      <c r="C861" s="143"/>
      <c r="D861" s="146" t="s">
        <v>1037</v>
      </c>
      <c r="E861" s="338">
        <f>SUMPRODUCT(D851:D860,E851:E860)</f>
        <v>0</v>
      </c>
      <c r="F861" s="141" t="s">
        <v>1038</v>
      </c>
      <c r="G861" s="339">
        <f>SUM(G851:G860)</f>
        <v>0</v>
      </c>
    </row>
    <row r="862" spans="1:8" ht="18.95" customHeight="1" x14ac:dyDescent="0.2">
      <c r="A862" s="148"/>
      <c r="B862" s="334"/>
      <c r="C862" s="141" t="s">
        <v>1039</v>
      </c>
      <c r="D862" s="320"/>
      <c r="E862" s="340" t="str">
        <f>CONCATENATE(G847,"/día")</f>
        <v>m3/día</v>
      </c>
      <c r="F862" s="141"/>
      <c r="G862" s="341"/>
    </row>
    <row r="863" spans="1:8" ht="18.95" customHeight="1" x14ac:dyDescent="0.2">
      <c r="A863" s="148"/>
      <c r="B863" s="334"/>
      <c r="C863" s="142"/>
      <c r="D863" s="150"/>
      <c r="E863" s="141"/>
      <c r="F863" s="141"/>
      <c r="G863" s="341"/>
    </row>
    <row r="864" spans="1:8" ht="18.95" customHeight="1" x14ac:dyDescent="0.2">
      <c r="A864" s="735" t="s">
        <v>582</v>
      </c>
      <c r="B864" s="736"/>
      <c r="C864" s="737" t="s">
        <v>0</v>
      </c>
      <c r="D864" s="743" t="s">
        <v>1053</v>
      </c>
      <c r="E864" s="743" t="s">
        <v>1706</v>
      </c>
      <c r="F864" s="743" t="s">
        <v>1054</v>
      </c>
      <c r="G864" s="743" t="s">
        <v>1055</v>
      </c>
    </row>
    <row r="865" spans="1:7" ht="18.95" customHeight="1" x14ac:dyDescent="0.2">
      <c r="A865" s="154" t="s">
        <v>583</v>
      </c>
      <c r="B865" s="155" t="s">
        <v>584</v>
      </c>
      <c r="C865" s="738"/>
      <c r="D865" s="742"/>
      <c r="E865" s="742"/>
      <c r="F865" s="744"/>
      <c r="G865" s="742"/>
    </row>
    <row r="866" spans="1:7" ht="18.95" customHeight="1" x14ac:dyDescent="0.2">
      <c r="A866" s="156"/>
      <c r="B866" s="142"/>
      <c r="C866" s="157" t="s">
        <v>1041</v>
      </c>
      <c r="D866" s="150"/>
      <c r="E866" s="142"/>
      <c r="F866" s="142"/>
      <c r="G866" s="342"/>
    </row>
    <row r="867" spans="1:7" ht="18.95" customHeight="1" x14ac:dyDescent="0.2">
      <c r="A867" s="348" t="str">
        <f t="shared" ref="A867:A874" si="243">IFERROR(VLOOKUP(C867,Tabla_Insumos,4,FALSE),"")</f>
        <v/>
      </c>
      <c r="B867" s="290" t="str">
        <f t="shared" ref="B867:B874" si="244">IFERROR(VLOOKUP(C867,Tabla_Insumos,5,FALSE),"")</f>
        <v/>
      </c>
      <c r="C867" s="290"/>
      <c r="D867" s="607">
        <f t="shared" ref="D867:D874" si="245">IFERROR(VLOOKUP(C867,Tabla_Insumos,3,FALSE),0)</f>
        <v>0</v>
      </c>
      <c r="E867" s="349">
        <f>D867*$G$21</f>
        <v>0</v>
      </c>
      <c r="F867" s="350">
        <f>IF(C867="",0,D862)</f>
        <v>0</v>
      </c>
      <c r="G867" s="347">
        <f>IFERROR(ROUND(E867/F867,2),0)</f>
        <v>0</v>
      </c>
    </row>
    <row r="868" spans="1:7" ht="18.95" customHeight="1" x14ac:dyDescent="0.2">
      <c r="A868" s="348" t="str">
        <f t="shared" si="243"/>
        <v/>
      </c>
      <c r="B868" s="290" t="str">
        <f t="shared" si="244"/>
        <v/>
      </c>
      <c r="C868" s="321"/>
      <c r="D868" s="607">
        <f t="shared" si="245"/>
        <v>0</v>
      </c>
      <c r="E868" s="349">
        <f t="shared" ref="E868:E869" si="246">D868*$G$21</f>
        <v>0</v>
      </c>
      <c r="F868" s="350">
        <f t="shared" ref="F868:F871" si="247">IF(C868="",0,F867)</f>
        <v>0</v>
      </c>
      <c r="G868" s="347">
        <f t="shared" ref="G868:G874" si="248">IFERROR(ROUND(E868/F868,2),0)</f>
        <v>0</v>
      </c>
    </row>
    <row r="869" spans="1:7" ht="18.95" customHeight="1" x14ac:dyDescent="0.2">
      <c r="A869" s="348" t="str">
        <f t="shared" si="243"/>
        <v/>
      </c>
      <c r="B869" s="290" t="str">
        <f t="shared" si="244"/>
        <v/>
      </c>
      <c r="C869" s="321"/>
      <c r="D869" s="607">
        <f t="shared" si="245"/>
        <v>0</v>
      </c>
      <c r="E869" s="349">
        <f t="shared" si="246"/>
        <v>0</v>
      </c>
      <c r="F869" s="350">
        <f t="shared" si="247"/>
        <v>0</v>
      </c>
      <c r="G869" s="347">
        <f t="shared" si="248"/>
        <v>0</v>
      </c>
    </row>
    <row r="870" spans="1:7" ht="18.95" customHeight="1" x14ac:dyDescent="0.2">
      <c r="A870" s="348" t="str">
        <f t="shared" si="243"/>
        <v/>
      </c>
      <c r="B870" s="290" t="str">
        <f t="shared" si="244"/>
        <v/>
      </c>
      <c r="C870" s="321"/>
      <c r="D870" s="607">
        <f t="shared" si="245"/>
        <v>0</v>
      </c>
      <c r="E870" s="349">
        <f>D870*$E$21</f>
        <v>0</v>
      </c>
      <c r="F870" s="350">
        <f t="shared" si="247"/>
        <v>0</v>
      </c>
      <c r="G870" s="347">
        <f t="shared" si="248"/>
        <v>0</v>
      </c>
    </row>
    <row r="871" spans="1:7" ht="18.95" customHeight="1" x14ac:dyDescent="0.2">
      <c r="A871" s="348" t="str">
        <f t="shared" si="243"/>
        <v/>
      </c>
      <c r="B871" s="290" t="str">
        <f t="shared" si="244"/>
        <v/>
      </c>
      <c r="C871" s="321"/>
      <c r="D871" s="607">
        <f t="shared" si="245"/>
        <v>0</v>
      </c>
      <c r="E871" s="349">
        <f>D871*$E$21</f>
        <v>0</v>
      </c>
      <c r="F871" s="350">
        <f t="shared" si="247"/>
        <v>0</v>
      </c>
      <c r="G871" s="347">
        <f t="shared" si="248"/>
        <v>0</v>
      </c>
    </row>
    <row r="872" spans="1:7" ht="18.95" customHeight="1" x14ac:dyDescent="0.2">
      <c r="A872" s="348" t="str">
        <f t="shared" si="243"/>
        <v/>
      </c>
      <c r="B872" s="290" t="str">
        <f t="shared" si="244"/>
        <v/>
      </c>
      <c r="C872" s="321"/>
      <c r="D872" s="607">
        <f t="shared" si="245"/>
        <v>0</v>
      </c>
      <c r="E872" s="349"/>
      <c r="F872" s="350">
        <f>IF(C872="",0,F871)</f>
        <v>0</v>
      </c>
      <c r="G872" s="347">
        <f t="shared" si="248"/>
        <v>0</v>
      </c>
    </row>
    <row r="873" spans="1:7" ht="18.95" customHeight="1" x14ac:dyDescent="0.2">
      <c r="A873" s="348" t="str">
        <f t="shared" si="243"/>
        <v/>
      </c>
      <c r="B873" s="290" t="str">
        <f t="shared" si="244"/>
        <v/>
      </c>
      <c r="C873" s="321"/>
      <c r="D873" s="607">
        <f t="shared" si="245"/>
        <v>0</v>
      </c>
      <c r="E873" s="349"/>
      <c r="F873" s="350">
        <f t="shared" ref="F873:F874" si="249">IF(C873="",0,F872)</f>
        <v>0</v>
      </c>
      <c r="G873" s="347">
        <f t="shared" si="248"/>
        <v>0</v>
      </c>
    </row>
    <row r="874" spans="1:7" ht="18.95" customHeight="1" x14ac:dyDescent="0.2">
      <c r="A874" s="348" t="str">
        <f t="shared" si="243"/>
        <v/>
      </c>
      <c r="B874" s="290" t="str">
        <f t="shared" si="244"/>
        <v/>
      </c>
      <c r="C874" s="321"/>
      <c r="D874" s="607">
        <f t="shared" si="245"/>
        <v>0</v>
      </c>
      <c r="E874" s="349"/>
      <c r="F874" s="350">
        <f t="shared" si="249"/>
        <v>0</v>
      </c>
      <c r="G874" s="347">
        <f t="shared" si="248"/>
        <v>0</v>
      </c>
    </row>
    <row r="875" spans="1:7" ht="18.95" customHeight="1" x14ac:dyDescent="0.2">
      <c r="A875" s="353"/>
      <c r="B875" s="149"/>
      <c r="C875" s="142"/>
      <c r="D875" s="150"/>
      <c r="E875" s="143"/>
      <c r="F875" s="354" t="s">
        <v>29</v>
      </c>
      <c r="G875" s="355">
        <f>SUBTOTAL(9,G867:G874)</f>
        <v>0</v>
      </c>
    </row>
    <row r="876" spans="1:7" ht="18.95" customHeight="1" x14ac:dyDescent="0.2">
      <c r="A876" s="156"/>
      <c r="B876" s="142"/>
      <c r="C876" s="157" t="s">
        <v>722</v>
      </c>
      <c r="D876" s="150"/>
      <c r="E876" s="327"/>
      <c r="F876" s="327"/>
      <c r="G876" s="342"/>
    </row>
    <row r="877" spans="1:7" ht="18.95" customHeight="1" x14ac:dyDescent="0.2">
      <c r="A877" s="735" t="s">
        <v>582</v>
      </c>
      <c r="B877" s="736"/>
      <c r="C877" s="737" t="s">
        <v>0</v>
      </c>
      <c r="D877" s="739" t="s">
        <v>26</v>
      </c>
      <c r="E877" s="743" t="s">
        <v>1707</v>
      </c>
      <c r="F877" s="741" t="s">
        <v>1040</v>
      </c>
      <c r="G877" s="733" t="s">
        <v>28</v>
      </c>
    </row>
    <row r="878" spans="1:7" ht="18.95" customHeight="1" x14ac:dyDescent="0.2">
      <c r="A878" s="154" t="s">
        <v>583</v>
      </c>
      <c r="B878" s="155" t="s">
        <v>584</v>
      </c>
      <c r="C878" s="738"/>
      <c r="D878" s="740"/>
      <c r="E878" s="742"/>
      <c r="F878" s="742"/>
      <c r="G878" s="734"/>
    </row>
    <row r="879" spans="1:7" ht="18.95" customHeight="1" x14ac:dyDescent="0.2">
      <c r="A879" s="348" t="str">
        <f t="shared" ref="A879:A884" si="250">IFERROR(VLOOKUP(C879,Tabla_Insumos,4,FALSE),"")</f>
        <v/>
      </c>
      <c r="B879" s="290" t="str">
        <f t="shared" ref="B879:B884" si="251">IFERROR(VLOOKUP(C879,Tabla_Insumos,5,FALSE),"")</f>
        <v/>
      </c>
      <c r="C879" s="291"/>
      <c r="D879" s="293"/>
      <c r="E879" s="346">
        <f t="shared" ref="E879:E884" si="252">IFERROR(VLOOKUP(C879,Tabla_Insumos,3,FALSE),0)</f>
        <v>0</v>
      </c>
      <c r="F879" s="349">
        <f>IF(C879="",0,D862)</f>
        <v>0</v>
      </c>
      <c r="G879" s="347">
        <f t="shared" ref="G879:G884" si="253">IFERROR(ROUND(D879*E879/F879,2),0)</f>
        <v>0</v>
      </c>
    </row>
    <row r="880" spans="1:7" ht="18.95" customHeight="1" x14ac:dyDescent="0.2">
      <c r="A880" s="348" t="str">
        <f t="shared" si="250"/>
        <v/>
      </c>
      <c r="B880" s="290" t="str">
        <f t="shared" si="251"/>
        <v/>
      </c>
      <c r="C880" s="290"/>
      <c r="D880" s="293"/>
      <c r="E880" s="346">
        <f t="shared" si="252"/>
        <v>0</v>
      </c>
      <c r="F880" s="349">
        <f>IF(C880="",0,F879)</f>
        <v>0</v>
      </c>
      <c r="G880" s="347">
        <f t="shared" si="253"/>
        <v>0</v>
      </c>
    </row>
    <row r="881" spans="1:7" ht="18.95" customHeight="1" x14ac:dyDescent="0.2">
      <c r="A881" s="348" t="str">
        <f t="shared" si="250"/>
        <v/>
      </c>
      <c r="B881" s="290" t="str">
        <f t="shared" si="251"/>
        <v/>
      </c>
      <c r="C881" s="290"/>
      <c r="D881" s="293"/>
      <c r="E881" s="346">
        <f t="shared" si="252"/>
        <v>0</v>
      </c>
      <c r="F881" s="349">
        <f>IF(C881="",0,F880)</f>
        <v>0</v>
      </c>
      <c r="G881" s="347">
        <f t="shared" si="253"/>
        <v>0</v>
      </c>
    </row>
    <row r="882" spans="1:7" ht="18.95" customHeight="1" x14ac:dyDescent="0.2">
      <c r="A882" s="348" t="str">
        <f t="shared" si="250"/>
        <v/>
      </c>
      <c r="B882" s="290" t="str">
        <f t="shared" si="251"/>
        <v/>
      </c>
      <c r="C882" s="290"/>
      <c r="D882" s="293"/>
      <c r="E882" s="346">
        <f t="shared" si="252"/>
        <v>0</v>
      </c>
      <c r="F882" s="349">
        <f>IF(C882="",0,F881)</f>
        <v>0</v>
      </c>
      <c r="G882" s="347">
        <f t="shared" si="253"/>
        <v>0</v>
      </c>
    </row>
    <row r="883" spans="1:7" ht="18.95" customHeight="1" x14ac:dyDescent="0.2">
      <c r="A883" s="348" t="str">
        <f t="shared" si="250"/>
        <v/>
      </c>
      <c r="B883" s="290" t="str">
        <f t="shared" si="251"/>
        <v/>
      </c>
      <c r="C883" s="290"/>
      <c r="D883" s="351"/>
      <c r="E883" s="346">
        <f t="shared" si="252"/>
        <v>0</v>
      </c>
      <c r="F883" s="349">
        <f>IF(C883="",0,F882)</f>
        <v>0</v>
      </c>
      <c r="G883" s="347">
        <f t="shared" si="253"/>
        <v>0</v>
      </c>
    </row>
    <row r="884" spans="1:7" ht="18.95" customHeight="1" x14ac:dyDescent="0.2">
      <c r="A884" s="348" t="str">
        <f t="shared" si="250"/>
        <v/>
      </c>
      <c r="B884" s="290" t="str">
        <f t="shared" si="251"/>
        <v/>
      </c>
      <c r="C884" s="290"/>
      <c r="D884" s="293"/>
      <c r="E884" s="346">
        <f t="shared" si="252"/>
        <v>0</v>
      </c>
      <c r="F884" s="349">
        <f>IF(C884="",0,F883)</f>
        <v>0</v>
      </c>
      <c r="G884" s="347">
        <f t="shared" si="253"/>
        <v>0</v>
      </c>
    </row>
    <row r="885" spans="1:7" ht="18.95" customHeight="1" x14ac:dyDescent="0.2">
      <c r="A885" s="353"/>
      <c r="B885" s="149"/>
      <c r="C885" s="142"/>
      <c r="D885" s="150"/>
      <c r="E885" s="143"/>
      <c r="F885" s="356" t="s">
        <v>30</v>
      </c>
      <c r="G885" s="355">
        <f>SUBTOTAL(9,G879:G884)</f>
        <v>0</v>
      </c>
    </row>
    <row r="886" spans="1:7" ht="18.95" customHeight="1" x14ac:dyDescent="0.2">
      <c r="A886" s="156"/>
      <c r="B886" s="142"/>
      <c r="C886" s="157" t="s">
        <v>1047</v>
      </c>
      <c r="D886" s="150"/>
      <c r="E886" s="327"/>
      <c r="F886" s="327"/>
      <c r="G886" s="342"/>
    </row>
    <row r="887" spans="1:7" ht="18.95" customHeight="1" x14ac:dyDescent="0.2">
      <c r="A887" s="735" t="s">
        <v>582</v>
      </c>
      <c r="B887" s="736"/>
      <c r="C887" s="737" t="s">
        <v>0</v>
      </c>
      <c r="D887" s="737" t="s">
        <v>1655</v>
      </c>
      <c r="E887" s="737" t="s">
        <v>26</v>
      </c>
      <c r="F887" s="737" t="s">
        <v>27</v>
      </c>
      <c r="G887" s="733" t="s">
        <v>28</v>
      </c>
    </row>
    <row r="888" spans="1:7" ht="18.95" customHeight="1" x14ac:dyDescent="0.2">
      <c r="A888" s="154" t="s">
        <v>583</v>
      </c>
      <c r="B888" s="155" t="s">
        <v>584</v>
      </c>
      <c r="C888" s="738"/>
      <c r="D888" s="738"/>
      <c r="E888" s="738"/>
      <c r="F888" s="738"/>
      <c r="G888" s="734"/>
    </row>
    <row r="889" spans="1:7" ht="18.95" customHeight="1" x14ac:dyDescent="0.2">
      <c r="A889" s="348" t="str">
        <f t="shared" ref="A889:A900" si="254">IFERROR(VLOOKUP(C889,Tabla_Insumos,4,FALSE),"")</f>
        <v/>
      </c>
      <c r="B889" s="290" t="str">
        <f t="shared" ref="B889:B900" si="255">IFERROR(VLOOKUP(C889,Tabla_Insumos,5,FALSE),"")</f>
        <v/>
      </c>
      <c r="C889" s="290"/>
      <c r="D889" s="608">
        <f t="shared" ref="D889:D900" si="256">IFERROR(VLOOKUP(C889,Tabla_Insumos,2,FALSE),0)</f>
        <v>0</v>
      </c>
      <c r="E889" s="293"/>
      <c r="F889" s="346">
        <f t="shared" ref="F889:F900" si="257">IFERROR(VLOOKUP(C889,Tabla_Insumos,3,FALSE),0)</f>
        <v>0</v>
      </c>
      <c r="G889" s="347">
        <f t="shared" ref="G889:G900" si="258">ROUND(E889*F889,2)</f>
        <v>0</v>
      </c>
    </row>
    <row r="890" spans="1:7" ht="18.95" customHeight="1" x14ac:dyDescent="0.2">
      <c r="A890" s="348" t="str">
        <f t="shared" si="254"/>
        <v/>
      </c>
      <c r="B890" s="290" t="str">
        <f t="shared" si="255"/>
        <v/>
      </c>
      <c r="C890" s="126"/>
      <c r="D890" s="608">
        <f t="shared" si="256"/>
        <v>0</v>
      </c>
      <c r="E890" s="293"/>
      <c r="F890" s="346">
        <f t="shared" si="257"/>
        <v>0</v>
      </c>
      <c r="G890" s="347">
        <f t="shared" si="258"/>
        <v>0</v>
      </c>
    </row>
    <row r="891" spans="1:7" ht="18.95" customHeight="1" x14ac:dyDescent="0.2">
      <c r="A891" s="348" t="str">
        <f t="shared" si="254"/>
        <v/>
      </c>
      <c r="B891" s="290" t="str">
        <f t="shared" si="255"/>
        <v/>
      </c>
      <c r="C891" s="290"/>
      <c r="D891" s="608">
        <f t="shared" si="256"/>
        <v>0</v>
      </c>
      <c r="E891" s="293"/>
      <c r="F891" s="346">
        <f t="shared" si="257"/>
        <v>0</v>
      </c>
      <c r="G891" s="347">
        <f t="shared" si="258"/>
        <v>0</v>
      </c>
    </row>
    <row r="892" spans="1:7" ht="18.95" customHeight="1" x14ac:dyDescent="0.2">
      <c r="A892" s="348" t="str">
        <f t="shared" si="254"/>
        <v/>
      </c>
      <c r="B892" s="290" t="str">
        <f t="shared" si="255"/>
        <v/>
      </c>
      <c r="C892" s="290"/>
      <c r="D892" s="608">
        <f t="shared" si="256"/>
        <v>0</v>
      </c>
      <c r="E892" s="293"/>
      <c r="F892" s="346">
        <f t="shared" si="257"/>
        <v>0</v>
      </c>
      <c r="G892" s="347">
        <f t="shared" si="258"/>
        <v>0</v>
      </c>
    </row>
    <row r="893" spans="1:7" ht="18.95" customHeight="1" x14ac:dyDescent="0.2">
      <c r="A893" s="348" t="str">
        <f t="shared" si="254"/>
        <v/>
      </c>
      <c r="B893" s="290" t="str">
        <f t="shared" si="255"/>
        <v/>
      </c>
      <c r="C893" s="290"/>
      <c r="D893" s="608">
        <f t="shared" si="256"/>
        <v>0</v>
      </c>
      <c r="E893" s="293"/>
      <c r="F893" s="346">
        <f t="shared" si="257"/>
        <v>0</v>
      </c>
      <c r="G893" s="347">
        <f t="shared" si="258"/>
        <v>0</v>
      </c>
    </row>
    <row r="894" spans="1:7" ht="18.95" customHeight="1" x14ac:dyDescent="0.2">
      <c r="A894" s="348" t="str">
        <f t="shared" si="254"/>
        <v/>
      </c>
      <c r="B894" s="290" t="str">
        <f t="shared" si="255"/>
        <v/>
      </c>
      <c r="C894" s="290"/>
      <c r="D894" s="608">
        <f t="shared" si="256"/>
        <v>0</v>
      </c>
      <c r="E894" s="293"/>
      <c r="F894" s="346">
        <f t="shared" si="257"/>
        <v>0</v>
      </c>
      <c r="G894" s="347">
        <f t="shared" si="258"/>
        <v>0</v>
      </c>
    </row>
    <row r="895" spans="1:7" ht="18.95" customHeight="1" x14ac:dyDescent="0.2">
      <c r="A895" s="348" t="str">
        <f t="shared" si="254"/>
        <v/>
      </c>
      <c r="B895" s="290" t="str">
        <f t="shared" si="255"/>
        <v/>
      </c>
      <c r="C895" s="290"/>
      <c r="D895" s="608">
        <f t="shared" si="256"/>
        <v>0</v>
      </c>
      <c r="E895" s="293"/>
      <c r="F895" s="346">
        <f t="shared" si="257"/>
        <v>0</v>
      </c>
      <c r="G895" s="347">
        <f t="shared" si="258"/>
        <v>0</v>
      </c>
    </row>
    <row r="896" spans="1:7" s="295" customFormat="1" ht="18.95" customHeight="1" x14ac:dyDescent="0.2">
      <c r="A896" s="348" t="str">
        <f t="shared" si="254"/>
        <v/>
      </c>
      <c r="B896" s="290" t="str">
        <f t="shared" si="255"/>
        <v/>
      </c>
      <c r="C896" s="290"/>
      <c r="D896" s="608">
        <f t="shared" si="256"/>
        <v>0</v>
      </c>
      <c r="E896" s="323"/>
      <c r="F896" s="346">
        <f t="shared" si="257"/>
        <v>0</v>
      </c>
      <c r="G896" s="347">
        <f t="shared" si="258"/>
        <v>0</v>
      </c>
    </row>
    <row r="897" spans="1:8" ht="18.95" customHeight="1" x14ac:dyDescent="0.2">
      <c r="A897" s="348" t="str">
        <f t="shared" si="254"/>
        <v/>
      </c>
      <c r="B897" s="290" t="str">
        <f t="shared" si="255"/>
        <v/>
      </c>
      <c r="C897" s="290"/>
      <c r="D897" s="608">
        <f t="shared" si="256"/>
        <v>0</v>
      </c>
      <c r="E897" s="293"/>
      <c r="F897" s="346">
        <f t="shared" si="257"/>
        <v>0</v>
      </c>
      <c r="G897" s="347">
        <f t="shared" si="258"/>
        <v>0</v>
      </c>
    </row>
    <row r="898" spans="1:8" ht="18.95" customHeight="1" x14ac:dyDescent="0.2">
      <c r="A898" s="348" t="str">
        <f t="shared" si="254"/>
        <v/>
      </c>
      <c r="B898" s="290" t="str">
        <f t="shared" si="255"/>
        <v/>
      </c>
      <c r="C898" s="290"/>
      <c r="D898" s="608">
        <f t="shared" si="256"/>
        <v>0</v>
      </c>
      <c r="E898" s="293"/>
      <c r="F898" s="346">
        <f t="shared" si="257"/>
        <v>0</v>
      </c>
      <c r="G898" s="347">
        <f t="shared" si="258"/>
        <v>0</v>
      </c>
    </row>
    <row r="899" spans="1:8" ht="18.95" customHeight="1" x14ac:dyDescent="0.2">
      <c r="A899" s="348" t="str">
        <f t="shared" si="254"/>
        <v/>
      </c>
      <c r="B899" s="290" t="str">
        <f t="shared" si="255"/>
        <v/>
      </c>
      <c r="C899" s="290"/>
      <c r="D899" s="608">
        <f t="shared" si="256"/>
        <v>0</v>
      </c>
      <c r="E899" s="293"/>
      <c r="F899" s="346">
        <f t="shared" si="257"/>
        <v>0</v>
      </c>
      <c r="G899" s="347">
        <f t="shared" si="258"/>
        <v>0</v>
      </c>
    </row>
    <row r="900" spans="1:8" ht="18.95" customHeight="1" x14ac:dyDescent="0.2">
      <c r="A900" s="348" t="str">
        <f t="shared" si="254"/>
        <v/>
      </c>
      <c r="B900" s="290" t="str">
        <f t="shared" si="255"/>
        <v/>
      </c>
      <c r="C900" s="290"/>
      <c r="D900" s="608">
        <f t="shared" si="256"/>
        <v>0</v>
      </c>
      <c r="E900" s="293"/>
      <c r="F900" s="346">
        <f t="shared" si="257"/>
        <v>0</v>
      </c>
      <c r="G900" s="347">
        <f t="shared" si="258"/>
        <v>0</v>
      </c>
    </row>
    <row r="901" spans="1:8" ht="18.95" customHeight="1" x14ac:dyDescent="0.2">
      <c r="A901" s="156"/>
      <c r="B901" s="142"/>
      <c r="C901" s="142"/>
      <c r="D901" s="150"/>
      <c r="E901" s="143"/>
      <c r="F901" s="356" t="s">
        <v>31</v>
      </c>
      <c r="G901" s="355">
        <f>SUBTOTAL(9,G889:G900)</f>
        <v>0</v>
      </c>
    </row>
    <row r="902" spans="1:8" ht="18.95" customHeight="1" x14ac:dyDescent="0.2">
      <c r="A902" s="156"/>
      <c r="B902" s="142"/>
      <c r="C902" s="157" t="s">
        <v>1048</v>
      </c>
      <c r="D902" s="150"/>
      <c r="E902" s="327"/>
      <c r="F902" s="327"/>
      <c r="G902" s="342"/>
    </row>
    <row r="903" spans="1:8" ht="18.95" customHeight="1" x14ac:dyDescent="0.2">
      <c r="A903" s="735" t="s">
        <v>582</v>
      </c>
      <c r="B903" s="736"/>
      <c r="C903" s="737" t="s">
        <v>0</v>
      </c>
      <c r="D903" s="739" t="s">
        <v>1750</v>
      </c>
      <c r="E903" s="741" t="s">
        <v>26</v>
      </c>
      <c r="F903" s="741" t="s">
        <v>27</v>
      </c>
      <c r="G903" s="733" t="s">
        <v>28</v>
      </c>
    </row>
    <row r="904" spans="1:8" ht="18.95" customHeight="1" x14ac:dyDescent="0.2">
      <c r="A904" s="154" t="s">
        <v>583</v>
      </c>
      <c r="B904" s="155" t="s">
        <v>584</v>
      </c>
      <c r="C904" s="738"/>
      <c r="D904" s="740"/>
      <c r="E904" s="742"/>
      <c r="F904" s="742"/>
      <c r="G904" s="734"/>
    </row>
    <row r="905" spans="1:8" ht="18.95" customHeight="1" x14ac:dyDescent="0.2">
      <c r="A905" s="348" t="str">
        <f>IFERROR(VLOOKUP(C905,Tabla_Insumos,4,FALSE),"")</f>
        <v/>
      </c>
      <c r="B905" s="290" t="s">
        <v>4</v>
      </c>
      <c r="C905" s="290"/>
      <c r="D905" s="293"/>
      <c r="E905" s="322"/>
      <c r="F905" s="324"/>
      <c r="G905" s="347">
        <f t="shared" ref="G905" si="259">ROUND(E905*F905,2)</f>
        <v>0</v>
      </c>
    </row>
    <row r="906" spans="1:8" ht="18.95" customHeight="1" x14ac:dyDescent="0.2">
      <c r="A906" s="156"/>
      <c r="B906" s="142"/>
      <c r="C906" s="142"/>
      <c r="D906" s="150"/>
      <c r="E906" s="143"/>
      <c r="F906" s="356" t="s">
        <v>1049</v>
      </c>
      <c r="G906" s="355">
        <f>SUBTOTAL(9,G905:G905)</f>
        <v>0</v>
      </c>
    </row>
    <row r="907" spans="1:8" ht="18.95" customHeight="1" thickBot="1" x14ac:dyDescent="0.25">
      <c r="A907" s="158"/>
      <c r="B907" s="159"/>
      <c r="C907" s="160"/>
      <c r="D907" s="161"/>
      <c r="E907" s="357"/>
      <c r="F907" s="357"/>
      <c r="G907" s="358"/>
    </row>
    <row r="908" spans="1:8" ht="18.95" customHeight="1" x14ac:dyDescent="0.2">
      <c r="A908" s="359">
        <f>B847</f>
        <v>13</v>
      </c>
      <c r="B908" s="360" t="str">
        <f>C847</f>
        <v>HORMIGÓN DE CEMENTO PORTLAND TIPO H-13</v>
      </c>
      <c r="C908" s="361"/>
      <c r="D908" s="361"/>
      <c r="E908" s="361" t="s">
        <v>1050</v>
      </c>
      <c r="F908" s="362" t="str">
        <f>CONCATENATE("$/",G847)</f>
        <v>$/m3</v>
      </c>
      <c r="G908" s="363">
        <f>SUBTOTAL(9,G867:G907)</f>
        <v>0</v>
      </c>
    </row>
    <row r="909" spans="1:8" ht="18.95" customHeight="1" thickBot="1" x14ac:dyDescent="0.25">
      <c r="A909" s="364"/>
      <c r="B909" s="365"/>
      <c r="C909" s="365"/>
      <c r="D909" s="365"/>
      <c r="E909" s="366" t="s">
        <v>1051</v>
      </c>
      <c r="F909" s="367" t="str">
        <f>CONCATENATE("$/",G847)</f>
        <v>$/m3</v>
      </c>
      <c r="G909" s="368" t="e">
        <f ca="1">PrecioUnitario(G908,GG_Porcentaje,Beneficio,Ingresos_Brutos,IVA)</f>
        <v>#NAME?</v>
      </c>
    </row>
    <row r="910" spans="1:8" ht="18.95" customHeight="1" thickTop="1" thickBot="1" x14ac:dyDescent="0.25">
      <c r="F910" s="294"/>
      <c r="G910" s="294"/>
    </row>
    <row r="911" spans="1:8" ht="18.95" customHeight="1" thickTop="1" x14ac:dyDescent="0.2">
      <c r="A911" s="194" t="s">
        <v>33</v>
      </c>
      <c r="B911" s="195"/>
      <c r="C911" s="195"/>
      <c r="D911" s="195"/>
      <c r="E911" s="195"/>
      <c r="F911" s="195"/>
      <c r="G911" s="196"/>
      <c r="H911" s="143">
        <f>COUNTIF($A$1:A917,"ANALISIS DE PRECIOS")</f>
        <v>14</v>
      </c>
    </row>
    <row r="912" spans="1:8" ht="18.95" customHeight="1" x14ac:dyDescent="0.2">
      <c r="A912" s="144" t="s">
        <v>720</v>
      </c>
      <c r="B912" s="145" t="str">
        <f>Comitente</f>
        <v>DIRECCIÓN PROVINCIAL DE VIALIDAD</v>
      </c>
      <c r="C912" s="139"/>
      <c r="D912" s="146"/>
      <c r="E912" s="325"/>
      <c r="F912" s="325"/>
      <c r="G912" s="326"/>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PAVIMENTACION Y ENSANCHE DE RUTA PROVINCIAL N°7 AV. JOAQUIN UÑAC</v>
      </c>
      <c r="C914" s="140"/>
      <c r="D914" s="140"/>
      <c r="E914" s="143"/>
      <c r="F914" s="145" t="s">
        <v>34</v>
      </c>
      <c r="G914" s="147">
        <f>Fecha_Base</f>
        <v>43444</v>
      </c>
      <c r="H914" s="143"/>
    </row>
    <row r="915" spans="1:8" ht="18.95" customHeight="1" x14ac:dyDescent="0.2">
      <c r="A915" s="148" t="s">
        <v>719</v>
      </c>
      <c r="B915" s="141" t="str">
        <f>Ubicación</f>
        <v>DEPARTAMENTO POCITO</v>
      </c>
      <c r="C915" s="141"/>
      <c r="D915" s="150"/>
      <c r="E915" s="143"/>
      <c r="F915" s="327"/>
      <c r="G915" s="328"/>
      <c r="H915" s="143"/>
    </row>
    <row r="916" spans="1:8" ht="18.95" customHeight="1" x14ac:dyDescent="0.2">
      <c r="A916" s="148" t="s">
        <v>35</v>
      </c>
      <c r="B916" s="151" t="str">
        <f>IFERROR(VALUE(LEFT(B917,FIND("-",B917)-1)),"")</f>
        <v/>
      </c>
      <c r="C916" s="142" t="str">
        <f>IFERROR(VLOOKUP(B916,Tabla_CyP,2,FALSE),"")</f>
        <v/>
      </c>
      <c r="D916" s="150"/>
      <c r="E916" s="143"/>
      <c r="F916" s="327"/>
      <c r="G916" s="328"/>
      <c r="H916" s="143"/>
    </row>
    <row r="917" spans="1:8" ht="18.95" customHeight="1" x14ac:dyDescent="0.2">
      <c r="A917" s="148" t="s">
        <v>24</v>
      </c>
      <c r="B917" s="152">
        <f>IFERROR(VLOOKUP(COUNTIF($A$1:A917,"ANALISIS DE PRECIOS"),Tabla_NumeroItem,4,FALSE),"")</f>
        <v>14</v>
      </c>
      <c r="C917" s="745" t="str">
        <f>IFERROR(VLOOKUP(B917,Tabla_CyP,2,FALSE),"")</f>
        <v>HORMIGÓN DE CEMENTO PORTLAND TIPO H-8</v>
      </c>
      <c r="D917" s="745"/>
      <c r="E917" s="745"/>
      <c r="F917" s="141" t="s">
        <v>25</v>
      </c>
      <c r="G917" s="153" t="str">
        <f>IFERROR(VLOOKUP(B917,Tabla_CyP,4,FALSE),"")</f>
        <v>m3</v>
      </c>
      <c r="H917" s="143"/>
    </row>
    <row r="918" spans="1:8" ht="18.95" customHeight="1" x14ac:dyDescent="0.2">
      <c r="A918" s="148"/>
      <c r="B918" s="141"/>
      <c r="C918" s="142"/>
      <c r="D918" s="150"/>
      <c r="E918" s="142"/>
      <c r="F918" s="142"/>
      <c r="G918" s="329"/>
      <c r="H918" s="143"/>
    </row>
    <row r="919" spans="1:8" ht="18.95" customHeight="1" x14ac:dyDescent="0.2">
      <c r="A919" s="330"/>
      <c r="B919" s="331"/>
      <c r="C919" s="332" t="s">
        <v>1032</v>
      </c>
      <c r="D919" s="331"/>
      <c r="E919" s="331"/>
      <c r="F919" s="331"/>
      <c r="G919" s="333"/>
      <c r="H919" s="143"/>
    </row>
    <row r="920" spans="1:8" ht="18.95" customHeight="1" x14ac:dyDescent="0.2">
      <c r="A920" s="148"/>
      <c r="B920" s="334"/>
      <c r="C920" s="335" t="s">
        <v>1033</v>
      </c>
      <c r="D920" s="336" t="s">
        <v>26</v>
      </c>
      <c r="E920" s="336" t="s">
        <v>1034</v>
      </c>
      <c r="F920" s="336" t="s">
        <v>1035</v>
      </c>
      <c r="G920" s="337" t="s">
        <v>1036</v>
      </c>
      <c r="H920" s="143"/>
    </row>
    <row r="921" spans="1:8" ht="18.95" customHeight="1" x14ac:dyDescent="0.2">
      <c r="A921" s="343"/>
      <c r="B921" s="344"/>
      <c r="C921" s="290"/>
      <c r="D921" s="293"/>
      <c r="E921" s="345"/>
      <c r="F921" s="346"/>
      <c r="G921" s="347">
        <f t="shared" ref="G921:G930" si="260">ROUND(D921*F921,2)</f>
        <v>0</v>
      </c>
    </row>
    <row r="922" spans="1:8" ht="18.95" customHeight="1" x14ac:dyDescent="0.2">
      <c r="A922" s="343"/>
      <c r="B922" s="344"/>
      <c r="C922" s="290"/>
      <c r="D922" s="293"/>
      <c r="E922" s="345"/>
      <c r="F922" s="346"/>
      <c r="G922" s="347">
        <f t="shared" si="260"/>
        <v>0</v>
      </c>
    </row>
    <row r="923" spans="1:8" ht="18.95" customHeight="1" x14ac:dyDescent="0.2">
      <c r="A923" s="343"/>
      <c r="B923" s="344"/>
      <c r="C923" s="290"/>
      <c r="D923" s="293"/>
      <c r="E923" s="345">
        <f t="shared" ref="E923:E930" si="261">IFERROR(VLOOKUP(C923,T_Equipos,4,FALSE),0)</f>
        <v>0</v>
      </c>
      <c r="F923" s="346">
        <f t="shared" ref="F923:F930" si="262">IFERROR(VLOOKUP(C923,T_Equipos,11,FALSE),0)</f>
        <v>0</v>
      </c>
      <c r="G923" s="347">
        <f t="shared" si="260"/>
        <v>0</v>
      </c>
    </row>
    <row r="924" spans="1:8" ht="18.95" customHeight="1" x14ac:dyDescent="0.2">
      <c r="A924" s="343"/>
      <c r="B924" s="344"/>
      <c r="C924" s="290"/>
      <c r="D924" s="293"/>
      <c r="E924" s="345">
        <f t="shared" si="261"/>
        <v>0</v>
      </c>
      <c r="F924" s="346">
        <f t="shared" si="262"/>
        <v>0</v>
      </c>
      <c r="G924" s="347">
        <f t="shared" si="260"/>
        <v>0</v>
      </c>
    </row>
    <row r="925" spans="1:8" ht="18.95" customHeight="1" x14ac:dyDescent="0.2">
      <c r="A925" s="343"/>
      <c r="B925" s="344"/>
      <c r="C925" s="290"/>
      <c r="D925" s="293"/>
      <c r="E925" s="345">
        <f t="shared" si="261"/>
        <v>0</v>
      </c>
      <c r="F925" s="346">
        <f t="shared" si="262"/>
        <v>0</v>
      </c>
      <c r="G925" s="347">
        <f t="shared" si="260"/>
        <v>0</v>
      </c>
    </row>
    <row r="926" spans="1:8" ht="18.95" customHeight="1" x14ac:dyDescent="0.2">
      <c r="A926" s="343"/>
      <c r="B926" s="344"/>
      <c r="C926" s="290"/>
      <c r="D926" s="293"/>
      <c r="E926" s="345">
        <f t="shared" si="261"/>
        <v>0</v>
      </c>
      <c r="F926" s="346">
        <f t="shared" si="262"/>
        <v>0</v>
      </c>
      <c r="G926" s="347">
        <f t="shared" si="260"/>
        <v>0</v>
      </c>
    </row>
    <row r="927" spans="1:8" ht="18.95" customHeight="1" x14ac:dyDescent="0.2">
      <c r="A927" s="343"/>
      <c r="B927" s="344"/>
      <c r="C927" s="290"/>
      <c r="D927" s="293"/>
      <c r="E927" s="345">
        <f t="shared" si="261"/>
        <v>0</v>
      </c>
      <c r="F927" s="346">
        <f t="shared" si="262"/>
        <v>0</v>
      </c>
      <c r="G927" s="347">
        <f t="shared" si="260"/>
        <v>0</v>
      </c>
    </row>
    <row r="928" spans="1:8" ht="18.95" customHeight="1" x14ac:dyDescent="0.2">
      <c r="A928" s="343"/>
      <c r="B928" s="344"/>
      <c r="C928" s="290"/>
      <c r="D928" s="293"/>
      <c r="E928" s="345">
        <f t="shared" si="261"/>
        <v>0</v>
      </c>
      <c r="F928" s="346">
        <f t="shared" si="262"/>
        <v>0</v>
      </c>
      <c r="G928" s="347">
        <f t="shared" si="260"/>
        <v>0</v>
      </c>
    </row>
    <row r="929" spans="1:7" ht="18.95" customHeight="1" x14ac:dyDescent="0.2">
      <c r="A929" s="343"/>
      <c r="B929" s="344"/>
      <c r="C929" s="290"/>
      <c r="D929" s="293"/>
      <c r="E929" s="345">
        <f t="shared" si="261"/>
        <v>0</v>
      </c>
      <c r="F929" s="346">
        <f t="shared" si="262"/>
        <v>0</v>
      </c>
      <c r="G929" s="347">
        <f t="shared" si="260"/>
        <v>0</v>
      </c>
    </row>
    <row r="930" spans="1:7" ht="18.95" customHeight="1" thickBot="1" x14ac:dyDescent="0.25">
      <c r="A930" s="343"/>
      <c r="B930" s="344"/>
      <c r="C930" s="290"/>
      <c r="D930" s="293"/>
      <c r="E930" s="345">
        <f t="shared" si="261"/>
        <v>0</v>
      </c>
      <c r="F930" s="346">
        <f t="shared" si="262"/>
        <v>0</v>
      </c>
      <c r="G930" s="347">
        <f t="shared" si="260"/>
        <v>0</v>
      </c>
    </row>
    <row r="931" spans="1:7" ht="18.95" customHeight="1" thickBot="1" x14ac:dyDescent="0.25">
      <c r="A931" s="148"/>
      <c r="B931" s="334"/>
      <c r="C931" s="143"/>
      <c r="D931" s="146" t="s">
        <v>1037</v>
      </c>
      <c r="E931" s="338">
        <f>SUMPRODUCT(D921:D930,E921:E930)</f>
        <v>0</v>
      </c>
      <c r="F931" s="141" t="s">
        <v>1038</v>
      </c>
      <c r="G931" s="339">
        <f>SUM(G921:G930)</f>
        <v>0</v>
      </c>
    </row>
    <row r="932" spans="1:7" ht="18.95" customHeight="1" x14ac:dyDescent="0.2">
      <c r="A932" s="148"/>
      <c r="B932" s="334"/>
      <c r="C932" s="141" t="s">
        <v>1039</v>
      </c>
      <c r="D932" s="320"/>
      <c r="E932" s="340" t="str">
        <f>CONCATENATE(G917,"/día")</f>
        <v>m3/día</v>
      </c>
      <c r="F932" s="141"/>
      <c r="G932" s="341"/>
    </row>
    <row r="933" spans="1:7" ht="18.95" customHeight="1" x14ac:dyDescent="0.2">
      <c r="A933" s="148"/>
      <c r="B933" s="334"/>
      <c r="C933" s="142"/>
      <c r="D933" s="150"/>
      <c r="E933" s="141"/>
      <c r="F933" s="141"/>
      <c r="G933" s="341"/>
    </row>
    <row r="934" spans="1:7" ht="18.95" customHeight="1" x14ac:dyDescent="0.2">
      <c r="A934" s="735" t="s">
        <v>582</v>
      </c>
      <c r="B934" s="736"/>
      <c r="C934" s="737" t="s">
        <v>0</v>
      </c>
      <c r="D934" s="743" t="s">
        <v>1053</v>
      </c>
      <c r="E934" s="743" t="s">
        <v>1706</v>
      </c>
      <c r="F934" s="743" t="s">
        <v>1054</v>
      </c>
      <c r="G934" s="743" t="s">
        <v>1055</v>
      </c>
    </row>
    <row r="935" spans="1:7" ht="18.95" customHeight="1" x14ac:dyDescent="0.2">
      <c r="A935" s="154" t="s">
        <v>583</v>
      </c>
      <c r="B935" s="155" t="s">
        <v>584</v>
      </c>
      <c r="C935" s="738"/>
      <c r="D935" s="742"/>
      <c r="E935" s="742"/>
      <c r="F935" s="744"/>
      <c r="G935" s="742"/>
    </row>
    <row r="936" spans="1:7" ht="18.95" customHeight="1" x14ac:dyDescent="0.2">
      <c r="A936" s="156"/>
      <c r="B936" s="142"/>
      <c r="C936" s="157" t="s">
        <v>1041</v>
      </c>
      <c r="D936" s="150"/>
      <c r="E936" s="142"/>
      <c r="F936" s="142"/>
      <c r="G936" s="342"/>
    </row>
    <row r="937" spans="1:7" ht="18.95" customHeight="1" x14ac:dyDescent="0.2">
      <c r="A937" s="348" t="str">
        <f t="shared" ref="A937:A944" si="263">IFERROR(VLOOKUP(C937,Tabla_Insumos,4,FALSE),"")</f>
        <v/>
      </c>
      <c r="B937" s="290" t="str">
        <f t="shared" ref="B937:B944" si="264">IFERROR(VLOOKUP(C937,Tabla_Insumos,5,FALSE),"")</f>
        <v/>
      </c>
      <c r="C937" s="290"/>
      <c r="D937" s="607">
        <f t="shared" ref="D937:D944" si="265">IFERROR(VLOOKUP(C937,Tabla_Insumos,3,FALSE),0)</f>
        <v>0</v>
      </c>
      <c r="E937" s="349">
        <f>D937*$G$21</f>
        <v>0</v>
      </c>
      <c r="F937" s="350">
        <f>IF(C937="",0,D932)</f>
        <v>0</v>
      </c>
      <c r="G937" s="347">
        <f>IFERROR(ROUND(E937/F937,2),0)</f>
        <v>0</v>
      </c>
    </row>
    <row r="938" spans="1:7" ht="18.95" customHeight="1" x14ac:dyDescent="0.2">
      <c r="A938" s="348" t="str">
        <f t="shared" si="263"/>
        <v/>
      </c>
      <c r="B938" s="290" t="str">
        <f t="shared" si="264"/>
        <v/>
      </c>
      <c r="C938" s="321"/>
      <c r="D938" s="607">
        <f t="shared" si="265"/>
        <v>0</v>
      </c>
      <c r="E938" s="349">
        <f t="shared" ref="E938:E939" si="266">D938*$G$21</f>
        <v>0</v>
      </c>
      <c r="F938" s="350">
        <f t="shared" ref="F938:F941" si="267">IF(C938="",0,F937)</f>
        <v>0</v>
      </c>
      <c r="G938" s="347">
        <f t="shared" ref="G938:G944" si="268">IFERROR(ROUND(E938/F938,2),0)</f>
        <v>0</v>
      </c>
    </row>
    <row r="939" spans="1:7" ht="18.95" customHeight="1" x14ac:dyDescent="0.2">
      <c r="A939" s="348" t="str">
        <f t="shared" si="263"/>
        <v/>
      </c>
      <c r="B939" s="290" t="str">
        <f t="shared" si="264"/>
        <v/>
      </c>
      <c r="C939" s="321"/>
      <c r="D939" s="607">
        <f t="shared" si="265"/>
        <v>0</v>
      </c>
      <c r="E939" s="349">
        <f t="shared" si="266"/>
        <v>0</v>
      </c>
      <c r="F939" s="350">
        <f t="shared" si="267"/>
        <v>0</v>
      </c>
      <c r="G939" s="347">
        <f t="shared" si="268"/>
        <v>0</v>
      </c>
    </row>
    <row r="940" spans="1:7" ht="18.95" customHeight="1" x14ac:dyDescent="0.2">
      <c r="A940" s="348" t="str">
        <f t="shared" si="263"/>
        <v/>
      </c>
      <c r="B940" s="290" t="str">
        <f t="shared" si="264"/>
        <v/>
      </c>
      <c r="C940" s="321"/>
      <c r="D940" s="607">
        <f t="shared" si="265"/>
        <v>0</v>
      </c>
      <c r="E940" s="349">
        <f>D940*$E$21</f>
        <v>0</v>
      </c>
      <c r="F940" s="350">
        <f t="shared" si="267"/>
        <v>0</v>
      </c>
      <c r="G940" s="347">
        <f t="shared" si="268"/>
        <v>0</v>
      </c>
    </row>
    <row r="941" spans="1:7" ht="18.95" customHeight="1" x14ac:dyDescent="0.2">
      <c r="A941" s="348" t="str">
        <f t="shared" si="263"/>
        <v/>
      </c>
      <c r="B941" s="290" t="str">
        <f t="shared" si="264"/>
        <v/>
      </c>
      <c r="C941" s="321"/>
      <c r="D941" s="607">
        <f t="shared" si="265"/>
        <v>0</v>
      </c>
      <c r="E941" s="349">
        <f>D941*$E$21</f>
        <v>0</v>
      </c>
      <c r="F941" s="350">
        <f t="shared" si="267"/>
        <v>0</v>
      </c>
      <c r="G941" s="347">
        <f t="shared" si="268"/>
        <v>0</v>
      </c>
    </row>
    <row r="942" spans="1:7" ht="18.95" customHeight="1" x14ac:dyDescent="0.2">
      <c r="A942" s="348" t="str">
        <f t="shared" si="263"/>
        <v/>
      </c>
      <c r="B942" s="290" t="str">
        <f t="shared" si="264"/>
        <v/>
      </c>
      <c r="C942" s="321"/>
      <c r="D942" s="607">
        <f t="shared" si="265"/>
        <v>0</v>
      </c>
      <c r="E942" s="349"/>
      <c r="F942" s="350">
        <f>IF(C942="",0,F941)</f>
        <v>0</v>
      </c>
      <c r="G942" s="347">
        <f t="shared" si="268"/>
        <v>0</v>
      </c>
    </row>
    <row r="943" spans="1:7" ht="18.95" customHeight="1" x14ac:dyDescent="0.2">
      <c r="A943" s="348" t="str">
        <f t="shared" si="263"/>
        <v/>
      </c>
      <c r="B943" s="290" t="str">
        <f t="shared" si="264"/>
        <v/>
      </c>
      <c r="C943" s="321"/>
      <c r="D943" s="607">
        <f t="shared" si="265"/>
        <v>0</v>
      </c>
      <c r="E943" s="349"/>
      <c r="F943" s="350">
        <f t="shared" ref="F943:F944" si="269">IF(C943="",0,F942)</f>
        <v>0</v>
      </c>
      <c r="G943" s="347">
        <f t="shared" si="268"/>
        <v>0</v>
      </c>
    </row>
    <row r="944" spans="1:7" ht="18.95" customHeight="1" x14ac:dyDescent="0.2">
      <c r="A944" s="348" t="str">
        <f t="shared" si="263"/>
        <v/>
      </c>
      <c r="B944" s="290" t="str">
        <f t="shared" si="264"/>
        <v/>
      </c>
      <c r="C944" s="321"/>
      <c r="D944" s="607">
        <f t="shared" si="265"/>
        <v>0</v>
      </c>
      <c r="E944" s="349"/>
      <c r="F944" s="350">
        <f t="shared" si="269"/>
        <v>0</v>
      </c>
      <c r="G944" s="347">
        <f t="shared" si="268"/>
        <v>0</v>
      </c>
    </row>
    <row r="945" spans="1:7" ht="18.95" customHeight="1" x14ac:dyDescent="0.2">
      <c r="A945" s="353"/>
      <c r="B945" s="149"/>
      <c r="C945" s="142"/>
      <c r="D945" s="150"/>
      <c r="E945" s="143"/>
      <c r="F945" s="354" t="s">
        <v>29</v>
      </c>
      <c r="G945" s="355">
        <f>SUBTOTAL(9,G937:G944)</f>
        <v>0</v>
      </c>
    </row>
    <row r="946" spans="1:7" ht="18.95" customHeight="1" x14ac:dyDescent="0.2">
      <c r="A946" s="156"/>
      <c r="B946" s="142"/>
      <c r="C946" s="157" t="s">
        <v>722</v>
      </c>
      <c r="D946" s="150"/>
      <c r="E946" s="327"/>
      <c r="F946" s="327"/>
      <c r="G946" s="342"/>
    </row>
    <row r="947" spans="1:7" ht="18.95" customHeight="1" x14ac:dyDescent="0.2">
      <c r="A947" s="735" t="s">
        <v>582</v>
      </c>
      <c r="B947" s="736"/>
      <c r="C947" s="737" t="s">
        <v>0</v>
      </c>
      <c r="D947" s="739" t="s">
        <v>26</v>
      </c>
      <c r="E947" s="743" t="s">
        <v>1707</v>
      </c>
      <c r="F947" s="741" t="s">
        <v>1040</v>
      </c>
      <c r="G947" s="733" t="s">
        <v>28</v>
      </c>
    </row>
    <row r="948" spans="1:7" ht="18.95" customHeight="1" x14ac:dyDescent="0.2">
      <c r="A948" s="154" t="s">
        <v>583</v>
      </c>
      <c r="B948" s="155" t="s">
        <v>584</v>
      </c>
      <c r="C948" s="738"/>
      <c r="D948" s="740"/>
      <c r="E948" s="742"/>
      <c r="F948" s="742"/>
      <c r="G948" s="734"/>
    </row>
    <row r="949" spans="1:7" ht="18.95" customHeight="1" x14ac:dyDescent="0.2">
      <c r="A949" s="348" t="str">
        <f t="shared" ref="A949:A954" si="270">IFERROR(VLOOKUP(C949,Tabla_Insumos,4,FALSE),"")</f>
        <v/>
      </c>
      <c r="B949" s="290" t="str">
        <f t="shared" ref="B949:B954" si="271">IFERROR(VLOOKUP(C949,Tabla_Insumos,5,FALSE),"")</f>
        <v/>
      </c>
      <c r="C949" s="291"/>
      <c r="D949" s="293"/>
      <c r="E949" s="346">
        <f t="shared" ref="E949:E954" si="272">IFERROR(VLOOKUP(C949,Tabla_Insumos,3,FALSE),0)</f>
        <v>0</v>
      </c>
      <c r="F949" s="349">
        <f>IF(C949="",0,D932)</f>
        <v>0</v>
      </c>
      <c r="G949" s="347">
        <f t="shared" ref="G949:G954" si="273">IFERROR(ROUND(D949*E949/F949,2),0)</f>
        <v>0</v>
      </c>
    </row>
    <row r="950" spans="1:7" ht="18.95" customHeight="1" x14ac:dyDescent="0.2">
      <c r="A950" s="348" t="str">
        <f t="shared" si="270"/>
        <v/>
      </c>
      <c r="B950" s="290" t="str">
        <f t="shared" si="271"/>
        <v/>
      </c>
      <c r="C950" s="290"/>
      <c r="D950" s="293"/>
      <c r="E950" s="346">
        <f t="shared" si="272"/>
        <v>0</v>
      </c>
      <c r="F950" s="349">
        <f>IF(C950="",0,F949)</f>
        <v>0</v>
      </c>
      <c r="G950" s="347">
        <f t="shared" si="273"/>
        <v>0</v>
      </c>
    </row>
    <row r="951" spans="1:7" ht="18.95" customHeight="1" x14ac:dyDescent="0.2">
      <c r="A951" s="348" t="str">
        <f t="shared" si="270"/>
        <v/>
      </c>
      <c r="B951" s="290" t="str">
        <f t="shared" si="271"/>
        <v/>
      </c>
      <c r="C951" s="290"/>
      <c r="D951" s="293"/>
      <c r="E951" s="346">
        <f t="shared" si="272"/>
        <v>0</v>
      </c>
      <c r="F951" s="349">
        <f>IF(C951="",0,F950)</f>
        <v>0</v>
      </c>
      <c r="G951" s="347">
        <f t="shared" si="273"/>
        <v>0</v>
      </c>
    </row>
    <row r="952" spans="1:7" ht="18.95" customHeight="1" x14ac:dyDescent="0.2">
      <c r="A952" s="348" t="str">
        <f t="shared" si="270"/>
        <v/>
      </c>
      <c r="B952" s="290" t="str">
        <f t="shared" si="271"/>
        <v/>
      </c>
      <c r="C952" s="290"/>
      <c r="D952" s="293"/>
      <c r="E952" s="346">
        <f t="shared" si="272"/>
        <v>0</v>
      </c>
      <c r="F952" s="349">
        <f>IF(C952="",0,F951)</f>
        <v>0</v>
      </c>
      <c r="G952" s="347">
        <f t="shared" si="273"/>
        <v>0</v>
      </c>
    </row>
    <row r="953" spans="1:7" ht="18.95" customHeight="1" x14ac:dyDescent="0.2">
      <c r="A953" s="348" t="str">
        <f t="shared" si="270"/>
        <v/>
      </c>
      <c r="B953" s="290" t="str">
        <f t="shared" si="271"/>
        <v/>
      </c>
      <c r="C953" s="290"/>
      <c r="D953" s="351"/>
      <c r="E953" s="346">
        <f t="shared" si="272"/>
        <v>0</v>
      </c>
      <c r="F953" s="349">
        <f>IF(C953="",0,F952)</f>
        <v>0</v>
      </c>
      <c r="G953" s="347">
        <f t="shared" si="273"/>
        <v>0</v>
      </c>
    </row>
    <row r="954" spans="1:7" ht="18.95" customHeight="1" x14ac:dyDescent="0.2">
      <c r="A954" s="348" t="str">
        <f t="shared" si="270"/>
        <v/>
      </c>
      <c r="B954" s="290" t="str">
        <f t="shared" si="271"/>
        <v/>
      </c>
      <c r="C954" s="290"/>
      <c r="D954" s="293"/>
      <c r="E954" s="346">
        <f t="shared" si="272"/>
        <v>0</v>
      </c>
      <c r="F954" s="349">
        <f>IF(C954="",0,F953)</f>
        <v>0</v>
      </c>
      <c r="G954" s="347">
        <f t="shared" si="273"/>
        <v>0</v>
      </c>
    </row>
    <row r="955" spans="1:7" ht="18.95" customHeight="1" x14ac:dyDescent="0.2">
      <c r="A955" s="353"/>
      <c r="B955" s="149"/>
      <c r="C955" s="142"/>
      <c r="D955" s="150"/>
      <c r="E955" s="143"/>
      <c r="F955" s="356" t="s">
        <v>30</v>
      </c>
      <c r="G955" s="355">
        <f>SUBTOTAL(9,G949:G954)</f>
        <v>0</v>
      </c>
    </row>
    <row r="956" spans="1:7" ht="18.95" customHeight="1" x14ac:dyDescent="0.2">
      <c r="A956" s="156"/>
      <c r="B956" s="142"/>
      <c r="C956" s="157" t="s">
        <v>1047</v>
      </c>
      <c r="D956" s="150"/>
      <c r="E956" s="327"/>
      <c r="F956" s="327"/>
      <c r="G956" s="342"/>
    </row>
    <row r="957" spans="1:7" ht="18.95" customHeight="1" x14ac:dyDescent="0.2">
      <c r="A957" s="735" t="s">
        <v>582</v>
      </c>
      <c r="B957" s="736"/>
      <c r="C957" s="737" t="s">
        <v>0</v>
      </c>
      <c r="D957" s="737" t="s">
        <v>1655</v>
      </c>
      <c r="E957" s="737" t="s">
        <v>26</v>
      </c>
      <c r="F957" s="737" t="s">
        <v>27</v>
      </c>
      <c r="G957" s="733" t="s">
        <v>28</v>
      </c>
    </row>
    <row r="958" spans="1:7" ht="18.95" customHeight="1" x14ac:dyDescent="0.2">
      <c r="A958" s="154" t="s">
        <v>583</v>
      </c>
      <c r="B958" s="155" t="s">
        <v>584</v>
      </c>
      <c r="C958" s="738"/>
      <c r="D958" s="738"/>
      <c r="E958" s="738"/>
      <c r="F958" s="738"/>
      <c r="G958" s="734"/>
    </row>
    <row r="959" spans="1:7" ht="18.95" customHeight="1" x14ac:dyDescent="0.2">
      <c r="A959" s="348" t="str">
        <f t="shared" ref="A959:A970" si="274">IFERROR(VLOOKUP(C959,Tabla_Insumos,4,FALSE),"")</f>
        <v/>
      </c>
      <c r="B959" s="290" t="str">
        <f t="shared" ref="B959:B970" si="275">IFERROR(VLOOKUP(C959,Tabla_Insumos,5,FALSE),"")</f>
        <v/>
      </c>
      <c r="C959" s="290"/>
      <c r="D959" s="608">
        <f t="shared" ref="D959:D970" si="276">IFERROR(VLOOKUP(C959,Tabla_Insumos,2,FALSE),0)</f>
        <v>0</v>
      </c>
      <c r="E959" s="293"/>
      <c r="F959" s="346">
        <f t="shared" ref="F959:F970" si="277">IFERROR(VLOOKUP(C959,Tabla_Insumos,3,FALSE),0)</f>
        <v>0</v>
      </c>
      <c r="G959" s="347">
        <f t="shared" ref="G959:G970" si="278">ROUND(E959*F959,2)</f>
        <v>0</v>
      </c>
    </row>
    <row r="960" spans="1:7" ht="18.95" customHeight="1" x14ac:dyDescent="0.2">
      <c r="A960" s="348" t="str">
        <f t="shared" si="274"/>
        <v/>
      </c>
      <c r="B960" s="290" t="str">
        <f t="shared" si="275"/>
        <v/>
      </c>
      <c r="C960" s="126"/>
      <c r="D960" s="608">
        <f t="shared" si="276"/>
        <v>0</v>
      </c>
      <c r="E960" s="293"/>
      <c r="F960" s="346">
        <f t="shared" si="277"/>
        <v>0</v>
      </c>
      <c r="G960" s="347">
        <f t="shared" si="278"/>
        <v>0</v>
      </c>
    </row>
    <row r="961" spans="1:7" ht="18.95" customHeight="1" x14ac:dyDescent="0.2">
      <c r="A961" s="348" t="str">
        <f t="shared" si="274"/>
        <v/>
      </c>
      <c r="B961" s="290" t="str">
        <f t="shared" si="275"/>
        <v/>
      </c>
      <c r="C961" s="290"/>
      <c r="D961" s="608">
        <f t="shared" si="276"/>
        <v>0</v>
      </c>
      <c r="E961" s="293"/>
      <c r="F961" s="346">
        <f t="shared" si="277"/>
        <v>0</v>
      </c>
      <c r="G961" s="347">
        <f t="shared" si="278"/>
        <v>0</v>
      </c>
    </row>
    <row r="962" spans="1:7" ht="18.95" customHeight="1" x14ac:dyDescent="0.2">
      <c r="A962" s="348" t="str">
        <f t="shared" si="274"/>
        <v/>
      </c>
      <c r="B962" s="290" t="str">
        <f t="shared" si="275"/>
        <v/>
      </c>
      <c r="C962" s="290"/>
      <c r="D962" s="608">
        <f t="shared" si="276"/>
        <v>0</v>
      </c>
      <c r="E962" s="293"/>
      <c r="F962" s="346">
        <f t="shared" si="277"/>
        <v>0</v>
      </c>
      <c r="G962" s="347">
        <f t="shared" si="278"/>
        <v>0</v>
      </c>
    </row>
    <row r="963" spans="1:7" ht="18.95" customHeight="1" x14ac:dyDescent="0.2">
      <c r="A963" s="348" t="str">
        <f t="shared" si="274"/>
        <v/>
      </c>
      <c r="B963" s="290" t="str">
        <f t="shared" si="275"/>
        <v/>
      </c>
      <c r="C963" s="290"/>
      <c r="D963" s="608">
        <f t="shared" si="276"/>
        <v>0</v>
      </c>
      <c r="E963" s="293"/>
      <c r="F963" s="346">
        <f t="shared" si="277"/>
        <v>0</v>
      </c>
      <c r="G963" s="347">
        <f t="shared" si="278"/>
        <v>0</v>
      </c>
    </row>
    <row r="964" spans="1:7" ht="18.95" customHeight="1" x14ac:dyDescent="0.2">
      <c r="A964" s="348" t="str">
        <f t="shared" si="274"/>
        <v/>
      </c>
      <c r="B964" s="290" t="str">
        <f t="shared" si="275"/>
        <v/>
      </c>
      <c r="C964" s="290"/>
      <c r="D964" s="608">
        <f t="shared" si="276"/>
        <v>0</v>
      </c>
      <c r="E964" s="293"/>
      <c r="F964" s="346">
        <f t="shared" si="277"/>
        <v>0</v>
      </c>
      <c r="G964" s="347">
        <f t="shared" si="278"/>
        <v>0</v>
      </c>
    </row>
    <row r="965" spans="1:7" ht="18.95" customHeight="1" x14ac:dyDescent="0.2">
      <c r="A965" s="348" t="str">
        <f t="shared" si="274"/>
        <v/>
      </c>
      <c r="B965" s="290" t="str">
        <f t="shared" si="275"/>
        <v/>
      </c>
      <c r="C965" s="290"/>
      <c r="D965" s="608">
        <f t="shared" si="276"/>
        <v>0</v>
      </c>
      <c r="E965" s="293"/>
      <c r="F965" s="346">
        <f t="shared" si="277"/>
        <v>0</v>
      </c>
      <c r="G965" s="347">
        <f t="shared" si="278"/>
        <v>0</v>
      </c>
    </row>
    <row r="966" spans="1:7" s="295" customFormat="1" ht="18.95" customHeight="1" x14ac:dyDescent="0.2">
      <c r="A966" s="348" t="str">
        <f t="shared" si="274"/>
        <v/>
      </c>
      <c r="B966" s="290" t="str">
        <f t="shared" si="275"/>
        <v/>
      </c>
      <c r="C966" s="290"/>
      <c r="D966" s="608">
        <f t="shared" si="276"/>
        <v>0</v>
      </c>
      <c r="E966" s="323"/>
      <c r="F966" s="346">
        <f t="shared" si="277"/>
        <v>0</v>
      </c>
      <c r="G966" s="347">
        <f t="shared" si="278"/>
        <v>0</v>
      </c>
    </row>
    <row r="967" spans="1:7" ht="18.95" customHeight="1" x14ac:dyDescent="0.2">
      <c r="A967" s="348" t="str">
        <f t="shared" si="274"/>
        <v/>
      </c>
      <c r="B967" s="290" t="str">
        <f t="shared" si="275"/>
        <v/>
      </c>
      <c r="C967" s="290"/>
      <c r="D967" s="608">
        <f t="shared" si="276"/>
        <v>0</v>
      </c>
      <c r="E967" s="293"/>
      <c r="F967" s="346">
        <f t="shared" si="277"/>
        <v>0</v>
      </c>
      <c r="G967" s="347">
        <f t="shared" si="278"/>
        <v>0</v>
      </c>
    </row>
    <row r="968" spans="1:7" ht="18.95" customHeight="1" x14ac:dyDescent="0.2">
      <c r="A968" s="348" t="str">
        <f t="shared" si="274"/>
        <v/>
      </c>
      <c r="B968" s="290" t="str">
        <f t="shared" si="275"/>
        <v/>
      </c>
      <c r="C968" s="290"/>
      <c r="D968" s="608">
        <f t="shared" si="276"/>
        <v>0</v>
      </c>
      <c r="E968" s="293"/>
      <c r="F968" s="346">
        <f t="shared" si="277"/>
        <v>0</v>
      </c>
      <c r="G968" s="347">
        <f t="shared" si="278"/>
        <v>0</v>
      </c>
    </row>
    <row r="969" spans="1:7" ht="18.95" customHeight="1" x14ac:dyDescent="0.2">
      <c r="A969" s="348" t="str">
        <f t="shared" si="274"/>
        <v/>
      </c>
      <c r="B969" s="290" t="str">
        <f t="shared" si="275"/>
        <v/>
      </c>
      <c r="C969" s="290"/>
      <c r="D969" s="608">
        <f t="shared" si="276"/>
        <v>0</v>
      </c>
      <c r="E969" s="293"/>
      <c r="F969" s="346">
        <f t="shared" si="277"/>
        <v>0</v>
      </c>
      <c r="G969" s="347">
        <f t="shared" si="278"/>
        <v>0</v>
      </c>
    </row>
    <row r="970" spans="1:7" ht="18.95" customHeight="1" x14ac:dyDescent="0.2">
      <c r="A970" s="348" t="str">
        <f t="shared" si="274"/>
        <v/>
      </c>
      <c r="B970" s="290" t="str">
        <f t="shared" si="275"/>
        <v/>
      </c>
      <c r="C970" s="290"/>
      <c r="D970" s="608">
        <f t="shared" si="276"/>
        <v>0</v>
      </c>
      <c r="E970" s="293"/>
      <c r="F970" s="346">
        <f t="shared" si="277"/>
        <v>0</v>
      </c>
      <c r="G970" s="347">
        <f t="shared" si="278"/>
        <v>0</v>
      </c>
    </row>
    <row r="971" spans="1:7" ht="18.95" customHeight="1" x14ac:dyDescent="0.2">
      <c r="A971" s="156"/>
      <c r="B971" s="142"/>
      <c r="C971" s="142"/>
      <c r="D971" s="150"/>
      <c r="E971" s="143"/>
      <c r="F971" s="356" t="s">
        <v>31</v>
      </c>
      <c r="G971" s="355">
        <f>SUBTOTAL(9,G959:G970)</f>
        <v>0</v>
      </c>
    </row>
    <row r="972" spans="1:7" ht="18.95" customHeight="1" x14ac:dyDescent="0.2">
      <c r="A972" s="156"/>
      <c r="B972" s="142"/>
      <c r="C972" s="157" t="s">
        <v>1048</v>
      </c>
      <c r="D972" s="150"/>
      <c r="E972" s="327"/>
      <c r="F972" s="327"/>
      <c r="G972" s="342"/>
    </row>
    <row r="973" spans="1:7" ht="18.95" customHeight="1" x14ac:dyDescent="0.2">
      <c r="A973" s="735" t="s">
        <v>582</v>
      </c>
      <c r="B973" s="736"/>
      <c r="C973" s="737" t="s">
        <v>0</v>
      </c>
      <c r="D973" s="739" t="s">
        <v>1750</v>
      </c>
      <c r="E973" s="741" t="s">
        <v>26</v>
      </c>
      <c r="F973" s="741" t="s">
        <v>27</v>
      </c>
      <c r="G973" s="733" t="s">
        <v>28</v>
      </c>
    </row>
    <row r="974" spans="1:7" ht="18.95" customHeight="1" x14ac:dyDescent="0.2">
      <c r="A974" s="154" t="s">
        <v>583</v>
      </c>
      <c r="B974" s="155" t="s">
        <v>584</v>
      </c>
      <c r="C974" s="738"/>
      <c r="D974" s="740"/>
      <c r="E974" s="742"/>
      <c r="F974" s="742"/>
      <c r="G974" s="734"/>
    </row>
    <row r="975" spans="1:7" ht="18.95" customHeight="1" x14ac:dyDescent="0.2">
      <c r="A975" s="348" t="str">
        <f>IFERROR(VLOOKUP(C975,Tabla_Insumos,4,FALSE),"")</f>
        <v/>
      </c>
      <c r="B975" s="290" t="s">
        <v>4</v>
      </c>
      <c r="C975" s="290"/>
      <c r="D975" s="293"/>
      <c r="E975" s="322"/>
      <c r="F975" s="324"/>
      <c r="G975" s="347">
        <f t="shared" ref="G975" si="279">ROUND(E975*F975,2)</f>
        <v>0</v>
      </c>
    </row>
    <row r="976" spans="1:7" ht="18.95" customHeight="1" x14ac:dyDescent="0.2">
      <c r="A976" s="156"/>
      <c r="B976" s="142"/>
      <c r="C976" s="142"/>
      <c r="D976" s="150"/>
      <c r="E976" s="143"/>
      <c r="F976" s="356" t="s">
        <v>1049</v>
      </c>
      <c r="G976" s="355">
        <f>SUBTOTAL(9,G975:G975)</f>
        <v>0</v>
      </c>
    </row>
    <row r="977" spans="1:8" ht="18.95" customHeight="1" thickBot="1" x14ac:dyDescent="0.25">
      <c r="A977" s="158"/>
      <c r="B977" s="159"/>
      <c r="C977" s="160"/>
      <c r="D977" s="161"/>
      <c r="E977" s="357"/>
      <c r="F977" s="357"/>
      <c r="G977" s="358"/>
    </row>
    <row r="978" spans="1:8" ht="18.95" customHeight="1" x14ac:dyDescent="0.2">
      <c r="A978" s="359">
        <f>B917</f>
        <v>14</v>
      </c>
      <c r="B978" s="360" t="str">
        <f>C917</f>
        <v>HORMIGÓN DE CEMENTO PORTLAND TIPO H-8</v>
      </c>
      <c r="C978" s="361"/>
      <c r="D978" s="361"/>
      <c r="E978" s="361" t="s">
        <v>1050</v>
      </c>
      <c r="F978" s="362" t="str">
        <f>CONCATENATE("$/",G917)</f>
        <v>$/m3</v>
      </c>
      <c r="G978" s="363">
        <f>SUBTOTAL(9,G937:G977)</f>
        <v>0</v>
      </c>
    </row>
    <row r="979" spans="1:8" ht="18.95" customHeight="1" thickBot="1" x14ac:dyDescent="0.25">
      <c r="A979" s="364"/>
      <c r="B979" s="365"/>
      <c r="C979" s="365"/>
      <c r="D979" s="365"/>
      <c r="E979" s="366" t="s">
        <v>1051</v>
      </c>
      <c r="F979" s="367" t="str">
        <f>CONCATENATE("$/",G917)</f>
        <v>$/m3</v>
      </c>
      <c r="G979" s="368" t="e">
        <f ca="1">PrecioUnitario(G978,GG_Porcentaje,Beneficio,Ingresos_Brutos,IVA)</f>
        <v>#NAME?</v>
      </c>
    </row>
    <row r="980" spans="1:8" ht="18.95" customHeight="1" thickTop="1" thickBot="1" x14ac:dyDescent="0.25">
      <c r="F980" s="294"/>
      <c r="G980" s="294"/>
    </row>
    <row r="981" spans="1:8" ht="18.95" customHeight="1" thickTop="1" x14ac:dyDescent="0.2">
      <c r="A981" s="194" t="s">
        <v>33</v>
      </c>
      <c r="B981" s="195"/>
      <c r="C981" s="195"/>
      <c r="D981" s="195"/>
      <c r="E981" s="195"/>
      <c r="F981" s="195"/>
      <c r="G981" s="196"/>
      <c r="H981" s="143">
        <f>COUNTIF($A$1:A987,"ANALISIS DE PRECIOS")</f>
        <v>15</v>
      </c>
    </row>
    <row r="982" spans="1:8" ht="18.95" customHeight="1" x14ac:dyDescent="0.2">
      <c r="A982" s="144" t="s">
        <v>720</v>
      </c>
      <c r="B982" s="145" t="str">
        <f>Comitente</f>
        <v>DIRECCIÓN PROVINCIAL DE VIALIDAD</v>
      </c>
      <c r="C982" s="139"/>
      <c r="D982" s="146"/>
      <c r="E982" s="325"/>
      <c r="F982" s="325"/>
      <c r="G982" s="326"/>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PAVIMENTACION Y ENSANCHE DE RUTA PROVINCIAL N°7 AV. JOAQUIN UÑAC</v>
      </c>
      <c r="C984" s="140"/>
      <c r="D984" s="140"/>
      <c r="E984" s="143"/>
      <c r="F984" s="145" t="s">
        <v>34</v>
      </c>
      <c r="G984" s="147">
        <f>Fecha_Base</f>
        <v>43444</v>
      </c>
      <c r="H984" s="143"/>
    </row>
    <row r="985" spans="1:8" ht="18.95" customHeight="1" x14ac:dyDescent="0.2">
      <c r="A985" s="148" t="s">
        <v>719</v>
      </c>
      <c r="B985" s="141" t="str">
        <f>Ubicación</f>
        <v>DEPARTAMENTO POCITO</v>
      </c>
      <c r="C985" s="141"/>
      <c r="D985" s="150"/>
      <c r="E985" s="143"/>
      <c r="F985" s="327"/>
      <c r="G985" s="328"/>
      <c r="H985" s="143"/>
    </row>
    <row r="986" spans="1:8" ht="18.95" customHeight="1" x14ac:dyDescent="0.2">
      <c r="A986" s="148" t="s">
        <v>35</v>
      </c>
      <c r="B986" s="151" t="str">
        <f>IFERROR(VALUE(LEFT(B987,FIND("-",B987)-1)),"")</f>
        <v/>
      </c>
      <c r="C986" s="142" t="str">
        <f>IFERROR(VLOOKUP(B986,Tabla_CyP,2,FALSE),"")</f>
        <v/>
      </c>
      <c r="D986" s="150"/>
      <c r="E986" s="143"/>
      <c r="F986" s="327"/>
      <c r="G986" s="328"/>
      <c r="H986" s="143"/>
    </row>
    <row r="987" spans="1:8" ht="18.95" customHeight="1" x14ac:dyDescent="0.2">
      <c r="A987" s="148" t="s">
        <v>24</v>
      </c>
      <c r="B987" s="152">
        <f>IFERROR(VLOOKUP(COUNTIF($A$1:A987,"ANALISIS DE PRECIOS"),Tabla_NumeroItem,4,FALSE),"")</f>
        <v>15</v>
      </c>
      <c r="C987" s="745" t="str">
        <f>IFERROR(VLOOKUP(B987,Tabla_CyP,2,FALSE),"")</f>
        <v>CONSTRUCCIÓN DE SIFÓN</v>
      </c>
      <c r="D987" s="745"/>
      <c r="E987" s="745"/>
      <c r="F987" s="141" t="s">
        <v>25</v>
      </c>
      <c r="G987" s="153" t="str">
        <f>IFERROR(VLOOKUP(B987,Tabla_CyP,4,FALSE),"")</f>
        <v>Un</v>
      </c>
      <c r="H987" s="143"/>
    </row>
    <row r="988" spans="1:8" ht="18.95" customHeight="1" x14ac:dyDescent="0.2">
      <c r="A988" s="148"/>
      <c r="B988" s="141"/>
      <c r="C988" s="142"/>
      <c r="D988" s="150"/>
      <c r="E988" s="142"/>
      <c r="F988" s="142"/>
      <c r="G988" s="329"/>
      <c r="H988" s="143"/>
    </row>
    <row r="989" spans="1:8" ht="18.95" customHeight="1" x14ac:dyDescent="0.2">
      <c r="A989" s="330"/>
      <c r="B989" s="331"/>
      <c r="C989" s="332" t="s">
        <v>1032</v>
      </c>
      <c r="D989" s="331"/>
      <c r="E989" s="331"/>
      <c r="F989" s="331"/>
      <c r="G989" s="333"/>
      <c r="H989" s="143"/>
    </row>
    <row r="990" spans="1:8" ht="18.95" customHeight="1" x14ac:dyDescent="0.2">
      <c r="A990" s="148"/>
      <c r="B990" s="334"/>
      <c r="C990" s="335" t="s">
        <v>1033</v>
      </c>
      <c r="D990" s="336" t="s">
        <v>26</v>
      </c>
      <c r="E990" s="336" t="s">
        <v>1034</v>
      </c>
      <c r="F990" s="336" t="s">
        <v>1035</v>
      </c>
      <c r="G990" s="337" t="s">
        <v>1036</v>
      </c>
      <c r="H990" s="143"/>
    </row>
    <row r="991" spans="1:8" ht="18.95" customHeight="1" x14ac:dyDescent="0.2">
      <c r="A991" s="343"/>
      <c r="B991" s="344"/>
      <c r="C991" s="290"/>
      <c r="D991" s="293"/>
      <c r="E991" s="345"/>
      <c r="F991" s="346"/>
      <c r="G991" s="347">
        <f t="shared" ref="G991:G1000" si="280">ROUND(D991*F991,2)</f>
        <v>0</v>
      </c>
    </row>
    <row r="992" spans="1:8" ht="18.95" customHeight="1" x14ac:dyDescent="0.2">
      <c r="A992" s="343"/>
      <c r="B992" s="344"/>
      <c r="C992" s="290"/>
      <c r="D992" s="293"/>
      <c r="E992" s="345"/>
      <c r="F992" s="346"/>
      <c r="G992" s="347">
        <f t="shared" si="280"/>
        <v>0</v>
      </c>
    </row>
    <row r="993" spans="1:7" ht="18.95" customHeight="1" x14ac:dyDescent="0.2">
      <c r="A993" s="343"/>
      <c r="B993" s="344"/>
      <c r="C993" s="290"/>
      <c r="D993" s="293"/>
      <c r="E993" s="345">
        <f t="shared" ref="E993:E1000" si="281">IFERROR(VLOOKUP(C993,T_Equipos,4,FALSE),0)</f>
        <v>0</v>
      </c>
      <c r="F993" s="346">
        <f t="shared" ref="F993:F1000" si="282">IFERROR(VLOOKUP(C993,T_Equipos,11,FALSE),0)</f>
        <v>0</v>
      </c>
      <c r="G993" s="347">
        <f t="shared" si="280"/>
        <v>0</v>
      </c>
    </row>
    <row r="994" spans="1:7" ht="18.95" customHeight="1" x14ac:dyDescent="0.2">
      <c r="A994" s="343"/>
      <c r="B994" s="344"/>
      <c r="C994" s="290"/>
      <c r="D994" s="293"/>
      <c r="E994" s="345">
        <f t="shared" si="281"/>
        <v>0</v>
      </c>
      <c r="F994" s="346">
        <f t="shared" si="282"/>
        <v>0</v>
      </c>
      <c r="G994" s="347">
        <f t="shared" si="280"/>
        <v>0</v>
      </c>
    </row>
    <row r="995" spans="1:7" ht="18.95" customHeight="1" x14ac:dyDescent="0.2">
      <c r="A995" s="343"/>
      <c r="B995" s="344"/>
      <c r="C995" s="290"/>
      <c r="D995" s="293"/>
      <c r="E995" s="345">
        <f t="shared" si="281"/>
        <v>0</v>
      </c>
      <c r="F995" s="346">
        <f t="shared" si="282"/>
        <v>0</v>
      </c>
      <c r="G995" s="347">
        <f t="shared" si="280"/>
        <v>0</v>
      </c>
    </row>
    <row r="996" spans="1:7" ht="18.95" customHeight="1" x14ac:dyDescent="0.2">
      <c r="A996" s="343"/>
      <c r="B996" s="344"/>
      <c r="C996" s="290"/>
      <c r="D996" s="293"/>
      <c r="E996" s="345">
        <f t="shared" si="281"/>
        <v>0</v>
      </c>
      <c r="F996" s="346">
        <f t="shared" si="282"/>
        <v>0</v>
      </c>
      <c r="G996" s="347">
        <f t="shared" si="280"/>
        <v>0</v>
      </c>
    </row>
    <row r="997" spans="1:7" ht="18.95" customHeight="1" x14ac:dyDescent="0.2">
      <c r="A997" s="343"/>
      <c r="B997" s="344"/>
      <c r="C997" s="290"/>
      <c r="D997" s="293"/>
      <c r="E997" s="345">
        <f t="shared" si="281"/>
        <v>0</v>
      </c>
      <c r="F997" s="346">
        <f t="shared" si="282"/>
        <v>0</v>
      </c>
      <c r="G997" s="347">
        <f t="shared" si="280"/>
        <v>0</v>
      </c>
    </row>
    <row r="998" spans="1:7" ht="18.95" customHeight="1" x14ac:dyDescent="0.2">
      <c r="A998" s="343"/>
      <c r="B998" s="344"/>
      <c r="C998" s="290"/>
      <c r="D998" s="293"/>
      <c r="E998" s="345">
        <f t="shared" si="281"/>
        <v>0</v>
      </c>
      <c r="F998" s="346">
        <f t="shared" si="282"/>
        <v>0</v>
      </c>
      <c r="G998" s="347">
        <f t="shared" si="280"/>
        <v>0</v>
      </c>
    </row>
    <row r="999" spans="1:7" ht="18.95" customHeight="1" x14ac:dyDescent="0.2">
      <c r="A999" s="343"/>
      <c r="B999" s="344"/>
      <c r="C999" s="290"/>
      <c r="D999" s="293"/>
      <c r="E999" s="345">
        <f t="shared" si="281"/>
        <v>0</v>
      </c>
      <c r="F999" s="346">
        <f t="shared" si="282"/>
        <v>0</v>
      </c>
      <c r="G999" s="347">
        <f t="shared" si="280"/>
        <v>0</v>
      </c>
    </row>
    <row r="1000" spans="1:7" ht="18.95" customHeight="1" thickBot="1" x14ac:dyDescent="0.25">
      <c r="A1000" s="343"/>
      <c r="B1000" s="344"/>
      <c r="C1000" s="290"/>
      <c r="D1000" s="293"/>
      <c r="E1000" s="345">
        <f t="shared" si="281"/>
        <v>0</v>
      </c>
      <c r="F1000" s="346">
        <f t="shared" si="282"/>
        <v>0</v>
      </c>
      <c r="G1000" s="347">
        <f t="shared" si="280"/>
        <v>0</v>
      </c>
    </row>
    <row r="1001" spans="1:7" ht="18.95" customHeight="1" thickBot="1" x14ac:dyDescent="0.25">
      <c r="A1001" s="148"/>
      <c r="B1001" s="334"/>
      <c r="C1001" s="143"/>
      <c r="D1001" s="146" t="s">
        <v>1037</v>
      </c>
      <c r="E1001" s="338">
        <f>SUMPRODUCT(D991:D1000,E991:E1000)</f>
        <v>0</v>
      </c>
      <c r="F1001" s="141" t="s">
        <v>1038</v>
      </c>
      <c r="G1001" s="339">
        <f>SUM(G991:G1000)</f>
        <v>0</v>
      </c>
    </row>
    <row r="1002" spans="1:7" ht="18.95" customHeight="1" x14ac:dyDescent="0.2">
      <c r="A1002" s="148"/>
      <c r="B1002" s="334"/>
      <c r="C1002" s="141" t="s">
        <v>1039</v>
      </c>
      <c r="D1002" s="320"/>
      <c r="E1002" s="340" t="str">
        <f>CONCATENATE(G987,"/día")</f>
        <v>Un/día</v>
      </c>
      <c r="F1002" s="141"/>
      <c r="G1002" s="341"/>
    </row>
    <row r="1003" spans="1:7" ht="18.95" customHeight="1" x14ac:dyDescent="0.2">
      <c r="A1003" s="148"/>
      <c r="B1003" s="334"/>
      <c r="C1003" s="142"/>
      <c r="D1003" s="150"/>
      <c r="E1003" s="141"/>
      <c r="F1003" s="141"/>
      <c r="G1003" s="341"/>
    </row>
    <row r="1004" spans="1:7" ht="18.95" customHeight="1" x14ac:dyDescent="0.2">
      <c r="A1004" s="735" t="s">
        <v>582</v>
      </c>
      <c r="B1004" s="736"/>
      <c r="C1004" s="737" t="s">
        <v>0</v>
      </c>
      <c r="D1004" s="743" t="s">
        <v>1053</v>
      </c>
      <c r="E1004" s="743" t="s">
        <v>1706</v>
      </c>
      <c r="F1004" s="743" t="s">
        <v>1054</v>
      </c>
      <c r="G1004" s="743" t="s">
        <v>1055</v>
      </c>
    </row>
    <row r="1005" spans="1:7" ht="18.95" customHeight="1" x14ac:dyDescent="0.2">
      <c r="A1005" s="154" t="s">
        <v>583</v>
      </c>
      <c r="B1005" s="155" t="s">
        <v>584</v>
      </c>
      <c r="C1005" s="738"/>
      <c r="D1005" s="742"/>
      <c r="E1005" s="742"/>
      <c r="F1005" s="744"/>
      <c r="G1005" s="742"/>
    </row>
    <row r="1006" spans="1:7" ht="18.95" customHeight="1" x14ac:dyDescent="0.2">
      <c r="A1006" s="156"/>
      <c r="B1006" s="142"/>
      <c r="C1006" s="157" t="s">
        <v>1041</v>
      </c>
      <c r="D1006" s="150"/>
      <c r="E1006" s="142"/>
      <c r="F1006" s="142"/>
      <c r="G1006" s="342"/>
    </row>
    <row r="1007" spans="1:7" ht="18.95" customHeight="1" x14ac:dyDescent="0.2">
      <c r="A1007" s="348" t="str">
        <f t="shared" ref="A1007:A1014" si="283">IFERROR(VLOOKUP(C1007,Tabla_Insumos,4,FALSE),"")</f>
        <v/>
      </c>
      <c r="B1007" s="290" t="str">
        <f t="shared" ref="B1007:B1014" si="284">IFERROR(VLOOKUP(C1007,Tabla_Insumos,5,FALSE),"")</f>
        <v/>
      </c>
      <c r="C1007" s="290"/>
      <c r="D1007" s="607">
        <f t="shared" ref="D1007:D1014" si="285">IFERROR(VLOOKUP(C1007,Tabla_Insumos,3,FALSE),0)</f>
        <v>0</v>
      </c>
      <c r="E1007" s="349">
        <f>D1007*$G$21</f>
        <v>0</v>
      </c>
      <c r="F1007" s="350">
        <f>IF(C1007="",0,D1002)</f>
        <v>0</v>
      </c>
      <c r="G1007" s="347">
        <f>IFERROR(ROUND(E1007/F1007,2),0)</f>
        <v>0</v>
      </c>
    </row>
    <row r="1008" spans="1:7" ht="18.95" customHeight="1" x14ac:dyDescent="0.2">
      <c r="A1008" s="348" t="str">
        <f t="shared" si="283"/>
        <v/>
      </c>
      <c r="B1008" s="290" t="str">
        <f t="shared" si="284"/>
        <v/>
      </c>
      <c r="C1008" s="321"/>
      <c r="D1008" s="607">
        <f t="shared" si="285"/>
        <v>0</v>
      </c>
      <c r="E1008" s="349">
        <f t="shared" ref="E1008:E1009" si="286">D1008*$G$21</f>
        <v>0</v>
      </c>
      <c r="F1008" s="350">
        <f t="shared" ref="F1008:F1011" si="287">IF(C1008="",0,F1007)</f>
        <v>0</v>
      </c>
      <c r="G1008" s="347">
        <f t="shared" ref="G1008:G1014" si="288">IFERROR(ROUND(E1008/F1008,2),0)</f>
        <v>0</v>
      </c>
    </row>
    <row r="1009" spans="1:7" ht="18.95" customHeight="1" x14ac:dyDescent="0.2">
      <c r="A1009" s="348" t="str">
        <f t="shared" si="283"/>
        <v/>
      </c>
      <c r="B1009" s="290" t="str">
        <f t="shared" si="284"/>
        <v/>
      </c>
      <c r="C1009" s="321"/>
      <c r="D1009" s="607">
        <f t="shared" si="285"/>
        <v>0</v>
      </c>
      <c r="E1009" s="349">
        <f t="shared" si="286"/>
        <v>0</v>
      </c>
      <c r="F1009" s="350">
        <f t="shared" si="287"/>
        <v>0</v>
      </c>
      <c r="G1009" s="347">
        <f t="shared" si="288"/>
        <v>0</v>
      </c>
    </row>
    <row r="1010" spans="1:7" ht="18.95" customHeight="1" x14ac:dyDescent="0.2">
      <c r="A1010" s="348" t="str">
        <f t="shared" si="283"/>
        <v/>
      </c>
      <c r="B1010" s="290" t="str">
        <f t="shared" si="284"/>
        <v/>
      </c>
      <c r="C1010" s="321"/>
      <c r="D1010" s="607">
        <f t="shared" si="285"/>
        <v>0</v>
      </c>
      <c r="E1010" s="349">
        <f>D1010*$E$21</f>
        <v>0</v>
      </c>
      <c r="F1010" s="350">
        <f t="shared" si="287"/>
        <v>0</v>
      </c>
      <c r="G1010" s="347">
        <f t="shared" si="288"/>
        <v>0</v>
      </c>
    </row>
    <row r="1011" spans="1:7" ht="18.95" customHeight="1" x14ac:dyDescent="0.2">
      <c r="A1011" s="348" t="str">
        <f t="shared" si="283"/>
        <v/>
      </c>
      <c r="B1011" s="290" t="str">
        <f t="shared" si="284"/>
        <v/>
      </c>
      <c r="C1011" s="321"/>
      <c r="D1011" s="607">
        <f t="shared" si="285"/>
        <v>0</v>
      </c>
      <c r="E1011" s="349">
        <f>D1011*$E$21</f>
        <v>0</v>
      </c>
      <c r="F1011" s="350">
        <f t="shared" si="287"/>
        <v>0</v>
      </c>
      <c r="G1011" s="347">
        <f t="shared" si="288"/>
        <v>0</v>
      </c>
    </row>
    <row r="1012" spans="1:7" ht="18.95" customHeight="1" x14ac:dyDescent="0.2">
      <c r="A1012" s="348" t="str">
        <f t="shared" si="283"/>
        <v/>
      </c>
      <c r="B1012" s="290" t="str">
        <f t="shared" si="284"/>
        <v/>
      </c>
      <c r="C1012" s="321"/>
      <c r="D1012" s="607">
        <f t="shared" si="285"/>
        <v>0</v>
      </c>
      <c r="E1012" s="349"/>
      <c r="F1012" s="350">
        <f>IF(C1012="",0,F1011)</f>
        <v>0</v>
      </c>
      <c r="G1012" s="347">
        <f t="shared" si="288"/>
        <v>0</v>
      </c>
    </row>
    <row r="1013" spans="1:7" ht="18.95" customHeight="1" x14ac:dyDescent="0.2">
      <c r="A1013" s="348" t="str">
        <f t="shared" si="283"/>
        <v/>
      </c>
      <c r="B1013" s="290" t="str">
        <f t="shared" si="284"/>
        <v/>
      </c>
      <c r="C1013" s="321"/>
      <c r="D1013" s="607">
        <f t="shared" si="285"/>
        <v>0</v>
      </c>
      <c r="E1013" s="349"/>
      <c r="F1013" s="350">
        <f t="shared" ref="F1013:F1014" si="289">IF(C1013="",0,F1012)</f>
        <v>0</v>
      </c>
      <c r="G1013" s="347">
        <f t="shared" si="288"/>
        <v>0</v>
      </c>
    </row>
    <row r="1014" spans="1:7" ht="18.95" customHeight="1" x14ac:dyDescent="0.2">
      <c r="A1014" s="348" t="str">
        <f t="shared" si="283"/>
        <v/>
      </c>
      <c r="B1014" s="290" t="str">
        <f t="shared" si="284"/>
        <v/>
      </c>
      <c r="C1014" s="321"/>
      <c r="D1014" s="607">
        <f t="shared" si="285"/>
        <v>0</v>
      </c>
      <c r="E1014" s="349"/>
      <c r="F1014" s="350">
        <f t="shared" si="289"/>
        <v>0</v>
      </c>
      <c r="G1014" s="347">
        <f t="shared" si="288"/>
        <v>0</v>
      </c>
    </row>
    <row r="1015" spans="1:7" ht="18.95" customHeight="1" x14ac:dyDescent="0.2">
      <c r="A1015" s="353"/>
      <c r="B1015" s="149"/>
      <c r="C1015" s="142"/>
      <c r="D1015" s="150"/>
      <c r="E1015" s="143"/>
      <c r="F1015" s="354" t="s">
        <v>29</v>
      </c>
      <c r="G1015" s="355">
        <f>SUBTOTAL(9,G1007:G1014)</f>
        <v>0</v>
      </c>
    </row>
    <row r="1016" spans="1:7" ht="18.95" customHeight="1" x14ac:dyDescent="0.2">
      <c r="A1016" s="156"/>
      <c r="B1016" s="142"/>
      <c r="C1016" s="157" t="s">
        <v>722</v>
      </c>
      <c r="D1016" s="150"/>
      <c r="E1016" s="327"/>
      <c r="F1016" s="327"/>
      <c r="G1016" s="342"/>
    </row>
    <row r="1017" spans="1:7" ht="18.95" customHeight="1" x14ac:dyDescent="0.2">
      <c r="A1017" s="735" t="s">
        <v>582</v>
      </c>
      <c r="B1017" s="736"/>
      <c r="C1017" s="737" t="s">
        <v>0</v>
      </c>
      <c r="D1017" s="739" t="s">
        <v>26</v>
      </c>
      <c r="E1017" s="743" t="s">
        <v>1707</v>
      </c>
      <c r="F1017" s="741" t="s">
        <v>1040</v>
      </c>
      <c r="G1017" s="733" t="s">
        <v>28</v>
      </c>
    </row>
    <row r="1018" spans="1:7" ht="18.95" customHeight="1" x14ac:dyDescent="0.2">
      <c r="A1018" s="154" t="s">
        <v>583</v>
      </c>
      <c r="B1018" s="155" t="s">
        <v>584</v>
      </c>
      <c r="C1018" s="738"/>
      <c r="D1018" s="740"/>
      <c r="E1018" s="742"/>
      <c r="F1018" s="742"/>
      <c r="G1018" s="734"/>
    </row>
    <row r="1019" spans="1:7" ht="18.95" customHeight="1" x14ac:dyDescent="0.2">
      <c r="A1019" s="348" t="str">
        <f t="shared" ref="A1019:A1024" si="290">IFERROR(VLOOKUP(C1019,Tabla_Insumos,4,FALSE),"")</f>
        <v/>
      </c>
      <c r="B1019" s="290" t="str">
        <f t="shared" ref="B1019:B1024" si="291">IFERROR(VLOOKUP(C1019,Tabla_Insumos,5,FALSE),"")</f>
        <v/>
      </c>
      <c r="C1019" s="291"/>
      <c r="D1019" s="293"/>
      <c r="E1019" s="346">
        <f t="shared" ref="E1019:E1024" si="292">IFERROR(VLOOKUP(C1019,Tabla_Insumos,3,FALSE),0)</f>
        <v>0</v>
      </c>
      <c r="F1019" s="349">
        <f>IF(C1019="",0,D1002)</f>
        <v>0</v>
      </c>
      <c r="G1019" s="347">
        <f t="shared" ref="G1019:G1024" si="293">IFERROR(ROUND(D1019*E1019/F1019,2),0)</f>
        <v>0</v>
      </c>
    </row>
    <row r="1020" spans="1:7" ht="18.95" customHeight="1" x14ac:dyDescent="0.2">
      <c r="A1020" s="348" t="str">
        <f t="shared" si="290"/>
        <v/>
      </c>
      <c r="B1020" s="290" t="str">
        <f t="shared" si="291"/>
        <v/>
      </c>
      <c r="C1020" s="290"/>
      <c r="D1020" s="293"/>
      <c r="E1020" s="346">
        <f t="shared" si="292"/>
        <v>0</v>
      </c>
      <c r="F1020" s="349">
        <f>IF(C1020="",0,F1019)</f>
        <v>0</v>
      </c>
      <c r="G1020" s="347">
        <f t="shared" si="293"/>
        <v>0</v>
      </c>
    </row>
    <row r="1021" spans="1:7" ht="18.95" customHeight="1" x14ac:dyDescent="0.2">
      <c r="A1021" s="348" t="str">
        <f t="shared" si="290"/>
        <v/>
      </c>
      <c r="B1021" s="290" t="str">
        <f t="shared" si="291"/>
        <v/>
      </c>
      <c r="C1021" s="290"/>
      <c r="D1021" s="293"/>
      <c r="E1021" s="346">
        <f t="shared" si="292"/>
        <v>0</v>
      </c>
      <c r="F1021" s="349">
        <f>IF(C1021="",0,F1020)</f>
        <v>0</v>
      </c>
      <c r="G1021" s="347">
        <f t="shared" si="293"/>
        <v>0</v>
      </c>
    </row>
    <row r="1022" spans="1:7" ht="18.95" customHeight="1" x14ac:dyDescent="0.2">
      <c r="A1022" s="348" t="str">
        <f t="shared" si="290"/>
        <v/>
      </c>
      <c r="B1022" s="290" t="str">
        <f t="shared" si="291"/>
        <v/>
      </c>
      <c r="C1022" s="290"/>
      <c r="D1022" s="293"/>
      <c r="E1022" s="346">
        <f t="shared" si="292"/>
        <v>0</v>
      </c>
      <c r="F1022" s="349">
        <f>IF(C1022="",0,F1021)</f>
        <v>0</v>
      </c>
      <c r="G1022" s="347">
        <f t="shared" si="293"/>
        <v>0</v>
      </c>
    </row>
    <row r="1023" spans="1:7" ht="18.95" customHeight="1" x14ac:dyDescent="0.2">
      <c r="A1023" s="348" t="str">
        <f t="shared" si="290"/>
        <v/>
      </c>
      <c r="B1023" s="290" t="str">
        <f t="shared" si="291"/>
        <v/>
      </c>
      <c r="C1023" s="290"/>
      <c r="D1023" s="351"/>
      <c r="E1023" s="346">
        <f t="shared" si="292"/>
        <v>0</v>
      </c>
      <c r="F1023" s="349">
        <f>IF(C1023="",0,F1022)</f>
        <v>0</v>
      </c>
      <c r="G1023" s="347">
        <f t="shared" si="293"/>
        <v>0</v>
      </c>
    </row>
    <row r="1024" spans="1:7" ht="18.95" customHeight="1" x14ac:dyDescent="0.2">
      <c r="A1024" s="348" t="str">
        <f t="shared" si="290"/>
        <v/>
      </c>
      <c r="B1024" s="290" t="str">
        <f t="shared" si="291"/>
        <v/>
      </c>
      <c r="C1024" s="290"/>
      <c r="D1024" s="293"/>
      <c r="E1024" s="346">
        <f t="shared" si="292"/>
        <v>0</v>
      </c>
      <c r="F1024" s="349">
        <f>IF(C1024="",0,F1023)</f>
        <v>0</v>
      </c>
      <c r="G1024" s="347">
        <f t="shared" si="293"/>
        <v>0</v>
      </c>
    </row>
    <row r="1025" spans="1:7" ht="18.95" customHeight="1" x14ac:dyDescent="0.2">
      <c r="A1025" s="353"/>
      <c r="B1025" s="149"/>
      <c r="C1025" s="142"/>
      <c r="D1025" s="150"/>
      <c r="E1025" s="143"/>
      <c r="F1025" s="356" t="s">
        <v>30</v>
      </c>
      <c r="G1025" s="355">
        <f>SUBTOTAL(9,G1019:G1024)</f>
        <v>0</v>
      </c>
    </row>
    <row r="1026" spans="1:7" ht="18.95" customHeight="1" x14ac:dyDescent="0.2">
      <c r="A1026" s="156"/>
      <c r="B1026" s="142"/>
      <c r="C1026" s="157" t="s">
        <v>1047</v>
      </c>
      <c r="D1026" s="150"/>
      <c r="E1026" s="327"/>
      <c r="F1026" s="327"/>
      <c r="G1026" s="342"/>
    </row>
    <row r="1027" spans="1:7" ht="18.95" customHeight="1" x14ac:dyDescent="0.2">
      <c r="A1027" s="735" t="s">
        <v>582</v>
      </c>
      <c r="B1027" s="736"/>
      <c r="C1027" s="737" t="s">
        <v>0</v>
      </c>
      <c r="D1027" s="737" t="s">
        <v>1655</v>
      </c>
      <c r="E1027" s="737" t="s">
        <v>26</v>
      </c>
      <c r="F1027" s="737" t="s">
        <v>27</v>
      </c>
      <c r="G1027" s="733" t="s">
        <v>28</v>
      </c>
    </row>
    <row r="1028" spans="1:7" ht="18.95" customHeight="1" x14ac:dyDescent="0.2">
      <c r="A1028" s="154" t="s">
        <v>583</v>
      </c>
      <c r="B1028" s="155" t="s">
        <v>584</v>
      </c>
      <c r="C1028" s="738"/>
      <c r="D1028" s="738"/>
      <c r="E1028" s="738"/>
      <c r="F1028" s="738"/>
      <c r="G1028" s="734"/>
    </row>
    <row r="1029" spans="1:7" ht="18.95" customHeight="1" x14ac:dyDescent="0.2">
      <c r="A1029" s="348" t="str">
        <f t="shared" ref="A1029:A1040" si="294">IFERROR(VLOOKUP(C1029,Tabla_Insumos,4,FALSE),"")</f>
        <v/>
      </c>
      <c r="B1029" s="290" t="str">
        <f t="shared" ref="B1029:B1040" si="295">IFERROR(VLOOKUP(C1029,Tabla_Insumos,5,FALSE),"")</f>
        <v/>
      </c>
      <c r="C1029" s="290"/>
      <c r="D1029" s="608">
        <f t="shared" ref="D1029:D1040" si="296">IFERROR(VLOOKUP(C1029,Tabla_Insumos,2,FALSE),0)</f>
        <v>0</v>
      </c>
      <c r="E1029" s="293"/>
      <c r="F1029" s="346">
        <f t="shared" ref="F1029:F1040" si="297">IFERROR(VLOOKUP(C1029,Tabla_Insumos,3,FALSE),0)</f>
        <v>0</v>
      </c>
      <c r="G1029" s="347">
        <f t="shared" ref="G1029:G1040" si="298">ROUND(E1029*F1029,2)</f>
        <v>0</v>
      </c>
    </row>
    <row r="1030" spans="1:7" ht="18.95" customHeight="1" x14ac:dyDescent="0.2">
      <c r="A1030" s="348" t="str">
        <f t="shared" si="294"/>
        <v/>
      </c>
      <c r="B1030" s="290" t="str">
        <f t="shared" si="295"/>
        <v/>
      </c>
      <c r="C1030" s="126"/>
      <c r="D1030" s="608">
        <f t="shared" si="296"/>
        <v>0</v>
      </c>
      <c r="E1030" s="293"/>
      <c r="F1030" s="346">
        <f t="shared" si="297"/>
        <v>0</v>
      </c>
      <c r="G1030" s="347">
        <f t="shared" si="298"/>
        <v>0</v>
      </c>
    </row>
    <row r="1031" spans="1:7" ht="18.95" customHeight="1" x14ac:dyDescent="0.2">
      <c r="A1031" s="348" t="str">
        <f t="shared" si="294"/>
        <v/>
      </c>
      <c r="B1031" s="290" t="str">
        <f t="shared" si="295"/>
        <v/>
      </c>
      <c r="C1031" s="290"/>
      <c r="D1031" s="608">
        <f t="shared" si="296"/>
        <v>0</v>
      </c>
      <c r="E1031" s="293"/>
      <c r="F1031" s="346">
        <f t="shared" si="297"/>
        <v>0</v>
      </c>
      <c r="G1031" s="347">
        <f t="shared" si="298"/>
        <v>0</v>
      </c>
    </row>
    <row r="1032" spans="1:7" ht="18.95" customHeight="1" x14ac:dyDescent="0.2">
      <c r="A1032" s="348" t="str">
        <f t="shared" si="294"/>
        <v/>
      </c>
      <c r="B1032" s="290" t="str">
        <f t="shared" si="295"/>
        <v/>
      </c>
      <c r="C1032" s="290"/>
      <c r="D1032" s="608">
        <f t="shared" si="296"/>
        <v>0</v>
      </c>
      <c r="E1032" s="293"/>
      <c r="F1032" s="346">
        <f t="shared" si="297"/>
        <v>0</v>
      </c>
      <c r="G1032" s="347">
        <f t="shared" si="298"/>
        <v>0</v>
      </c>
    </row>
    <row r="1033" spans="1:7" ht="18.95" customHeight="1" x14ac:dyDescent="0.2">
      <c r="A1033" s="348" t="str">
        <f t="shared" si="294"/>
        <v/>
      </c>
      <c r="B1033" s="290" t="str">
        <f t="shared" si="295"/>
        <v/>
      </c>
      <c r="C1033" s="290"/>
      <c r="D1033" s="608">
        <f t="shared" si="296"/>
        <v>0</v>
      </c>
      <c r="E1033" s="293"/>
      <c r="F1033" s="346">
        <f t="shared" si="297"/>
        <v>0</v>
      </c>
      <c r="G1033" s="347">
        <f t="shared" si="298"/>
        <v>0</v>
      </c>
    </row>
    <row r="1034" spans="1:7" ht="18.95" customHeight="1" x14ac:dyDescent="0.2">
      <c r="A1034" s="348" t="str">
        <f t="shared" si="294"/>
        <v/>
      </c>
      <c r="B1034" s="290" t="str">
        <f t="shared" si="295"/>
        <v/>
      </c>
      <c r="C1034" s="290"/>
      <c r="D1034" s="608">
        <f t="shared" si="296"/>
        <v>0</v>
      </c>
      <c r="E1034" s="293"/>
      <c r="F1034" s="346">
        <f t="shared" si="297"/>
        <v>0</v>
      </c>
      <c r="G1034" s="347">
        <f t="shared" si="298"/>
        <v>0</v>
      </c>
    </row>
    <row r="1035" spans="1:7" ht="18.95" customHeight="1" x14ac:dyDescent="0.2">
      <c r="A1035" s="348" t="str">
        <f t="shared" si="294"/>
        <v/>
      </c>
      <c r="B1035" s="290" t="str">
        <f t="shared" si="295"/>
        <v/>
      </c>
      <c r="C1035" s="290"/>
      <c r="D1035" s="608">
        <f t="shared" si="296"/>
        <v>0</v>
      </c>
      <c r="E1035" s="293"/>
      <c r="F1035" s="346">
        <f t="shared" si="297"/>
        <v>0</v>
      </c>
      <c r="G1035" s="347">
        <f t="shared" si="298"/>
        <v>0</v>
      </c>
    </row>
    <row r="1036" spans="1:7" s="295" customFormat="1" ht="18.95" customHeight="1" x14ac:dyDescent="0.2">
      <c r="A1036" s="348" t="str">
        <f t="shared" si="294"/>
        <v/>
      </c>
      <c r="B1036" s="290" t="str">
        <f t="shared" si="295"/>
        <v/>
      </c>
      <c r="C1036" s="290"/>
      <c r="D1036" s="608">
        <f t="shared" si="296"/>
        <v>0</v>
      </c>
      <c r="E1036" s="323"/>
      <c r="F1036" s="346">
        <f t="shared" si="297"/>
        <v>0</v>
      </c>
      <c r="G1036" s="347">
        <f t="shared" si="298"/>
        <v>0</v>
      </c>
    </row>
    <row r="1037" spans="1:7" ht="18.95" customHeight="1" x14ac:dyDescent="0.2">
      <c r="A1037" s="348" t="str">
        <f t="shared" si="294"/>
        <v/>
      </c>
      <c r="B1037" s="290" t="str">
        <f t="shared" si="295"/>
        <v/>
      </c>
      <c r="C1037" s="290"/>
      <c r="D1037" s="608">
        <f t="shared" si="296"/>
        <v>0</v>
      </c>
      <c r="E1037" s="293"/>
      <c r="F1037" s="346">
        <f t="shared" si="297"/>
        <v>0</v>
      </c>
      <c r="G1037" s="347">
        <f t="shared" si="298"/>
        <v>0</v>
      </c>
    </row>
    <row r="1038" spans="1:7" ht="18.95" customHeight="1" x14ac:dyDescent="0.2">
      <c r="A1038" s="348" t="str">
        <f t="shared" si="294"/>
        <v/>
      </c>
      <c r="B1038" s="290" t="str">
        <f t="shared" si="295"/>
        <v/>
      </c>
      <c r="C1038" s="290"/>
      <c r="D1038" s="608">
        <f t="shared" si="296"/>
        <v>0</v>
      </c>
      <c r="E1038" s="293"/>
      <c r="F1038" s="346">
        <f t="shared" si="297"/>
        <v>0</v>
      </c>
      <c r="G1038" s="347">
        <f t="shared" si="298"/>
        <v>0</v>
      </c>
    </row>
    <row r="1039" spans="1:7" ht="18.95" customHeight="1" x14ac:dyDescent="0.2">
      <c r="A1039" s="348" t="str">
        <f t="shared" si="294"/>
        <v/>
      </c>
      <c r="B1039" s="290" t="str">
        <f t="shared" si="295"/>
        <v/>
      </c>
      <c r="C1039" s="290"/>
      <c r="D1039" s="608">
        <f t="shared" si="296"/>
        <v>0</v>
      </c>
      <c r="E1039" s="293"/>
      <c r="F1039" s="346">
        <f t="shared" si="297"/>
        <v>0</v>
      </c>
      <c r="G1039" s="347">
        <f t="shared" si="298"/>
        <v>0</v>
      </c>
    </row>
    <row r="1040" spans="1:7" ht="18.95" customHeight="1" x14ac:dyDescent="0.2">
      <c r="A1040" s="348" t="str">
        <f t="shared" si="294"/>
        <v/>
      </c>
      <c r="B1040" s="290" t="str">
        <f t="shared" si="295"/>
        <v/>
      </c>
      <c r="C1040" s="290"/>
      <c r="D1040" s="608">
        <f t="shared" si="296"/>
        <v>0</v>
      </c>
      <c r="E1040" s="293"/>
      <c r="F1040" s="346">
        <f t="shared" si="297"/>
        <v>0</v>
      </c>
      <c r="G1040" s="347">
        <f t="shared" si="298"/>
        <v>0</v>
      </c>
    </row>
    <row r="1041" spans="1:8" ht="18.95" customHeight="1" x14ac:dyDescent="0.2">
      <c r="A1041" s="156"/>
      <c r="B1041" s="142"/>
      <c r="C1041" s="142"/>
      <c r="D1041" s="150"/>
      <c r="E1041" s="143"/>
      <c r="F1041" s="356" t="s">
        <v>31</v>
      </c>
      <c r="G1041" s="355">
        <f>SUBTOTAL(9,G1029:G1040)</f>
        <v>0</v>
      </c>
    </row>
    <row r="1042" spans="1:8" ht="18.95" customHeight="1" x14ac:dyDescent="0.2">
      <c r="A1042" s="156"/>
      <c r="B1042" s="142"/>
      <c r="C1042" s="157" t="s">
        <v>1048</v>
      </c>
      <c r="D1042" s="150"/>
      <c r="E1042" s="327"/>
      <c r="F1042" s="327"/>
      <c r="G1042" s="342"/>
    </row>
    <row r="1043" spans="1:8" ht="18.95" customHeight="1" x14ac:dyDescent="0.2">
      <c r="A1043" s="735" t="s">
        <v>582</v>
      </c>
      <c r="B1043" s="736"/>
      <c r="C1043" s="737" t="s">
        <v>0</v>
      </c>
      <c r="D1043" s="739" t="s">
        <v>1750</v>
      </c>
      <c r="E1043" s="741" t="s">
        <v>26</v>
      </c>
      <c r="F1043" s="741" t="s">
        <v>27</v>
      </c>
      <c r="G1043" s="733" t="s">
        <v>28</v>
      </c>
    </row>
    <row r="1044" spans="1:8" ht="18.95" customHeight="1" x14ac:dyDescent="0.2">
      <c r="A1044" s="154" t="s">
        <v>583</v>
      </c>
      <c r="B1044" s="155" t="s">
        <v>584</v>
      </c>
      <c r="C1044" s="738"/>
      <c r="D1044" s="740"/>
      <c r="E1044" s="742"/>
      <c r="F1044" s="742"/>
      <c r="G1044" s="734"/>
    </row>
    <row r="1045" spans="1:8" ht="18.95" customHeight="1" x14ac:dyDescent="0.2">
      <c r="A1045" s="348" t="str">
        <f>IFERROR(VLOOKUP(C1045,Tabla_Insumos,4,FALSE),"")</f>
        <v/>
      </c>
      <c r="B1045" s="290" t="s">
        <v>4</v>
      </c>
      <c r="C1045" s="290"/>
      <c r="D1045" s="293"/>
      <c r="E1045" s="322"/>
      <c r="F1045" s="324"/>
      <c r="G1045" s="347">
        <f t="shared" ref="G1045" si="299">ROUND(E1045*F1045,2)</f>
        <v>0</v>
      </c>
    </row>
    <row r="1046" spans="1:8" ht="18.95" customHeight="1" x14ac:dyDescent="0.2">
      <c r="A1046" s="156"/>
      <c r="B1046" s="142"/>
      <c r="C1046" s="142"/>
      <c r="D1046" s="150"/>
      <c r="E1046" s="143"/>
      <c r="F1046" s="356" t="s">
        <v>1049</v>
      </c>
      <c r="G1046" s="355">
        <f>SUBTOTAL(9,G1045:G1045)</f>
        <v>0</v>
      </c>
    </row>
    <row r="1047" spans="1:8" ht="18.95" customHeight="1" thickBot="1" x14ac:dyDescent="0.25">
      <c r="A1047" s="158"/>
      <c r="B1047" s="159"/>
      <c r="C1047" s="160"/>
      <c r="D1047" s="161"/>
      <c r="E1047" s="357"/>
      <c r="F1047" s="357"/>
      <c r="G1047" s="358"/>
    </row>
    <row r="1048" spans="1:8" ht="18.95" customHeight="1" x14ac:dyDescent="0.2">
      <c r="A1048" s="359">
        <f>B987</f>
        <v>15</v>
      </c>
      <c r="B1048" s="360" t="str">
        <f>C987</f>
        <v>CONSTRUCCIÓN DE SIFÓN</v>
      </c>
      <c r="C1048" s="361"/>
      <c r="D1048" s="361"/>
      <c r="E1048" s="361" t="s">
        <v>1050</v>
      </c>
      <c r="F1048" s="362" t="str">
        <f>CONCATENATE("$/",G987)</f>
        <v>$/Un</v>
      </c>
      <c r="G1048" s="363">
        <f>SUBTOTAL(9,G1007:G1047)</f>
        <v>0</v>
      </c>
    </row>
    <row r="1049" spans="1:8" ht="18.95" customHeight="1" thickBot="1" x14ac:dyDescent="0.25">
      <c r="A1049" s="364"/>
      <c r="B1049" s="365"/>
      <c r="C1049" s="365"/>
      <c r="D1049" s="365"/>
      <c r="E1049" s="366" t="s">
        <v>1051</v>
      </c>
      <c r="F1049" s="367" t="str">
        <f>CONCATENATE("$/",G987)</f>
        <v>$/Un</v>
      </c>
      <c r="G1049" s="368" t="e">
        <f ca="1">PrecioUnitario(G1048,GG_Porcentaje,Beneficio,Ingresos_Brutos,IVA)</f>
        <v>#NAME?</v>
      </c>
    </row>
    <row r="1050" spans="1:8" ht="18.95" customHeight="1" thickTop="1" thickBot="1" x14ac:dyDescent="0.25">
      <c r="F1050" s="294"/>
      <c r="G1050" s="294"/>
    </row>
    <row r="1051" spans="1:8" ht="18.95" customHeight="1" thickTop="1" x14ac:dyDescent="0.2">
      <c r="A1051" s="194" t="s">
        <v>33</v>
      </c>
      <c r="B1051" s="195"/>
      <c r="C1051" s="195"/>
      <c r="D1051" s="195"/>
      <c r="E1051" s="195"/>
      <c r="F1051" s="195"/>
      <c r="G1051" s="196"/>
      <c r="H1051" s="143">
        <f>COUNTIF($A$1:A1057,"ANALISIS DE PRECIOS")</f>
        <v>16</v>
      </c>
    </row>
    <row r="1052" spans="1:8" ht="18.95" customHeight="1" x14ac:dyDescent="0.2">
      <c r="A1052" s="144" t="s">
        <v>720</v>
      </c>
      <c r="B1052" s="145" t="str">
        <f>Comitente</f>
        <v>DIRECCIÓN PROVINCIAL DE VIALIDAD</v>
      </c>
      <c r="C1052" s="139"/>
      <c r="D1052" s="146"/>
      <c r="E1052" s="325"/>
      <c r="F1052" s="325"/>
      <c r="G1052" s="326"/>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PAVIMENTACION Y ENSANCHE DE RUTA PROVINCIAL N°7 AV. JOAQUIN UÑAC</v>
      </c>
      <c r="C1054" s="140"/>
      <c r="D1054" s="140"/>
      <c r="E1054" s="143"/>
      <c r="F1054" s="145" t="s">
        <v>34</v>
      </c>
      <c r="G1054" s="147">
        <f>Fecha_Base</f>
        <v>43444</v>
      </c>
      <c r="H1054" s="143"/>
    </row>
    <row r="1055" spans="1:8" ht="18.95" customHeight="1" x14ac:dyDescent="0.2">
      <c r="A1055" s="148" t="s">
        <v>719</v>
      </c>
      <c r="B1055" s="141" t="str">
        <f>Ubicación</f>
        <v>DEPARTAMENTO POCITO</v>
      </c>
      <c r="C1055" s="141"/>
      <c r="D1055" s="150"/>
      <c r="E1055" s="143"/>
      <c r="F1055" s="327"/>
      <c r="G1055" s="328"/>
      <c r="H1055" s="143"/>
    </row>
    <row r="1056" spans="1:8" ht="18.95" customHeight="1" x14ac:dyDescent="0.2">
      <c r="A1056" s="148" t="s">
        <v>35</v>
      </c>
      <c r="B1056" s="151" t="str">
        <f>IFERROR(VALUE(LEFT(B1057,FIND("-",B1057)-1)),"")</f>
        <v/>
      </c>
      <c r="C1056" s="142" t="str">
        <f>IFERROR(VLOOKUP(B1056,Tabla_CyP,2,FALSE),"")</f>
        <v/>
      </c>
      <c r="D1056" s="150"/>
      <c r="E1056" s="143"/>
      <c r="F1056" s="327"/>
      <c r="G1056" s="328"/>
      <c r="H1056" s="143"/>
    </row>
    <row r="1057" spans="1:8" ht="18.95" customHeight="1" x14ac:dyDescent="0.2">
      <c r="A1057" s="148" t="s">
        <v>24</v>
      </c>
      <c r="B1057" s="152">
        <f>IFERROR(VLOOKUP(COUNTIF($A$1:A1057,"ANALISIS DE PRECIOS"),Tabla_NumeroItem,4,FALSE),"")</f>
        <v>16</v>
      </c>
      <c r="C1057" s="745" t="str">
        <f>IFERROR(VLOOKUP(B1057,Tabla_CyP,2,FALSE),"")</f>
        <v>CONSTRUCCIÓN DE CORDÓN CUNETA</v>
      </c>
      <c r="D1057" s="745"/>
      <c r="E1057" s="745"/>
      <c r="F1057" s="141" t="s">
        <v>25</v>
      </c>
      <c r="G1057" s="153" t="str">
        <f>IFERROR(VLOOKUP(B1057,Tabla_CyP,4,FALSE),"")</f>
        <v>m</v>
      </c>
      <c r="H1057" s="143"/>
    </row>
    <row r="1058" spans="1:8" ht="18.95" customHeight="1" x14ac:dyDescent="0.2">
      <c r="A1058" s="148"/>
      <c r="B1058" s="141"/>
      <c r="C1058" s="142"/>
      <c r="D1058" s="150"/>
      <c r="E1058" s="142"/>
      <c r="F1058" s="142"/>
      <c r="G1058" s="329"/>
      <c r="H1058" s="143"/>
    </row>
    <row r="1059" spans="1:8" ht="18.95" customHeight="1" x14ac:dyDescent="0.2">
      <c r="A1059" s="330"/>
      <c r="B1059" s="331"/>
      <c r="C1059" s="332" t="s">
        <v>1032</v>
      </c>
      <c r="D1059" s="331"/>
      <c r="E1059" s="331"/>
      <c r="F1059" s="331"/>
      <c r="G1059" s="333"/>
      <c r="H1059" s="143"/>
    </row>
    <row r="1060" spans="1:8" ht="18.95" customHeight="1" x14ac:dyDescent="0.2">
      <c r="A1060" s="148"/>
      <c r="B1060" s="334"/>
      <c r="C1060" s="335" t="s">
        <v>1033</v>
      </c>
      <c r="D1060" s="336" t="s">
        <v>26</v>
      </c>
      <c r="E1060" s="336" t="s">
        <v>1034</v>
      </c>
      <c r="F1060" s="336" t="s">
        <v>1035</v>
      </c>
      <c r="G1060" s="337" t="s">
        <v>1036</v>
      </c>
      <c r="H1060" s="143"/>
    </row>
    <row r="1061" spans="1:8" ht="18.95" customHeight="1" x14ac:dyDescent="0.2">
      <c r="A1061" s="343"/>
      <c r="B1061" s="344"/>
      <c r="C1061" s="290"/>
      <c r="D1061" s="293"/>
      <c r="E1061" s="345"/>
      <c r="F1061" s="346"/>
      <c r="G1061" s="347">
        <f t="shared" ref="G1061:G1070" si="300">ROUND(D1061*F1061,2)</f>
        <v>0</v>
      </c>
    </row>
    <row r="1062" spans="1:8" ht="18.95" customHeight="1" x14ac:dyDescent="0.2">
      <c r="A1062" s="343"/>
      <c r="B1062" s="344"/>
      <c r="C1062" s="290"/>
      <c r="D1062" s="293"/>
      <c r="E1062" s="345"/>
      <c r="F1062" s="346"/>
      <c r="G1062" s="347">
        <f t="shared" si="300"/>
        <v>0</v>
      </c>
    </row>
    <row r="1063" spans="1:8" ht="18.95" customHeight="1" x14ac:dyDescent="0.2">
      <c r="A1063" s="343"/>
      <c r="B1063" s="344"/>
      <c r="C1063" s="290"/>
      <c r="D1063" s="293"/>
      <c r="E1063" s="345">
        <f t="shared" ref="E1063:E1070" si="301">IFERROR(VLOOKUP(C1063,T_Equipos,4,FALSE),0)</f>
        <v>0</v>
      </c>
      <c r="F1063" s="346">
        <f t="shared" ref="F1063:F1070" si="302">IFERROR(VLOOKUP(C1063,T_Equipos,11,FALSE),0)</f>
        <v>0</v>
      </c>
      <c r="G1063" s="347">
        <f t="shared" si="300"/>
        <v>0</v>
      </c>
    </row>
    <row r="1064" spans="1:8" ht="18.95" customHeight="1" x14ac:dyDescent="0.2">
      <c r="A1064" s="343"/>
      <c r="B1064" s="344"/>
      <c r="C1064" s="290"/>
      <c r="D1064" s="293"/>
      <c r="E1064" s="345">
        <f t="shared" si="301"/>
        <v>0</v>
      </c>
      <c r="F1064" s="346">
        <f t="shared" si="302"/>
        <v>0</v>
      </c>
      <c r="G1064" s="347">
        <f t="shared" si="300"/>
        <v>0</v>
      </c>
    </row>
    <row r="1065" spans="1:8" ht="18.95" customHeight="1" x14ac:dyDescent="0.2">
      <c r="A1065" s="343"/>
      <c r="B1065" s="344"/>
      <c r="C1065" s="290"/>
      <c r="D1065" s="293"/>
      <c r="E1065" s="345">
        <f t="shared" si="301"/>
        <v>0</v>
      </c>
      <c r="F1065" s="346">
        <f t="shared" si="302"/>
        <v>0</v>
      </c>
      <c r="G1065" s="347">
        <f t="shared" si="300"/>
        <v>0</v>
      </c>
    </row>
    <row r="1066" spans="1:8" ht="18.95" customHeight="1" x14ac:dyDescent="0.2">
      <c r="A1066" s="343"/>
      <c r="B1066" s="344"/>
      <c r="C1066" s="290"/>
      <c r="D1066" s="293"/>
      <c r="E1066" s="345">
        <f t="shared" si="301"/>
        <v>0</v>
      </c>
      <c r="F1066" s="346">
        <f t="shared" si="302"/>
        <v>0</v>
      </c>
      <c r="G1066" s="347">
        <f t="shared" si="300"/>
        <v>0</v>
      </c>
    </row>
    <row r="1067" spans="1:8" ht="18.95" customHeight="1" x14ac:dyDescent="0.2">
      <c r="A1067" s="343"/>
      <c r="B1067" s="344"/>
      <c r="C1067" s="290"/>
      <c r="D1067" s="293"/>
      <c r="E1067" s="345">
        <f t="shared" si="301"/>
        <v>0</v>
      </c>
      <c r="F1067" s="346">
        <f t="shared" si="302"/>
        <v>0</v>
      </c>
      <c r="G1067" s="347">
        <f t="shared" si="300"/>
        <v>0</v>
      </c>
    </row>
    <row r="1068" spans="1:8" ht="18.95" customHeight="1" x14ac:dyDescent="0.2">
      <c r="A1068" s="343"/>
      <c r="B1068" s="344"/>
      <c r="C1068" s="290"/>
      <c r="D1068" s="293"/>
      <c r="E1068" s="345">
        <f t="shared" si="301"/>
        <v>0</v>
      </c>
      <c r="F1068" s="346">
        <f t="shared" si="302"/>
        <v>0</v>
      </c>
      <c r="G1068" s="347">
        <f t="shared" si="300"/>
        <v>0</v>
      </c>
    </row>
    <row r="1069" spans="1:8" ht="18.95" customHeight="1" x14ac:dyDescent="0.2">
      <c r="A1069" s="343"/>
      <c r="B1069" s="344"/>
      <c r="C1069" s="290"/>
      <c r="D1069" s="293"/>
      <c r="E1069" s="345">
        <f t="shared" si="301"/>
        <v>0</v>
      </c>
      <c r="F1069" s="346">
        <f t="shared" si="302"/>
        <v>0</v>
      </c>
      <c r="G1069" s="347">
        <f t="shared" si="300"/>
        <v>0</v>
      </c>
    </row>
    <row r="1070" spans="1:8" ht="18.95" customHeight="1" thickBot="1" x14ac:dyDescent="0.25">
      <c r="A1070" s="343"/>
      <c r="B1070" s="344"/>
      <c r="C1070" s="290"/>
      <c r="D1070" s="293"/>
      <c r="E1070" s="345">
        <f t="shared" si="301"/>
        <v>0</v>
      </c>
      <c r="F1070" s="346">
        <f t="shared" si="302"/>
        <v>0</v>
      </c>
      <c r="G1070" s="347">
        <f t="shared" si="300"/>
        <v>0</v>
      </c>
    </row>
    <row r="1071" spans="1:8" ht="18.95" customHeight="1" thickBot="1" x14ac:dyDescent="0.25">
      <c r="A1071" s="148"/>
      <c r="B1071" s="334"/>
      <c r="C1071" s="143"/>
      <c r="D1071" s="146" t="s">
        <v>1037</v>
      </c>
      <c r="E1071" s="338">
        <f>SUMPRODUCT(D1061:D1070,E1061:E1070)</f>
        <v>0</v>
      </c>
      <c r="F1071" s="141" t="s">
        <v>1038</v>
      </c>
      <c r="G1071" s="339">
        <f>SUM(G1061:G1070)</f>
        <v>0</v>
      </c>
    </row>
    <row r="1072" spans="1:8" ht="18.95" customHeight="1" x14ac:dyDescent="0.2">
      <c r="A1072" s="148"/>
      <c r="B1072" s="334"/>
      <c r="C1072" s="141" t="s">
        <v>1039</v>
      </c>
      <c r="D1072" s="320"/>
      <c r="E1072" s="340" t="str">
        <f>CONCATENATE(G1057,"/día")</f>
        <v>m/día</v>
      </c>
      <c r="F1072" s="141"/>
      <c r="G1072" s="341"/>
    </row>
    <row r="1073" spans="1:7" ht="18.95" customHeight="1" x14ac:dyDescent="0.2">
      <c r="A1073" s="148"/>
      <c r="B1073" s="334"/>
      <c r="C1073" s="142"/>
      <c r="D1073" s="150"/>
      <c r="E1073" s="141"/>
      <c r="F1073" s="141"/>
      <c r="G1073" s="341"/>
    </row>
    <row r="1074" spans="1:7" ht="18.95" customHeight="1" x14ac:dyDescent="0.2">
      <c r="A1074" s="735" t="s">
        <v>582</v>
      </c>
      <c r="B1074" s="736"/>
      <c r="C1074" s="737" t="s">
        <v>0</v>
      </c>
      <c r="D1074" s="743" t="s">
        <v>1053</v>
      </c>
      <c r="E1074" s="743" t="s">
        <v>1706</v>
      </c>
      <c r="F1074" s="743" t="s">
        <v>1054</v>
      </c>
      <c r="G1074" s="743" t="s">
        <v>1055</v>
      </c>
    </row>
    <row r="1075" spans="1:7" ht="18.95" customHeight="1" x14ac:dyDescent="0.2">
      <c r="A1075" s="154" t="s">
        <v>583</v>
      </c>
      <c r="B1075" s="155" t="s">
        <v>584</v>
      </c>
      <c r="C1075" s="738"/>
      <c r="D1075" s="742"/>
      <c r="E1075" s="742"/>
      <c r="F1075" s="744"/>
      <c r="G1075" s="742"/>
    </row>
    <row r="1076" spans="1:7" ht="18.95" customHeight="1" x14ac:dyDescent="0.2">
      <c r="A1076" s="156"/>
      <c r="B1076" s="142"/>
      <c r="C1076" s="157" t="s">
        <v>1041</v>
      </c>
      <c r="D1076" s="150"/>
      <c r="E1076" s="142"/>
      <c r="F1076" s="142"/>
      <c r="G1076" s="342"/>
    </row>
    <row r="1077" spans="1:7" ht="18.95" customHeight="1" x14ac:dyDescent="0.2">
      <c r="A1077" s="348" t="str">
        <f t="shared" ref="A1077:A1084" si="303">IFERROR(VLOOKUP(C1077,Tabla_Insumos,4,FALSE),"")</f>
        <v/>
      </c>
      <c r="B1077" s="290" t="str">
        <f t="shared" ref="B1077:B1084" si="304">IFERROR(VLOOKUP(C1077,Tabla_Insumos,5,FALSE),"")</f>
        <v/>
      </c>
      <c r="C1077" s="290"/>
      <c r="D1077" s="607">
        <f t="shared" ref="D1077:D1084" si="305">IFERROR(VLOOKUP(C1077,Tabla_Insumos,3,FALSE),0)</f>
        <v>0</v>
      </c>
      <c r="E1077" s="349">
        <f>D1077*$G$21</f>
        <v>0</v>
      </c>
      <c r="F1077" s="350">
        <f>IF(C1077="",0,D1072)</f>
        <v>0</v>
      </c>
      <c r="G1077" s="347">
        <f>IFERROR(ROUND(E1077/F1077,2),0)</f>
        <v>0</v>
      </c>
    </row>
    <row r="1078" spans="1:7" ht="18.95" customHeight="1" x14ac:dyDescent="0.2">
      <c r="A1078" s="348" t="str">
        <f t="shared" si="303"/>
        <v/>
      </c>
      <c r="B1078" s="290" t="str">
        <f t="shared" si="304"/>
        <v/>
      </c>
      <c r="C1078" s="321"/>
      <c r="D1078" s="607">
        <f t="shared" si="305"/>
        <v>0</v>
      </c>
      <c r="E1078" s="349">
        <f t="shared" ref="E1078:E1079" si="306">D1078*$G$21</f>
        <v>0</v>
      </c>
      <c r="F1078" s="350">
        <f t="shared" ref="F1078:F1081" si="307">IF(C1078="",0,F1077)</f>
        <v>0</v>
      </c>
      <c r="G1078" s="347">
        <f t="shared" ref="G1078:G1084" si="308">IFERROR(ROUND(E1078/F1078,2),0)</f>
        <v>0</v>
      </c>
    </row>
    <row r="1079" spans="1:7" ht="18.95" customHeight="1" x14ac:dyDescent="0.2">
      <c r="A1079" s="348" t="str">
        <f t="shared" si="303"/>
        <v/>
      </c>
      <c r="B1079" s="290" t="str">
        <f t="shared" si="304"/>
        <v/>
      </c>
      <c r="C1079" s="321"/>
      <c r="D1079" s="607">
        <f t="shared" si="305"/>
        <v>0</v>
      </c>
      <c r="E1079" s="349">
        <f t="shared" si="306"/>
        <v>0</v>
      </c>
      <c r="F1079" s="350">
        <f t="shared" si="307"/>
        <v>0</v>
      </c>
      <c r="G1079" s="347">
        <f t="shared" si="308"/>
        <v>0</v>
      </c>
    </row>
    <row r="1080" spans="1:7" ht="18.95" customHeight="1" x14ac:dyDescent="0.2">
      <c r="A1080" s="348" t="str">
        <f t="shared" si="303"/>
        <v/>
      </c>
      <c r="B1080" s="290" t="str">
        <f t="shared" si="304"/>
        <v/>
      </c>
      <c r="C1080" s="321"/>
      <c r="D1080" s="607">
        <f t="shared" si="305"/>
        <v>0</v>
      </c>
      <c r="E1080" s="349">
        <f>D1080*$E$21</f>
        <v>0</v>
      </c>
      <c r="F1080" s="350">
        <f t="shared" si="307"/>
        <v>0</v>
      </c>
      <c r="G1080" s="347">
        <f t="shared" si="308"/>
        <v>0</v>
      </c>
    </row>
    <row r="1081" spans="1:7" ht="18.95" customHeight="1" x14ac:dyDescent="0.2">
      <c r="A1081" s="348" t="str">
        <f t="shared" si="303"/>
        <v/>
      </c>
      <c r="B1081" s="290" t="str">
        <f t="shared" si="304"/>
        <v/>
      </c>
      <c r="C1081" s="321"/>
      <c r="D1081" s="607">
        <f t="shared" si="305"/>
        <v>0</v>
      </c>
      <c r="E1081" s="349">
        <f>D1081*$E$21</f>
        <v>0</v>
      </c>
      <c r="F1081" s="350">
        <f t="shared" si="307"/>
        <v>0</v>
      </c>
      <c r="G1081" s="347">
        <f t="shared" si="308"/>
        <v>0</v>
      </c>
    </row>
    <row r="1082" spans="1:7" ht="18.95" customHeight="1" x14ac:dyDescent="0.2">
      <c r="A1082" s="348" t="str">
        <f t="shared" si="303"/>
        <v/>
      </c>
      <c r="B1082" s="290" t="str">
        <f t="shared" si="304"/>
        <v/>
      </c>
      <c r="C1082" s="321"/>
      <c r="D1082" s="607">
        <f t="shared" si="305"/>
        <v>0</v>
      </c>
      <c r="E1082" s="349"/>
      <c r="F1082" s="350">
        <f>IF(C1082="",0,F1081)</f>
        <v>0</v>
      </c>
      <c r="G1082" s="347">
        <f t="shared" si="308"/>
        <v>0</v>
      </c>
    </row>
    <row r="1083" spans="1:7" ht="18.95" customHeight="1" x14ac:dyDescent="0.2">
      <c r="A1083" s="348" t="str">
        <f t="shared" si="303"/>
        <v/>
      </c>
      <c r="B1083" s="290" t="str">
        <f t="shared" si="304"/>
        <v/>
      </c>
      <c r="C1083" s="321"/>
      <c r="D1083" s="607">
        <f t="shared" si="305"/>
        <v>0</v>
      </c>
      <c r="E1083" s="349"/>
      <c r="F1083" s="350">
        <f t="shared" ref="F1083:F1084" si="309">IF(C1083="",0,F1082)</f>
        <v>0</v>
      </c>
      <c r="G1083" s="347">
        <f t="shared" si="308"/>
        <v>0</v>
      </c>
    </row>
    <row r="1084" spans="1:7" ht="18.95" customHeight="1" x14ac:dyDescent="0.2">
      <c r="A1084" s="348" t="str">
        <f t="shared" si="303"/>
        <v/>
      </c>
      <c r="B1084" s="290" t="str">
        <f t="shared" si="304"/>
        <v/>
      </c>
      <c r="C1084" s="321"/>
      <c r="D1084" s="607">
        <f t="shared" si="305"/>
        <v>0</v>
      </c>
      <c r="E1084" s="349"/>
      <c r="F1084" s="350">
        <f t="shared" si="309"/>
        <v>0</v>
      </c>
      <c r="G1084" s="347">
        <f t="shared" si="308"/>
        <v>0</v>
      </c>
    </row>
    <row r="1085" spans="1:7" ht="18.95" customHeight="1" x14ac:dyDescent="0.2">
      <c r="A1085" s="353"/>
      <c r="B1085" s="149"/>
      <c r="C1085" s="142"/>
      <c r="D1085" s="150"/>
      <c r="E1085" s="143"/>
      <c r="F1085" s="354" t="s">
        <v>29</v>
      </c>
      <c r="G1085" s="355">
        <f>SUBTOTAL(9,G1077:G1084)</f>
        <v>0</v>
      </c>
    </row>
    <row r="1086" spans="1:7" ht="18.95" customHeight="1" x14ac:dyDescent="0.2">
      <c r="A1086" s="156"/>
      <c r="B1086" s="142"/>
      <c r="C1086" s="157" t="s">
        <v>722</v>
      </c>
      <c r="D1086" s="150"/>
      <c r="E1086" s="327"/>
      <c r="F1086" s="327"/>
      <c r="G1086" s="342"/>
    </row>
    <row r="1087" spans="1:7" ht="18.95" customHeight="1" x14ac:dyDescent="0.2">
      <c r="A1087" s="735" t="s">
        <v>582</v>
      </c>
      <c r="B1087" s="736"/>
      <c r="C1087" s="737" t="s">
        <v>0</v>
      </c>
      <c r="D1087" s="739" t="s">
        <v>26</v>
      </c>
      <c r="E1087" s="743" t="s">
        <v>1707</v>
      </c>
      <c r="F1087" s="741" t="s">
        <v>1040</v>
      </c>
      <c r="G1087" s="733" t="s">
        <v>28</v>
      </c>
    </row>
    <row r="1088" spans="1:7" ht="18.95" customHeight="1" x14ac:dyDescent="0.2">
      <c r="A1088" s="154" t="s">
        <v>583</v>
      </c>
      <c r="B1088" s="155" t="s">
        <v>584</v>
      </c>
      <c r="C1088" s="738"/>
      <c r="D1088" s="740"/>
      <c r="E1088" s="742"/>
      <c r="F1088" s="742"/>
      <c r="G1088" s="734"/>
    </row>
    <row r="1089" spans="1:7" ht="18.95" customHeight="1" x14ac:dyDescent="0.2">
      <c r="A1089" s="348" t="str">
        <f t="shared" ref="A1089:A1094" si="310">IFERROR(VLOOKUP(C1089,Tabla_Insumos,4,FALSE),"")</f>
        <v/>
      </c>
      <c r="B1089" s="290" t="str">
        <f t="shared" ref="B1089:B1094" si="311">IFERROR(VLOOKUP(C1089,Tabla_Insumos,5,FALSE),"")</f>
        <v/>
      </c>
      <c r="C1089" s="291"/>
      <c r="D1089" s="293"/>
      <c r="E1089" s="346">
        <f t="shared" ref="E1089:E1094" si="312">IFERROR(VLOOKUP(C1089,Tabla_Insumos,3,FALSE),0)</f>
        <v>0</v>
      </c>
      <c r="F1089" s="349">
        <f>IF(C1089="",0,D1072)</f>
        <v>0</v>
      </c>
      <c r="G1089" s="347">
        <f t="shared" ref="G1089:G1094" si="313">IFERROR(ROUND(D1089*E1089/F1089,2),0)</f>
        <v>0</v>
      </c>
    </row>
    <row r="1090" spans="1:7" ht="18.95" customHeight="1" x14ac:dyDescent="0.2">
      <c r="A1090" s="348" t="str">
        <f t="shared" si="310"/>
        <v/>
      </c>
      <c r="B1090" s="290" t="str">
        <f t="shared" si="311"/>
        <v/>
      </c>
      <c r="C1090" s="290"/>
      <c r="D1090" s="293"/>
      <c r="E1090" s="346">
        <f t="shared" si="312"/>
        <v>0</v>
      </c>
      <c r="F1090" s="349">
        <f>IF(C1090="",0,F1089)</f>
        <v>0</v>
      </c>
      <c r="G1090" s="347">
        <f t="shared" si="313"/>
        <v>0</v>
      </c>
    </row>
    <row r="1091" spans="1:7" ht="18.95" customHeight="1" x14ac:dyDescent="0.2">
      <c r="A1091" s="348" t="str">
        <f t="shared" si="310"/>
        <v/>
      </c>
      <c r="B1091" s="290" t="str">
        <f t="shared" si="311"/>
        <v/>
      </c>
      <c r="C1091" s="290"/>
      <c r="D1091" s="293"/>
      <c r="E1091" s="346">
        <f t="shared" si="312"/>
        <v>0</v>
      </c>
      <c r="F1091" s="349">
        <f>IF(C1091="",0,F1090)</f>
        <v>0</v>
      </c>
      <c r="G1091" s="347">
        <f t="shared" si="313"/>
        <v>0</v>
      </c>
    </row>
    <row r="1092" spans="1:7" ht="18.95" customHeight="1" x14ac:dyDescent="0.2">
      <c r="A1092" s="348" t="str">
        <f t="shared" si="310"/>
        <v/>
      </c>
      <c r="B1092" s="290" t="str">
        <f t="shared" si="311"/>
        <v/>
      </c>
      <c r="C1092" s="290"/>
      <c r="D1092" s="293"/>
      <c r="E1092" s="346">
        <f t="shared" si="312"/>
        <v>0</v>
      </c>
      <c r="F1092" s="349">
        <f>IF(C1092="",0,F1091)</f>
        <v>0</v>
      </c>
      <c r="G1092" s="347">
        <f t="shared" si="313"/>
        <v>0</v>
      </c>
    </row>
    <row r="1093" spans="1:7" ht="18.95" customHeight="1" x14ac:dyDescent="0.2">
      <c r="A1093" s="348" t="str">
        <f t="shared" si="310"/>
        <v/>
      </c>
      <c r="B1093" s="290" t="str">
        <f t="shared" si="311"/>
        <v/>
      </c>
      <c r="C1093" s="290"/>
      <c r="D1093" s="351"/>
      <c r="E1093" s="346">
        <f t="shared" si="312"/>
        <v>0</v>
      </c>
      <c r="F1093" s="349">
        <f>IF(C1093="",0,F1092)</f>
        <v>0</v>
      </c>
      <c r="G1093" s="347">
        <f t="shared" si="313"/>
        <v>0</v>
      </c>
    </row>
    <row r="1094" spans="1:7" ht="18.95" customHeight="1" x14ac:dyDescent="0.2">
      <c r="A1094" s="348" t="str">
        <f t="shared" si="310"/>
        <v/>
      </c>
      <c r="B1094" s="290" t="str">
        <f t="shared" si="311"/>
        <v/>
      </c>
      <c r="C1094" s="290"/>
      <c r="D1094" s="293"/>
      <c r="E1094" s="346">
        <f t="shared" si="312"/>
        <v>0</v>
      </c>
      <c r="F1094" s="349">
        <f>IF(C1094="",0,F1093)</f>
        <v>0</v>
      </c>
      <c r="G1094" s="347">
        <f t="shared" si="313"/>
        <v>0</v>
      </c>
    </row>
    <row r="1095" spans="1:7" ht="18.95" customHeight="1" x14ac:dyDescent="0.2">
      <c r="A1095" s="353"/>
      <c r="B1095" s="149"/>
      <c r="C1095" s="142"/>
      <c r="D1095" s="150"/>
      <c r="E1095" s="143"/>
      <c r="F1095" s="356" t="s">
        <v>30</v>
      </c>
      <c r="G1095" s="355">
        <f>SUBTOTAL(9,G1089:G1094)</f>
        <v>0</v>
      </c>
    </row>
    <row r="1096" spans="1:7" ht="18.95" customHeight="1" x14ac:dyDescent="0.2">
      <c r="A1096" s="156"/>
      <c r="B1096" s="142"/>
      <c r="C1096" s="157" t="s">
        <v>1047</v>
      </c>
      <c r="D1096" s="150"/>
      <c r="E1096" s="327"/>
      <c r="F1096" s="327"/>
      <c r="G1096" s="342"/>
    </row>
    <row r="1097" spans="1:7" ht="18.95" customHeight="1" x14ac:dyDescent="0.2">
      <c r="A1097" s="735" t="s">
        <v>582</v>
      </c>
      <c r="B1097" s="736"/>
      <c r="C1097" s="737" t="s">
        <v>0</v>
      </c>
      <c r="D1097" s="737" t="s">
        <v>1655</v>
      </c>
      <c r="E1097" s="737" t="s">
        <v>26</v>
      </c>
      <c r="F1097" s="737" t="s">
        <v>27</v>
      </c>
      <c r="G1097" s="733" t="s">
        <v>28</v>
      </c>
    </row>
    <row r="1098" spans="1:7" ht="18.95" customHeight="1" x14ac:dyDescent="0.2">
      <c r="A1098" s="154" t="s">
        <v>583</v>
      </c>
      <c r="B1098" s="155" t="s">
        <v>584</v>
      </c>
      <c r="C1098" s="738"/>
      <c r="D1098" s="738"/>
      <c r="E1098" s="738"/>
      <c r="F1098" s="738"/>
      <c r="G1098" s="734"/>
    </row>
    <row r="1099" spans="1:7" ht="18.95" customHeight="1" x14ac:dyDescent="0.2">
      <c r="A1099" s="348" t="str">
        <f t="shared" ref="A1099:A1110" si="314">IFERROR(VLOOKUP(C1099,Tabla_Insumos,4,FALSE),"")</f>
        <v/>
      </c>
      <c r="B1099" s="290" t="str">
        <f t="shared" ref="B1099:B1110" si="315">IFERROR(VLOOKUP(C1099,Tabla_Insumos,5,FALSE),"")</f>
        <v/>
      </c>
      <c r="C1099" s="290"/>
      <c r="D1099" s="608">
        <f t="shared" ref="D1099:D1110" si="316">IFERROR(VLOOKUP(C1099,Tabla_Insumos,2,FALSE),0)</f>
        <v>0</v>
      </c>
      <c r="E1099" s="293"/>
      <c r="F1099" s="346">
        <f t="shared" ref="F1099:F1110" si="317">IFERROR(VLOOKUP(C1099,Tabla_Insumos,3,FALSE),0)</f>
        <v>0</v>
      </c>
      <c r="G1099" s="347">
        <f t="shared" ref="G1099:G1110" si="318">ROUND(E1099*F1099,2)</f>
        <v>0</v>
      </c>
    </row>
    <row r="1100" spans="1:7" ht="18.95" customHeight="1" x14ac:dyDescent="0.2">
      <c r="A1100" s="348" t="str">
        <f t="shared" si="314"/>
        <v/>
      </c>
      <c r="B1100" s="290" t="str">
        <f t="shared" si="315"/>
        <v/>
      </c>
      <c r="C1100" s="126"/>
      <c r="D1100" s="608">
        <f t="shared" si="316"/>
        <v>0</v>
      </c>
      <c r="E1100" s="293"/>
      <c r="F1100" s="346">
        <f t="shared" si="317"/>
        <v>0</v>
      </c>
      <c r="G1100" s="347">
        <f t="shared" si="318"/>
        <v>0</v>
      </c>
    </row>
    <row r="1101" spans="1:7" ht="18.95" customHeight="1" x14ac:dyDescent="0.2">
      <c r="A1101" s="348" t="str">
        <f t="shared" si="314"/>
        <v/>
      </c>
      <c r="B1101" s="290" t="str">
        <f t="shared" si="315"/>
        <v/>
      </c>
      <c r="C1101" s="290"/>
      <c r="D1101" s="608">
        <f t="shared" si="316"/>
        <v>0</v>
      </c>
      <c r="E1101" s="293"/>
      <c r="F1101" s="346">
        <f t="shared" si="317"/>
        <v>0</v>
      </c>
      <c r="G1101" s="347">
        <f t="shared" si="318"/>
        <v>0</v>
      </c>
    </row>
    <row r="1102" spans="1:7" ht="18.95" customHeight="1" x14ac:dyDescent="0.2">
      <c r="A1102" s="348" t="str">
        <f t="shared" si="314"/>
        <v/>
      </c>
      <c r="B1102" s="290" t="str">
        <f t="shared" si="315"/>
        <v/>
      </c>
      <c r="C1102" s="290"/>
      <c r="D1102" s="608">
        <f t="shared" si="316"/>
        <v>0</v>
      </c>
      <c r="E1102" s="293"/>
      <c r="F1102" s="346">
        <f t="shared" si="317"/>
        <v>0</v>
      </c>
      <c r="G1102" s="347">
        <f t="shared" si="318"/>
        <v>0</v>
      </c>
    </row>
    <row r="1103" spans="1:7" ht="18.95" customHeight="1" x14ac:dyDescent="0.2">
      <c r="A1103" s="348" t="str">
        <f t="shared" si="314"/>
        <v/>
      </c>
      <c r="B1103" s="290" t="str">
        <f t="shared" si="315"/>
        <v/>
      </c>
      <c r="C1103" s="290"/>
      <c r="D1103" s="608">
        <f t="shared" si="316"/>
        <v>0</v>
      </c>
      <c r="E1103" s="293"/>
      <c r="F1103" s="346">
        <f t="shared" si="317"/>
        <v>0</v>
      </c>
      <c r="G1103" s="347">
        <f t="shared" si="318"/>
        <v>0</v>
      </c>
    </row>
    <row r="1104" spans="1:7" ht="18.95" customHeight="1" x14ac:dyDescent="0.2">
      <c r="A1104" s="348" t="str">
        <f t="shared" si="314"/>
        <v/>
      </c>
      <c r="B1104" s="290" t="str">
        <f t="shared" si="315"/>
        <v/>
      </c>
      <c r="C1104" s="290"/>
      <c r="D1104" s="608">
        <f t="shared" si="316"/>
        <v>0</v>
      </c>
      <c r="E1104" s="293"/>
      <c r="F1104" s="346">
        <f t="shared" si="317"/>
        <v>0</v>
      </c>
      <c r="G1104" s="347">
        <f t="shared" si="318"/>
        <v>0</v>
      </c>
    </row>
    <row r="1105" spans="1:7" ht="18.95" customHeight="1" x14ac:dyDescent="0.2">
      <c r="A1105" s="348" t="str">
        <f t="shared" si="314"/>
        <v/>
      </c>
      <c r="B1105" s="290" t="str">
        <f t="shared" si="315"/>
        <v/>
      </c>
      <c r="C1105" s="290"/>
      <c r="D1105" s="608">
        <f t="shared" si="316"/>
        <v>0</v>
      </c>
      <c r="E1105" s="293"/>
      <c r="F1105" s="346">
        <f t="shared" si="317"/>
        <v>0</v>
      </c>
      <c r="G1105" s="347">
        <f t="shared" si="318"/>
        <v>0</v>
      </c>
    </row>
    <row r="1106" spans="1:7" s="295" customFormat="1" ht="18.95" customHeight="1" x14ac:dyDescent="0.2">
      <c r="A1106" s="348" t="str">
        <f t="shared" si="314"/>
        <v/>
      </c>
      <c r="B1106" s="290" t="str">
        <f t="shared" si="315"/>
        <v/>
      </c>
      <c r="C1106" s="290"/>
      <c r="D1106" s="608">
        <f t="shared" si="316"/>
        <v>0</v>
      </c>
      <c r="E1106" s="323"/>
      <c r="F1106" s="346">
        <f t="shared" si="317"/>
        <v>0</v>
      </c>
      <c r="G1106" s="347">
        <f t="shared" si="318"/>
        <v>0</v>
      </c>
    </row>
    <row r="1107" spans="1:7" ht="18.95" customHeight="1" x14ac:dyDescent="0.2">
      <c r="A1107" s="348" t="str">
        <f t="shared" si="314"/>
        <v/>
      </c>
      <c r="B1107" s="290" t="str">
        <f t="shared" si="315"/>
        <v/>
      </c>
      <c r="C1107" s="290"/>
      <c r="D1107" s="608">
        <f t="shared" si="316"/>
        <v>0</v>
      </c>
      <c r="E1107" s="293"/>
      <c r="F1107" s="346">
        <f t="shared" si="317"/>
        <v>0</v>
      </c>
      <c r="G1107" s="347">
        <f t="shared" si="318"/>
        <v>0</v>
      </c>
    </row>
    <row r="1108" spans="1:7" ht="18.95" customHeight="1" x14ac:dyDescent="0.2">
      <c r="A1108" s="348" t="str">
        <f t="shared" si="314"/>
        <v/>
      </c>
      <c r="B1108" s="290" t="str">
        <f t="shared" si="315"/>
        <v/>
      </c>
      <c r="C1108" s="290"/>
      <c r="D1108" s="608">
        <f t="shared" si="316"/>
        <v>0</v>
      </c>
      <c r="E1108" s="293"/>
      <c r="F1108" s="346">
        <f t="shared" si="317"/>
        <v>0</v>
      </c>
      <c r="G1108" s="347">
        <f t="shared" si="318"/>
        <v>0</v>
      </c>
    </row>
    <row r="1109" spans="1:7" ht="18.95" customHeight="1" x14ac:dyDescent="0.2">
      <c r="A1109" s="348" t="str">
        <f t="shared" si="314"/>
        <v/>
      </c>
      <c r="B1109" s="290" t="str">
        <f t="shared" si="315"/>
        <v/>
      </c>
      <c r="C1109" s="290"/>
      <c r="D1109" s="608">
        <f t="shared" si="316"/>
        <v>0</v>
      </c>
      <c r="E1109" s="293"/>
      <c r="F1109" s="346">
        <f t="shared" si="317"/>
        <v>0</v>
      </c>
      <c r="G1109" s="347">
        <f t="shared" si="318"/>
        <v>0</v>
      </c>
    </row>
    <row r="1110" spans="1:7" ht="18.95" customHeight="1" x14ac:dyDescent="0.2">
      <c r="A1110" s="348" t="str">
        <f t="shared" si="314"/>
        <v/>
      </c>
      <c r="B1110" s="290" t="str">
        <f t="shared" si="315"/>
        <v/>
      </c>
      <c r="C1110" s="290"/>
      <c r="D1110" s="608">
        <f t="shared" si="316"/>
        <v>0</v>
      </c>
      <c r="E1110" s="293"/>
      <c r="F1110" s="346">
        <f t="shared" si="317"/>
        <v>0</v>
      </c>
      <c r="G1110" s="347">
        <f t="shared" si="318"/>
        <v>0</v>
      </c>
    </row>
    <row r="1111" spans="1:7" ht="18.95" customHeight="1" x14ac:dyDescent="0.2">
      <c r="A1111" s="156"/>
      <c r="B1111" s="142"/>
      <c r="C1111" s="142"/>
      <c r="D1111" s="150"/>
      <c r="E1111" s="143"/>
      <c r="F1111" s="356" t="s">
        <v>31</v>
      </c>
      <c r="G1111" s="355">
        <f>SUBTOTAL(9,G1099:G1110)</f>
        <v>0</v>
      </c>
    </row>
    <row r="1112" spans="1:7" ht="18.95" customHeight="1" x14ac:dyDescent="0.2">
      <c r="A1112" s="156"/>
      <c r="B1112" s="142"/>
      <c r="C1112" s="157" t="s">
        <v>1048</v>
      </c>
      <c r="D1112" s="150"/>
      <c r="E1112" s="327"/>
      <c r="F1112" s="327"/>
      <c r="G1112" s="342"/>
    </row>
    <row r="1113" spans="1:7" ht="18.95" customHeight="1" x14ac:dyDescent="0.2">
      <c r="A1113" s="735" t="s">
        <v>582</v>
      </c>
      <c r="B1113" s="736"/>
      <c r="C1113" s="737" t="s">
        <v>0</v>
      </c>
      <c r="D1113" s="739" t="s">
        <v>1750</v>
      </c>
      <c r="E1113" s="741" t="s">
        <v>26</v>
      </c>
      <c r="F1113" s="741" t="s">
        <v>27</v>
      </c>
      <c r="G1113" s="733" t="s">
        <v>28</v>
      </c>
    </row>
    <row r="1114" spans="1:7" ht="18.95" customHeight="1" x14ac:dyDescent="0.2">
      <c r="A1114" s="154" t="s">
        <v>583</v>
      </c>
      <c r="B1114" s="155" t="s">
        <v>584</v>
      </c>
      <c r="C1114" s="738"/>
      <c r="D1114" s="740"/>
      <c r="E1114" s="742"/>
      <c r="F1114" s="742"/>
      <c r="G1114" s="734"/>
    </row>
    <row r="1115" spans="1:7" ht="18.95" customHeight="1" x14ac:dyDescent="0.2">
      <c r="A1115" s="348" t="str">
        <f>IFERROR(VLOOKUP(C1115,Tabla_Insumos,4,FALSE),"")</f>
        <v/>
      </c>
      <c r="B1115" s="290" t="s">
        <v>4</v>
      </c>
      <c r="C1115" s="290"/>
      <c r="D1115" s="293"/>
      <c r="E1115" s="322"/>
      <c r="F1115" s="324"/>
      <c r="G1115" s="347">
        <f t="shared" ref="G1115" si="319">ROUND(E1115*F1115,2)</f>
        <v>0</v>
      </c>
    </row>
    <row r="1116" spans="1:7" ht="18.95" customHeight="1" x14ac:dyDescent="0.2">
      <c r="A1116" s="156"/>
      <c r="B1116" s="142"/>
      <c r="C1116" s="142"/>
      <c r="D1116" s="150"/>
      <c r="E1116" s="143"/>
      <c r="F1116" s="356" t="s">
        <v>1049</v>
      </c>
      <c r="G1116" s="355">
        <f>SUBTOTAL(9,G1115:G1115)</f>
        <v>0</v>
      </c>
    </row>
    <row r="1117" spans="1:7" ht="18.95" customHeight="1" thickBot="1" x14ac:dyDescent="0.25">
      <c r="A1117" s="158"/>
      <c r="B1117" s="159"/>
      <c r="C1117" s="160"/>
      <c r="D1117" s="161"/>
      <c r="E1117" s="357"/>
      <c r="F1117" s="357"/>
      <c r="G1117" s="358"/>
    </row>
    <row r="1118" spans="1:7" ht="18.95" customHeight="1" x14ac:dyDescent="0.2">
      <c r="A1118" s="359">
        <f>B1057</f>
        <v>16</v>
      </c>
      <c r="B1118" s="360" t="str">
        <f>C1057</f>
        <v>CONSTRUCCIÓN DE CORDÓN CUNETA</v>
      </c>
      <c r="C1118" s="361"/>
      <c r="D1118" s="361"/>
      <c r="E1118" s="361" t="s">
        <v>1050</v>
      </c>
      <c r="F1118" s="362" t="str">
        <f>CONCATENATE("$/",G1057)</f>
        <v>$/m</v>
      </c>
      <c r="G1118" s="363">
        <f>SUBTOTAL(9,G1077:G1117)</f>
        <v>0</v>
      </c>
    </row>
    <row r="1119" spans="1:7" ht="18.95" customHeight="1" thickBot="1" x14ac:dyDescent="0.25">
      <c r="A1119" s="364"/>
      <c r="B1119" s="365"/>
      <c r="C1119" s="365"/>
      <c r="D1119" s="365"/>
      <c r="E1119" s="366" t="s">
        <v>1051</v>
      </c>
      <c r="F1119" s="367" t="str">
        <f>CONCATENATE("$/",G1057)</f>
        <v>$/m</v>
      </c>
      <c r="G1119" s="368" t="e">
        <f ca="1">PrecioUnitario(G1118,GG_Porcentaje,Beneficio,Ingresos_Brutos,IVA)</f>
        <v>#NAME?</v>
      </c>
    </row>
    <row r="1120" spans="1:7" ht="18.95" customHeight="1" thickTop="1" thickBot="1" x14ac:dyDescent="0.25">
      <c r="F1120" s="294"/>
      <c r="G1120" s="294"/>
    </row>
    <row r="1121" spans="1:8" ht="18.95" customHeight="1" thickTop="1" x14ac:dyDescent="0.2">
      <c r="A1121" s="194" t="s">
        <v>33</v>
      </c>
      <c r="B1121" s="195"/>
      <c r="C1121" s="195"/>
      <c r="D1121" s="195"/>
      <c r="E1121" s="195"/>
      <c r="F1121" s="195"/>
      <c r="G1121" s="196"/>
      <c r="H1121" s="143">
        <f>COUNTIF($A$1:A1127,"ANALISIS DE PRECIOS")</f>
        <v>17</v>
      </c>
    </row>
    <row r="1122" spans="1:8" ht="18.95" customHeight="1" x14ac:dyDescent="0.2">
      <c r="A1122" s="144" t="s">
        <v>720</v>
      </c>
      <c r="B1122" s="145" t="str">
        <f>Comitente</f>
        <v>DIRECCIÓN PROVINCIAL DE VIALIDAD</v>
      </c>
      <c r="C1122" s="139"/>
      <c r="D1122" s="146"/>
      <c r="E1122" s="325"/>
      <c r="F1122" s="325"/>
      <c r="G1122" s="326"/>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PAVIMENTACION Y ENSANCHE DE RUTA PROVINCIAL N°7 AV. JOAQUIN UÑAC</v>
      </c>
      <c r="C1124" s="140"/>
      <c r="D1124" s="140"/>
      <c r="E1124" s="143"/>
      <c r="F1124" s="145" t="s">
        <v>34</v>
      </c>
      <c r="G1124" s="147">
        <f>Fecha_Base</f>
        <v>43444</v>
      </c>
      <c r="H1124" s="143"/>
    </row>
    <row r="1125" spans="1:8" ht="18.95" customHeight="1" x14ac:dyDescent="0.2">
      <c r="A1125" s="148" t="s">
        <v>719</v>
      </c>
      <c r="B1125" s="141" t="str">
        <f>Ubicación</f>
        <v>DEPARTAMENTO POCITO</v>
      </c>
      <c r="C1125" s="141"/>
      <c r="D1125" s="150"/>
      <c r="E1125" s="143"/>
      <c r="F1125" s="327"/>
      <c r="G1125" s="328"/>
      <c r="H1125" s="143"/>
    </row>
    <row r="1126" spans="1:8" ht="18.95" customHeight="1" x14ac:dyDescent="0.2">
      <c r="A1126" s="148" t="s">
        <v>35</v>
      </c>
      <c r="B1126" s="151" t="str">
        <f>IFERROR(VALUE(LEFT(B1127,FIND("-",B1127)-1)),"")</f>
        <v/>
      </c>
      <c r="C1126" s="142" t="str">
        <f>IFERROR(VLOOKUP(B1126,Tabla_CyP,2,FALSE),"")</f>
        <v/>
      </c>
      <c r="D1126" s="150"/>
      <c r="E1126" s="143"/>
      <c r="F1126" s="327"/>
      <c r="G1126" s="328"/>
      <c r="H1126" s="143"/>
    </row>
    <row r="1127" spans="1:8" ht="18.95" customHeight="1" x14ac:dyDescent="0.2">
      <c r="A1127" s="148" t="s">
        <v>24</v>
      </c>
      <c r="B1127" s="152">
        <f>IFERROR(VLOOKUP(COUNTIF($A$1:A1127,"ANALISIS DE PRECIOS"),Tabla_NumeroItem,4,FALSE),"")</f>
        <v>17</v>
      </c>
      <c r="C1127" s="745" t="str">
        <f>IFERROR(VLOOKUP(B1127,Tabla_CyP,2,FALSE),"")</f>
        <v>ACERO ESPECIAL EN BARRA COLOCADO</v>
      </c>
      <c r="D1127" s="745"/>
      <c r="E1127" s="745"/>
      <c r="F1127" s="141" t="s">
        <v>25</v>
      </c>
      <c r="G1127" s="153" t="str">
        <f>IFERROR(VLOOKUP(B1127,Tabla_CyP,4,FALSE),"")</f>
        <v>Tn</v>
      </c>
      <c r="H1127" s="143"/>
    </row>
    <row r="1128" spans="1:8" ht="18.95" customHeight="1" x14ac:dyDescent="0.2">
      <c r="A1128" s="148"/>
      <c r="B1128" s="141"/>
      <c r="C1128" s="142"/>
      <c r="D1128" s="150"/>
      <c r="E1128" s="142"/>
      <c r="F1128" s="142"/>
      <c r="G1128" s="329"/>
      <c r="H1128" s="143"/>
    </row>
    <row r="1129" spans="1:8" ht="18.95" customHeight="1" x14ac:dyDescent="0.2">
      <c r="A1129" s="330"/>
      <c r="B1129" s="331"/>
      <c r="C1129" s="332" t="s">
        <v>1032</v>
      </c>
      <c r="D1129" s="331"/>
      <c r="E1129" s="331"/>
      <c r="F1129" s="331"/>
      <c r="G1129" s="333"/>
      <c r="H1129" s="143"/>
    </row>
    <row r="1130" spans="1:8" ht="18.95" customHeight="1" x14ac:dyDescent="0.2">
      <c r="A1130" s="148"/>
      <c r="B1130" s="334"/>
      <c r="C1130" s="335" t="s">
        <v>1033</v>
      </c>
      <c r="D1130" s="336" t="s">
        <v>26</v>
      </c>
      <c r="E1130" s="336" t="s">
        <v>1034</v>
      </c>
      <c r="F1130" s="336" t="s">
        <v>1035</v>
      </c>
      <c r="G1130" s="337" t="s">
        <v>1036</v>
      </c>
      <c r="H1130" s="143"/>
    </row>
    <row r="1131" spans="1:8" ht="18.95" customHeight="1" x14ac:dyDescent="0.2">
      <c r="A1131" s="343"/>
      <c r="B1131" s="344"/>
      <c r="C1131" s="290"/>
      <c r="D1131" s="293"/>
      <c r="E1131" s="345"/>
      <c r="F1131" s="346"/>
      <c r="G1131" s="347">
        <f t="shared" ref="G1131:G1140" si="320">ROUND(D1131*F1131,2)</f>
        <v>0</v>
      </c>
    </row>
    <row r="1132" spans="1:8" ht="18.95" customHeight="1" x14ac:dyDescent="0.2">
      <c r="A1132" s="343"/>
      <c r="B1132" s="344"/>
      <c r="C1132" s="290"/>
      <c r="D1132" s="293"/>
      <c r="E1132" s="345"/>
      <c r="F1132" s="346"/>
      <c r="G1132" s="347">
        <f t="shared" si="320"/>
        <v>0</v>
      </c>
    </row>
    <row r="1133" spans="1:8" ht="18.95" customHeight="1" x14ac:dyDescent="0.2">
      <c r="A1133" s="343"/>
      <c r="B1133" s="344"/>
      <c r="C1133" s="290"/>
      <c r="D1133" s="293"/>
      <c r="E1133" s="345">
        <f t="shared" ref="E1133:E1140" si="321">IFERROR(VLOOKUP(C1133,T_Equipos,4,FALSE),0)</f>
        <v>0</v>
      </c>
      <c r="F1133" s="346">
        <f t="shared" ref="F1133:F1140" si="322">IFERROR(VLOOKUP(C1133,T_Equipos,11,FALSE),0)</f>
        <v>0</v>
      </c>
      <c r="G1133" s="347">
        <f t="shared" si="320"/>
        <v>0</v>
      </c>
    </row>
    <row r="1134" spans="1:8" ht="18.95" customHeight="1" x14ac:dyDescent="0.2">
      <c r="A1134" s="343"/>
      <c r="B1134" s="344"/>
      <c r="C1134" s="290"/>
      <c r="D1134" s="293"/>
      <c r="E1134" s="345">
        <f t="shared" si="321"/>
        <v>0</v>
      </c>
      <c r="F1134" s="346">
        <f t="shared" si="322"/>
        <v>0</v>
      </c>
      <c r="G1134" s="347">
        <f t="shared" si="320"/>
        <v>0</v>
      </c>
    </row>
    <row r="1135" spans="1:8" ht="18.95" customHeight="1" x14ac:dyDescent="0.2">
      <c r="A1135" s="343"/>
      <c r="B1135" s="344"/>
      <c r="C1135" s="290"/>
      <c r="D1135" s="293"/>
      <c r="E1135" s="345">
        <f t="shared" si="321"/>
        <v>0</v>
      </c>
      <c r="F1135" s="346">
        <f t="shared" si="322"/>
        <v>0</v>
      </c>
      <c r="G1135" s="347">
        <f t="shared" si="320"/>
        <v>0</v>
      </c>
    </row>
    <row r="1136" spans="1:8" ht="18.95" customHeight="1" x14ac:dyDescent="0.2">
      <c r="A1136" s="343"/>
      <c r="B1136" s="344"/>
      <c r="C1136" s="290"/>
      <c r="D1136" s="293"/>
      <c r="E1136" s="345">
        <f t="shared" si="321"/>
        <v>0</v>
      </c>
      <c r="F1136" s="346">
        <f t="shared" si="322"/>
        <v>0</v>
      </c>
      <c r="G1136" s="347">
        <f t="shared" si="320"/>
        <v>0</v>
      </c>
    </row>
    <row r="1137" spans="1:7" ht="18.95" customHeight="1" x14ac:dyDescent="0.2">
      <c r="A1137" s="343"/>
      <c r="B1137" s="344"/>
      <c r="C1137" s="290"/>
      <c r="D1137" s="293"/>
      <c r="E1137" s="345">
        <f t="shared" si="321"/>
        <v>0</v>
      </c>
      <c r="F1137" s="346">
        <f t="shared" si="322"/>
        <v>0</v>
      </c>
      <c r="G1137" s="347">
        <f t="shared" si="320"/>
        <v>0</v>
      </c>
    </row>
    <row r="1138" spans="1:7" ht="18.95" customHeight="1" x14ac:dyDescent="0.2">
      <c r="A1138" s="343"/>
      <c r="B1138" s="344"/>
      <c r="C1138" s="290"/>
      <c r="D1138" s="293"/>
      <c r="E1138" s="345">
        <f t="shared" si="321"/>
        <v>0</v>
      </c>
      <c r="F1138" s="346">
        <f t="shared" si="322"/>
        <v>0</v>
      </c>
      <c r="G1138" s="347">
        <f t="shared" si="320"/>
        <v>0</v>
      </c>
    </row>
    <row r="1139" spans="1:7" ht="18.95" customHeight="1" x14ac:dyDescent="0.2">
      <c r="A1139" s="343"/>
      <c r="B1139" s="344"/>
      <c r="C1139" s="290"/>
      <c r="D1139" s="293"/>
      <c r="E1139" s="345">
        <f t="shared" si="321"/>
        <v>0</v>
      </c>
      <c r="F1139" s="346">
        <f t="shared" si="322"/>
        <v>0</v>
      </c>
      <c r="G1139" s="347">
        <f t="shared" si="320"/>
        <v>0</v>
      </c>
    </row>
    <row r="1140" spans="1:7" ht="18.95" customHeight="1" thickBot="1" x14ac:dyDescent="0.25">
      <c r="A1140" s="343"/>
      <c r="B1140" s="344"/>
      <c r="C1140" s="290"/>
      <c r="D1140" s="293"/>
      <c r="E1140" s="345">
        <f t="shared" si="321"/>
        <v>0</v>
      </c>
      <c r="F1140" s="346">
        <f t="shared" si="322"/>
        <v>0</v>
      </c>
      <c r="G1140" s="347">
        <f t="shared" si="320"/>
        <v>0</v>
      </c>
    </row>
    <row r="1141" spans="1:7" ht="18.95" customHeight="1" thickBot="1" x14ac:dyDescent="0.25">
      <c r="A1141" s="148"/>
      <c r="B1141" s="334"/>
      <c r="C1141" s="143"/>
      <c r="D1141" s="146" t="s">
        <v>1037</v>
      </c>
      <c r="E1141" s="338">
        <f>SUMPRODUCT(D1131:D1140,E1131:E1140)</f>
        <v>0</v>
      </c>
      <c r="F1141" s="141" t="s">
        <v>1038</v>
      </c>
      <c r="G1141" s="339">
        <f>SUM(G1131:G1140)</f>
        <v>0</v>
      </c>
    </row>
    <row r="1142" spans="1:7" ht="18.95" customHeight="1" x14ac:dyDescent="0.2">
      <c r="A1142" s="148"/>
      <c r="B1142" s="334"/>
      <c r="C1142" s="141" t="s">
        <v>1039</v>
      </c>
      <c r="D1142" s="320"/>
      <c r="E1142" s="340" t="str">
        <f>CONCATENATE(G1127,"/día")</f>
        <v>Tn/día</v>
      </c>
      <c r="F1142" s="141"/>
      <c r="G1142" s="341"/>
    </row>
    <row r="1143" spans="1:7" ht="18.95" customHeight="1" x14ac:dyDescent="0.2">
      <c r="A1143" s="148"/>
      <c r="B1143" s="334"/>
      <c r="C1143" s="142"/>
      <c r="D1143" s="150"/>
      <c r="E1143" s="141"/>
      <c r="F1143" s="141"/>
      <c r="G1143" s="341"/>
    </row>
    <row r="1144" spans="1:7" ht="18.95" customHeight="1" x14ac:dyDescent="0.2">
      <c r="A1144" s="735" t="s">
        <v>582</v>
      </c>
      <c r="B1144" s="736"/>
      <c r="C1144" s="737" t="s">
        <v>0</v>
      </c>
      <c r="D1144" s="743" t="s">
        <v>1053</v>
      </c>
      <c r="E1144" s="743" t="s">
        <v>1706</v>
      </c>
      <c r="F1144" s="743" t="s">
        <v>1054</v>
      </c>
      <c r="G1144" s="743" t="s">
        <v>1055</v>
      </c>
    </row>
    <row r="1145" spans="1:7" ht="18.95" customHeight="1" x14ac:dyDescent="0.2">
      <c r="A1145" s="154" t="s">
        <v>583</v>
      </c>
      <c r="B1145" s="155" t="s">
        <v>584</v>
      </c>
      <c r="C1145" s="738"/>
      <c r="D1145" s="742"/>
      <c r="E1145" s="742"/>
      <c r="F1145" s="744"/>
      <c r="G1145" s="742"/>
    </row>
    <row r="1146" spans="1:7" ht="18.95" customHeight="1" x14ac:dyDescent="0.2">
      <c r="A1146" s="156"/>
      <c r="B1146" s="142"/>
      <c r="C1146" s="157" t="s">
        <v>1041</v>
      </c>
      <c r="D1146" s="150"/>
      <c r="E1146" s="142"/>
      <c r="F1146" s="142"/>
      <c r="G1146" s="342"/>
    </row>
    <row r="1147" spans="1:7" ht="18.95" customHeight="1" x14ac:dyDescent="0.2">
      <c r="A1147" s="348" t="str">
        <f t="shared" ref="A1147:A1154" si="323">IFERROR(VLOOKUP(C1147,Tabla_Insumos,4,FALSE),"")</f>
        <v/>
      </c>
      <c r="B1147" s="290" t="str">
        <f t="shared" ref="B1147:B1154" si="324">IFERROR(VLOOKUP(C1147,Tabla_Insumos,5,FALSE),"")</f>
        <v/>
      </c>
      <c r="C1147" s="290"/>
      <c r="D1147" s="607">
        <f t="shared" ref="D1147:D1154" si="325">IFERROR(VLOOKUP(C1147,Tabla_Insumos,3,FALSE),0)</f>
        <v>0</v>
      </c>
      <c r="E1147" s="349">
        <f>D1147*$G$21</f>
        <v>0</v>
      </c>
      <c r="F1147" s="350">
        <f>IF(C1147="",0,D1142)</f>
        <v>0</v>
      </c>
      <c r="G1147" s="347">
        <f>IFERROR(ROUND(E1147/F1147,2),0)</f>
        <v>0</v>
      </c>
    </row>
    <row r="1148" spans="1:7" ht="18.95" customHeight="1" x14ac:dyDescent="0.2">
      <c r="A1148" s="348" t="str">
        <f t="shared" si="323"/>
        <v/>
      </c>
      <c r="B1148" s="290" t="str">
        <f t="shared" si="324"/>
        <v/>
      </c>
      <c r="C1148" s="321"/>
      <c r="D1148" s="607">
        <f t="shared" si="325"/>
        <v>0</v>
      </c>
      <c r="E1148" s="349">
        <f t="shared" ref="E1148:E1149" si="326">D1148*$G$21</f>
        <v>0</v>
      </c>
      <c r="F1148" s="350">
        <f t="shared" ref="F1148:F1151" si="327">IF(C1148="",0,F1147)</f>
        <v>0</v>
      </c>
      <c r="G1148" s="347">
        <f t="shared" ref="G1148:G1154" si="328">IFERROR(ROUND(E1148/F1148,2),0)</f>
        <v>0</v>
      </c>
    </row>
    <row r="1149" spans="1:7" ht="18.95" customHeight="1" x14ac:dyDescent="0.2">
      <c r="A1149" s="348" t="str">
        <f t="shared" si="323"/>
        <v/>
      </c>
      <c r="B1149" s="290" t="str">
        <f t="shared" si="324"/>
        <v/>
      </c>
      <c r="C1149" s="321"/>
      <c r="D1149" s="607">
        <f t="shared" si="325"/>
        <v>0</v>
      </c>
      <c r="E1149" s="349">
        <f t="shared" si="326"/>
        <v>0</v>
      </c>
      <c r="F1149" s="350">
        <f t="shared" si="327"/>
        <v>0</v>
      </c>
      <c r="G1149" s="347">
        <f t="shared" si="328"/>
        <v>0</v>
      </c>
    </row>
    <row r="1150" spans="1:7" ht="18.95" customHeight="1" x14ac:dyDescent="0.2">
      <c r="A1150" s="348" t="str">
        <f t="shared" si="323"/>
        <v/>
      </c>
      <c r="B1150" s="290" t="str">
        <f t="shared" si="324"/>
        <v/>
      </c>
      <c r="C1150" s="321"/>
      <c r="D1150" s="607">
        <f t="shared" si="325"/>
        <v>0</v>
      </c>
      <c r="E1150" s="349">
        <f>D1150*$E$21</f>
        <v>0</v>
      </c>
      <c r="F1150" s="350">
        <f t="shared" si="327"/>
        <v>0</v>
      </c>
      <c r="G1150" s="347">
        <f t="shared" si="328"/>
        <v>0</v>
      </c>
    </row>
    <row r="1151" spans="1:7" ht="18.95" customHeight="1" x14ac:dyDescent="0.2">
      <c r="A1151" s="348" t="str">
        <f t="shared" si="323"/>
        <v/>
      </c>
      <c r="B1151" s="290" t="str">
        <f t="shared" si="324"/>
        <v/>
      </c>
      <c r="C1151" s="321"/>
      <c r="D1151" s="607">
        <f t="shared" si="325"/>
        <v>0</v>
      </c>
      <c r="E1151" s="349">
        <f>D1151*$E$21</f>
        <v>0</v>
      </c>
      <c r="F1151" s="350">
        <f t="shared" si="327"/>
        <v>0</v>
      </c>
      <c r="G1151" s="347">
        <f t="shared" si="328"/>
        <v>0</v>
      </c>
    </row>
    <row r="1152" spans="1:7" ht="18.95" customHeight="1" x14ac:dyDescent="0.2">
      <c r="A1152" s="348" t="str">
        <f t="shared" si="323"/>
        <v/>
      </c>
      <c r="B1152" s="290" t="str">
        <f t="shared" si="324"/>
        <v/>
      </c>
      <c r="C1152" s="321"/>
      <c r="D1152" s="607">
        <f t="shared" si="325"/>
        <v>0</v>
      </c>
      <c r="E1152" s="349"/>
      <c r="F1152" s="350">
        <f>IF(C1152="",0,F1151)</f>
        <v>0</v>
      </c>
      <c r="G1152" s="347">
        <f t="shared" si="328"/>
        <v>0</v>
      </c>
    </row>
    <row r="1153" spans="1:7" ht="18.95" customHeight="1" x14ac:dyDescent="0.2">
      <c r="A1153" s="348" t="str">
        <f t="shared" si="323"/>
        <v/>
      </c>
      <c r="B1153" s="290" t="str">
        <f t="shared" si="324"/>
        <v/>
      </c>
      <c r="C1153" s="321"/>
      <c r="D1153" s="607">
        <f t="shared" si="325"/>
        <v>0</v>
      </c>
      <c r="E1153" s="349"/>
      <c r="F1153" s="350">
        <f t="shared" ref="F1153:F1154" si="329">IF(C1153="",0,F1152)</f>
        <v>0</v>
      </c>
      <c r="G1153" s="347">
        <f t="shared" si="328"/>
        <v>0</v>
      </c>
    </row>
    <row r="1154" spans="1:7" ht="18.95" customHeight="1" x14ac:dyDescent="0.2">
      <c r="A1154" s="348" t="str">
        <f t="shared" si="323"/>
        <v/>
      </c>
      <c r="B1154" s="290" t="str">
        <f t="shared" si="324"/>
        <v/>
      </c>
      <c r="C1154" s="321"/>
      <c r="D1154" s="607">
        <f t="shared" si="325"/>
        <v>0</v>
      </c>
      <c r="E1154" s="349"/>
      <c r="F1154" s="350">
        <f t="shared" si="329"/>
        <v>0</v>
      </c>
      <c r="G1154" s="347">
        <f t="shared" si="328"/>
        <v>0</v>
      </c>
    </row>
    <row r="1155" spans="1:7" ht="18.95" customHeight="1" x14ac:dyDescent="0.2">
      <c r="A1155" s="353"/>
      <c r="B1155" s="149"/>
      <c r="C1155" s="142"/>
      <c r="D1155" s="150"/>
      <c r="E1155" s="143"/>
      <c r="F1155" s="354" t="s">
        <v>29</v>
      </c>
      <c r="G1155" s="355">
        <f>SUBTOTAL(9,G1147:G1154)</f>
        <v>0</v>
      </c>
    </row>
    <row r="1156" spans="1:7" ht="18.95" customHeight="1" x14ac:dyDescent="0.2">
      <c r="A1156" s="156"/>
      <c r="B1156" s="142"/>
      <c r="C1156" s="157" t="s">
        <v>722</v>
      </c>
      <c r="D1156" s="150"/>
      <c r="E1156" s="327"/>
      <c r="F1156" s="327"/>
      <c r="G1156" s="342"/>
    </row>
    <row r="1157" spans="1:7" ht="18.95" customHeight="1" x14ac:dyDescent="0.2">
      <c r="A1157" s="735" t="s">
        <v>582</v>
      </c>
      <c r="B1157" s="736"/>
      <c r="C1157" s="737" t="s">
        <v>0</v>
      </c>
      <c r="D1157" s="739" t="s">
        <v>26</v>
      </c>
      <c r="E1157" s="743" t="s">
        <v>1707</v>
      </c>
      <c r="F1157" s="741" t="s">
        <v>1040</v>
      </c>
      <c r="G1157" s="733" t="s">
        <v>28</v>
      </c>
    </row>
    <row r="1158" spans="1:7" ht="18.95" customHeight="1" x14ac:dyDescent="0.2">
      <c r="A1158" s="154" t="s">
        <v>583</v>
      </c>
      <c r="B1158" s="155" t="s">
        <v>584</v>
      </c>
      <c r="C1158" s="738"/>
      <c r="D1158" s="740"/>
      <c r="E1158" s="742"/>
      <c r="F1158" s="742"/>
      <c r="G1158" s="734"/>
    </row>
    <row r="1159" spans="1:7" ht="18.95" customHeight="1" x14ac:dyDescent="0.2">
      <c r="A1159" s="348" t="str">
        <f t="shared" ref="A1159:A1164" si="330">IFERROR(VLOOKUP(C1159,Tabla_Insumos,4,FALSE),"")</f>
        <v/>
      </c>
      <c r="B1159" s="290" t="str">
        <f t="shared" ref="B1159:B1164" si="331">IFERROR(VLOOKUP(C1159,Tabla_Insumos,5,FALSE),"")</f>
        <v/>
      </c>
      <c r="C1159" s="291"/>
      <c r="D1159" s="293"/>
      <c r="E1159" s="346">
        <f t="shared" ref="E1159:E1164" si="332">IFERROR(VLOOKUP(C1159,Tabla_Insumos,3,FALSE),0)</f>
        <v>0</v>
      </c>
      <c r="F1159" s="349">
        <f>IF(C1159="",0,D1142)</f>
        <v>0</v>
      </c>
      <c r="G1159" s="347">
        <f t="shared" ref="G1159:G1164" si="333">IFERROR(ROUND(D1159*E1159/F1159,2),0)</f>
        <v>0</v>
      </c>
    </row>
    <row r="1160" spans="1:7" ht="18.95" customHeight="1" x14ac:dyDescent="0.2">
      <c r="A1160" s="348" t="str">
        <f t="shared" si="330"/>
        <v/>
      </c>
      <c r="B1160" s="290" t="str">
        <f t="shared" si="331"/>
        <v/>
      </c>
      <c r="C1160" s="290"/>
      <c r="D1160" s="293"/>
      <c r="E1160" s="346">
        <f t="shared" si="332"/>
        <v>0</v>
      </c>
      <c r="F1160" s="349">
        <f>IF(C1160="",0,F1159)</f>
        <v>0</v>
      </c>
      <c r="G1160" s="347">
        <f t="shared" si="333"/>
        <v>0</v>
      </c>
    </row>
    <row r="1161" spans="1:7" ht="18.95" customHeight="1" x14ac:dyDescent="0.2">
      <c r="A1161" s="348" t="str">
        <f t="shared" si="330"/>
        <v/>
      </c>
      <c r="B1161" s="290" t="str">
        <f t="shared" si="331"/>
        <v/>
      </c>
      <c r="C1161" s="290"/>
      <c r="D1161" s="293"/>
      <c r="E1161" s="346">
        <f t="shared" si="332"/>
        <v>0</v>
      </c>
      <c r="F1161" s="349">
        <f>IF(C1161="",0,F1160)</f>
        <v>0</v>
      </c>
      <c r="G1161" s="347">
        <f t="shared" si="333"/>
        <v>0</v>
      </c>
    </row>
    <row r="1162" spans="1:7" ht="18.95" customHeight="1" x14ac:dyDescent="0.2">
      <c r="A1162" s="348" t="str">
        <f t="shared" si="330"/>
        <v/>
      </c>
      <c r="B1162" s="290" t="str">
        <f t="shared" si="331"/>
        <v/>
      </c>
      <c r="C1162" s="290"/>
      <c r="D1162" s="293"/>
      <c r="E1162" s="346">
        <f t="shared" si="332"/>
        <v>0</v>
      </c>
      <c r="F1162" s="349">
        <f>IF(C1162="",0,F1161)</f>
        <v>0</v>
      </c>
      <c r="G1162" s="347">
        <f t="shared" si="333"/>
        <v>0</v>
      </c>
    </row>
    <row r="1163" spans="1:7" ht="18.95" customHeight="1" x14ac:dyDescent="0.2">
      <c r="A1163" s="348" t="str">
        <f t="shared" si="330"/>
        <v/>
      </c>
      <c r="B1163" s="290" t="str">
        <f t="shared" si="331"/>
        <v/>
      </c>
      <c r="C1163" s="290"/>
      <c r="D1163" s="351"/>
      <c r="E1163" s="346">
        <f t="shared" si="332"/>
        <v>0</v>
      </c>
      <c r="F1163" s="349">
        <f>IF(C1163="",0,F1162)</f>
        <v>0</v>
      </c>
      <c r="G1163" s="347">
        <f t="shared" si="333"/>
        <v>0</v>
      </c>
    </row>
    <row r="1164" spans="1:7" ht="18.95" customHeight="1" x14ac:dyDescent="0.2">
      <c r="A1164" s="348" t="str">
        <f t="shared" si="330"/>
        <v/>
      </c>
      <c r="B1164" s="290" t="str">
        <f t="shared" si="331"/>
        <v/>
      </c>
      <c r="C1164" s="290"/>
      <c r="D1164" s="293"/>
      <c r="E1164" s="346">
        <f t="shared" si="332"/>
        <v>0</v>
      </c>
      <c r="F1164" s="349">
        <f>IF(C1164="",0,F1163)</f>
        <v>0</v>
      </c>
      <c r="G1164" s="347">
        <f t="shared" si="333"/>
        <v>0</v>
      </c>
    </row>
    <row r="1165" spans="1:7" ht="18.95" customHeight="1" x14ac:dyDescent="0.2">
      <c r="A1165" s="353"/>
      <c r="B1165" s="149"/>
      <c r="C1165" s="142"/>
      <c r="D1165" s="150"/>
      <c r="E1165" s="143"/>
      <c r="F1165" s="356" t="s">
        <v>30</v>
      </c>
      <c r="G1165" s="355">
        <f>SUBTOTAL(9,G1159:G1164)</f>
        <v>0</v>
      </c>
    </row>
    <row r="1166" spans="1:7" ht="18.95" customHeight="1" x14ac:dyDescent="0.2">
      <c r="A1166" s="156"/>
      <c r="B1166" s="142"/>
      <c r="C1166" s="157" t="s">
        <v>1047</v>
      </c>
      <c r="D1166" s="150"/>
      <c r="E1166" s="327"/>
      <c r="F1166" s="327"/>
      <c r="G1166" s="342"/>
    </row>
    <row r="1167" spans="1:7" ht="18.95" customHeight="1" x14ac:dyDescent="0.2">
      <c r="A1167" s="735" t="s">
        <v>582</v>
      </c>
      <c r="B1167" s="736"/>
      <c r="C1167" s="737" t="s">
        <v>0</v>
      </c>
      <c r="D1167" s="737" t="s">
        <v>1655</v>
      </c>
      <c r="E1167" s="737" t="s">
        <v>26</v>
      </c>
      <c r="F1167" s="737" t="s">
        <v>27</v>
      </c>
      <c r="G1167" s="733" t="s">
        <v>28</v>
      </c>
    </row>
    <row r="1168" spans="1:7" ht="18.95" customHeight="1" x14ac:dyDescent="0.2">
      <c r="A1168" s="154" t="s">
        <v>583</v>
      </c>
      <c r="B1168" s="155" t="s">
        <v>584</v>
      </c>
      <c r="C1168" s="738"/>
      <c r="D1168" s="738"/>
      <c r="E1168" s="738"/>
      <c r="F1168" s="738"/>
      <c r="G1168" s="734"/>
    </row>
    <row r="1169" spans="1:7" ht="18.95" customHeight="1" x14ac:dyDescent="0.2">
      <c r="A1169" s="348" t="str">
        <f t="shared" ref="A1169:A1180" si="334">IFERROR(VLOOKUP(C1169,Tabla_Insumos,4,FALSE),"")</f>
        <v/>
      </c>
      <c r="B1169" s="290" t="str">
        <f t="shared" ref="B1169:B1180" si="335">IFERROR(VLOOKUP(C1169,Tabla_Insumos,5,FALSE),"")</f>
        <v/>
      </c>
      <c r="C1169" s="290"/>
      <c r="D1169" s="608">
        <f t="shared" ref="D1169:D1180" si="336">IFERROR(VLOOKUP(C1169,Tabla_Insumos,2,FALSE),0)</f>
        <v>0</v>
      </c>
      <c r="E1169" s="293"/>
      <c r="F1169" s="346">
        <f t="shared" ref="F1169:F1180" si="337">IFERROR(VLOOKUP(C1169,Tabla_Insumos,3,FALSE),0)</f>
        <v>0</v>
      </c>
      <c r="G1169" s="347">
        <f t="shared" ref="G1169:G1180" si="338">ROUND(E1169*F1169,2)</f>
        <v>0</v>
      </c>
    </row>
    <row r="1170" spans="1:7" ht="18.95" customHeight="1" x14ac:dyDescent="0.2">
      <c r="A1170" s="348" t="str">
        <f t="shared" si="334"/>
        <v/>
      </c>
      <c r="B1170" s="290" t="str">
        <f t="shared" si="335"/>
        <v/>
      </c>
      <c r="C1170" s="126"/>
      <c r="D1170" s="608">
        <f t="shared" si="336"/>
        <v>0</v>
      </c>
      <c r="E1170" s="293"/>
      <c r="F1170" s="346">
        <f t="shared" si="337"/>
        <v>0</v>
      </c>
      <c r="G1170" s="347">
        <f t="shared" si="338"/>
        <v>0</v>
      </c>
    </row>
    <row r="1171" spans="1:7" ht="18.95" customHeight="1" x14ac:dyDescent="0.2">
      <c r="A1171" s="348" t="str">
        <f t="shared" si="334"/>
        <v/>
      </c>
      <c r="B1171" s="290" t="str">
        <f t="shared" si="335"/>
        <v/>
      </c>
      <c r="C1171" s="290"/>
      <c r="D1171" s="608">
        <f t="shared" si="336"/>
        <v>0</v>
      </c>
      <c r="E1171" s="293"/>
      <c r="F1171" s="346">
        <f t="shared" si="337"/>
        <v>0</v>
      </c>
      <c r="G1171" s="347">
        <f t="shared" si="338"/>
        <v>0</v>
      </c>
    </row>
    <row r="1172" spans="1:7" ht="18.95" customHeight="1" x14ac:dyDescent="0.2">
      <c r="A1172" s="348" t="str">
        <f t="shared" si="334"/>
        <v/>
      </c>
      <c r="B1172" s="290" t="str">
        <f t="shared" si="335"/>
        <v/>
      </c>
      <c r="C1172" s="290"/>
      <c r="D1172" s="608">
        <f t="shared" si="336"/>
        <v>0</v>
      </c>
      <c r="E1172" s="293"/>
      <c r="F1172" s="346">
        <f t="shared" si="337"/>
        <v>0</v>
      </c>
      <c r="G1172" s="347">
        <f t="shared" si="338"/>
        <v>0</v>
      </c>
    </row>
    <row r="1173" spans="1:7" ht="18.95" customHeight="1" x14ac:dyDescent="0.2">
      <c r="A1173" s="348" t="str">
        <f t="shared" si="334"/>
        <v/>
      </c>
      <c r="B1173" s="290" t="str">
        <f t="shared" si="335"/>
        <v/>
      </c>
      <c r="C1173" s="290"/>
      <c r="D1173" s="608">
        <f t="shared" si="336"/>
        <v>0</v>
      </c>
      <c r="E1173" s="293"/>
      <c r="F1173" s="346">
        <f t="shared" si="337"/>
        <v>0</v>
      </c>
      <c r="G1173" s="347">
        <f t="shared" si="338"/>
        <v>0</v>
      </c>
    </row>
    <row r="1174" spans="1:7" ht="18.95" customHeight="1" x14ac:dyDescent="0.2">
      <c r="A1174" s="348" t="str">
        <f t="shared" si="334"/>
        <v/>
      </c>
      <c r="B1174" s="290" t="str">
        <f t="shared" si="335"/>
        <v/>
      </c>
      <c r="C1174" s="290"/>
      <c r="D1174" s="608">
        <f t="shared" si="336"/>
        <v>0</v>
      </c>
      <c r="E1174" s="293"/>
      <c r="F1174" s="346">
        <f t="shared" si="337"/>
        <v>0</v>
      </c>
      <c r="G1174" s="347">
        <f t="shared" si="338"/>
        <v>0</v>
      </c>
    </row>
    <row r="1175" spans="1:7" ht="18.95" customHeight="1" x14ac:dyDescent="0.2">
      <c r="A1175" s="348" t="str">
        <f t="shared" si="334"/>
        <v/>
      </c>
      <c r="B1175" s="290" t="str">
        <f t="shared" si="335"/>
        <v/>
      </c>
      <c r="C1175" s="290"/>
      <c r="D1175" s="608">
        <f t="shared" si="336"/>
        <v>0</v>
      </c>
      <c r="E1175" s="293"/>
      <c r="F1175" s="346">
        <f t="shared" si="337"/>
        <v>0</v>
      </c>
      <c r="G1175" s="347">
        <f t="shared" si="338"/>
        <v>0</v>
      </c>
    </row>
    <row r="1176" spans="1:7" s="295" customFormat="1" ht="18.95" customHeight="1" x14ac:dyDescent="0.2">
      <c r="A1176" s="348" t="str">
        <f t="shared" si="334"/>
        <v/>
      </c>
      <c r="B1176" s="290" t="str">
        <f t="shared" si="335"/>
        <v/>
      </c>
      <c r="C1176" s="290"/>
      <c r="D1176" s="608">
        <f t="shared" si="336"/>
        <v>0</v>
      </c>
      <c r="E1176" s="323"/>
      <c r="F1176" s="346">
        <f t="shared" si="337"/>
        <v>0</v>
      </c>
      <c r="G1176" s="347">
        <f t="shared" si="338"/>
        <v>0</v>
      </c>
    </row>
    <row r="1177" spans="1:7" ht="18.95" customHeight="1" x14ac:dyDescent="0.2">
      <c r="A1177" s="348" t="str">
        <f t="shared" si="334"/>
        <v/>
      </c>
      <c r="B1177" s="290" t="str">
        <f t="shared" si="335"/>
        <v/>
      </c>
      <c r="C1177" s="290"/>
      <c r="D1177" s="608">
        <f t="shared" si="336"/>
        <v>0</v>
      </c>
      <c r="E1177" s="293"/>
      <c r="F1177" s="346">
        <f t="shared" si="337"/>
        <v>0</v>
      </c>
      <c r="G1177" s="347">
        <f t="shared" si="338"/>
        <v>0</v>
      </c>
    </row>
    <row r="1178" spans="1:7" ht="18.95" customHeight="1" x14ac:dyDescent="0.2">
      <c r="A1178" s="348" t="str">
        <f t="shared" si="334"/>
        <v/>
      </c>
      <c r="B1178" s="290" t="str">
        <f t="shared" si="335"/>
        <v/>
      </c>
      <c r="C1178" s="290"/>
      <c r="D1178" s="608">
        <f t="shared" si="336"/>
        <v>0</v>
      </c>
      <c r="E1178" s="293"/>
      <c r="F1178" s="346">
        <f t="shared" si="337"/>
        <v>0</v>
      </c>
      <c r="G1178" s="347">
        <f t="shared" si="338"/>
        <v>0</v>
      </c>
    </row>
    <row r="1179" spans="1:7" ht="18.95" customHeight="1" x14ac:dyDescent="0.2">
      <c r="A1179" s="348" t="str">
        <f t="shared" si="334"/>
        <v/>
      </c>
      <c r="B1179" s="290" t="str">
        <f t="shared" si="335"/>
        <v/>
      </c>
      <c r="C1179" s="290"/>
      <c r="D1179" s="608">
        <f t="shared" si="336"/>
        <v>0</v>
      </c>
      <c r="E1179" s="293"/>
      <c r="F1179" s="346">
        <f t="shared" si="337"/>
        <v>0</v>
      </c>
      <c r="G1179" s="347">
        <f t="shared" si="338"/>
        <v>0</v>
      </c>
    </row>
    <row r="1180" spans="1:7" ht="18.95" customHeight="1" x14ac:dyDescent="0.2">
      <c r="A1180" s="348" t="str">
        <f t="shared" si="334"/>
        <v/>
      </c>
      <c r="B1180" s="290" t="str">
        <f t="shared" si="335"/>
        <v/>
      </c>
      <c r="C1180" s="290"/>
      <c r="D1180" s="608">
        <f t="shared" si="336"/>
        <v>0</v>
      </c>
      <c r="E1180" s="293"/>
      <c r="F1180" s="346">
        <f t="shared" si="337"/>
        <v>0</v>
      </c>
      <c r="G1180" s="347">
        <f t="shared" si="338"/>
        <v>0</v>
      </c>
    </row>
    <row r="1181" spans="1:7" ht="18.95" customHeight="1" x14ac:dyDescent="0.2">
      <c r="A1181" s="156"/>
      <c r="B1181" s="142"/>
      <c r="C1181" s="142"/>
      <c r="D1181" s="150"/>
      <c r="E1181" s="143"/>
      <c r="F1181" s="356" t="s">
        <v>31</v>
      </c>
      <c r="G1181" s="355">
        <f>SUBTOTAL(9,G1169:G1180)</f>
        <v>0</v>
      </c>
    </row>
    <row r="1182" spans="1:7" ht="18.95" customHeight="1" x14ac:dyDescent="0.2">
      <c r="A1182" s="156"/>
      <c r="B1182" s="142"/>
      <c r="C1182" s="157" t="s">
        <v>1048</v>
      </c>
      <c r="D1182" s="150"/>
      <c r="E1182" s="327"/>
      <c r="F1182" s="327"/>
      <c r="G1182" s="342"/>
    </row>
    <row r="1183" spans="1:7" ht="18.95" customHeight="1" x14ac:dyDescent="0.2">
      <c r="A1183" s="735" t="s">
        <v>582</v>
      </c>
      <c r="B1183" s="736"/>
      <c r="C1183" s="737" t="s">
        <v>0</v>
      </c>
      <c r="D1183" s="739" t="s">
        <v>1750</v>
      </c>
      <c r="E1183" s="741" t="s">
        <v>26</v>
      </c>
      <c r="F1183" s="741" t="s">
        <v>27</v>
      </c>
      <c r="G1183" s="733" t="s">
        <v>28</v>
      </c>
    </row>
    <row r="1184" spans="1:7" ht="18.95" customHeight="1" x14ac:dyDescent="0.2">
      <c r="A1184" s="154" t="s">
        <v>583</v>
      </c>
      <c r="B1184" s="155" t="s">
        <v>584</v>
      </c>
      <c r="C1184" s="738"/>
      <c r="D1184" s="740"/>
      <c r="E1184" s="742"/>
      <c r="F1184" s="742"/>
      <c r="G1184" s="734"/>
    </row>
    <row r="1185" spans="1:8" ht="18.95" customHeight="1" x14ac:dyDescent="0.2">
      <c r="A1185" s="348" t="str">
        <f>IFERROR(VLOOKUP(C1185,Tabla_Insumos,4,FALSE),"")</f>
        <v/>
      </c>
      <c r="B1185" s="290" t="s">
        <v>4</v>
      </c>
      <c r="C1185" s="290"/>
      <c r="D1185" s="293"/>
      <c r="E1185" s="322"/>
      <c r="F1185" s="324"/>
      <c r="G1185" s="347">
        <f t="shared" ref="G1185" si="339">ROUND(E1185*F1185,2)</f>
        <v>0</v>
      </c>
    </row>
    <row r="1186" spans="1:8" ht="18.95" customHeight="1" x14ac:dyDescent="0.2">
      <c r="A1186" s="156"/>
      <c r="B1186" s="142"/>
      <c r="C1186" s="142"/>
      <c r="D1186" s="150"/>
      <c r="E1186" s="143"/>
      <c r="F1186" s="356" t="s">
        <v>1049</v>
      </c>
      <c r="G1186" s="355">
        <f>SUBTOTAL(9,G1185:G1185)</f>
        <v>0</v>
      </c>
    </row>
    <row r="1187" spans="1:8" ht="18.95" customHeight="1" thickBot="1" x14ac:dyDescent="0.25">
      <c r="A1187" s="158"/>
      <c r="B1187" s="159"/>
      <c r="C1187" s="160"/>
      <c r="D1187" s="161"/>
      <c r="E1187" s="357"/>
      <c r="F1187" s="357"/>
      <c r="G1187" s="358"/>
    </row>
    <row r="1188" spans="1:8" ht="18.95" customHeight="1" x14ac:dyDescent="0.2">
      <c r="A1188" s="359">
        <f>B1127</f>
        <v>17</v>
      </c>
      <c r="B1188" s="360" t="str">
        <f>C1127</f>
        <v>ACERO ESPECIAL EN BARRA COLOCADO</v>
      </c>
      <c r="C1188" s="361"/>
      <c r="D1188" s="361"/>
      <c r="E1188" s="361" t="s">
        <v>1050</v>
      </c>
      <c r="F1188" s="362" t="str">
        <f>CONCATENATE("$/",G1127)</f>
        <v>$/Tn</v>
      </c>
      <c r="G1188" s="363">
        <f>SUBTOTAL(9,G1147:G1187)</f>
        <v>0</v>
      </c>
    </row>
    <row r="1189" spans="1:8" ht="18.95" customHeight="1" thickBot="1" x14ac:dyDescent="0.25">
      <c r="A1189" s="364"/>
      <c r="B1189" s="365"/>
      <c r="C1189" s="365"/>
      <c r="D1189" s="365"/>
      <c r="E1189" s="366" t="s">
        <v>1051</v>
      </c>
      <c r="F1189" s="367" t="str">
        <f>CONCATENATE("$/",G1127)</f>
        <v>$/Tn</v>
      </c>
      <c r="G1189" s="368" t="e">
        <f ca="1">PrecioUnitario(G1188,GG_Porcentaje,Beneficio,Ingresos_Brutos,IVA)</f>
        <v>#NAME?</v>
      </c>
    </row>
    <row r="1190" spans="1:8" ht="18.95" customHeight="1" thickTop="1" thickBot="1" x14ac:dyDescent="0.25">
      <c r="F1190" s="294"/>
      <c r="G1190" s="294"/>
    </row>
    <row r="1191" spans="1:8" ht="18.95" customHeight="1" thickTop="1" x14ac:dyDescent="0.2">
      <c r="A1191" s="194" t="s">
        <v>33</v>
      </c>
      <c r="B1191" s="195"/>
      <c r="C1191" s="195"/>
      <c r="D1191" s="195"/>
      <c r="E1191" s="195"/>
      <c r="F1191" s="195"/>
      <c r="G1191" s="196"/>
      <c r="H1191" s="143">
        <f>COUNTIF($A$1:A1197,"ANALISIS DE PRECIOS")</f>
        <v>18</v>
      </c>
    </row>
    <row r="1192" spans="1:8" ht="18.95" customHeight="1" x14ac:dyDescent="0.2">
      <c r="A1192" s="144" t="s">
        <v>720</v>
      </c>
      <c r="B1192" s="145" t="str">
        <f>Comitente</f>
        <v>DIRECCIÓN PROVINCIAL DE VIALIDAD</v>
      </c>
      <c r="C1192" s="139"/>
      <c r="D1192" s="146"/>
      <c r="E1192" s="325"/>
      <c r="F1192" s="325"/>
      <c r="G1192" s="326"/>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PAVIMENTACION Y ENSANCHE DE RUTA PROVINCIAL N°7 AV. JOAQUIN UÑAC</v>
      </c>
      <c r="C1194" s="140"/>
      <c r="D1194" s="140"/>
      <c r="E1194" s="143"/>
      <c r="F1194" s="145" t="s">
        <v>34</v>
      </c>
      <c r="G1194" s="147">
        <f>Fecha_Base</f>
        <v>43444</v>
      </c>
      <c r="H1194" s="143"/>
    </row>
    <row r="1195" spans="1:8" ht="18.95" customHeight="1" x14ac:dyDescent="0.2">
      <c r="A1195" s="148" t="s">
        <v>719</v>
      </c>
      <c r="B1195" s="141" t="str">
        <f>Ubicación</f>
        <v>DEPARTAMENTO POCITO</v>
      </c>
      <c r="C1195" s="141"/>
      <c r="D1195" s="150"/>
      <c r="E1195" s="143"/>
      <c r="F1195" s="327"/>
      <c r="G1195" s="328"/>
      <c r="H1195" s="143"/>
    </row>
    <row r="1196" spans="1:8" ht="18.95" customHeight="1" x14ac:dyDescent="0.2">
      <c r="A1196" s="148" t="s">
        <v>35</v>
      </c>
      <c r="B1196" s="151" t="str">
        <f>IFERROR(VALUE(LEFT(B1197,FIND("-",B1197)-1)),"")</f>
        <v/>
      </c>
      <c r="C1196" s="142" t="str">
        <f>IFERROR(VLOOKUP(B1196,Tabla_CyP,2,FALSE),"")</f>
        <v/>
      </c>
      <c r="D1196" s="150"/>
      <c r="E1196" s="143"/>
      <c r="F1196" s="327"/>
      <c r="G1196" s="328"/>
      <c r="H1196" s="143"/>
    </row>
    <row r="1197" spans="1:8" ht="18.95" customHeight="1" x14ac:dyDescent="0.2">
      <c r="A1197" s="148" t="s">
        <v>24</v>
      </c>
      <c r="B1197" s="152">
        <f>IFERROR(VLOOKUP(COUNTIF($A$1:A1197,"ANALISIS DE PRECIOS"),Tabla_NumeroItem,4,FALSE),"")</f>
        <v>18</v>
      </c>
      <c r="C1197" s="745" t="str">
        <f>IFERROR(VLOOKUP(B1197,Tabla_CyP,2,FALSE),"")</f>
        <v>CONSTRUCCIÓN DE CANAL IMPERMEABILIZADO DE HORMIGÓN</v>
      </c>
      <c r="D1197" s="745"/>
      <c r="E1197" s="745"/>
      <c r="F1197" s="141" t="s">
        <v>25</v>
      </c>
      <c r="G1197" s="153" t="str">
        <f>IFERROR(VLOOKUP(B1197,Tabla_CyP,4,FALSE),"")</f>
        <v>m</v>
      </c>
      <c r="H1197" s="143"/>
    </row>
    <row r="1198" spans="1:8" ht="18.95" customHeight="1" x14ac:dyDescent="0.2">
      <c r="A1198" s="148"/>
      <c r="B1198" s="141"/>
      <c r="C1198" s="142"/>
      <c r="D1198" s="150"/>
      <c r="E1198" s="142"/>
      <c r="F1198" s="142"/>
      <c r="G1198" s="329"/>
      <c r="H1198" s="143"/>
    </row>
    <row r="1199" spans="1:8" ht="18.95" customHeight="1" x14ac:dyDescent="0.2">
      <c r="A1199" s="330"/>
      <c r="B1199" s="331"/>
      <c r="C1199" s="332" t="s">
        <v>1032</v>
      </c>
      <c r="D1199" s="331"/>
      <c r="E1199" s="331"/>
      <c r="F1199" s="331"/>
      <c r="G1199" s="333"/>
      <c r="H1199" s="143"/>
    </row>
    <row r="1200" spans="1:8" ht="18.95" customHeight="1" x14ac:dyDescent="0.2">
      <c r="A1200" s="148"/>
      <c r="B1200" s="334"/>
      <c r="C1200" s="335" t="s">
        <v>1033</v>
      </c>
      <c r="D1200" s="336" t="s">
        <v>26</v>
      </c>
      <c r="E1200" s="336" t="s">
        <v>1034</v>
      </c>
      <c r="F1200" s="336" t="s">
        <v>1035</v>
      </c>
      <c r="G1200" s="337" t="s">
        <v>1036</v>
      </c>
      <c r="H1200" s="143"/>
    </row>
    <row r="1201" spans="1:7" ht="18.95" customHeight="1" x14ac:dyDescent="0.2">
      <c r="A1201" s="343"/>
      <c r="B1201" s="344"/>
      <c r="C1201" s="290"/>
      <c r="D1201" s="293"/>
      <c r="E1201" s="345"/>
      <c r="F1201" s="346"/>
      <c r="G1201" s="347">
        <f t="shared" ref="G1201:G1210" si="340">ROUND(D1201*F1201,2)</f>
        <v>0</v>
      </c>
    </row>
    <row r="1202" spans="1:7" ht="18.95" customHeight="1" x14ac:dyDescent="0.2">
      <c r="A1202" s="343"/>
      <c r="B1202" s="344"/>
      <c r="C1202" s="290"/>
      <c r="D1202" s="293"/>
      <c r="E1202" s="345"/>
      <c r="F1202" s="346"/>
      <c r="G1202" s="347">
        <f t="shared" si="340"/>
        <v>0</v>
      </c>
    </row>
    <row r="1203" spans="1:7" ht="18.95" customHeight="1" x14ac:dyDescent="0.2">
      <c r="A1203" s="343"/>
      <c r="B1203" s="344"/>
      <c r="C1203" s="290"/>
      <c r="D1203" s="293"/>
      <c r="E1203" s="345">
        <f t="shared" ref="E1203:E1210" si="341">IFERROR(VLOOKUP(C1203,T_Equipos,4,FALSE),0)</f>
        <v>0</v>
      </c>
      <c r="F1203" s="346">
        <f t="shared" ref="F1203:F1210" si="342">IFERROR(VLOOKUP(C1203,T_Equipos,11,FALSE),0)</f>
        <v>0</v>
      </c>
      <c r="G1203" s="347">
        <f t="shared" si="340"/>
        <v>0</v>
      </c>
    </row>
    <row r="1204" spans="1:7" ht="18.95" customHeight="1" x14ac:dyDescent="0.2">
      <c r="A1204" s="343"/>
      <c r="B1204" s="344"/>
      <c r="C1204" s="290"/>
      <c r="D1204" s="293"/>
      <c r="E1204" s="345">
        <f t="shared" si="341"/>
        <v>0</v>
      </c>
      <c r="F1204" s="346">
        <f t="shared" si="342"/>
        <v>0</v>
      </c>
      <c r="G1204" s="347">
        <f t="shared" si="340"/>
        <v>0</v>
      </c>
    </row>
    <row r="1205" spans="1:7" ht="18.95" customHeight="1" x14ac:dyDescent="0.2">
      <c r="A1205" s="343"/>
      <c r="B1205" s="344"/>
      <c r="C1205" s="290"/>
      <c r="D1205" s="293"/>
      <c r="E1205" s="345">
        <f t="shared" si="341"/>
        <v>0</v>
      </c>
      <c r="F1205" s="346">
        <f t="shared" si="342"/>
        <v>0</v>
      </c>
      <c r="G1205" s="347">
        <f t="shared" si="340"/>
        <v>0</v>
      </c>
    </row>
    <row r="1206" spans="1:7" ht="18.95" customHeight="1" x14ac:dyDescent="0.2">
      <c r="A1206" s="343"/>
      <c r="B1206" s="344"/>
      <c r="C1206" s="290"/>
      <c r="D1206" s="293"/>
      <c r="E1206" s="345">
        <f t="shared" si="341"/>
        <v>0</v>
      </c>
      <c r="F1206" s="346">
        <f t="shared" si="342"/>
        <v>0</v>
      </c>
      <c r="G1206" s="347">
        <f t="shared" si="340"/>
        <v>0</v>
      </c>
    </row>
    <row r="1207" spans="1:7" ht="18.95" customHeight="1" x14ac:dyDescent="0.2">
      <c r="A1207" s="343"/>
      <c r="B1207" s="344"/>
      <c r="C1207" s="290"/>
      <c r="D1207" s="293"/>
      <c r="E1207" s="345">
        <f t="shared" si="341"/>
        <v>0</v>
      </c>
      <c r="F1207" s="346">
        <f t="shared" si="342"/>
        <v>0</v>
      </c>
      <c r="G1207" s="347">
        <f t="shared" si="340"/>
        <v>0</v>
      </c>
    </row>
    <row r="1208" spans="1:7" ht="18.95" customHeight="1" x14ac:dyDescent="0.2">
      <c r="A1208" s="343"/>
      <c r="B1208" s="344"/>
      <c r="C1208" s="290"/>
      <c r="D1208" s="293"/>
      <c r="E1208" s="345">
        <f t="shared" si="341"/>
        <v>0</v>
      </c>
      <c r="F1208" s="346">
        <f t="shared" si="342"/>
        <v>0</v>
      </c>
      <c r="G1208" s="347">
        <f t="shared" si="340"/>
        <v>0</v>
      </c>
    </row>
    <row r="1209" spans="1:7" ht="18.95" customHeight="1" x14ac:dyDescent="0.2">
      <c r="A1209" s="343"/>
      <c r="B1209" s="344"/>
      <c r="C1209" s="290"/>
      <c r="D1209" s="293"/>
      <c r="E1209" s="345">
        <f t="shared" si="341"/>
        <v>0</v>
      </c>
      <c r="F1209" s="346">
        <f t="shared" si="342"/>
        <v>0</v>
      </c>
      <c r="G1209" s="347">
        <f t="shared" si="340"/>
        <v>0</v>
      </c>
    </row>
    <row r="1210" spans="1:7" ht="18.95" customHeight="1" thickBot="1" x14ac:dyDescent="0.25">
      <c r="A1210" s="343"/>
      <c r="B1210" s="344"/>
      <c r="C1210" s="290"/>
      <c r="D1210" s="293"/>
      <c r="E1210" s="345">
        <f t="shared" si="341"/>
        <v>0</v>
      </c>
      <c r="F1210" s="346">
        <f t="shared" si="342"/>
        <v>0</v>
      </c>
      <c r="G1210" s="347">
        <f t="shared" si="340"/>
        <v>0</v>
      </c>
    </row>
    <row r="1211" spans="1:7" ht="18.95" customHeight="1" thickBot="1" x14ac:dyDescent="0.25">
      <c r="A1211" s="148"/>
      <c r="B1211" s="334"/>
      <c r="C1211" s="143"/>
      <c r="D1211" s="146" t="s">
        <v>1037</v>
      </c>
      <c r="E1211" s="338">
        <f>SUMPRODUCT(D1201:D1210,E1201:E1210)</f>
        <v>0</v>
      </c>
      <c r="F1211" s="141" t="s">
        <v>1038</v>
      </c>
      <c r="G1211" s="339">
        <f>SUM(G1201:G1210)</f>
        <v>0</v>
      </c>
    </row>
    <row r="1212" spans="1:7" ht="18.95" customHeight="1" x14ac:dyDescent="0.2">
      <c r="A1212" s="148"/>
      <c r="B1212" s="334"/>
      <c r="C1212" s="141" t="s">
        <v>1039</v>
      </c>
      <c r="D1212" s="320"/>
      <c r="E1212" s="340" t="str">
        <f>CONCATENATE(G1197,"/día")</f>
        <v>m/día</v>
      </c>
      <c r="F1212" s="141"/>
      <c r="G1212" s="341"/>
    </row>
    <row r="1213" spans="1:7" ht="18.95" customHeight="1" x14ac:dyDescent="0.2">
      <c r="A1213" s="148"/>
      <c r="B1213" s="334"/>
      <c r="C1213" s="142"/>
      <c r="D1213" s="150"/>
      <c r="E1213" s="141"/>
      <c r="F1213" s="141"/>
      <c r="G1213" s="341"/>
    </row>
    <row r="1214" spans="1:7" ht="18.95" customHeight="1" x14ac:dyDescent="0.2">
      <c r="A1214" s="735" t="s">
        <v>582</v>
      </c>
      <c r="B1214" s="736"/>
      <c r="C1214" s="737" t="s">
        <v>0</v>
      </c>
      <c r="D1214" s="743" t="s">
        <v>1053</v>
      </c>
      <c r="E1214" s="743" t="s">
        <v>1706</v>
      </c>
      <c r="F1214" s="743" t="s">
        <v>1054</v>
      </c>
      <c r="G1214" s="743" t="s">
        <v>1055</v>
      </c>
    </row>
    <row r="1215" spans="1:7" ht="18.95" customHeight="1" x14ac:dyDescent="0.2">
      <c r="A1215" s="154" t="s">
        <v>583</v>
      </c>
      <c r="B1215" s="155" t="s">
        <v>584</v>
      </c>
      <c r="C1215" s="738"/>
      <c r="D1215" s="742"/>
      <c r="E1215" s="742"/>
      <c r="F1215" s="744"/>
      <c r="G1215" s="742"/>
    </row>
    <row r="1216" spans="1:7" ht="18.95" customHeight="1" x14ac:dyDescent="0.2">
      <c r="A1216" s="156"/>
      <c r="B1216" s="142"/>
      <c r="C1216" s="157" t="s">
        <v>1041</v>
      </c>
      <c r="D1216" s="150"/>
      <c r="E1216" s="142"/>
      <c r="F1216" s="142"/>
      <c r="G1216" s="342"/>
    </row>
    <row r="1217" spans="1:7" ht="18.95" customHeight="1" x14ac:dyDescent="0.2">
      <c r="A1217" s="348" t="str">
        <f t="shared" ref="A1217:A1224" si="343">IFERROR(VLOOKUP(C1217,Tabla_Insumos,4,FALSE),"")</f>
        <v/>
      </c>
      <c r="B1217" s="290" t="str">
        <f t="shared" ref="B1217:B1224" si="344">IFERROR(VLOOKUP(C1217,Tabla_Insumos,5,FALSE),"")</f>
        <v/>
      </c>
      <c r="C1217" s="290"/>
      <c r="D1217" s="607">
        <f t="shared" ref="D1217:D1224" si="345">IFERROR(VLOOKUP(C1217,Tabla_Insumos,3,FALSE),0)</f>
        <v>0</v>
      </c>
      <c r="E1217" s="349">
        <f>D1217*$G$21</f>
        <v>0</v>
      </c>
      <c r="F1217" s="350">
        <f>IF(C1217="",0,D1212)</f>
        <v>0</v>
      </c>
      <c r="G1217" s="347">
        <f>IFERROR(ROUND(E1217/F1217,2),0)</f>
        <v>0</v>
      </c>
    </row>
    <row r="1218" spans="1:7" ht="18.95" customHeight="1" x14ac:dyDescent="0.2">
      <c r="A1218" s="348" t="str">
        <f t="shared" si="343"/>
        <v/>
      </c>
      <c r="B1218" s="290" t="str">
        <f t="shared" si="344"/>
        <v/>
      </c>
      <c r="C1218" s="321"/>
      <c r="D1218" s="607">
        <f t="shared" si="345"/>
        <v>0</v>
      </c>
      <c r="E1218" s="349">
        <f t="shared" ref="E1218:E1219" si="346">D1218*$G$21</f>
        <v>0</v>
      </c>
      <c r="F1218" s="350">
        <f t="shared" ref="F1218:F1221" si="347">IF(C1218="",0,F1217)</f>
        <v>0</v>
      </c>
      <c r="G1218" s="347">
        <f t="shared" ref="G1218:G1224" si="348">IFERROR(ROUND(E1218/F1218,2),0)</f>
        <v>0</v>
      </c>
    </row>
    <row r="1219" spans="1:7" ht="18.95" customHeight="1" x14ac:dyDescent="0.2">
      <c r="A1219" s="348" t="str">
        <f t="shared" si="343"/>
        <v/>
      </c>
      <c r="B1219" s="290" t="str">
        <f t="shared" si="344"/>
        <v/>
      </c>
      <c r="C1219" s="321"/>
      <c r="D1219" s="607">
        <f t="shared" si="345"/>
        <v>0</v>
      </c>
      <c r="E1219" s="349">
        <f t="shared" si="346"/>
        <v>0</v>
      </c>
      <c r="F1219" s="350">
        <f t="shared" si="347"/>
        <v>0</v>
      </c>
      <c r="G1219" s="347">
        <f t="shared" si="348"/>
        <v>0</v>
      </c>
    </row>
    <row r="1220" spans="1:7" ht="18.95" customHeight="1" x14ac:dyDescent="0.2">
      <c r="A1220" s="348" t="str">
        <f t="shared" si="343"/>
        <v/>
      </c>
      <c r="B1220" s="290" t="str">
        <f t="shared" si="344"/>
        <v/>
      </c>
      <c r="C1220" s="321"/>
      <c r="D1220" s="607">
        <f t="shared" si="345"/>
        <v>0</v>
      </c>
      <c r="E1220" s="349">
        <f>D1220*$E$21</f>
        <v>0</v>
      </c>
      <c r="F1220" s="350">
        <f t="shared" si="347"/>
        <v>0</v>
      </c>
      <c r="G1220" s="347">
        <f t="shared" si="348"/>
        <v>0</v>
      </c>
    </row>
    <row r="1221" spans="1:7" ht="18.95" customHeight="1" x14ac:dyDescent="0.2">
      <c r="A1221" s="348" t="str">
        <f t="shared" si="343"/>
        <v/>
      </c>
      <c r="B1221" s="290" t="str">
        <f t="shared" si="344"/>
        <v/>
      </c>
      <c r="C1221" s="321"/>
      <c r="D1221" s="607">
        <f t="shared" si="345"/>
        <v>0</v>
      </c>
      <c r="E1221" s="349">
        <f>D1221*$E$21</f>
        <v>0</v>
      </c>
      <c r="F1221" s="350">
        <f t="shared" si="347"/>
        <v>0</v>
      </c>
      <c r="G1221" s="347">
        <f t="shared" si="348"/>
        <v>0</v>
      </c>
    </row>
    <row r="1222" spans="1:7" ht="18.95" customHeight="1" x14ac:dyDescent="0.2">
      <c r="A1222" s="348" t="str">
        <f t="shared" si="343"/>
        <v/>
      </c>
      <c r="B1222" s="290" t="str">
        <f t="shared" si="344"/>
        <v/>
      </c>
      <c r="C1222" s="321"/>
      <c r="D1222" s="607">
        <f t="shared" si="345"/>
        <v>0</v>
      </c>
      <c r="E1222" s="349"/>
      <c r="F1222" s="350">
        <f>IF(C1222="",0,F1221)</f>
        <v>0</v>
      </c>
      <c r="G1222" s="347">
        <f t="shared" si="348"/>
        <v>0</v>
      </c>
    </row>
    <row r="1223" spans="1:7" ht="18.95" customHeight="1" x14ac:dyDescent="0.2">
      <c r="A1223" s="348" t="str">
        <f t="shared" si="343"/>
        <v/>
      </c>
      <c r="B1223" s="290" t="str">
        <f t="shared" si="344"/>
        <v/>
      </c>
      <c r="C1223" s="321"/>
      <c r="D1223" s="607">
        <f t="shared" si="345"/>
        <v>0</v>
      </c>
      <c r="E1223" s="349"/>
      <c r="F1223" s="350">
        <f t="shared" ref="F1223:F1224" si="349">IF(C1223="",0,F1222)</f>
        <v>0</v>
      </c>
      <c r="G1223" s="347">
        <f t="shared" si="348"/>
        <v>0</v>
      </c>
    </row>
    <row r="1224" spans="1:7" ht="18.95" customHeight="1" x14ac:dyDescent="0.2">
      <c r="A1224" s="348" t="str">
        <f t="shared" si="343"/>
        <v/>
      </c>
      <c r="B1224" s="290" t="str">
        <f t="shared" si="344"/>
        <v/>
      </c>
      <c r="C1224" s="321"/>
      <c r="D1224" s="607">
        <f t="shared" si="345"/>
        <v>0</v>
      </c>
      <c r="E1224" s="349"/>
      <c r="F1224" s="350">
        <f t="shared" si="349"/>
        <v>0</v>
      </c>
      <c r="G1224" s="347">
        <f t="shared" si="348"/>
        <v>0</v>
      </c>
    </row>
    <row r="1225" spans="1:7" ht="18.95" customHeight="1" x14ac:dyDescent="0.2">
      <c r="A1225" s="353"/>
      <c r="B1225" s="149"/>
      <c r="C1225" s="142"/>
      <c r="D1225" s="150"/>
      <c r="E1225" s="143"/>
      <c r="F1225" s="354" t="s">
        <v>29</v>
      </c>
      <c r="G1225" s="355">
        <f>SUBTOTAL(9,G1217:G1224)</f>
        <v>0</v>
      </c>
    </row>
    <row r="1226" spans="1:7" ht="18.95" customHeight="1" x14ac:dyDescent="0.2">
      <c r="A1226" s="156"/>
      <c r="B1226" s="142"/>
      <c r="C1226" s="157" t="s">
        <v>722</v>
      </c>
      <c r="D1226" s="150"/>
      <c r="E1226" s="327"/>
      <c r="F1226" s="327"/>
      <c r="G1226" s="342"/>
    </row>
    <row r="1227" spans="1:7" ht="18.95" customHeight="1" x14ac:dyDescent="0.2">
      <c r="A1227" s="735" t="s">
        <v>582</v>
      </c>
      <c r="B1227" s="736"/>
      <c r="C1227" s="737" t="s">
        <v>0</v>
      </c>
      <c r="D1227" s="739" t="s">
        <v>26</v>
      </c>
      <c r="E1227" s="743" t="s">
        <v>1707</v>
      </c>
      <c r="F1227" s="741" t="s">
        <v>1040</v>
      </c>
      <c r="G1227" s="733" t="s">
        <v>28</v>
      </c>
    </row>
    <row r="1228" spans="1:7" ht="18.95" customHeight="1" x14ac:dyDescent="0.2">
      <c r="A1228" s="154" t="s">
        <v>583</v>
      </c>
      <c r="B1228" s="155" t="s">
        <v>584</v>
      </c>
      <c r="C1228" s="738"/>
      <c r="D1228" s="740"/>
      <c r="E1228" s="742"/>
      <c r="F1228" s="742"/>
      <c r="G1228" s="734"/>
    </row>
    <row r="1229" spans="1:7" ht="18.95" customHeight="1" x14ac:dyDescent="0.2">
      <c r="A1229" s="348" t="str">
        <f t="shared" ref="A1229:A1234" si="350">IFERROR(VLOOKUP(C1229,Tabla_Insumos,4,FALSE),"")</f>
        <v/>
      </c>
      <c r="B1229" s="290" t="str">
        <f t="shared" ref="B1229:B1234" si="351">IFERROR(VLOOKUP(C1229,Tabla_Insumos,5,FALSE),"")</f>
        <v/>
      </c>
      <c r="C1229" s="291"/>
      <c r="D1229" s="293"/>
      <c r="E1229" s="346">
        <f t="shared" ref="E1229:E1234" si="352">IFERROR(VLOOKUP(C1229,Tabla_Insumos,3,FALSE),0)</f>
        <v>0</v>
      </c>
      <c r="F1229" s="349">
        <f>IF(C1229="",0,D1212)</f>
        <v>0</v>
      </c>
      <c r="G1229" s="347">
        <f t="shared" ref="G1229:G1234" si="353">IFERROR(ROUND(D1229*E1229/F1229,2),0)</f>
        <v>0</v>
      </c>
    </row>
    <row r="1230" spans="1:7" ht="18.95" customHeight="1" x14ac:dyDescent="0.2">
      <c r="A1230" s="348" t="str">
        <f t="shared" si="350"/>
        <v/>
      </c>
      <c r="B1230" s="290" t="str">
        <f t="shared" si="351"/>
        <v/>
      </c>
      <c r="C1230" s="290"/>
      <c r="D1230" s="293"/>
      <c r="E1230" s="346">
        <f t="shared" si="352"/>
        <v>0</v>
      </c>
      <c r="F1230" s="349">
        <f>IF(C1230="",0,F1229)</f>
        <v>0</v>
      </c>
      <c r="G1230" s="347">
        <f t="shared" si="353"/>
        <v>0</v>
      </c>
    </row>
    <row r="1231" spans="1:7" ht="18.95" customHeight="1" x14ac:dyDescent="0.2">
      <c r="A1231" s="348" t="str">
        <f t="shared" si="350"/>
        <v/>
      </c>
      <c r="B1231" s="290" t="str">
        <f t="shared" si="351"/>
        <v/>
      </c>
      <c r="C1231" s="290"/>
      <c r="D1231" s="293"/>
      <c r="E1231" s="346">
        <f t="shared" si="352"/>
        <v>0</v>
      </c>
      <c r="F1231" s="349">
        <f>IF(C1231="",0,F1230)</f>
        <v>0</v>
      </c>
      <c r="G1231" s="347">
        <f t="shared" si="353"/>
        <v>0</v>
      </c>
    </row>
    <row r="1232" spans="1:7" ht="18.95" customHeight="1" x14ac:dyDescent="0.2">
      <c r="A1232" s="348" t="str">
        <f t="shared" si="350"/>
        <v/>
      </c>
      <c r="B1232" s="290" t="str">
        <f t="shared" si="351"/>
        <v/>
      </c>
      <c r="C1232" s="290"/>
      <c r="D1232" s="293"/>
      <c r="E1232" s="346">
        <f t="shared" si="352"/>
        <v>0</v>
      </c>
      <c r="F1232" s="349">
        <f>IF(C1232="",0,F1231)</f>
        <v>0</v>
      </c>
      <c r="G1232" s="347">
        <f t="shared" si="353"/>
        <v>0</v>
      </c>
    </row>
    <row r="1233" spans="1:7" ht="18.95" customHeight="1" x14ac:dyDescent="0.2">
      <c r="A1233" s="348" t="str">
        <f t="shared" si="350"/>
        <v/>
      </c>
      <c r="B1233" s="290" t="str">
        <f t="shared" si="351"/>
        <v/>
      </c>
      <c r="C1233" s="290"/>
      <c r="D1233" s="351"/>
      <c r="E1233" s="346">
        <f t="shared" si="352"/>
        <v>0</v>
      </c>
      <c r="F1233" s="349">
        <f>IF(C1233="",0,F1232)</f>
        <v>0</v>
      </c>
      <c r="G1233" s="347">
        <f t="shared" si="353"/>
        <v>0</v>
      </c>
    </row>
    <row r="1234" spans="1:7" ht="18.95" customHeight="1" x14ac:dyDescent="0.2">
      <c r="A1234" s="348" t="str">
        <f t="shared" si="350"/>
        <v/>
      </c>
      <c r="B1234" s="290" t="str">
        <f t="shared" si="351"/>
        <v/>
      </c>
      <c r="C1234" s="290"/>
      <c r="D1234" s="293"/>
      <c r="E1234" s="346">
        <f t="shared" si="352"/>
        <v>0</v>
      </c>
      <c r="F1234" s="349">
        <f>IF(C1234="",0,F1233)</f>
        <v>0</v>
      </c>
      <c r="G1234" s="347">
        <f t="shared" si="353"/>
        <v>0</v>
      </c>
    </row>
    <row r="1235" spans="1:7" ht="18.95" customHeight="1" x14ac:dyDescent="0.2">
      <c r="A1235" s="353"/>
      <c r="B1235" s="149"/>
      <c r="C1235" s="142"/>
      <c r="D1235" s="150"/>
      <c r="E1235" s="143"/>
      <c r="F1235" s="356" t="s">
        <v>30</v>
      </c>
      <c r="G1235" s="355">
        <f>SUBTOTAL(9,G1229:G1234)</f>
        <v>0</v>
      </c>
    </row>
    <row r="1236" spans="1:7" ht="18.95" customHeight="1" x14ac:dyDescent="0.2">
      <c r="A1236" s="156"/>
      <c r="B1236" s="142"/>
      <c r="C1236" s="157" t="s">
        <v>1047</v>
      </c>
      <c r="D1236" s="150"/>
      <c r="E1236" s="327"/>
      <c r="F1236" s="327"/>
      <c r="G1236" s="342"/>
    </row>
    <row r="1237" spans="1:7" ht="18.95" customHeight="1" x14ac:dyDescent="0.2">
      <c r="A1237" s="735" t="s">
        <v>582</v>
      </c>
      <c r="B1237" s="736"/>
      <c r="C1237" s="737" t="s">
        <v>0</v>
      </c>
      <c r="D1237" s="737" t="s">
        <v>1655</v>
      </c>
      <c r="E1237" s="737" t="s">
        <v>26</v>
      </c>
      <c r="F1237" s="737" t="s">
        <v>27</v>
      </c>
      <c r="G1237" s="733" t="s">
        <v>28</v>
      </c>
    </row>
    <row r="1238" spans="1:7" ht="18.95" customHeight="1" x14ac:dyDescent="0.2">
      <c r="A1238" s="154" t="s">
        <v>583</v>
      </c>
      <c r="B1238" s="155" t="s">
        <v>584</v>
      </c>
      <c r="C1238" s="738"/>
      <c r="D1238" s="738"/>
      <c r="E1238" s="738"/>
      <c r="F1238" s="738"/>
      <c r="G1238" s="734"/>
    </row>
    <row r="1239" spans="1:7" ht="18.95" customHeight="1" x14ac:dyDescent="0.2">
      <c r="A1239" s="348" t="str">
        <f t="shared" ref="A1239:A1250" si="354">IFERROR(VLOOKUP(C1239,Tabla_Insumos,4,FALSE),"")</f>
        <v/>
      </c>
      <c r="B1239" s="290" t="str">
        <f t="shared" ref="B1239:B1250" si="355">IFERROR(VLOOKUP(C1239,Tabla_Insumos,5,FALSE),"")</f>
        <v/>
      </c>
      <c r="C1239" s="290"/>
      <c r="D1239" s="608">
        <f t="shared" ref="D1239:D1250" si="356">IFERROR(VLOOKUP(C1239,Tabla_Insumos,2,FALSE),0)</f>
        <v>0</v>
      </c>
      <c r="E1239" s="293"/>
      <c r="F1239" s="346">
        <f t="shared" ref="F1239:F1250" si="357">IFERROR(VLOOKUP(C1239,Tabla_Insumos,3,FALSE),0)</f>
        <v>0</v>
      </c>
      <c r="G1239" s="347">
        <f t="shared" ref="G1239:G1250" si="358">ROUND(E1239*F1239,2)</f>
        <v>0</v>
      </c>
    </row>
    <row r="1240" spans="1:7" ht="18.95" customHeight="1" x14ac:dyDescent="0.2">
      <c r="A1240" s="348" t="str">
        <f t="shared" si="354"/>
        <v/>
      </c>
      <c r="B1240" s="290" t="str">
        <f t="shared" si="355"/>
        <v/>
      </c>
      <c r="C1240" s="126"/>
      <c r="D1240" s="608">
        <f t="shared" si="356"/>
        <v>0</v>
      </c>
      <c r="E1240" s="293"/>
      <c r="F1240" s="346">
        <f t="shared" si="357"/>
        <v>0</v>
      </c>
      <c r="G1240" s="347">
        <f t="shared" si="358"/>
        <v>0</v>
      </c>
    </row>
    <row r="1241" spans="1:7" ht="18.95" customHeight="1" x14ac:dyDescent="0.2">
      <c r="A1241" s="348" t="str">
        <f t="shared" si="354"/>
        <v/>
      </c>
      <c r="B1241" s="290" t="str">
        <f t="shared" si="355"/>
        <v/>
      </c>
      <c r="C1241" s="290"/>
      <c r="D1241" s="608">
        <f t="shared" si="356"/>
        <v>0</v>
      </c>
      <c r="E1241" s="293"/>
      <c r="F1241" s="346">
        <f t="shared" si="357"/>
        <v>0</v>
      </c>
      <c r="G1241" s="347">
        <f t="shared" si="358"/>
        <v>0</v>
      </c>
    </row>
    <row r="1242" spans="1:7" ht="18.95" customHeight="1" x14ac:dyDescent="0.2">
      <c r="A1242" s="348" t="str">
        <f t="shared" si="354"/>
        <v/>
      </c>
      <c r="B1242" s="290" t="str">
        <f t="shared" si="355"/>
        <v/>
      </c>
      <c r="C1242" s="290"/>
      <c r="D1242" s="608">
        <f t="shared" si="356"/>
        <v>0</v>
      </c>
      <c r="E1242" s="293"/>
      <c r="F1242" s="346">
        <f t="shared" si="357"/>
        <v>0</v>
      </c>
      <c r="G1242" s="347">
        <f t="shared" si="358"/>
        <v>0</v>
      </c>
    </row>
    <row r="1243" spans="1:7" ht="18.95" customHeight="1" x14ac:dyDescent="0.2">
      <c r="A1243" s="348" t="str">
        <f t="shared" si="354"/>
        <v/>
      </c>
      <c r="B1243" s="290" t="str">
        <f t="shared" si="355"/>
        <v/>
      </c>
      <c r="C1243" s="290"/>
      <c r="D1243" s="608">
        <f t="shared" si="356"/>
        <v>0</v>
      </c>
      <c r="E1243" s="293"/>
      <c r="F1243" s="346">
        <f t="shared" si="357"/>
        <v>0</v>
      </c>
      <c r="G1243" s="347">
        <f t="shared" si="358"/>
        <v>0</v>
      </c>
    </row>
    <row r="1244" spans="1:7" ht="18.95" customHeight="1" x14ac:dyDescent="0.2">
      <c r="A1244" s="348" t="str">
        <f t="shared" si="354"/>
        <v/>
      </c>
      <c r="B1244" s="290" t="str">
        <f t="shared" si="355"/>
        <v/>
      </c>
      <c r="C1244" s="290"/>
      <c r="D1244" s="608">
        <f t="shared" si="356"/>
        <v>0</v>
      </c>
      <c r="E1244" s="293"/>
      <c r="F1244" s="346">
        <f t="shared" si="357"/>
        <v>0</v>
      </c>
      <c r="G1244" s="347">
        <f t="shared" si="358"/>
        <v>0</v>
      </c>
    </row>
    <row r="1245" spans="1:7" ht="18.95" customHeight="1" x14ac:dyDescent="0.2">
      <c r="A1245" s="348" t="str">
        <f t="shared" si="354"/>
        <v/>
      </c>
      <c r="B1245" s="290" t="str">
        <f t="shared" si="355"/>
        <v/>
      </c>
      <c r="C1245" s="290"/>
      <c r="D1245" s="608">
        <f t="shared" si="356"/>
        <v>0</v>
      </c>
      <c r="E1245" s="293"/>
      <c r="F1245" s="346">
        <f t="shared" si="357"/>
        <v>0</v>
      </c>
      <c r="G1245" s="347">
        <f t="shared" si="358"/>
        <v>0</v>
      </c>
    </row>
    <row r="1246" spans="1:7" s="295" customFormat="1" ht="18.95" customHeight="1" x14ac:dyDescent="0.2">
      <c r="A1246" s="348" t="str">
        <f t="shared" si="354"/>
        <v/>
      </c>
      <c r="B1246" s="290" t="str">
        <f t="shared" si="355"/>
        <v/>
      </c>
      <c r="C1246" s="290"/>
      <c r="D1246" s="608">
        <f t="shared" si="356"/>
        <v>0</v>
      </c>
      <c r="E1246" s="323"/>
      <c r="F1246" s="346">
        <f t="shared" si="357"/>
        <v>0</v>
      </c>
      <c r="G1246" s="347">
        <f t="shared" si="358"/>
        <v>0</v>
      </c>
    </row>
    <row r="1247" spans="1:7" ht="18.95" customHeight="1" x14ac:dyDescent="0.2">
      <c r="A1247" s="348" t="str">
        <f t="shared" si="354"/>
        <v/>
      </c>
      <c r="B1247" s="290" t="str">
        <f t="shared" si="355"/>
        <v/>
      </c>
      <c r="C1247" s="290"/>
      <c r="D1247" s="608">
        <f t="shared" si="356"/>
        <v>0</v>
      </c>
      <c r="E1247" s="293"/>
      <c r="F1247" s="346">
        <f t="shared" si="357"/>
        <v>0</v>
      </c>
      <c r="G1247" s="347">
        <f t="shared" si="358"/>
        <v>0</v>
      </c>
    </row>
    <row r="1248" spans="1:7" ht="18.95" customHeight="1" x14ac:dyDescent="0.2">
      <c r="A1248" s="348" t="str">
        <f t="shared" si="354"/>
        <v/>
      </c>
      <c r="B1248" s="290" t="str">
        <f t="shared" si="355"/>
        <v/>
      </c>
      <c r="C1248" s="290"/>
      <c r="D1248" s="608">
        <f t="shared" si="356"/>
        <v>0</v>
      </c>
      <c r="E1248" s="293"/>
      <c r="F1248" s="346">
        <f t="shared" si="357"/>
        <v>0</v>
      </c>
      <c r="G1248" s="347">
        <f t="shared" si="358"/>
        <v>0</v>
      </c>
    </row>
    <row r="1249" spans="1:8" ht="18.95" customHeight="1" x14ac:dyDescent="0.2">
      <c r="A1249" s="348" t="str">
        <f t="shared" si="354"/>
        <v/>
      </c>
      <c r="B1249" s="290" t="str">
        <f t="shared" si="355"/>
        <v/>
      </c>
      <c r="C1249" s="290"/>
      <c r="D1249" s="608">
        <f t="shared" si="356"/>
        <v>0</v>
      </c>
      <c r="E1249" s="293"/>
      <c r="F1249" s="346">
        <f t="shared" si="357"/>
        <v>0</v>
      </c>
      <c r="G1249" s="347">
        <f t="shared" si="358"/>
        <v>0</v>
      </c>
    </row>
    <row r="1250" spans="1:8" ht="18.95" customHeight="1" x14ac:dyDescent="0.2">
      <c r="A1250" s="348" t="str">
        <f t="shared" si="354"/>
        <v/>
      </c>
      <c r="B1250" s="290" t="str">
        <f t="shared" si="355"/>
        <v/>
      </c>
      <c r="C1250" s="290"/>
      <c r="D1250" s="608">
        <f t="shared" si="356"/>
        <v>0</v>
      </c>
      <c r="E1250" s="293"/>
      <c r="F1250" s="346">
        <f t="shared" si="357"/>
        <v>0</v>
      </c>
      <c r="G1250" s="347">
        <f t="shared" si="358"/>
        <v>0</v>
      </c>
    </row>
    <row r="1251" spans="1:8" ht="18.95" customHeight="1" x14ac:dyDescent="0.2">
      <c r="A1251" s="156"/>
      <c r="B1251" s="142"/>
      <c r="C1251" s="142"/>
      <c r="D1251" s="150"/>
      <c r="E1251" s="143"/>
      <c r="F1251" s="356" t="s">
        <v>31</v>
      </c>
      <c r="G1251" s="355">
        <f>SUBTOTAL(9,G1239:G1250)</f>
        <v>0</v>
      </c>
    </row>
    <row r="1252" spans="1:8" ht="18.95" customHeight="1" x14ac:dyDescent="0.2">
      <c r="A1252" s="156"/>
      <c r="B1252" s="142"/>
      <c r="C1252" s="157" t="s">
        <v>1048</v>
      </c>
      <c r="D1252" s="150"/>
      <c r="E1252" s="327"/>
      <c r="F1252" s="327"/>
      <c r="G1252" s="342"/>
    </row>
    <row r="1253" spans="1:8" ht="18.95" customHeight="1" x14ac:dyDescent="0.2">
      <c r="A1253" s="735" t="s">
        <v>582</v>
      </c>
      <c r="B1253" s="736"/>
      <c r="C1253" s="737" t="s">
        <v>0</v>
      </c>
      <c r="D1253" s="739" t="s">
        <v>1750</v>
      </c>
      <c r="E1253" s="741" t="s">
        <v>26</v>
      </c>
      <c r="F1253" s="741" t="s">
        <v>27</v>
      </c>
      <c r="G1253" s="733" t="s">
        <v>28</v>
      </c>
    </row>
    <row r="1254" spans="1:8" ht="18.95" customHeight="1" x14ac:dyDescent="0.2">
      <c r="A1254" s="154" t="s">
        <v>583</v>
      </c>
      <c r="B1254" s="155" t="s">
        <v>584</v>
      </c>
      <c r="C1254" s="738"/>
      <c r="D1254" s="740"/>
      <c r="E1254" s="742"/>
      <c r="F1254" s="742"/>
      <c r="G1254" s="734"/>
    </row>
    <row r="1255" spans="1:8" ht="18.95" customHeight="1" x14ac:dyDescent="0.2">
      <c r="A1255" s="348" t="str">
        <f>IFERROR(VLOOKUP(C1255,Tabla_Insumos,4,FALSE),"")</f>
        <v/>
      </c>
      <c r="B1255" s="290" t="s">
        <v>4</v>
      </c>
      <c r="C1255" s="290"/>
      <c r="D1255" s="293"/>
      <c r="E1255" s="322"/>
      <c r="F1255" s="324"/>
      <c r="G1255" s="347">
        <f t="shared" ref="G1255" si="359">ROUND(E1255*F1255,2)</f>
        <v>0</v>
      </c>
    </row>
    <row r="1256" spans="1:8" ht="18.95" customHeight="1" x14ac:dyDescent="0.2">
      <c r="A1256" s="156"/>
      <c r="B1256" s="142"/>
      <c r="C1256" s="142"/>
      <c r="D1256" s="150"/>
      <c r="E1256" s="143"/>
      <c r="F1256" s="356" t="s">
        <v>1049</v>
      </c>
      <c r="G1256" s="355">
        <f>SUBTOTAL(9,G1255:G1255)</f>
        <v>0</v>
      </c>
    </row>
    <row r="1257" spans="1:8" ht="18.95" customHeight="1" thickBot="1" x14ac:dyDescent="0.25">
      <c r="A1257" s="158"/>
      <c r="B1257" s="159"/>
      <c r="C1257" s="160"/>
      <c r="D1257" s="161"/>
      <c r="E1257" s="357"/>
      <c r="F1257" s="357"/>
      <c r="G1257" s="358"/>
    </row>
    <row r="1258" spans="1:8" ht="18.95" customHeight="1" x14ac:dyDescent="0.2">
      <c r="A1258" s="359">
        <f>B1197</f>
        <v>18</v>
      </c>
      <c r="B1258" s="360" t="str">
        <f>C1197</f>
        <v>CONSTRUCCIÓN DE CANAL IMPERMEABILIZADO DE HORMIGÓN</v>
      </c>
      <c r="C1258" s="361"/>
      <c r="D1258" s="361"/>
      <c r="E1258" s="361" t="s">
        <v>1050</v>
      </c>
      <c r="F1258" s="362" t="str">
        <f>CONCATENATE("$/",G1197)</f>
        <v>$/m</v>
      </c>
      <c r="G1258" s="363">
        <f>SUBTOTAL(9,G1217:G1257)</f>
        <v>0</v>
      </c>
    </row>
    <row r="1259" spans="1:8" ht="18.95" customHeight="1" thickBot="1" x14ac:dyDescent="0.25">
      <c r="A1259" s="364"/>
      <c r="B1259" s="365"/>
      <c r="C1259" s="365"/>
      <c r="D1259" s="365"/>
      <c r="E1259" s="366" t="s">
        <v>1051</v>
      </c>
      <c r="F1259" s="367" t="str">
        <f>CONCATENATE("$/",G1197)</f>
        <v>$/m</v>
      </c>
      <c r="G1259" s="368" t="e">
        <f ca="1">PrecioUnitario(G1258,GG_Porcentaje,Beneficio,Ingresos_Brutos,IVA)</f>
        <v>#NAME?</v>
      </c>
    </row>
    <row r="1260" spans="1:8" ht="18.95" customHeight="1" thickTop="1" thickBot="1" x14ac:dyDescent="0.25">
      <c r="F1260" s="294"/>
      <c r="G1260" s="294"/>
    </row>
    <row r="1261" spans="1:8" ht="18.95" customHeight="1" thickTop="1" x14ac:dyDescent="0.2">
      <c r="A1261" s="194" t="s">
        <v>33</v>
      </c>
      <c r="B1261" s="195"/>
      <c r="C1261" s="195"/>
      <c r="D1261" s="195"/>
      <c r="E1261" s="195"/>
      <c r="F1261" s="195"/>
      <c r="G1261" s="196"/>
      <c r="H1261" s="143">
        <f>COUNTIF($A$1:A1267,"ANALISIS DE PRECIOS")</f>
        <v>19</v>
      </c>
    </row>
    <row r="1262" spans="1:8" ht="18.95" customHeight="1" x14ac:dyDescent="0.2">
      <c r="A1262" s="144" t="s">
        <v>720</v>
      </c>
      <c r="B1262" s="145" t="str">
        <f>Comitente</f>
        <v>DIRECCIÓN PROVINCIAL DE VIALIDAD</v>
      </c>
      <c r="C1262" s="139"/>
      <c r="D1262" s="146"/>
      <c r="E1262" s="325"/>
      <c r="F1262" s="325"/>
      <c r="G1262" s="326"/>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PAVIMENTACION Y ENSANCHE DE RUTA PROVINCIAL N°7 AV. JOAQUIN UÑAC</v>
      </c>
      <c r="C1264" s="140"/>
      <c r="D1264" s="140"/>
      <c r="E1264" s="143"/>
      <c r="F1264" s="145" t="s">
        <v>34</v>
      </c>
      <c r="G1264" s="147">
        <f>Fecha_Base</f>
        <v>43444</v>
      </c>
      <c r="H1264" s="143"/>
    </row>
    <row r="1265" spans="1:8" ht="18.95" customHeight="1" x14ac:dyDescent="0.2">
      <c r="A1265" s="148" t="s">
        <v>719</v>
      </c>
      <c r="B1265" s="141" t="str">
        <f>Ubicación</f>
        <v>DEPARTAMENTO POCITO</v>
      </c>
      <c r="C1265" s="141"/>
      <c r="D1265" s="150"/>
      <c r="E1265" s="143"/>
      <c r="F1265" s="327"/>
      <c r="G1265" s="328"/>
      <c r="H1265" s="143"/>
    </row>
    <row r="1266" spans="1:8" ht="18.95" customHeight="1" x14ac:dyDescent="0.2">
      <c r="A1266" s="148" t="s">
        <v>35</v>
      </c>
      <c r="B1266" s="151" t="str">
        <f>IFERROR(VALUE(LEFT(B1267,FIND("-",B1267)-1)),"")</f>
        <v/>
      </c>
      <c r="C1266" s="142" t="str">
        <f>IFERROR(VLOOKUP(B1266,Tabla_CyP,2,FALSE),"")</f>
        <v/>
      </c>
      <c r="D1266" s="150"/>
      <c r="E1266" s="143"/>
      <c r="F1266" s="327"/>
      <c r="G1266" s="328"/>
      <c r="H1266" s="143"/>
    </row>
    <row r="1267" spans="1:8" ht="18.95" customHeight="1" x14ac:dyDescent="0.2">
      <c r="A1267" s="148" t="s">
        <v>24</v>
      </c>
      <c r="B1267" s="152">
        <f>IFERROR(VLOOKUP(COUNTIF($A$1:A1267,"ANALISIS DE PRECIOS"),Tabla_NumeroItem,4,FALSE),"")</f>
        <v>19</v>
      </c>
      <c r="C1267" s="745" t="str">
        <f>IFERROR(VLOOKUP(B1267,Tabla_CyP,2,FALSE),"")</f>
        <v>CONSTRUCCIÓN DE CUNETA IMPERMEABILIZADA DE HORMIGÓN</v>
      </c>
      <c r="D1267" s="745"/>
      <c r="E1267" s="745"/>
      <c r="F1267" s="141" t="s">
        <v>25</v>
      </c>
      <c r="G1267" s="153" t="str">
        <f>IFERROR(VLOOKUP(B1267,Tabla_CyP,4,FALSE),"")</f>
        <v>m</v>
      </c>
      <c r="H1267" s="143"/>
    </row>
    <row r="1268" spans="1:8" ht="18.95" customHeight="1" x14ac:dyDescent="0.2">
      <c r="A1268" s="148"/>
      <c r="B1268" s="141"/>
      <c r="C1268" s="142"/>
      <c r="D1268" s="150"/>
      <c r="E1268" s="142"/>
      <c r="F1268" s="142"/>
      <c r="G1268" s="329"/>
      <c r="H1268" s="143"/>
    </row>
    <row r="1269" spans="1:8" ht="18.95" customHeight="1" x14ac:dyDescent="0.2">
      <c r="A1269" s="330"/>
      <c r="B1269" s="331"/>
      <c r="C1269" s="332" t="s">
        <v>1032</v>
      </c>
      <c r="D1269" s="331"/>
      <c r="E1269" s="331"/>
      <c r="F1269" s="331"/>
      <c r="G1269" s="333"/>
      <c r="H1269" s="143"/>
    </row>
    <row r="1270" spans="1:8" ht="18.95" customHeight="1" x14ac:dyDescent="0.2">
      <c r="A1270" s="148"/>
      <c r="B1270" s="334"/>
      <c r="C1270" s="335" t="s">
        <v>1033</v>
      </c>
      <c r="D1270" s="336" t="s">
        <v>26</v>
      </c>
      <c r="E1270" s="336" t="s">
        <v>1034</v>
      </c>
      <c r="F1270" s="336" t="s">
        <v>1035</v>
      </c>
      <c r="G1270" s="337" t="s">
        <v>1036</v>
      </c>
      <c r="H1270" s="143"/>
    </row>
    <row r="1271" spans="1:8" ht="18.95" customHeight="1" x14ac:dyDescent="0.2">
      <c r="A1271" s="343"/>
      <c r="B1271" s="344"/>
      <c r="C1271" s="290"/>
      <c r="D1271" s="293"/>
      <c r="E1271" s="345"/>
      <c r="F1271" s="346"/>
      <c r="G1271" s="347">
        <f t="shared" ref="G1271:G1280" si="360">ROUND(D1271*F1271,2)</f>
        <v>0</v>
      </c>
    </row>
    <row r="1272" spans="1:8" ht="18.95" customHeight="1" x14ac:dyDescent="0.2">
      <c r="A1272" s="343"/>
      <c r="B1272" s="344"/>
      <c r="C1272" s="290"/>
      <c r="D1272" s="293"/>
      <c r="E1272" s="345"/>
      <c r="F1272" s="346"/>
      <c r="G1272" s="347">
        <f t="shared" si="360"/>
        <v>0</v>
      </c>
    </row>
    <row r="1273" spans="1:8" ht="18.95" customHeight="1" x14ac:dyDescent="0.2">
      <c r="A1273" s="343"/>
      <c r="B1273" s="344"/>
      <c r="C1273" s="290"/>
      <c r="D1273" s="293"/>
      <c r="E1273" s="345">
        <f t="shared" ref="E1273:E1280" si="361">IFERROR(VLOOKUP(C1273,T_Equipos,4,FALSE),0)</f>
        <v>0</v>
      </c>
      <c r="F1273" s="346">
        <f t="shared" ref="F1273:F1280" si="362">IFERROR(VLOOKUP(C1273,T_Equipos,11,FALSE),0)</f>
        <v>0</v>
      </c>
      <c r="G1273" s="347">
        <f t="shared" si="360"/>
        <v>0</v>
      </c>
    </row>
    <row r="1274" spans="1:8" ht="18.95" customHeight="1" x14ac:dyDescent="0.2">
      <c r="A1274" s="343"/>
      <c r="B1274" s="344"/>
      <c r="C1274" s="290"/>
      <c r="D1274" s="293"/>
      <c r="E1274" s="345">
        <f t="shared" si="361"/>
        <v>0</v>
      </c>
      <c r="F1274" s="346">
        <f t="shared" si="362"/>
        <v>0</v>
      </c>
      <c r="G1274" s="347">
        <f t="shared" si="360"/>
        <v>0</v>
      </c>
    </row>
    <row r="1275" spans="1:8" ht="18.95" customHeight="1" x14ac:dyDescent="0.2">
      <c r="A1275" s="343"/>
      <c r="B1275" s="344"/>
      <c r="C1275" s="290"/>
      <c r="D1275" s="293"/>
      <c r="E1275" s="345">
        <f t="shared" si="361"/>
        <v>0</v>
      </c>
      <c r="F1275" s="346">
        <f t="shared" si="362"/>
        <v>0</v>
      </c>
      <c r="G1275" s="347">
        <f t="shared" si="360"/>
        <v>0</v>
      </c>
    </row>
    <row r="1276" spans="1:8" ht="18.95" customHeight="1" x14ac:dyDescent="0.2">
      <c r="A1276" s="343"/>
      <c r="B1276" s="344"/>
      <c r="C1276" s="290"/>
      <c r="D1276" s="293"/>
      <c r="E1276" s="345">
        <f t="shared" si="361"/>
        <v>0</v>
      </c>
      <c r="F1276" s="346">
        <f t="shared" si="362"/>
        <v>0</v>
      </c>
      <c r="G1276" s="347">
        <f t="shared" si="360"/>
        <v>0</v>
      </c>
    </row>
    <row r="1277" spans="1:8" ht="18.95" customHeight="1" x14ac:dyDescent="0.2">
      <c r="A1277" s="343"/>
      <c r="B1277" s="344"/>
      <c r="C1277" s="290"/>
      <c r="D1277" s="293"/>
      <c r="E1277" s="345">
        <f t="shared" si="361"/>
        <v>0</v>
      </c>
      <c r="F1277" s="346">
        <f t="shared" si="362"/>
        <v>0</v>
      </c>
      <c r="G1277" s="347">
        <f t="shared" si="360"/>
        <v>0</v>
      </c>
    </row>
    <row r="1278" spans="1:8" ht="18.95" customHeight="1" x14ac:dyDescent="0.2">
      <c r="A1278" s="343"/>
      <c r="B1278" s="344"/>
      <c r="C1278" s="290"/>
      <c r="D1278" s="293"/>
      <c r="E1278" s="345">
        <f t="shared" si="361"/>
        <v>0</v>
      </c>
      <c r="F1278" s="346">
        <f t="shared" si="362"/>
        <v>0</v>
      </c>
      <c r="G1278" s="347">
        <f t="shared" si="360"/>
        <v>0</v>
      </c>
    </row>
    <row r="1279" spans="1:8" ht="18.95" customHeight="1" x14ac:dyDescent="0.2">
      <c r="A1279" s="343"/>
      <c r="B1279" s="344"/>
      <c r="C1279" s="290"/>
      <c r="D1279" s="293"/>
      <c r="E1279" s="345">
        <f t="shared" si="361"/>
        <v>0</v>
      </c>
      <c r="F1279" s="346">
        <f t="shared" si="362"/>
        <v>0</v>
      </c>
      <c r="G1279" s="347">
        <f t="shared" si="360"/>
        <v>0</v>
      </c>
    </row>
    <row r="1280" spans="1:8" ht="18.95" customHeight="1" thickBot="1" x14ac:dyDescent="0.25">
      <c r="A1280" s="343"/>
      <c r="B1280" s="344"/>
      <c r="C1280" s="290"/>
      <c r="D1280" s="293"/>
      <c r="E1280" s="345">
        <f t="shared" si="361"/>
        <v>0</v>
      </c>
      <c r="F1280" s="346">
        <f t="shared" si="362"/>
        <v>0</v>
      </c>
      <c r="G1280" s="347">
        <f t="shared" si="360"/>
        <v>0</v>
      </c>
    </row>
    <row r="1281" spans="1:7" ht="18.95" customHeight="1" thickBot="1" x14ac:dyDescent="0.25">
      <c r="A1281" s="148"/>
      <c r="B1281" s="334"/>
      <c r="C1281" s="143"/>
      <c r="D1281" s="146" t="s">
        <v>1037</v>
      </c>
      <c r="E1281" s="338">
        <f>SUMPRODUCT(D1271:D1280,E1271:E1280)</f>
        <v>0</v>
      </c>
      <c r="F1281" s="141" t="s">
        <v>1038</v>
      </c>
      <c r="G1281" s="339">
        <f>SUM(G1271:G1280)</f>
        <v>0</v>
      </c>
    </row>
    <row r="1282" spans="1:7" ht="18.95" customHeight="1" x14ac:dyDescent="0.2">
      <c r="A1282" s="148"/>
      <c r="B1282" s="334"/>
      <c r="C1282" s="141" t="s">
        <v>1039</v>
      </c>
      <c r="D1282" s="320"/>
      <c r="E1282" s="340" t="str">
        <f>CONCATENATE(G1267,"/día")</f>
        <v>m/día</v>
      </c>
      <c r="F1282" s="141"/>
      <c r="G1282" s="341"/>
    </row>
    <row r="1283" spans="1:7" ht="18.95" customHeight="1" x14ac:dyDescent="0.2">
      <c r="A1283" s="148"/>
      <c r="B1283" s="334"/>
      <c r="C1283" s="142"/>
      <c r="D1283" s="150"/>
      <c r="E1283" s="141"/>
      <c r="F1283" s="141"/>
      <c r="G1283" s="341"/>
    </row>
    <row r="1284" spans="1:7" ht="18.95" customHeight="1" x14ac:dyDescent="0.2">
      <c r="A1284" s="735" t="s">
        <v>582</v>
      </c>
      <c r="B1284" s="736"/>
      <c r="C1284" s="737" t="s">
        <v>0</v>
      </c>
      <c r="D1284" s="743" t="s">
        <v>1053</v>
      </c>
      <c r="E1284" s="743" t="s">
        <v>1706</v>
      </c>
      <c r="F1284" s="743" t="s">
        <v>1054</v>
      </c>
      <c r="G1284" s="743" t="s">
        <v>1055</v>
      </c>
    </row>
    <row r="1285" spans="1:7" ht="18.95" customHeight="1" x14ac:dyDescent="0.2">
      <c r="A1285" s="154" t="s">
        <v>583</v>
      </c>
      <c r="B1285" s="155" t="s">
        <v>584</v>
      </c>
      <c r="C1285" s="738"/>
      <c r="D1285" s="742"/>
      <c r="E1285" s="742"/>
      <c r="F1285" s="744"/>
      <c r="G1285" s="742"/>
    </row>
    <row r="1286" spans="1:7" ht="18.95" customHeight="1" x14ac:dyDescent="0.2">
      <c r="A1286" s="156"/>
      <c r="B1286" s="142"/>
      <c r="C1286" s="157" t="s">
        <v>1041</v>
      </c>
      <c r="D1286" s="150"/>
      <c r="E1286" s="142"/>
      <c r="F1286" s="142"/>
      <c r="G1286" s="342"/>
    </row>
    <row r="1287" spans="1:7" ht="18.95" customHeight="1" x14ac:dyDescent="0.2">
      <c r="A1287" s="348" t="str">
        <f t="shared" ref="A1287:A1294" si="363">IFERROR(VLOOKUP(C1287,Tabla_Insumos,4,FALSE),"")</f>
        <v/>
      </c>
      <c r="B1287" s="290" t="str">
        <f t="shared" ref="B1287:B1294" si="364">IFERROR(VLOOKUP(C1287,Tabla_Insumos,5,FALSE),"")</f>
        <v/>
      </c>
      <c r="C1287" s="290"/>
      <c r="D1287" s="607">
        <f t="shared" ref="D1287:D1294" si="365">IFERROR(VLOOKUP(C1287,Tabla_Insumos,3,FALSE),0)</f>
        <v>0</v>
      </c>
      <c r="E1287" s="349">
        <f>D1287*$G$21</f>
        <v>0</v>
      </c>
      <c r="F1287" s="350">
        <f>IF(C1287="",0,D1282)</f>
        <v>0</v>
      </c>
      <c r="G1287" s="347">
        <f>IFERROR(ROUND(E1287/F1287,2),0)</f>
        <v>0</v>
      </c>
    </row>
    <row r="1288" spans="1:7" ht="18.95" customHeight="1" x14ac:dyDescent="0.2">
      <c r="A1288" s="348" t="str">
        <f t="shared" si="363"/>
        <v/>
      </c>
      <c r="B1288" s="290" t="str">
        <f t="shared" si="364"/>
        <v/>
      </c>
      <c r="C1288" s="321"/>
      <c r="D1288" s="607">
        <f t="shared" si="365"/>
        <v>0</v>
      </c>
      <c r="E1288" s="349">
        <f t="shared" ref="E1288:E1289" si="366">D1288*$G$21</f>
        <v>0</v>
      </c>
      <c r="F1288" s="350">
        <f t="shared" ref="F1288:F1291" si="367">IF(C1288="",0,F1287)</f>
        <v>0</v>
      </c>
      <c r="G1288" s="347">
        <f t="shared" ref="G1288:G1294" si="368">IFERROR(ROUND(E1288/F1288,2),0)</f>
        <v>0</v>
      </c>
    </row>
    <row r="1289" spans="1:7" ht="18.95" customHeight="1" x14ac:dyDescent="0.2">
      <c r="A1289" s="348" t="str">
        <f t="shared" si="363"/>
        <v/>
      </c>
      <c r="B1289" s="290" t="str">
        <f t="shared" si="364"/>
        <v/>
      </c>
      <c r="C1289" s="321"/>
      <c r="D1289" s="607">
        <f t="shared" si="365"/>
        <v>0</v>
      </c>
      <c r="E1289" s="349">
        <f t="shared" si="366"/>
        <v>0</v>
      </c>
      <c r="F1289" s="350">
        <f t="shared" si="367"/>
        <v>0</v>
      </c>
      <c r="G1289" s="347">
        <f t="shared" si="368"/>
        <v>0</v>
      </c>
    </row>
    <row r="1290" spans="1:7" ht="18.95" customHeight="1" x14ac:dyDescent="0.2">
      <c r="A1290" s="348" t="str">
        <f t="shared" si="363"/>
        <v/>
      </c>
      <c r="B1290" s="290" t="str">
        <f t="shared" si="364"/>
        <v/>
      </c>
      <c r="C1290" s="321"/>
      <c r="D1290" s="607">
        <f t="shared" si="365"/>
        <v>0</v>
      </c>
      <c r="E1290" s="349">
        <f>D1290*$E$21</f>
        <v>0</v>
      </c>
      <c r="F1290" s="350">
        <f t="shared" si="367"/>
        <v>0</v>
      </c>
      <c r="G1290" s="347">
        <f t="shared" si="368"/>
        <v>0</v>
      </c>
    </row>
    <row r="1291" spans="1:7" ht="18.95" customHeight="1" x14ac:dyDescent="0.2">
      <c r="A1291" s="348" t="str">
        <f t="shared" si="363"/>
        <v/>
      </c>
      <c r="B1291" s="290" t="str">
        <f t="shared" si="364"/>
        <v/>
      </c>
      <c r="C1291" s="321"/>
      <c r="D1291" s="607">
        <f t="shared" si="365"/>
        <v>0</v>
      </c>
      <c r="E1291" s="349">
        <f>D1291*$E$21</f>
        <v>0</v>
      </c>
      <c r="F1291" s="350">
        <f t="shared" si="367"/>
        <v>0</v>
      </c>
      <c r="G1291" s="347">
        <f t="shared" si="368"/>
        <v>0</v>
      </c>
    </row>
    <row r="1292" spans="1:7" ht="18.95" customHeight="1" x14ac:dyDescent="0.2">
      <c r="A1292" s="348" t="str">
        <f t="shared" si="363"/>
        <v/>
      </c>
      <c r="B1292" s="290" t="str">
        <f t="shared" si="364"/>
        <v/>
      </c>
      <c r="C1292" s="321"/>
      <c r="D1292" s="607">
        <f t="shared" si="365"/>
        <v>0</v>
      </c>
      <c r="E1292" s="349"/>
      <c r="F1292" s="350">
        <f>IF(C1292="",0,F1291)</f>
        <v>0</v>
      </c>
      <c r="G1292" s="347">
        <f t="shared" si="368"/>
        <v>0</v>
      </c>
    </row>
    <row r="1293" spans="1:7" ht="18.95" customHeight="1" x14ac:dyDescent="0.2">
      <c r="A1293" s="348" t="str">
        <f t="shared" si="363"/>
        <v/>
      </c>
      <c r="B1293" s="290" t="str">
        <f t="shared" si="364"/>
        <v/>
      </c>
      <c r="C1293" s="321"/>
      <c r="D1293" s="607">
        <f t="shared" si="365"/>
        <v>0</v>
      </c>
      <c r="E1293" s="349"/>
      <c r="F1293" s="350">
        <f t="shared" ref="F1293:F1294" si="369">IF(C1293="",0,F1292)</f>
        <v>0</v>
      </c>
      <c r="G1293" s="347">
        <f t="shared" si="368"/>
        <v>0</v>
      </c>
    </row>
    <row r="1294" spans="1:7" ht="18.95" customHeight="1" x14ac:dyDescent="0.2">
      <c r="A1294" s="348" t="str">
        <f t="shared" si="363"/>
        <v/>
      </c>
      <c r="B1294" s="290" t="str">
        <f t="shared" si="364"/>
        <v/>
      </c>
      <c r="C1294" s="321"/>
      <c r="D1294" s="607">
        <f t="shared" si="365"/>
        <v>0</v>
      </c>
      <c r="E1294" s="349"/>
      <c r="F1294" s="350">
        <f t="shared" si="369"/>
        <v>0</v>
      </c>
      <c r="G1294" s="347">
        <f t="shared" si="368"/>
        <v>0</v>
      </c>
    </row>
    <row r="1295" spans="1:7" ht="18.95" customHeight="1" x14ac:dyDescent="0.2">
      <c r="A1295" s="353"/>
      <c r="B1295" s="149"/>
      <c r="C1295" s="142"/>
      <c r="D1295" s="150"/>
      <c r="E1295" s="143"/>
      <c r="F1295" s="354" t="s">
        <v>29</v>
      </c>
      <c r="G1295" s="355">
        <f>SUBTOTAL(9,G1287:G1294)</f>
        <v>0</v>
      </c>
    </row>
    <row r="1296" spans="1:7" ht="18.95" customHeight="1" x14ac:dyDescent="0.2">
      <c r="A1296" s="156"/>
      <c r="B1296" s="142"/>
      <c r="C1296" s="157" t="s">
        <v>722</v>
      </c>
      <c r="D1296" s="150"/>
      <c r="E1296" s="327"/>
      <c r="F1296" s="327"/>
      <c r="G1296" s="342"/>
    </row>
    <row r="1297" spans="1:7" ht="18.95" customHeight="1" x14ac:dyDescent="0.2">
      <c r="A1297" s="735" t="s">
        <v>582</v>
      </c>
      <c r="B1297" s="736"/>
      <c r="C1297" s="737" t="s">
        <v>0</v>
      </c>
      <c r="D1297" s="739" t="s">
        <v>26</v>
      </c>
      <c r="E1297" s="743" t="s">
        <v>1707</v>
      </c>
      <c r="F1297" s="741" t="s">
        <v>1040</v>
      </c>
      <c r="G1297" s="733" t="s">
        <v>28</v>
      </c>
    </row>
    <row r="1298" spans="1:7" ht="18.95" customHeight="1" x14ac:dyDescent="0.2">
      <c r="A1298" s="154" t="s">
        <v>583</v>
      </c>
      <c r="B1298" s="155" t="s">
        <v>584</v>
      </c>
      <c r="C1298" s="738"/>
      <c r="D1298" s="740"/>
      <c r="E1298" s="742"/>
      <c r="F1298" s="742"/>
      <c r="G1298" s="734"/>
    </row>
    <row r="1299" spans="1:7" ht="18.95" customHeight="1" x14ac:dyDescent="0.2">
      <c r="A1299" s="348" t="str">
        <f t="shared" ref="A1299:A1304" si="370">IFERROR(VLOOKUP(C1299,Tabla_Insumos,4,FALSE),"")</f>
        <v/>
      </c>
      <c r="B1299" s="290" t="str">
        <f t="shared" ref="B1299:B1304" si="371">IFERROR(VLOOKUP(C1299,Tabla_Insumos,5,FALSE),"")</f>
        <v/>
      </c>
      <c r="C1299" s="291"/>
      <c r="D1299" s="293"/>
      <c r="E1299" s="346">
        <f t="shared" ref="E1299:E1304" si="372">IFERROR(VLOOKUP(C1299,Tabla_Insumos,3,FALSE),0)</f>
        <v>0</v>
      </c>
      <c r="F1299" s="349">
        <f>IF(C1299="",0,D1282)</f>
        <v>0</v>
      </c>
      <c r="G1299" s="347">
        <f t="shared" ref="G1299:G1304" si="373">IFERROR(ROUND(D1299*E1299/F1299,2),0)</f>
        <v>0</v>
      </c>
    </row>
    <row r="1300" spans="1:7" ht="18.95" customHeight="1" x14ac:dyDescent="0.2">
      <c r="A1300" s="348" t="str">
        <f t="shared" si="370"/>
        <v/>
      </c>
      <c r="B1300" s="290" t="str">
        <f t="shared" si="371"/>
        <v/>
      </c>
      <c r="C1300" s="290"/>
      <c r="D1300" s="293"/>
      <c r="E1300" s="346">
        <f t="shared" si="372"/>
        <v>0</v>
      </c>
      <c r="F1300" s="349">
        <f>IF(C1300="",0,F1299)</f>
        <v>0</v>
      </c>
      <c r="G1300" s="347">
        <f t="shared" si="373"/>
        <v>0</v>
      </c>
    </row>
    <row r="1301" spans="1:7" ht="18.95" customHeight="1" x14ac:dyDescent="0.2">
      <c r="A1301" s="348" t="str">
        <f t="shared" si="370"/>
        <v/>
      </c>
      <c r="B1301" s="290" t="str">
        <f t="shared" si="371"/>
        <v/>
      </c>
      <c r="C1301" s="290"/>
      <c r="D1301" s="293"/>
      <c r="E1301" s="346">
        <f t="shared" si="372"/>
        <v>0</v>
      </c>
      <c r="F1301" s="349">
        <f>IF(C1301="",0,F1300)</f>
        <v>0</v>
      </c>
      <c r="G1301" s="347">
        <f t="shared" si="373"/>
        <v>0</v>
      </c>
    </row>
    <row r="1302" spans="1:7" ht="18.95" customHeight="1" x14ac:dyDescent="0.2">
      <c r="A1302" s="348" t="str">
        <f t="shared" si="370"/>
        <v/>
      </c>
      <c r="B1302" s="290" t="str">
        <f t="shared" si="371"/>
        <v/>
      </c>
      <c r="C1302" s="290"/>
      <c r="D1302" s="293"/>
      <c r="E1302" s="346">
        <f t="shared" si="372"/>
        <v>0</v>
      </c>
      <c r="F1302" s="349">
        <f>IF(C1302="",0,F1301)</f>
        <v>0</v>
      </c>
      <c r="G1302" s="347">
        <f t="shared" si="373"/>
        <v>0</v>
      </c>
    </row>
    <row r="1303" spans="1:7" ht="18.95" customHeight="1" x14ac:dyDescent="0.2">
      <c r="A1303" s="348" t="str">
        <f t="shared" si="370"/>
        <v/>
      </c>
      <c r="B1303" s="290" t="str">
        <f t="shared" si="371"/>
        <v/>
      </c>
      <c r="C1303" s="290"/>
      <c r="D1303" s="351"/>
      <c r="E1303" s="346">
        <f t="shared" si="372"/>
        <v>0</v>
      </c>
      <c r="F1303" s="349">
        <f>IF(C1303="",0,F1302)</f>
        <v>0</v>
      </c>
      <c r="G1303" s="347">
        <f t="shared" si="373"/>
        <v>0</v>
      </c>
    </row>
    <row r="1304" spans="1:7" ht="18.95" customHeight="1" x14ac:dyDescent="0.2">
      <c r="A1304" s="348" t="str">
        <f t="shared" si="370"/>
        <v/>
      </c>
      <c r="B1304" s="290" t="str">
        <f t="shared" si="371"/>
        <v/>
      </c>
      <c r="C1304" s="290"/>
      <c r="D1304" s="293"/>
      <c r="E1304" s="346">
        <f t="shared" si="372"/>
        <v>0</v>
      </c>
      <c r="F1304" s="349">
        <f>IF(C1304="",0,F1303)</f>
        <v>0</v>
      </c>
      <c r="G1304" s="347">
        <f t="shared" si="373"/>
        <v>0</v>
      </c>
    </row>
    <row r="1305" spans="1:7" ht="18.95" customHeight="1" x14ac:dyDescent="0.2">
      <c r="A1305" s="353"/>
      <c r="B1305" s="149"/>
      <c r="C1305" s="142"/>
      <c r="D1305" s="150"/>
      <c r="E1305" s="143"/>
      <c r="F1305" s="356" t="s">
        <v>30</v>
      </c>
      <c r="G1305" s="355">
        <f>SUBTOTAL(9,G1299:G1304)</f>
        <v>0</v>
      </c>
    </row>
    <row r="1306" spans="1:7" ht="18.95" customHeight="1" x14ac:dyDescent="0.2">
      <c r="A1306" s="156"/>
      <c r="B1306" s="142"/>
      <c r="C1306" s="157" t="s">
        <v>1047</v>
      </c>
      <c r="D1306" s="150"/>
      <c r="E1306" s="327"/>
      <c r="F1306" s="327"/>
      <c r="G1306" s="342"/>
    </row>
    <row r="1307" spans="1:7" ht="18.95" customHeight="1" x14ac:dyDescent="0.2">
      <c r="A1307" s="735" t="s">
        <v>582</v>
      </c>
      <c r="B1307" s="736"/>
      <c r="C1307" s="737" t="s">
        <v>0</v>
      </c>
      <c r="D1307" s="737" t="s">
        <v>1655</v>
      </c>
      <c r="E1307" s="737" t="s">
        <v>26</v>
      </c>
      <c r="F1307" s="737" t="s">
        <v>27</v>
      </c>
      <c r="G1307" s="733" t="s">
        <v>28</v>
      </c>
    </row>
    <row r="1308" spans="1:7" ht="18.95" customHeight="1" x14ac:dyDescent="0.2">
      <c r="A1308" s="154" t="s">
        <v>583</v>
      </c>
      <c r="B1308" s="155" t="s">
        <v>584</v>
      </c>
      <c r="C1308" s="738"/>
      <c r="D1308" s="738"/>
      <c r="E1308" s="738"/>
      <c r="F1308" s="738"/>
      <c r="G1308" s="734"/>
    </row>
    <row r="1309" spans="1:7" ht="18.95" customHeight="1" x14ac:dyDescent="0.2">
      <c r="A1309" s="348" t="str">
        <f t="shared" ref="A1309:A1320" si="374">IFERROR(VLOOKUP(C1309,Tabla_Insumos,4,FALSE),"")</f>
        <v/>
      </c>
      <c r="B1309" s="290" t="str">
        <f t="shared" ref="B1309:B1320" si="375">IFERROR(VLOOKUP(C1309,Tabla_Insumos,5,FALSE),"")</f>
        <v/>
      </c>
      <c r="C1309" s="290"/>
      <c r="D1309" s="608">
        <f t="shared" ref="D1309:D1320" si="376">IFERROR(VLOOKUP(C1309,Tabla_Insumos,2,FALSE),0)</f>
        <v>0</v>
      </c>
      <c r="E1309" s="293"/>
      <c r="F1309" s="346">
        <f t="shared" ref="F1309:F1320" si="377">IFERROR(VLOOKUP(C1309,Tabla_Insumos,3,FALSE),0)</f>
        <v>0</v>
      </c>
      <c r="G1309" s="347">
        <f t="shared" ref="G1309:G1320" si="378">ROUND(E1309*F1309,2)</f>
        <v>0</v>
      </c>
    </row>
    <row r="1310" spans="1:7" ht="18.95" customHeight="1" x14ac:dyDescent="0.2">
      <c r="A1310" s="348" t="str">
        <f t="shared" si="374"/>
        <v/>
      </c>
      <c r="B1310" s="290" t="str">
        <f t="shared" si="375"/>
        <v/>
      </c>
      <c r="C1310" s="126"/>
      <c r="D1310" s="608">
        <f t="shared" si="376"/>
        <v>0</v>
      </c>
      <c r="E1310" s="293"/>
      <c r="F1310" s="346">
        <f t="shared" si="377"/>
        <v>0</v>
      </c>
      <c r="G1310" s="347">
        <f t="shared" si="378"/>
        <v>0</v>
      </c>
    </row>
    <row r="1311" spans="1:7" ht="18.95" customHeight="1" x14ac:dyDescent="0.2">
      <c r="A1311" s="348" t="str">
        <f t="shared" si="374"/>
        <v/>
      </c>
      <c r="B1311" s="290" t="str">
        <f t="shared" si="375"/>
        <v/>
      </c>
      <c r="C1311" s="290"/>
      <c r="D1311" s="608">
        <f t="shared" si="376"/>
        <v>0</v>
      </c>
      <c r="E1311" s="293"/>
      <c r="F1311" s="346">
        <f t="shared" si="377"/>
        <v>0</v>
      </c>
      <c r="G1311" s="347">
        <f t="shared" si="378"/>
        <v>0</v>
      </c>
    </row>
    <row r="1312" spans="1:7" ht="18.95" customHeight="1" x14ac:dyDescent="0.2">
      <c r="A1312" s="348" t="str">
        <f t="shared" si="374"/>
        <v/>
      </c>
      <c r="B1312" s="290" t="str">
        <f t="shared" si="375"/>
        <v/>
      </c>
      <c r="C1312" s="290"/>
      <c r="D1312" s="608">
        <f t="shared" si="376"/>
        <v>0</v>
      </c>
      <c r="E1312" s="293"/>
      <c r="F1312" s="346">
        <f t="shared" si="377"/>
        <v>0</v>
      </c>
      <c r="G1312" s="347">
        <f t="shared" si="378"/>
        <v>0</v>
      </c>
    </row>
    <row r="1313" spans="1:7" ht="18.95" customHeight="1" x14ac:dyDescent="0.2">
      <c r="A1313" s="348" t="str">
        <f t="shared" si="374"/>
        <v/>
      </c>
      <c r="B1313" s="290" t="str">
        <f t="shared" si="375"/>
        <v/>
      </c>
      <c r="C1313" s="290"/>
      <c r="D1313" s="608">
        <f t="shared" si="376"/>
        <v>0</v>
      </c>
      <c r="E1313" s="293"/>
      <c r="F1313" s="346">
        <f t="shared" si="377"/>
        <v>0</v>
      </c>
      <c r="G1313" s="347">
        <f t="shared" si="378"/>
        <v>0</v>
      </c>
    </row>
    <row r="1314" spans="1:7" ht="18.95" customHeight="1" x14ac:dyDescent="0.2">
      <c r="A1314" s="348" t="str">
        <f t="shared" si="374"/>
        <v/>
      </c>
      <c r="B1314" s="290" t="str">
        <f t="shared" si="375"/>
        <v/>
      </c>
      <c r="C1314" s="290"/>
      <c r="D1314" s="608">
        <f t="shared" si="376"/>
        <v>0</v>
      </c>
      <c r="E1314" s="293"/>
      <c r="F1314" s="346">
        <f t="shared" si="377"/>
        <v>0</v>
      </c>
      <c r="G1314" s="347">
        <f t="shared" si="378"/>
        <v>0</v>
      </c>
    </row>
    <row r="1315" spans="1:7" ht="18.95" customHeight="1" x14ac:dyDescent="0.2">
      <c r="A1315" s="348" t="str">
        <f t="shared" si="374"/>
        <v/>
      </c>
      <c r="B1315" s="290" t="str">
        <f t="shared" si="375"/>
        <v/>
      </c>
      <c r="C1315" s="290"/>
      <c r="D1315" s="608">
        <f t="shared" si="376"/>
        <v>0</v>
      </c>
      <c r="E1315" s="293"/>
      <c r="F1315" s="346">
        <f t="shared" si="377"/>
        <v>0</v>
      </c>
      <c r="G1315" s="347">
        <f t="shared" si="378"/>
        <v>0</v>
      </c>
    </row>
    <row r="1316" spans="1:7" s="295" customFormat="1" ht="18.95" customHeight="1" x14ac:dyDescent="0.2">
      <c r="A1316" s="348" t="str">
        <f t="shared" si="374"/>
        <v/>
      </c>
      <c r="B1316" s="290" t="str">
        <f t="shared" si="375"/>
        <v/>
      </c>
      <c r="C1316" s="290"/>
      <c r="D1316" s="608">
        <f t="shared" si="376"/>
        <v>0</v>
      </c>
      <c r="E1316" s="323"/>
      <c r="F1316" s="346">
        <f t="shared" si="377"/>
        <v>0</v>
      </c>
      <c r="G1316" s="347">
        <f t="shared" si="378"/>
        <v>0</v>
      </c>
    </row>
    <row r="1317" spans="1:7" ht="18.95" customHeight="1" x14ac:dyDescent="0.2">
      <c r="A1317" s="348" t="str">
        <f t="shared" si="374"/>
        <v/>
      </c>
      <c r="B1317" s="290" t="str">
        <f t="shared" si="375"/>
        <v/>
      </c>
      <c r="C1317" s="290"/>
      <c r="D1317" s="608">
        <f t="shared" si="376"/>
        <v>0</v>
      </c>
      <c r="E1317" s="293"/>
      <c r="F1317" s="346">
        <f t="shared" si="377"/>
        <v>0</v>
      </c>
      <c r="G1317" s="347">
        <f t="shared" si="378"/>
        <v>0</v>
      </c>
    </row>
    <row r="1318" spans="1:7" ht="18.95" customHeight="1" x14ac:dyDescent="0.2">
      <c r="A1318" s="348" t="str">
        <f t="shared" si="374"/>
        <v/>
      </c>
      <c r="B1318" s="290" t="str">
        <f t="shared" si="375"/>
        <v/>
      </c>
      <c r="C1318" s="290"/>
      <c r="D1318" s="608">
        <f t="shared" si="376"/>
        <v>0</v>
      </c>
      <c r="E1318" s="293"/>
      <c r="F1318" s="346">
        <f t="shared" si="377"/>
        <v>0</v>
      </c>
      <c r="G1318" s="347">
        <f t="shared" si="378"/>
        <v>0</v>
      </c>
    </row>
    <row r="1319" spans="1:7" ht="18.95" customHeight="1" x14ac:dyDescent="0.2">
      <c r="A1319" s="348" t="str">
        <f t="shared" si="374"/>
        <v/>
      </c>
      <c r="B1319" s="290" t="str">
        <f t="shared" si="375"/>
        <v/>
      </c>
      <c r="C1319" s="290"/>
      <c r="D1319" s="608">
        <f t="shared" si="376"/>
        <v>0</v>
      </c>
      <c r="E1319" s="293"/>
      <c r="F1319" s="346">
        <f t="shared" si="377"/>
        <v>0</v>
      </c>
      <c r="G1319" s="347">
        <f t="shared" si="378"/>
        <v>0</v>
      </c>
    </row>
    <row r="1320" spans="1:7" ht="18.95" customHeight="1" x14ac:dyDescent="0.2">
      <c r="A1320" s="348" t="str">
        <f t="shared" si="374"/>
        <v/>
      </c>
      <c r="B1320" s="290" t="str">
        <f t="shared" si="375"/>
        <v/>
      </c>
      <c r="C1320" s="290"/>
      <c r="D1320" s="608">
        <f t="shared" si="376"/>
        <v>0</v>
      </c>
      <c r="E1320" s="293"/>
      <c r="F1320" s="346">
        <f t="shared" si="377"/>
        <v>0</v>
      </c>
      <c r="G1320" s="347">
        <f t="shared" si="378"/>
        <v>0</v>
      </c>
    </row>
    <row r="1321" spans="1:7" ht="18.95" customHeight="1" x14ac:dyDescent="0.2">
      <c r="A1321" s="156"/>
      <c r="B1321" s="142"/>
      <c r="C1321" s="142"/>
      <c r="D1321" s="150"/>
      <c r="E1321" s="143"/>
      <c r="F1321" s="356" t="s">
        <v>31</v>
      </c>
      <c r="G1321" s="355">
        <f>SUBTOTAL(9,G1309:G1320)</f>
        <v>0</v>
      </c>
    </row>
    <row r="1322" spans="1:7" ht="18.95" customHeight="1" x14ac:dyDescent="0.2">
      <c r="A1322" s="156"/>
      <c r="B1322" s="142"/>
      <c r="C1322" s="157" t="s">
        <v>1048</v>
      </c>
      <c r="D1322" s="150"/>
      <c r="E1322" s="327"/>
      <c r="F1322" s="327"/>
      <c r="G1322" s="342"/>
    </row>
    <row r="1323" spans="1:7" ht="18.95" customHeight="1" x14ac:dyDescent="0.2">
      <c r="A1323" s="735" t="s">
        <v>582</v>
      </c>
      <c r="B1323" s="736"/>
      <c r="C1323" s="737" t="s">
        <v>0</v>
      </c>
      <c r="D1323" s="739" t="s">
        <v>1750</v>
      </c>
      <c r="E1323" s="741" t="s">
        <v>26</v>
      </c>
      <c r="F1323" s="741" t="s">
        <v>27</v>
      </c>
      <c r="G1323" s="733" t="s">
        <v>28</v>
      </c>
    </row>
    <row r="1324" spans="1:7" ht="18.95" customHeight="1" x14ac:dyDescent="0.2">
      <c r="A1324" s="154" t="s">
        <v>583</v>
      </c>
      <c r="B1324" s="155" t="s">
        <v>584</v>
      </c>
      <c r="C1324" s="738"/>
      <c r="D1324" s="740"/>
      <c r="E1324" s="742"/>
      <c r="F1324" s="742"/>
      <c r="G1324" s="734"/>
    </row>
    <row r="1325" spans="1:7" ht="18.95" customHeight="1" x14ac:dyDescent="0.2">
      <c r="A1325" s="348" t="str">
        <f>IFERROR(VLOOKUP(C1325,Tabla_Insumos,4,FALSE),"")</f>
        <v/>
      </c>
      <c r="B1325" s="290" t="s">
        <v>4</v>
      </c>
      <c r="C1325" s="290"/>
      <c r="D1325" s="293"/>
      <c r="E1325" s="322"/>
      <c r="F1325" s="324"/>
      <c r="G1325" s="347">
        <f t="shared" ref="G1325" si="379">ROUND(E1325*F1325,2)</f>
        <v>0</v>
      </c>
    </row>
    <row r="1326" spans="1:7" ht="18.95" customHeight="1" x14ac:dyDescent="0.2">
      <c r="A1326" s="156"/>
      <c r="B1326" s="142"/>
      <c r="C1326" s="142"/>
      <c r="D1326" s="150"/>
      <c r="E1326" s="143"/>
      <c r="F1326" s="356" t="s">
        <v>1049</v>
      </c>
      <c r="G1326" s="355">
        <f>SUBTOTAL(9,G1325:G1325)</f>
        <v>0</v>
      </c>
    </row>
    <row r="1327" spans="1:7" ht="18.95" customHeight="1" thickBot="1" x14ac:dyDescent="0.25">
      <c r="A1327" s="158"/>
      <c r="B1327" s="159"/>
      <c r="C1327" s="160"/>
      <c r="D1327" s="161"/>
      <c r="E1327" s="357"/>
      <c r="F1327" s="357"/>
      <c r="G1327" s="358"/>
    </row>
    <row r="1328" spans="1:7" ht="18.95" customHeight="1" x14ac:dyDescent="0.2">
      <c r="A1328" s="359">
        <f>B1267</f>
        <v>19</v>
      </c>
      <c r="B1328" s="360" t="str">
        <f>C1267</f>
        <v>CONSTRUCCIÓN DE CUNETA IMPERMEABILIZADA DE HORMIGÓN</v>
      </c>
      <c r="C1328" s="361"/>
      <c r="D1328" s="361"/>
      <c r="E1328" s="361" t="s">
        <v>1050</v>
      </c>
      <c r="F1328" s="362" t="str">
        <f>CONCATENATE("$/",G1267)</f>
        <v>$/m</v>
      </c>
      <c r="G1328" s="363">
        <f>SUBTOTAL(9,G1287:G1327)</f>
        <v>0</v>
      </c>
    </row>
    <row r="1329" spans="1:8" ht="18.95" customHeight="1" thickBot="1" x14ac:dyDescent="0.25">
      <c r="A1329" s="364"/>
      <c r="B1329" s="365"/>
      <c r="C1329" s="365"/>
      <c r="D1329" s="365"/>
      <c r="E1329" s="366" t="s">
        <v>1051</v>
      </c>
      <c r="F1329" s="367" t="str">
        <f>CONCATENATE("$/",G1267)</f>
        <v>$/m</v>
      </c>
      <c r="G1329" s="368" t="e">
        <f ca="1">PrecioUnitario(G1328,GG_Porcentaje,Beneficio,Ingresos_Brutos,IVA)</f>
        <v>#NAME?</v>
      </c>
    </row>
    <row r="1330" spans="1:8" ht="18.95" customHeight="1" thickTop="1" thickBot="1" x14ac:dyDescent="0.25">
      <c r="F1330" s="294"/>
      <c r="G1330" s="294"/>
    </row>
    <row r="1331" spans="1:8" ht="18.95" customHeight="1" thickTop="1" x14ac:dyDescent="0.2">
      <c r="A1331" s="194" t="s">
        <v>33</v>
      </c>
      <c r="B1331" s="195"/>
      <c r="C1331" s="195"/>
      <c r="D1331" s="195"/>
      <c r="E1331" s="195"/>
      <c r="F1331" s="195"/>
      <c r="G1331" s="196"/>
      <c r="H1331" s="143">
        <f>COUNTIF($A$1:A1337,"ANALISIS DE PRECIOS")</f>
        <v>20</v>
      </c>
    </row>
    <row r="1332" spans="1:8" ht="18.95" customHeight="1" x14ac:dyDescent="0.2">
      <c r="A1332" s="144" t="s">
        <v>720</v>
      </c>
      <c r="B1332" s="145" t="str">
        <f>Comitente</f>
        <v>DIRECCIÓN PROVINCIAL DE VIALIDAD</v>
      </c>
      <c r="C1332" s="139"/>
      <c r="D1332" s="146"/>
      <c r="E1332" s="325"/>
      <c r="F1332" s="325"/>
      <c r="G1332" s="326"/>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PAVIMENTACION Y ENSANCHE DE RUTA PROVINCIAL N°7 AV. JOAQUIN UÑAC</v>
      </c>
      <c r="C1334" s="140"/>
      <c r="D1334" s="140"/>
      <c r="E1334" s="143"/>
      <c r="F1334" s="145" t="s">
        <v>34</v>
      </c>
      <c r="G1334" s="147">
        <f>Fecha_Base</f>
        <v>43444</v>
      </c>
      <c r="H1334" s="143"/>
    </row>
    <row r="1335" spans="1:8" ht="18.95" customHeight="1" x14ac:dyDescent="0.2">
      <c r="A1335" s="148" t="s">
        <v>719</v>
      </c>
      <c r="B1335" s="141" t="str">
        <f>Ubicación</f>
        <v>DEPARTAMENTO POCITO</v>
      </c>
      <c r="C1335" s="141"/>
      <c r="D1335" s="150"/>
      <c r="E1335" s="143"/>
      <c r="F1335" s="327"/>
      <c r="G1335" s="328"/>
      <c r="H1335" s="143"/>
    </row>
    <row r="1336" spans="1:8" ht="18.95" customHeight="1" x14ac:dyDescent="0.2">
      <c r="A1336" s="148" t="s">
        <v>35</v>
      </c>
      <c r="B1336" s="151" t="str">
        <f>IFERROR(VALUE(LEFT(B1337,FIND("-",B1337)-1)),"")</f>
        <v/>
      </c>
      <c r="C1336" s="142" t="str">
        <f>IFERROR(VLOOKUP(B1336,Tabla_CyP,2,FALSE),"")</f>
        <v/>
      </c>
      <c r="D1336" s="150"/>
      <c r="E1336" s="143"/>
      <c r="F1336" s="327"/>
      <c r="G1336" s="328"/>
      <c r="H1336" s="143"/>
    </row>
    <row r="1337" spans="1:8" ht="18.95" customHeight="1" x14ac:dyDescent="0.2">
      <c r="A1337" s="148" t="s">
        <v>24</v>
      </c>
      <c r="B1337" s="152">
        <f>IFERROR(VLOOKUP(COUNTIF($A$1:A1337,"ANALISIS DE PRECIOS"),Tabla_NumeroItem,4,FALSE),"")</f>
        <v>20</v>
      </c>
      <c r="C1337" s="745" t="str">
        <f>IFERROR(VLOOKUP(B1337,Tabla_CyP,2,FALSE),"")</f>
        <v>CONSTRUCCIÓN DE COMPARTO</v>
      </c>
      <c r="D1337" s="745"/>
      <c r="E1337" s="745"/>
      <c r="F1337" s="141" t="s">
        <v>25</v>
      </c>
      <c r="G1337" s="153" t="str">
        <f>IFERROR(VLOOKUP(B1337,Tabla_CyP,4,FALSE),"")</f>
        <v>N°</v>
      </c>
      <c r="H1337" s="143"/>
    </row>
    <row r="1338" spans="1:8" ht="18.95" customHeight="1" x14ac:dyDescent="0.2">
      <c r="A1338" s="148"/>
      <c r="B1338" s="141"/>
      <c r="C1338" s="142"/>
      <c r="D1338" s="150"/>
      <c r="E1338" s="142"/>
      <c r="F1338" s="142"/>
      <c r="G1338" s="329"/>
      <c r="H1338" s="143"/>
    </row>
    <row r="1339" spans="1:8" ht="18.95" customHeight="1" x14ac:dyDescent="0.2">
      <c r="A1339" s="330"/>
      <c r="B1339" s="331"/>
      <c r="C1339" s="332" t="s">
        <v>1032</v>
      </c>
      <c r="D1339" s="331"/>
      <c r="E1339" s="331"/>
      <c r="F1339" s="331"/>
      <c r="G1339" s="333"/>
      <c r="H1339" s="143"/>
    </row>
    <row r="1340" spans="1:8" ht="18.95" customHeight="1" x14ac:dyDescent="0.2">
      <c r="A1340" s="148"/>
      <c r="B1340" s="334"/>
      <c r="C1340" s="335" t="s">
        <v>1033</v>
      </c>
      <c r="D1340" s="336" t="s">
        <v>26</v>
      </c>
      <c r="E1340" s="336" t="s">
        <v>1034</v>
      </c>
      <c r="F1340" s="336" t="s">
        <v>1035</v>
      </c>
      <c r="G1340" s="337" t="s">
        <v>1036</v>
      </c>
      <c r="H1340" s="143"/>
    </row>
    <row r="1341" spans="1:8" ht="18.95" customHeight="1" x14ac:dyDescent="0.2">
      <c r="A1341" s="343"/>
      <c r="B1341" s="344"/>
      <c r="C1341" s="290"/>
      <c r="D1341" s="293"/>
      <c r="E1341" s="345"/>
      <c r="F1341" s="346"/>
      <c r="G1341" s="347">
        <f t="shared" ref="G1341:G1350" si="380">ROUND(D1341*F1341,2)</f>
        <v>0</v>
      </c>
    </row>
    <row r="1342" spans="1:8" ht="18.95" customHeight="1" x14ac:dyDescent="0.2">
      <c r="A1342" s="343"/>
      <c r="B1342" s="344"/>
      <c r="C1342" s="290"/>
      <c r="D1342" s="293"/>
      <c r="E1342" s="345"/>
      <c r="F1342" s="346"/>
      <c r="G1342" s="347">
        <f t="shared" si="380"/>
        <v>0</v>
      </c>
    </row>
    <row r="1343" spans="1:8" ht="18.95" customHeight="1" x14ac:dyDescent="0.2">
      <c r="A1343" s="343"/>
      <c r="B1343" s="344"/>
      <c r="C1343" s="290"/>
      <c r="D1343" s="293"/>
      <c r="E1343" s="345">
        <f t="shared" ref="E1343:E1350" si="381">IFERROR(VLOOKUP(C1343,T_Equipos,4,FALSE),0)</f>
        <v>0</v>
      </c>
      <c r="F1343" s="346">
        <f t="shared" ref="F1343:F1350" si="382">IFERROR(VLOOKUP(C1343,T_Equipos,11,FALSE),0)</f>
        <v>0</v>
      </c>
      <c r="G1343" s="347">
        <f t="shared" si="380"/>
        <v>0</v>
      </c>
    </row>
    <row r="1344" spans="1:8" ht="18.95" customHeight="1" x14ac:dyDescent="0.2">
      <c r="A1344" s="343"/>
      <c r="B1344" s="344"/>
      <c r="C1344" s="290"/>
      <c r="D1344" s="293"/>
      <c r="E1344" s="345">
        <f t="shared" si="381"/>
        <v>0</v>
      </c>
      <c r="F1344" s="346">
        <f t="shared" si="382"/>
        <v>0</v>
      </c>
      <c r="G1344" s="347">
        <f t="shared" si="380"/>
        <v>0</v>
      </c>
    </row>
    <row r="1345" spans="1:7" ht="18.95" customHeight="1" x14ac:dyDescent="0.2">
      <c r="A1345" s="343"/>
      <c r="B1345" s="344"/>
      <c r="C1345" s="290"/>
      <c r="D1345" s="293"/>
      <c r="E1345" s="345">
        <f t="shared" si="381"/>
        <v>0</v>
      </c>
      <c r="F1345" s="346">
        <f t="shared" si="382"/>
        <v>0</v>
      </c>
      <c r="G1345" s="347">
        <f t="shared" si="380"/>
        <v>0</v>
      </c>
    </row>
    <row r="1346" spans="1:7" ht="18.95" customHeight="1" x14ac:dyDescent="0.2">
      <c r="A1346" s="343"/>
      <c r="B1346" s="344"/>
      <c r="C1346" s="290"/>
      <c r="D1346" s="293"/>
      <c r="E1346" s="345">
        <f t="shared" si="381"/>
        <v>0</v>
      </c>
      <c r="F1346" s="346">
        <f t="shared" si="382"/>
        <v>0</v>
      </c>
      <c r="G1346" s="347">
        <f t="shared" si="380"/>
        <v>0</v>
      </c>
    </row>
    <row r="1347" spans="1:7" ht="18.95" customHeight="1" x14ac:dyDescent="0.2">
      <c r="A1347" s="343"/>
      <c r="B1347" s="344"/>
      <c r="C1347" s="290"/>
      <c r="D1347" s="293"/>
      <c r="E1347" s="345">
        <f t="shared" si="381"/>
        <v>0</v>
      </c>
      <c r="F1347" s="346">
        <f t="shared" si="382"/>
        <v>0</v>
      </c>
      <c r="G1347" s="347">
        <f t="shared" si="380"/>
        <v>0</v>
      </c>
    </row>
    <row r="1348" spans="1:7" ht="18.95" customHeight="1" x14ac:dyDescent="0.2">
      <c r="A1348" s="343"/>
      <c r="B1348" s="344"/>
      <c r="C1348" s="290"/>
      <c r="D1348" s="293"/>
      <c r="E1348" s="345">
        <f t="shared" si="381"/>
        <v>0</v>
      </c>
      <c r="F1348" s="346">
        <f t="shared" si="382"/>
        <v>0</v>
      </c>
      <c r="G1348" s="347">
        <f t="shared" si="380"/>
        <v>0</v>
      </c>
    </row>
    <row r="1349" spans="1:7" ht="18.95" customHeight="1" x14ac:dyDescent="0.2">
      <c r="A1349" s="343"/>
      <c r="B1349" s="344"/>
      <c r="C1349" s="290"/>
      <c r="D1349" s="293"/>
      <c r="E1349" s="345">
        <f t="shared" si="381"/>
        <v>0</v>
      </c>
      <c r="F1349" s="346">
        <f t="shared" si="382"/>
        <v>0</v>
      </c>
      <c r="G1349" s="347">
        <f t="shared" si="380"/>
        <v>0</v>
      </c>
    </row>
    <row r="1350" spans="1:7" ht="18.95" customHeight="1" thickBot="1" x14ac:dyDescent="0.25">
      <c r="A1350" s="343"/>
      <c r="B1350" s="344"/>
      <c r="C1350" s="290"/>
      <c r="D1350" s="293"/>
      <c r="E1350" s="345">
        <f t="shared" si="381"/>
        <v>0</v>
      </c>
      <c r="F1350" s="346">
        <f t="shared" si="382"/>
        <v>0</v>
      </c>
      <c r="G1350" s="347">
        <f t="shared" si="380"/>
        <v>0</v>
      </c>
    </row>
    <row r="1351" spans="1:7" ht="18.95" customHeight="1" thickBot="1" x14ac:dyDescent="0.25">
      <c r="A1351" s="148"/>
      <c r="B1351" s="334"/>
      <c r="C1351" s="143"/>
      <c r="D1351" s="146" t="s">
        <v>1037</v>
      </c>
      <c r="E1351" s="338">
        <f>SUMPRODUCT(D1341:D1350,E1341:E1350)</f>
        <v>0</v>
      </c>
      <c r="F1351" s="141" t="s">
        <v>1038</v>
      </c>
      <c r="G1351" s="339">
        <f>SUM(G1341:G1350)</f>
        <v>0</v>
      </c>
    </row>
    <row r="1352" spans="1:7" ht="18.95" customHeight="1" x14ac:dyDescent="0.2">
      <c r="A1352" s="148"/>
      <c r="B1352" s="334"/>
      <c r="C1352" s="141" t="s">
        <v>1039</v>
      </c>
      <c r="D1352" s="320"/>
      <c r="E1352" s="340" t="str">
        <f>CONCATENATE(G1337,"/día")</f>
        <v>N°/día</v>
      </c>
      <c r="F1352" s="141"/>
      <c r="G1352" s="341"/>
    </row>
    <row r="1353" spans="1:7" ht="18.95" customHeight="1" x14ac:dyDescent="0.2">
      <c r="A1353" s="148"/>
      <c r="B1353" s="334"/>
      <c r="C1353" s="142"/>
      <c r="D1353" s="150"/>
      <c r="E1353" s="141"/>
      <c r="F1353" s="141"/>
      <c r="G1353" s="341"/>
    </row>
    <row r="1354" spans="1:7" ht="18.95" customHeight="1" x14ac:dyDescent="0.2">
      <c r="A1354" s="735" t="s">
        <v>582</v>
      </c>
      <c r="B1354" s="736"/>
      <c r="C1354" s="737" t="s">
        <v>0</v>
      </c>
      <c r="D1354" s="743" t="s">
        <v>1053</v>
      </c>
      <c r="E1354" s="743" t="s">
        <v>1706</v>
      </c>
      <c r="F1354" s="743" t="s">
        <v>1054</v>
      </c>
      <c r="G1354" s="743" t="s">
        <v>1055</v>
      </c>
    </row>
    <row r="1355" spans="1:7" ht="18.95" customHeight="1" x14ac:dyDescent="0.2">
      <c r="A1355" s="154" t="s">
        <v>583</v>
      </c>
      <c r="B1355" s="155" t="s">
        <v>584</v>
      </c>
      <c r="C1355" s="738"/>
      <c r="D1355" s="742"/>
      <c r="E1355" s="742"/>
      <c r="F1355" s="744"/>
      <c r="G1355" s="742"/>
    </row>
    <row r="1356" spans="1:7" ht="18.95" customHeight="1" x14ac:dyDescent="0.2">
      <c r="A1356" s="156"/>
      <c r="B1356" s="142"/>
      <c r="C1356" s="157" t="s">
        <v>1041</v>
      </c>
      <c r="D1356" s="150"/>
      <c r="E1356" s="142"/>
      <c r="F1356" s="142"/>
      <c r="G1356" s="342"/>
    </row>
    <row r="1357" spans="1:7" ht="18.95" customHeight="1" x14ac:dyDescent="0.2">
      <c r="A1357" s="348" t="str">
        <f t="shared" ref="A1357:A1364" si="383">IFERROR(VLOOKUP(C1357,Tabla_Insumos,4,FALSE),"")</f>
        <v/>
      </c>
      <c r="B1357" s="290" t="str">
        <f t="shared" ref="B1357:B1364" si="384">IFERROR(VLOOKUP(C1357,Tabla_Insumos,5,FALSE),"")</f>
        <v/>
      </c>
      <c r="C1357" s="290"/>
      <c r="D1357" s="607">
        <f t="shared" ref="D1357:D1364" si="385">IFERROR(VLOOKUP(C1357,Tabla_Insumos,3,FALSE),0)</f>
        <v>0</v>
      </c>
      <c r="E1357" s="349">
        <f>D1357*$G$21</f>
        <v>0</v>
      </c>
      <c r="F1357" s="350">
        <f>IF(C1357="",0,D1352)</f>
        <v>0</v>
      </c>
      <c r="G1357" s="347">
        <f>IFERROR(ROUND(E1357/F1357,2),0)</f>
        <v>0</v>
      </c>
    </row>
    <row r="1358" spans="1:7" ht="18.95" customHeight="1" x14ac:dyDescent="0.2">
      <c r="A1358" s="348" t="str">
        <f t="shared" si="383"/>
        <v/>
      </c>
      <c r="B1358" s="290" t="str">
        <f t="shared" si="384"/>
        <v/>
      </c>
      <c r="C1358" s="321"/>
      <c r="D1358" s="607">
        <f t="shared" si="385"/>
        <v>0</v>
      </c>
      <c r="E1358" s="349">
        <f t="shared" ref="E1358:E1359" si="386">D1358*$G$21</f>
        <v>0</v>
      </c>
      <c r="F1358" s="350">
        <f t="shared" ref="F1358:F1361" si="387">IF(C1358="",0,F1357)</f>
        <v>0</v>
      </c>
      <c r="G1358" s="347">
        <f t="shared" ref="G1358:G1364" si="388">IFERROR(ROUND(E1358/F1358,2),0)</f>
        <v>0</v>
      </c>
    </row>
    <row r="1359" spans="1:7" ht="18.95" customHeight="1" x14ac:dyDescent="0.2">
      <c r="A1359" s="348" t="str">
        <f t="shared" si="383"/>
        <v/>
      </c>
      <c r="B1359" s="290" t="str">
        <f t="shared" si="384"/>
        <v/>
      </c>
      <c r="C1359" s="321"/>
      <c r="D1359" s="607">
        <f t="shared" si="385"/>
        <v>0</v>
      </c>
      <c r="E1359" s="349">
        <f t="shared" si="386"/>
        <v>0</v>
      </c>
      <c r="F1359" s="350">
        <f t="shared" si="387"/>
        <v>0</v>
      </c>
      <c r="G1359" s="347">
        <f t="shared" si="388"/>
        <v>0</v>
      </c>
    </row>
    <row r="1360" spans="1:7" ht="18.95" customHeight="1" x14ac:dyDescent="0.2">
      <c r="A1360" s="348" t="str">
        <f t="shared" si="383"/>
        <v/>
      </c>
      <c r="B1360" s="290" t="str">
        <f t="shared" si="384"/>
        <v/>
      </c>
      <c r="C1360" s="321"/>
      <c r="D1360" s="607">
        <f t="shared" si="385"/>
        <v>0</v>
      </c>
      <c r="E1360" s="349">
        <f>D1360*$E$21</f>
        <v>0</v>
      </c>
      <c r="F1360" s="350">
        <f t="shared" si="387"/>
        <v>0</v>
      </c>
      <c r="G1360" s="347">
        <f t="shared" si="388"/>
        <v>0</v>
      </c>
    </row>
    <row r="1361" spans="1:7" ht="18.95" customHeight="1" x14ac:dyDescent="0.2">
      <c r="A1361" s="348" t="str">
        <f t="shared" si="383"/>
        <v/>
      </c>
      <c r="B1361" s="290" t="str">
        <f t="shared" si="384"/>
        <v/>
      </c>
      <c r="C1361" s="321"/>
      <c r="D1361" s="607">
        <f t="shared" si="385"/>
        <v>0</v>
      </c>
      <c r="E1361" s="349">
        <f>D1361*$E$21</f>
        <v>0</v>
      </c>
      <c r="F1361" s="350">
        <f t="shared" si="387"/>
        <v>0</v>
      </c>
      <c r="G1361" s="347">
        <f t="shared" si="388"/>
        <v>0</v>
      </c>
    </row>
    <row r="1362" spans="1:7" ht="18.95" customHeight="1" x14ac:dyDescent="0.2">
      <c r="A1362" s="348" t="str">
        <f t="shared" si="383"/>
        <v/>
      </c>
      <c r="B1362" s="290" t="str">
        <f t="shared" si="384"/>
        <v/>
      </c>
      <c r="C1362" s="321"/>
      <c r="D1362" s="607">
        <f t="shared" si="385"/>
        <v>0</v>
      </c>
      <c r="E1362" s="349"/>
      <c r="F1362" s="350">
        <f>IF(C1362="",0,F1361)</f>
        <v>0</v>
      </c>
      <c r="G1362" s="347">
        <f t="shared" si="388"/>
        <v>0</v>
      </c>
    </row>
    <row r="1363" spans="1:7" ht="18.95" customHeight="1" x14ac:dyDescent="0.2">
      <c r="A1363" s="348" t="str">
        <f t="shared" si="383"/>
        <v/>
      </c>
      <c r="B1363" s="290" t="str">
        <f t="shared" si="384"/>
        <v/>
      </c>
      <c r="C1363" s="321"/>
      <c r="D1363" s="607">
        <f t="shared" si="385"/>
        <v>0</v>
      </c>
      <c r="E1363" s="349"/>
      <c r="F1363" s="350">
        <f t="shared" ref="F1363:F1364" si="389">IF(C1363="",0,F1362)</f>
        <v>0</v>
      </c>
      <c r="G1363" s="347">
        <f t="shared" si="388"/>
        <v>0</v>
      </c>
    </row>
    <row r="1364" spans="1:7" ht="18.95" customHeight="1" x14ac:dyDescent="0.2">
      <c r="A1364" s="348" t="str">
        <f t="shared" si="383"/>
        <v/>
      </c>
      <c r="B1364" s="290" t="str">
        <f t="shared" si="384"/>
        <v/>
      </c>
      <c r="C1364" s="321"/>
      <c r="D1364" s="607">
        <f t="shared" si="385"/>
        <v>0</v>
      </c>
      <c r="E1364" s="349"/>
      <c r="F1364" s="350">
        <f t="shared" si="389"/>
        <v>0</v>
      </c>
      <c r="G1364" s="347">
        <f t="shared" si="388"/>
        <v>0</v>
      </c>
    </row>
    <row r="1365" spans="1:7" ht="18.95" customHeight="1" x14ac:dyDescent="0.2">
      <c r="A1365" s="353"/>
      <c r="B1365" s="149"/>
      <c r="C1365" s="142"/>
      <c r="D1365" s="150"/>
      <c r="E1365" s="143"/>
      <c r="F1365" s="354" t="s">
        <v>29</v>
      </c>
      <c r="G1365" s="355">
        <f>SUBTOTAL(9,G1357:G1364)</f>
        <v>0</v>
      </c>
    </row>
    <row r="1366" spans="1:7" ht="18.95" customHeight="1" x14ac:dyDescent="0.2">
      <c r="A1366" s="156"/>
      <c r="B1366" s="142"/>
      <c r="C1366" s="157" t="s">
        <v>722</v>
      </c>
      <c r="D1366" s="150"/>
      <c r="E1366" s="327"/>
      <c r="F1366" s="327"/>
      <c r="G1366" s="342"/>
    </row>
    <row r="1367" spans="1:7" ht="18.95" customHeight="1" x14ac:dyDescent="0.2">
      <c r="A1367" s="735" t="s">
        <v>582</v>
      </c>
      <c r="B1367" s="736"/>
      <c r="C1367" s="737" t="s">
        <v>0</v>
      </c>
      <c r="D1367" s="739" t="s">
        <v>26</v>
      </c>
      <c r="E1367" s="743" t="s">
        <v>1707</v>
      </c>
      <c r="F1367" s="741" t="s">
        <v>1040</v>
      </c>
      <c r="G1367" s="733" t="s">
        <v>28</v>
      </c>
    </row>
    <row r="1368" spans="1:7" ht="18.95" customHeight="1" x14ac:dyDescent="0.2">
      <c r="A1368" s="154" t="s">
        <v>583</v>
      </c>
      <c r="B1368" s="155" t="s">
        <v>584</v>
      </c>
      <c r="C1368" s="738"/>
      <c r="D1368" s="740"/>
      <c r="E1368" s="742"/>
      <c r="F1368" s="742"/>
      <c r="G1368" s="734"/>
    </row>
    <row r="1369" spans="1:7" ht="18.95" customHeight="1" x14ac:dyDescent="0.2">
      <c r="A1369" s="348" t="str">
        <f t="shared" ref="A1369:A1374" si="390">IFERROR(VLOOKUP(C1369,Tabla_Insumos,4,FALSE),"")</f>
        <v/>
      </c>
      <c r="B1369" s="290" t="str">
        <f t="shared" ref="B1369:B1374" si="391">IFERROR(VLOOKUP(C1369,Tabla_Insumos,5,FALSE),"")</f>
        <v/>
      </c>
      <c r="C1369" s="291"/>
      <c r="D1369" s="293"/>
      <c r="E1369" s="346">
        <f t="shared" ref="E1369:E1374" si="392">IFERROR(VLOOKUP(C1369,Tabla_Insumos,3,FALSE),0)</f>
        <v>0</v>
      </c>
      <c r="F1369" s="349">
        <f>IF(C1369="",0,D1352)</f>
        <v>0</v>
      </c>
      <c r="G1369" s="347">
        <f t="shared" ref="G1369:G1374" si="393">IFERROR(ROUND(D1369*E1369/F1369,2),0)</f>
        <v>0</v>
      </c>
    </row>
    <row r="1370" spans="1:7" ht="18.95" customHeight="1" x14ac:dyDescent="0.2">
      <c r="A1370" s="348" t="str">
        <f t="shared" si="390"/>
        <v/>
      </c>
      <c r="B1370" s="290" t="str">
        <f t="shared" si="391"/>
        <v/>
      </c>
      <c r="C1370" s="290"/>
      <c r="D1370" s="293"/>
      <c r="E1370" s="346">
        <f t="shared" si="392"/>
        <v>0</v>
      </c>
      <c r="F1370" s="349">
        <f>IF(C1370="",0,F1369)</f>
        <v>0</v>
      </c>
      <c r="G1370" s="347">
        <f t="shared" si="393"/>
        <v>0</v>
      </c>
    </row>
    <row r="1371" spans="1:7" ht="18.95" customHeight="1" x14ac:dyDescent="0.2">
      <c r="A1371" s="348" t="str">
        <f t="shared" si="390"/>
        <v/>
      </c>
      <c r="B1371" s="290" t="str">
        <f t="shared" si="391"/>
        <v/>
      </c>
      <c r="C1371" s="290"/>
      <c r="D1371" s="293"/>
      <c r="E1371" s="346">
        <f t="shared" si="392"/>
        <v>0</v>
      </c>
      <c r="F1371" s="349">
        <f>IF(C1371="",0,F1370)</f>
        <v>0</v>
      </c>
      <c r="G1371" s="347">
        <f t="shared" si="393"/>
        <v>0</v>
      </c>
    </row>
    <row r="1372" spans="1:7" ht="18.95" customHeight="1" x14ac:dyDescent="0.2">
      <c r="A1372" s="348" t="str">
        <f t="shared" si="390"/>
        <v/>
      </c>
      <c r="B1372" s="290" t="str">
        <f t="shared" si="391"/>
        <v/>
      </c>
      <c r="C1372" s="290"/>
      <c r="D1372" s="293"/>
      <c r="E1372" s="346">
        <f t="shared" si="392"/>
        <v>0</v>
      </c>
      <c r="F1372" s="349">
        <f>IF(C1372="",0,F1371)</f>
        <v>0</v>
      </c>
      <c r="G1372" s="347">
        <f t="shared" si="393"/>
        <v>0</v>
      </c>
    </row>
    <row r="1373" spans="1:7" ht="18.95" customHeight="1" x14ac:dyDescent="0.2">
      <c r="A1373" s="348" t="str">
        <f t="shared" si="390"/>
        <v/>
      </c>
      <c r="B1373" s="290" t="str">
        <f t="shared" si="391"/>
        <v/>
      </c>
      <c r="C1373" s="290"/>
      <c r="D1373" s="351"/>
      <c r="E1373" s="346">
        <f t="shared" si="392"/>
        <v>0</v>
      </c>
      <c r="F1373" s="349">
        <f>IF(C1373="",0,F1372)</f>
        <v>0</v>
      </c>
      <c r="G1373" s="347">
        <f t="shared" si="393"/>
        <v>0</v>
      </c>
    </row>
    <row r="1374" spans="1:7" ht="18.95" customHeight="1" x14ac:dyDescent="0.2">
      <c r="A1374" s="348" t="str">
        <f t="shared" si="390"/>
        <v/>
      </c>
      <c r="B1374" s="290" t="str">
        <f t="shared" si="391"/>
        <v/>
      </c>
      <c r="C1374" s="290"/>
      <c r="D1374" s="293"/>
      <c r="E1374" s="346">
        <f t="shared" si="392"/>
        <v>0</v>
      </c>
      <c r="F1374" s="349">
        <f>IF(C1374="",0,F1373)</f>
        <v>0</v>
      </c>
      <c r="G1374" s="347">
        <f t="shared" si="393"/>
        <v>0</v>
      </c>
    </row>
    <row r="1375" spans="1:7" ht="18.95" customHeight="1" x14ac:dyDescent="0.2">
      <c r="A1375" s="353"/>
      <c r="B1375" s="149"/>
      <c r="C1375" s="142"/>
      <c r="D1375" s="150"/>
      <c r="E1375" s="143"/>
      <c r="F1375" s="356" t="s">
        <v>30</v>
      </c>
      <c r="G1375" s="355">
        <f>SUBTOTAL(9,G1369:G1374)</f>
        <v>0</v>
      </c>
    </row>
    <row r="1376" spans="1:7" ht="18.95" customHeight="1" x14ac:dyDescent="0.2">
      <c r="A1376" s="156"/>
      <c r="B1376" s="142"/>
      <c r="C1376" s="157" t="s">
        <v>1047</v>
      </c>
      <c r="D1376" s="150"/>
      <c r="E1376" s="327"/>
      <c r="F1376" s="327"/>
      <c r="G1376" s="342"/>
    </row>
    <row r="1377" spans="1:7" ht="18.95" customHeight="1" x14ac:dyDescent="0.2">
      <c r="A1377" s="735" t="s">
        <v>582</v>
      </c>
      <c r="B1377" s="736"/>
      <c r="C1377" s="737" t="s">
        <v>0</v>
      </c>
      <c r="D1377" s="737" t="s">
        <v>1655</v>
      </c>
      <c r="E1377" s="737" t="s">
        <v>26</v>
      </c>
      <c r="F1377" s="737" t="s">
        <v>27</v>
      </c>
      <c r="G1377" s="733" t="s">
        <v>28</v>
      </c>
    </row>
    <row r="1378" spans="1:7" ht="18.95" customHeight="1" x14ac:dyDescent="0.2">
      <c r="A1378" s="154" t="s">
        <v>583</v>
      </c>
      <c r="B1378" s="155" t="s">
        <v>584</v>
      </c>
      <c r="C1378" s="738"/>
      <c r="D1378" s="738"/>
      <c r="E1378" s="738"/>
      <c r="F1378" s="738"/>
      <c r="G1378" s="734"/>
    </row>
    <row r="1379" spans="1:7" ht="18.95" customHeight="1" x14ac:dyDescent="0.2">
      <c r="A1379" s="348" t="str">
        <f t="shared" ref="A1379:A1390" si="394">IFERROR(VLOOKUP(C1379,Tabla_Insumos,4,FALSE),"")</f>
        <v/>
      </c>
      <c r="B1379" s="290" t="str">
        <f t="shared" ref="B1379:B1390" si="395">IFERROR(VLOOKUP(C1379,Tabla_Insumos,5,FALSE),"")</f>
        <v/>
      </c>
      <c r="C1379" s="290"/>
      <c r="D1379" s="608">
        <f t="shared" ref="D1379:D1390" si="396">IFERROR(VLOOKUP(C1379,Tabla_Insumos,2,FALSE),0)</f>
        <v>0</v>
      </c>
      <c r="E1379" s="293"/>
      <c r="F1379" s="346">
        <f t="shared" ref="F1379:F1390" si="397">IFERROR(VLOOKUP(C1379,Tabla_Insumos,3,FALSE),0)</f>
        <v>0</v>
      </c>
      <c r="G1379" s="347">
        <f t="shared" ref="G1379:G1390" si="398">ROUND(E1379*F1379,2)</f>
        <v>0</v>
      </c>
    </row>
    <row r="1380" spans="1:7" ht="18.95" customHeight="1" x14ac:dyDescent="0.2">
      <c r="A1380" s="348" t="str">
        <f t="shared" si="394"/>
        <v/>
      </c>
      <c r="B1380" s="290" t="str">
        <f t="shared" si="395"/>
        <v/>
      </c>
      <c r="C1380" s="126"/>
      <c r="D1380" s="608">
        <f t="shared" si="396"/>
        <v>0</v>
      </c>
      <c r="E1380" s="293"/>
      <c r="F1380" s="346">
        <f t="shared" si="397"/>
        <v>0</v>
      </c>
      <c r="G1380" s="347">
        <f t="shared" si="398"/>
        <v>0</v>
      </c>
    </row>
    <row r="1381" spans="1:7" ht="18.95" customHeight="1" x14ac:dyDescent="0.2">
      <c r="A1381" s="348" t="str">
        <f t="shared" si="394"/>
        <v/>
      </c>
      <c r="B1381" s="290" t="str">
        <f t="shared" si="395"/>
        <v/>
      </c>
      <c r="C1381" s="290"/>
      <c r="D1381" s="608">
        <f t="shared" si="396"/>
        <v>0</v>
      </c>
      <c r="E1381" s="293"/>
      <c r="F1381" s="346">
        <f t="shared" si="397"/>
        <v>0</v>
      </c>
      <c r="G1381" s="347">
        <f t="shared" si="398"/>
        <v>0</v>
      </c>
    </row>
    <row r="1382" spans="1:7" ht="18.95" customHeight="1" x14ac:dyDescent="0.2">
      <c r="A1382" s="348" t="str">
        <f t="shared" si="394"/>
        <v/>
      </c>
      <c r="B1382" s="290" t="str">
        <f t="shared" si="395"/>
        <v/>
      </c>
      <c r="C1382" s="290"/>
      <c r="D1382" s="608">
        <f t="shared" si="396"/>
        <v>0</v>
      </c>
      <c r="E1382" s="293"/>
      <c r="F1382" s="346">
        <f t="shared" si="397"/>
        <v>0</v>
      </c>
      <c r="G1382" s="347">
        <f t="shared" si="398"/>
        <v>0</v>
      </c>
    </row>
    <row r="1383" spans="1:7" ht="18.95" customHeight="1" x14ac:dyDescent="0.2">
      <c r="A1383" s="348" t="str">
        <f t="shared" si="394"/>
        <v/>
      </c>
      <c r="B1383" s="290" t="str">
        <f t="shared" si="395"/>
        <v/>
      </c>
      <c r="C1383" s="290"/>
      <c r="D1383" s="608">
        <f t="shared" si="396"/>
        <v>0</v>
      </c>
      <c r="E1383" s="293"/>
      <c r="F1383" s="346">
        <f t="shared" si="397"/>
        <v>0</v>
      </c>
      <c r="G1383" s="347">
        <f t="shared" si="398"/>
        <v>0</v>
      </c>
    </row>
    <row r="1384" spans="1:7" ht="18.95" customHeight="1" x14ac:dyDescent="0.2">
      <c r="A1384" s="348" t="str">
        <f t="shared" si="394"/>
        <v/>
      </c>
      <c r="B1384" s="290" t="str">
        <f t="shared" si="395"/>
        <v/>
      </c>
      <c r="C1384" s="290"/>
      <c r="D1384" s="608">
        <f t="shared" si="396"/>
        <v>0</v>
      </c>
      <c r="E1384" s="293"/>
      <c r="F1384" s="346">
        <f t="shared" si="397"/>
        <v>0</v>
      </c>
      <c r="G1384" s="347">
        <f t="shared" si="398"/>
        <v>0</v>
      </c>
    </row>
    <row r="1385" spans="1:7" ht="18.95" customHeight="1" x14ac:dyDescent="0.2">
      <c r="A1385" s="348" t="str">
        <f t="shared" si="394"/>
        <v/>
      </c>
      <c r="B1385" s="290" t="str">
        <f t="shared" si="395"/>
        <v/>
      </c>
      <c r="C1385" s="290"/>
      <c r="D1385" s="608">
        <f t="shared" si="396"/>
        <v>0</v>
      </c>
      <c r="E1385" s="293"/>
      <c r="F1385" s="346">
        <f t="shared" si="397"/>
        <v>0</v>
      </c>
      <c r="G1385" s="347">
        <f t="shared" si="398"/>
        <v>0</v>
      </c>
    </row>
    <row r="1386" spans="1:7" s="295" customFormat="1" ht="18.95" customHeight="1" x14ac:dyDescent="0.2">
      <c r="A1386" s="348" t="str">
        <f t="shared" si="394"/>
        <v/>
      </c>
      <c r="B1386" s="290" t="str">
        <f t="shared" si="395"/>
        <v/>
      </c>
      <c r="C1386" s="290"/>
      <c r="D1386" s="608">
        <f t="shared" si="396"/>
        <v>0</v>
      </c>
      <c r="E1386" s="323"/>
      <c r="F1386" s="346">
        <f t="shared" si="397"/>
        <v>0</v>
      </c>
      <c r="G1386" s="347">
        <f t="shared" si="398"/>
        <v>0</v>
      </c>
    </row>
    <row r="1387" spans="1:7" ht="18.95" customHeight="1" x14ac:dyDescent="0.2">
      <c r="A1387" s="348" t="str">
        <f t="shared" si="394"/>
        <v/>
      </c>
      <c r="B1387" s="290" t="str">
        <f t="shared" si="395"/>
        <v/>
      </c>
      <c r="C1387" s="290"/>
      <c r="D1387" s="608">
        <f t="shared" si="396"/>
        <v>0</v>
      </c>
      <c r="E1387" s="293"/>
      <c r="F1387" s="346">
        <f t="shared" si="397"/>
        <v>0</v>
      </c>
      <c r="G1387" s="347">
        <f t="shared" si="398"/>
        <v>0</v>
      </c>
    </row>
    <row r="1388" spans="1:7" ht="18.95" customHeight="1" x14ac:dyDescent="0.2">
      <c r="A1388" s="348" t="str">
        <f t="shared" si="394"/>
        <v/>
      </c>
      <c r="B1388" s="290" t="str">
        <f t="shared" si="395"/>
        <v/>
      </c>
      <c r="C1388" s="290"/>
      <c r="D1388" s="608">
        <f t="shared" si="396"/>
        <v>0</v>
      </c>
      <c r="E1388" s="293"/>
      <c r="F1388" s="346">
        <f t="shared" si="397"/>
        <v>0</v>
      </c>
      <c r="G1388" s="347">
        <f t="shared" si="398"/>
        <v>0</v>
      </c>
    </row>
    <row r="1389" spans="1:7" ht="18.95" customHeight="1" x14ac:dyDescent="0.2">
      <c r="A1389" s="348" t="str">
        <f t="shared" si="394"/>
        <v/>
      </c>
      <c r="B1389" s="290" t="str">
        <f t="shared" si="395"/>
        <v/>
      </c>
      <c r="C1389" s="290"/>
      <c r="D1389" s="608">
        <f t="shared" si="396"/>
        <v>0</v>
      </c>
      <c r="E1389" s="293"/>
      <c r="F1389" s="346">
        <f t="shared" si="397"/>
        <v>0</v>
      </c>
      <c r="G1389" s="347">
        <f t="shared" si="398"/>
        <v>0</v>
      </c>
    </row>
    <row r="1390" spans="1:7" ht="18.95" customHeight="1" x14ac:dyDescent="0.2">
      <c r="A1390" s="348" t="str">
        <f t="shared" si="394"/>
        <v/>
      </c>
      <c r="B1390" s="290" t="str">
        <f t="shared" si="395"/>
        <v/>
      </c>
      <c r="C1390" s="290"/>
      <c r="D1390" s="608">
        <f t="shared" si="396"/>
        <v>0</v>
      </c>
      <c r="E1390" s="293"/>
      <c r="F1390" s="346">
        <f t="shared" si="397"/>
        <v>0</v>
      </c>
      <c r="G1390" s="347">
        <f t="shared" si="398"/>
        <v>0</v>
      </c>
    </row>
    <row r="1391" spans="1:7" ht="18.95" customHeight="1" x14ac:dyDescent="0.2">
      <c r="A1391" s="156"/>
      <c r="B1391" s="142"/>
      <c r="C1391" s="142"/>
      <c r="D1391" s="150"/>
      <c r="E1391" s="143"/>
      <c r="F1391" s="356" t="s">
        <v>31</v>
      </c>
      <c r="G1391" s="355">
        <f>SUBTOTAL(9,G1379:G1390)</f>
        <v>0</v>
      </c>
    </row>
    <row r="1392" spans="1:7" ht="18.95" customHeight="1" x14ac:dyDescent="0.2">
      <c r="A1392" s="156"/>
      <c r="B1392" s="142"/>
      <c r="C1392" s="157" t="s">
        <v>1048</v>
      </c>
      <c r="D1392" s="150"/>
      <c r="E1392" s="327"/>
      <c r="F1392" s="327"/>
      <c r="G1392" s="342"/>
    </row>
    <row r="1393" spans="1:8" ht="18.95" customHeight="1" x14ac:dyDescent="0.2">
      <c r="A1393" s="735" t="s">
        <v>582</v>
      </c>
      <c r="B1393" s="736"/>
      <c r="C1393" s="737" t="s">
        <v>0</v>
      </c>
      <c r="D1393" s="739" t="s">
        <v>1750</v>
      </c>
      <c r="E1393" s="741" t="s">
        <v>26</v>
      </c>
      <c r="F1393" s="741" t="s">
        <v>27</v>
      </c>
      <c r="G1393" s="733" t="s">
        <v>28</v>
      </c>
    </row>
    <row r="1394" spans="1:8" ht="18.95" customHeight="1" x14ac:dyDescent="0.2">
      <c r="A1394" s="154" t="s">
        <v>583</v>
      </c>
      <c r="B1394" s="155" t="s">
        <v>584</v>
      </c>
      <c r="C1394" s="738"/>
      <c r="D1394" s="740"/>
      <c r="E1394" s="742"/>
      <c r="F1394" s="742"/>
      <c r="G1394" s="734"/>
    </row>
    <row r="1395" spans="1:8" ht="18.95" customHeight="1" x14ac:dyDescent="0.2">
      <c r="A1395" s="348" t="str">
        <f>IFERROR(VLOOKUP(C1395,Tabla_Insumos,4,FALSE),"")</f>
        <v/>
      </c>
      <c r="B1395" s="290" t="s">
        <v>4</v>
      </c>
      <c r="C1395" s="290"/>
      <c r="D1395" s="293"/>
      <c r="E1395" s="322"/>
      <c r="F1395" s="324"/>
      <c r="G1395" s="347">
        <f t="shared" ref="G1395" si="399">ROUND(E1395*F1395,2)</f>
        <v>0</v>
      </c>
    </row>
    <row r="1396" spans="1:8" ht="18.95" customHeight="1" x14ac:dyDescent="0.2">
      <c r="A1396" s="156"/>
      <c r="B1396" s="142"/>
      <c r="C1396" s="142"/>
      <c r="D1396" s="150"/>
      <c r="E1396" s="143"/>
      <c r="F1396" s="356" t="s">
        <v>1049</v>
      </c>
      <c r="G1396" s="355">
        <f>SUBTOTAL(9,G1395:G1395)</f>
        <v>0</v>
      </c>
    </row>
    <row r="1397" spans="1:8" ht="18.95" customHeight="1" thickBot="1" x14ac:dyDescent="0.25">
      <c r="A1397" s="158"/>
      <c r="B1397" s="159"/>
      <c r="C1397" s="160"/>
      <c r="D1397" s="161"/>
      <c r="E1397" s="357"/>
      <c r="F1397" s="357"/>
      <c r="G1397" s="358"/>
    </row>
    <row r="1398" spans="1:8" ht="18.95" customHeight="1" x14ac:dyDescent="0.2">
      <c r="A1398" s="359">
        <f>B1337</f>
        <v>20</v>
      </c>
      <c r="B1398" s="360" t="str">
        <f>C1337</f>
        <v>CONSTRUCCIÓN DE COMPARTO</v>
      </c>
      <c r="C1398" s="361"/>
      <c r="D1398" s="361"/>
      <c r="E1398" s="361" t="s">
        <v>1050</v>
      </c>
      <c r="F1398" s="362" t="str">
        <f>CONCATENATE("$/",G1337)</f>
        <v>$/N°</v>
      </c>
      <c r="G1398" s="363">
        <f>SUBTOTAL(9,G1357:G1397)</f>
        <v>0</v>
      </c>
    </row>
    <row r="1399" spans="1:8" ht="18.95" customHeight="1" thickBot="1" x14ac:dyDescent="0.25">
      <c r="A1399" s="364"/>
      <c r="B1399" s="365"/>
      <c r="C1399" s="365"/>
      <c r="D1399" s="365"/>
      <c r="E1399" s="366" t="s">
        <v>1051</v>
      </c>
      <c r="F1399" s="367" t="str">
        <f>CONCATENATE("$/",G1337)</f>
        <v>$/N°</v>
      </c>
      <c r="G1399" s="368" t="e">
        <f ca="1">PrecioUnitario(G1398,GG_Porcentaje,Beneficio,Ingresos_Brutos,IVA)</f>
        <v>#NAME?</v>
      </c>
    </row>
    <row r="1400" spans="1:8" ht="18.95" customHeight="1" thickTop="1" thickBot="1" x14ac:dyDescent="0.25">
      <c r="F1400" s="294"/>
      <c r="G1400" s="294"/>
    </row>
    <row r="1401" spans="1:8" ht="18.95" customHeight="1" thickTop="1" x14ac:dyDescent="0.2">
      <c r="A1401" s="194" t="s">
        <v>33</v>
      </c>
      <c r="B1401" s="195"/>
      <c r="C1401" s="195"/>
      <c r="D1401" s="195"/>
      <c r="E1401" s="195"/>
      <c r="F1401" s="195"/>
      <c r="G1401" s="196"/>
      <c r="H1401" s="143">
        <f>COUNTIF($A$1:A1407,"ANALISIS DE PRECIOS")</f>
        <v>21</v>
      </c>
    </row>
    <row r="1402" spans="1:8" ht="18.95" customHeight="1" x14ac:dyDescent="0.2">
      <c r="A1402" s="144" t="s">
        <v>720</v>
      </c>
      <c r="B1402" s="145" t="str">
        <f>Comitente</f>
        <v>DIRECCIÓN PROVINCIAL DE VIALIDAD</v>
      </c>
      <c r="C1402" s="139"/>
      <c r="D1402" s="146"/>
      <c r="E1402" s="325"/>
      <c r="F1402" s="325"/>
      <c r="G1402" s="326"/>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PAVIMENTACION Y ENSANCHE DE RUTA PROVINCIAL N°7 AV. JOAQUIN UÑAC</v>
      </c>
      <c r="C1404" s="140"/>
      <c r="D1404" s="140"/>
      <c r="E1404" s="143"/>
      <c r="F1404" s="145" t="s">
        <v>34</v>
      </c>
      <c r="G1404" s="147">
        <f>Fecha_Base</f>
        <v>43444</v>
      </c>
      <c r="H1404" s="143"/>
    </row>
    <row r="1405" spans="1:8" ht="18.95" customHeight="1" x14ac:dyDescent="0.2">
      <c r="A1405" s="148" t="s">
        <v>719</v>
      </c>
      <c r="B1405" s="141" t="str">
        <f>Ubicación</f>
        <v>DEPARTAMENTO POCITO</v>
      </c>
      <c r="C1405" s="141"/>
      <c r="D1405" s="150"/>
      <c r="E1405" s="143"/>
      <c r="F1405" s="327"/>
      <c r="G1405" s="328"/>
      <c r="H1405" s="143"/>
    </row>
    <row r="1406" spans="1:8" ht="18.95" customHeight="1" x14ac:dyDescent="0.2">
      <c r="A1406" s="148" t="s">
        <v>35</v>
      </c>
      <c r="B1406" s="151" t="str">
        <f>IFERROR(VALUE(LEFT(B1407,FIND("-",B1407)-1)),"")</f>
        <v/>
      </c>
      <c r="C1406" s="142" t="str">
        <f>IFERROR(VLOOKUP(B1406,Tabla_CyP,2,FALSE),"")</f>
        <v/>
      </c>
      <c r="D1406" s="150"/>
      <c r="E1406" s="143"/>
      <c r="F1406" s="327"/>
      <c r="G1406" s="328"/>
      <c r="H1406" s="143"/>
    </row>
    <row r="1407" spans="1:8" ht="18.95" customHeight="1" x14ac:dyDescent="0.2">
      <c r="A1407" s="148" t="s">
        <v>24</v>
      </c>
      <c r="B1407" s="152">
        <f>IFERROR(VLOOKUP(COUNTIF($A$1:A1407,"ANALISIS DE PRECIOS"),Tabla_NumeroItem,4,FALSE),"")</f>
        <v>21</v>
      </c>
      <c r="C1407" s="745" t="str">
        <f>IFERROR(VLOOKUP(B1407,Tabla_CyP,2,FALSE),"")</f>
        <v>CONSTRUCCIÓN DE ALAMABRADO SEGÚN PLANO TIPO H-2840-I, TIPO "C"</v>
      </c>
      <c r="D1407" s="745"/>
      <c r="E1407" s="745"/>
      <c r="F1407" s="141" t="s">
        <v>25</v>
      </c>
      <c r="G1407" s="153" t="str">
        <f>IFERROR(VLOOKUP(B1407,Tabla_CyP,4,FALSE),"")</f>
        <v>m</v>
      </c>
      <c r="H1407" s="143"/>
    </row>
    <row r="1408" spans="1:8" ht="18.95" customHeight="1" x14ac:dyDescent="0.2">
      <c r="A1408" s="148"/>
      <c r="B1408" s="141"/>
      <c r="C1408" s="142"/>
      <c r="D1408" s="150"/>
      <c r="E1408" s="142"/>
      <c r="F1408" s="142"/>
      <c r="G1408" s="329"/>
      <c r="H1408" s="143"/>
    </row>
    <row r="1409" spans="1:8" ht="18.95" customHeight="1" x14ac:dyDescent="0.2">
      <c r="A1409" s="330"/>
      <c r="B1409" s="331"/>
      <c r="C1409" s="332" t="s">
        <v>1032</v>
      </c>
      <c r="D1409" s="331"/>
      <c r="E1409" s="331"/>
      <c r="F1409" s="331"/>
      <c r="G1409" s="333"/>
      <c r="H1409" s="143"/>
    </row>
    <row r="1410" spans="1:8" ht="18.95" customHeight="1" x14ac:dyDescent="0.2">
      <c r="A1410" s="148"/>
      <c r="B1410" s="334"/>
      <c r="C1410" s="335" t="s">
        <v>1033</v>
      </c>
      <c r="D1410" s="336" t="s">
        <v>26</v>
      </c>
      <c r="E1410" s="336" t="s">
        <v>1034</v>
      </c>
      <c r="F1410" s="336" t="s">
        <v>1035</v>
      </c>
      <c r="G1410" s="337" t="s">
        <v>1036</v>
      </c>
      <c r="H1410" s="143"/>
    </row>
    <row r="1411" spans="1:8" ht="18.95" customHeight="1" x14ac:dyDescent="0.2">
      <c r="A1411" s="343"/>
      <c r="B1411" s="344"/>
      <c r="C1411" s="290"/>
      <c r="D1411" s="293"/>
      <c r="E1411" s="345"/>
      <c r="F1411" s="346"/>
      <c r="G1411" s="347">
        <f t="shared" ref="G1411:G1420" si="400">ROUND(D1411*F1411,2)</f>
        <v>0</v>
      </c>
    </row>
    <row r="1412" spans="1:8" ht="18.95" customHeight="1" x14ac:dyDescent="0.2">
      <c r="A1412" s="343"/>
      <c r="B1412" s="344"/>
      <c r="C1412" s="290"/>
      <c r="D1412" s="293"/>
      <c r="E1412" s="345"/>
      <c r="F1412" s="346"/>
      <c r="G1412" s="347">
        <f t="shared" si="400"/>
        <v>0</v>
      </c>
    </row>
    <row r="1413" spans="1:8" ht="18.95" customHeight="1" x14ac:dyDescent="0.2">
      <c r="A1413" s="343"/>
      <c r="B1413" s="344"/>
      <c r="C1413" s="290"/>
      <c r="D1413" s="293"/>
      <c r="E1413" s="345">
        <f t="shared" ref="E1413:E1420" si="401">IFERROR(VLOOKUP(C1413,T_Equipos,4,FALSE),0)</f>
        <v>0</v>
      </c>
      <c r="F1413" s="346">
        <f t="shared" ref="F1413:F1420" si="402">IFERROR(VLOOKUP(C1413,T_Equipos,11,FALSE),0)</f>
        <v>0</v>
      </c>
      <c r="G1413" s="347">
        <f t="shared" si="400"/>
        <v>0</v>
      </c>
    </row>
    <row r="1414" spans="1:8" ht="18.95" customHeight="1" x14ac:dyDescent="0.2">
      <c r="A1414" s="343"/>
      <c r="B1414" s="344"/>
      <c r="C1414" s="290"/>
      <c r="D1414" s="293"/>
      <c r="E1414" s="345">
        <f t="shared" si="401"/>
        <v>0</v>
      </c>
      <c r="F1414" s="346">
        <f t="shared" si="402"/>
        <v>0</v>
      </c>
      <c r="G1414" s="347">
        <f t="shared" si="400"/>
        <v>0</v>
      </c>
    </row>
    <row r="1415" spans="1:8" ht="18.95" customHeight="1" x14ac:dyDescent="0.2">
      <c r="A1415" s="343"/>
      <c r="B1415" s="344"/>
      <c r="C1415" s="290"/>
      <c r="D1415" s="293"/>
      <c r="E1415" s="345">
        <f t="shared" si="401"/>
        <v>0</v>
      </c>
      <c r="F1415" s="346">
        <f t="shared" si="402"/>
        <v>0</v>
      </c>
      <c r="G1415" s="347">
        <f t="shared" si="400"/>
        <v>0</v>
      </c>
    </row>
    <row r="1416" spans="1:8" ht="18.95" customHeight="1" x14ac:dyDescent="0.2">
      <c r="A1416" s="343"/>
      <c r="B1416" s="344"/>
      <c r="C1416" s="290"/>
      <c r="D1416" s="293"/>
      <c r="E1416" s="345">
        <f t="shared" si="401"/>
        <v>0</v>
      </c>
      <c r="F1416" s="346">
        <f t="shared" si="402"/>
        <v>0</v>
      </c>
      <c r="G1416" s="347">
        <f t="shared" si="400"/>
        <v>0</v>
      </c>
    </row>
    <row r="1417" spans="1:8" ht="18.95" customHeight="1" x14ac:dyDescent="0.2">
      <c r="A1417" s="343"/>
      <c r="B1417" s="344"/>
      <c r="C1417" s="290"/>
      <c r="D1417" s="293"/>
      <c r="E1417" s="345">
        <f t="shared" si="401"/>
        <v>0</v>
      </c>
      <c r="F1417" s="346">
        <f t="shared" si="402"/>
        <v>0</v>
      </c>
      <c r="G1417" s="347">
        <f t="shared" si="400"/>
        <v>0</v>
      </c>
    </row>
    <row r="1418" spans="1:8" ht="18.95" customHeight="1" x14ac:dyDescent="0.2">
      <c r="A1418" s="343"/>
      <c r="B1418" s="344"/>
      <c r="C1418" s="290"/>
      <c r="D1418" s="293"/>
      <c r="E1418" s="345">
        <f t="shared" si="401"/>
        <v>0</v>
      </c>
      <c r="F1418" s="346">
        <f t="shared" si="402"/>
        <v>0</v>
      </c>
      <c r="G1418" s="347">
        <f t="shared" si="400"/>
        <v>0</v>
      </c>
    </row>
    <row r="1419" spans="1:8" ht="18.95" customHeight="1" x14ac:dyDescent="0.2">
      <c r="A1419" s="343"/>
      <c r="B1419" s="344"/>
      <c r="C1419" s="290"/>
      <c r="D1419" s="293"/>
      <c r="E1419" s="345">
        <f t="shared" si="401"/>
        <v>0</v>
      </c>
      <c r="F1419" s="346">
        <f t="shared" si="402"/>
        <v>0</v>
      </c>
      <c r="G1419" s="347">
        <f t="shared" si="400"/>
        <v>0</v>
      </c>
    </row>
    <row r="1420" spans="1:8" ht="18.95" customHeight="1" thickBot="1" x14ac:dyDescent="0.25">
      <c r="A1420" s="343"/>
      <c r="B1420" s="344"/>
      <c r="C1420" s="290"/>
      <c r="D1420" s="293"/>
      <c r="E1420" s="345">
        <f t="shared" si="401"/>
        <v>0</v>
      </c>
      <c r="F1420" s="346">
        <f t="shared" si="402"/>
        <v>0</v>
      </c>
      <c r="G1420" s="347">
        <f t="shared" si="400"/>
        <v>0</v>
      </c>
    </row>
    <row r="1421" spans="1:8" ht="18.95" customHeight="1" thickBot="1" x14ac:dyDescent="0.25">
      <c r="A1421" s="148"/>
      <c r="B1421" s="334"/>
      <c r="C1421" s="143"/>
      <c r="D1421" s="146" t="s">
        <v>1037</v>
      </c>
      <c r="E1421" s="338">
        <f>SUMPRODUCT(D1411:D1420,E1411:E1420)</f>
        <v>0</v>
      </c>
      <c r="F1421" s="141" t="s">
        <v>1038</v>
      </c>
      <c r="G1421" s="339">
        <f>SUM(G1411:G1420)</f>
        <v>0</v>
      </c>
    </row>
    <row r="1422" spans="1:8" ht="18.95" customHeight="1" x14ac:dyDescent="0.2">
      <c r="A1422" s="148"/>
      <c r="B1422" s="334"/>
      <c r="C1422" s="141" t="s">
        <v>1039</v>
      </c>
      <c r="D1422" s="320"/>
      <c r="E1422" s="340" t="str">
        <f>CONCATENATE(G1407,"/día")</f>
        <v>m/día</v>
      </c>
      <c r="F1422" s="141"/>
      <c r="G1422" s="341"/>
    </row>
    <row r="1423" spans="1:8" ht="18.95" customHeight="1" x14ac:dyDescent="0.2">
      <c r="A1423" s="148"/>
      <c r="B1423" s="334"/>
      <c r="C1423" s="142"/>
      <c r="D1423" s="150"/>
      <c r="E1423" s="141"/>
      <c r="F1423" s="141"/>
      <c r="G1423" s="341"/>
    </row>
    <row r="1424" spans="1:8" ht="18.95" customHeight="1" x14ac:dyDescent="0.2">
      <c r="A1424" s="735" t="s">
        <v>582</v>
      </c>
      <c r="B1424" s="736"/>
      <c r="C1424" s="737" t="s">
        <v>0</v>
      </c>
      <c r="D1424" s="743" t="s">
        <v>1053</v>
      </c>
      <c r="E1424" s="743" t="s">
        <v>1706</v>
      </c>
      <c r="F1424" s="743" t="s">
        <v>1054</v>
      </c>
      <c r="G1424" s="743" t="s">
        <v>1055</v>
      </c>
    </row>
    <row r="1425" spans="1:7" ht="18.95" customHeight="1" x14ac:dyDescent="0.2">
      <c r="A1425" s="154" t="s">
        <v>583</v>
      </c>
      <c r="B1425" s="155" t="s">
        <v>584</v>
      </c>
      <c r="C1425" s="738"/>
      <c r="D1425" s="742"/>
      <c r="E1425" s="742"/>
      <c r="F1425" s="744"/>
      <c r="G1425" s="742"/>
    </row>
    <row r="1426" spans="1:7" ht="18.95" customHeight="1" x14ac:dyDescent="0.2">
      <c r="A1426" s="156"/>
      <c r="B1426" s="142"/>
      <c r="C1426" s="157" t="s">
        <v>1041</v>
      </c>
      <c r="D1426" s="150"/>
      <c r="E1426" s="142"/>
      <c r="F1426" s="142"/>
      <c r="G1426" s="342"/>
    </row>
    <row r="1427" spans="1:7" ht="18.95" customHeight="1" x14ac:dyDescent="0.2">
      <c r="A1427" s="348" t="str">
        <f t="shared" ref="A1427:A1434" si="403">IFERROR(VLOOKUP(C1427,Tabla_Insumos,4,FALSE),"")</f>
        <v/>
      </c>
      <c r="B1427" s="290" t="str">
        <f t="shared" ref="B1427:B1434" si="404">IFERROR(VLOOKUP(C1427,Tabla_Insumos,5,FALSE),"")</f>
        <v/>
      </c>
      <c r="C1427" s="290"/>
      <c r="D1427" s="607">
        <f t="shared" ref="D1427:D1434" si="405">IFERROR(VLOOKUP(C1427,Tabla_Insumos,3,FALSE),0)</f>
        <v>0</v>
      </c>
      <c r="E1427" s="349">
        <f>D1427*$G$21</f>
        <v>0</v>
      </c>
      <c r="F1427" s="350">
        <f>IF(C1427="",0,D1422)</f>
        <v>0</v>
      </c>
      <c r="G1427" s="347">
        <f>IFERROR(ROUND(E1427/F1427,2),0)</f>
        <v>0</v>
      </c>
    </row>
    <row r="1428" spans="1:7" ht="18.95" customHeight="1" x14ac:dyDescent="0.2">
      <c r="A1428" s="348" t="str">
        <f t="shared" si="403"/>
        <v/>
      </c>
      <c r="B1428" s="290" t="str">
        <f t="shared" si="404"/>
        <v/>
      </c>
      <c r="C1428" s="321"/>
      <c r="D1428" s="607">
        <f t="shared" si="405"/>
        <v>0</v>
      </c>
      <c r="E1428" s="349">
        <f t="shared" ref="E1428:E1429" si="406">D1428*$G$21</f>
        <v>0</v>
      </c>
      <c r="F1428" s="350">
        <f t="shared" ref="F1428:F1431" si="407">IF(C1428="",0,F1427)</f>
        <v>0</v>
      </c>
      <c r="G1428" s="347">
        <f t="shared" ref="G1428:G1434" si="408">IFERROR(ROUND(E1428/F1428,2),0)</f>
        <v>0</v>
      </c>
    </row>
    <row r="1429" spans="1:7" ht="18.95" customHeight="1" x14ac:dyDescent="0.2">
      <c r="A1429" s="348" t="str">
        <f t="shared" si="403"/>
        <v/>
      </c>
      <c r="B1429" s="290" t="str">
        <f t="shared" si="404"/>
        <v/>
      </c>
      <c r="C1429" s="321"/>
      <c r="D1429" s="607">
        <f t="shared" si="405"/>
        <v>0</v>
      </c>
      <c r="E1429" s="349">
        <f t="shared" si="406"/>
        <v>0</v>
      </c>
      <c r="F1429" s="350">
        <f t="shared" si="407"/>
        <v>0</v>
      </c>
      <c r="G1429" s="347">
        <f t="shared" si="408"/>
        <v>0</v>
      </c>
    </row>
    <row r="1430" spans="1:7" ht="18.95" customHeight="1" x14ac:dyDescent="0.2">
      <c r="A1430" s="348" t="str">
        <f t="shared" si="403"/>
        <v/>
      </c>
      <c r="B1430" s="290" t="str">
        <f t="shared" si="404"/>
        <v/>
      </c>
      <c r="C1430" s="321"/>
      <c r="D1430" s="607">
        <f t="shared" si="405"/>
        <v>0</v>
      </c>
      <c r="E1430" s="349">
        <f>D1430*$E$21</f>
        <v>0</v>
      </c>
      <c r="F1430" s="350">
        <f t="shared" si="407"/>
        <v>0</v>
      </c>
      <c r="G1430" s="347">
        <f t="shared" si="408"/>
        <v>0</v>
      </c>
    </row>
    <row r="1431" spans="1:7" ht="18.95" customHeight="1" x14ac:dyDescent="0.2">
      <c r="A1431" s="348" t="str">
        <f t="shared" si="403"/>
        <v/>
      </c>
      <c r="B1431" s="290" t="str">
        <f t="shared" si="404"/>
        <v/>
      </c>
      <c r="C1431" s="321"/>
      <c r="D1431" s="607">
        <f t="shared" si="405"/>
        <v>0</v>
      </c>
      <c r="E1431" s="349">
        <f>D1431*$E$21</f>
        <v>0</v>
      </c>
      <c r="F1431" s="350">
        <f t="shared" si="407"/>
        <v>0</v>
      </c>
      <c r="G1431" s="347">
        <f t="shared" si="408"/>
        <v>0</v>
      </c>
    </row>
    <row r="1432" spans="1:7" ht="18.95" customHeight="1" x14ac:dyDescent="0.2">
      <c r="A1432" s="348" t="str">
        <f t="shared" si="403"/>
        <v/>
      </c>
      <c r="B1432" s="290" t="str">
        <f t="shared" si="404"/>
        <v/>
      </c>
      <c r="C1432" s="321"/>
      <c r="D1432" s="607">
        <f t="shared" si="405"/>
        <v>0</v>
      </c>
      <c r="E1432" s="349"/>
      <c r="F1432" s="350">
        <f>IF(C1432="",0,F1431)</f>
        <v>0</v>
      </c>
      <c r="G1432" s="347">
        <f t="shared" si="408"/>
        <v>0</v>
      </c>
    </row>
    <row r="1433" spans="1:7" ht="18.95" customHeight="1" x14ac:dyDescent="0.2">
      <c r="A1433" s="348" t="str">
        <f t="shared" si="403"/>
        <v/>
      </c>
      <c r="B1433" s="290" t="str">
        <f t="shared" si="404"/>
        <v/>
      </c>
      <c r="C1433" s="321"/>
      <c r="D1433" s="607">
        <f t="shared" si="405"/>
        <v>0</v>
      </c>
      <c r="E1433" s="349"/>
      <c r="F1433" s="350">
        <f t="shared" ref="F1433:F1434" si="409">IF(C1433="",0,F1432)</f>
        <v>0</v>
      </c>
      <c r="G1433" s="347">
        <f t="shared" si="408"/>
        <v>0</v>
      </c>
    </row>
    <row r="1434" spans="1:7" ht="18.95" customHeight="1" x14ac:dyDescent="0.2">
      <c r="A1434" s="348" t="str">
        <f t="shared" si="403"/>
        <v/>
      </c>
      <c r="B1434" s="290" t="str">
        <f t="shared" si="404"/>
        <v/>
      </c>
      <c r="C1434" s="321"/>
      <c r="D1434" s="607">
        <f t="shared" si="405"/>
        <v>0</v>
      </c>
      <c r="E1434" s="349"/>
      <c r="F1434" s="350">
        <f t="shared" si="409"/>
        <v>0</v>
      </c>
      <c r="G1434" s="347">
        <f t="shared" si="408"/>
        <v>0</v>
      </c>
    </row>
    <row r="1435" spans="1:7" ht="18.95" customHeight="1" x14ac:dyDescent="0.2">
      <c r="A1435" s="353"/>
      <c r="B1435" s="149"/>
      <c r="C1435" s="142"/>
      <c r="D1435" s="150"/>
      <c r="E1435" s="143"/>
      <c r="F1435" s="354" t="s">
        <v>29</v>
      </c>
      <c r="G1435" s="355">
        <f>SUBTOTAL(9,G1427:G1434)</f>
        <v>0</v>
      </c>
    </row>
    <row r="1436" spans="1:7" ht="18.95" customHeight="1" x14ac:dyDescent="0.2">
      <c r="A1436" s="156"/>
      <c r="B1436" s="142"/>
      <c r="C1436" s="157" t="s">
        <v>722</v>
      </c>
      <c r="D1436" s="150"/>
      <c r="E1436" s="327"/>
      <c r="F1436" s="327"/>
      <c r="G1436" s="342"/>
    </row>
    <row r="1437" spans="1:7" ht="18.95" customHeight="1" x14ac:dyDescent="0.2">
      <c r="A1437" s="735" t="s">
        <v>582</v>
      </c>
      <c r="B1437" s="736"/>
      <c r="C1437" s="737" t="s">
        <v>0</v>
      </c>
      <c r="D1437" s="739" t="s">
        <v>26</v>
      </c>
      <c r="E1437" s="743" t="s">
        <v>1707</v>
      </c>
      <c r="F1437" s="741" t="s">
        <v>1040</v>
      </c>
      <c r="G1437" s="733" t="s">
        <v>28</v>
      </c>
    </row>
    <row r="1438" spans="1:7" ht="18.95" customHeight="1" x14ac:dyDescent="0.2">
      <c r="A1438" s="154" t="s">
        <v>583</v>
      </c>
      <c r="B1438" s="155" t="s">
        <v>584</v>
      </c>
      <c r="C1438" s="738"/>
      <c r="D1438" s="740"/>
      <c r="E1438" s="742"/>
      <c r="F1438" s="742"/>
      <c r="G1438" s="734"/>
    </row>
    <row r="1439" spans="1:7" ht="18.95" customHeight="1" x14ac:dyDescent="0.2">
      <c r="A1439" s="348" t="str">
        <f t="shared" ref="A1439:A1444" si="410">IFERROR(VLOOKUP(C1439,Tabla_Insumos,4,FALSE),"")</f>
        <v/>
      </c>
      <c r="B1439" s="290" t="str">
        <f t="shared" ref="B1439:B1444" si="411">IFERROR(VLOOKUP(C1439,Tabla_Insumos,5,FALSE),"")</f>
        <v/>
      </c>
      <c r="C1439" s="291"/>
      <c r="D1439" s="293"/>
      <c r="E1439" s="346">
        <f t="shared" ref="E1439:E1444" si="412">IFERROR(VLOOKUP(C1439,Tabla_Insumos,3,FALSE),0)</f>
        <v>0</v>
      </c>
      <c r="F1439" s="349">
        <f>IF(C1439="",0,D1422)</f>
        <v>0</v>
      </c>
      <c r="G1439" s="347">
        <f t="shared" ref="G1439:G1444" si="413">IFERROR(ROUND(D1439*E1439/F1439,2),0)</f>
        <v>0</v>
      </c>
    </row>
    <row r="1440" spans="1:7" ht="18.95" customHeight="1" x14ac:dyDescent="0.2">
      <c r="A1440" s="348" t="str">
        <f t="shared" si="410"/>
        <v/>
      </c>
      <c r="B1440" s="290" t="str">
        <f t="shared" si="411"/>
        <v/>
      </c>
      <c r="C1440" s="290"/>
      <c r="D1440" s="293"/>
      <c r="E1440" s="346">
        <f t="shared" si="412"/>
        <v>0</v>
      </c>
      <c r="F1440" s="349">
        <f>IF(C1440="",0,F1439)</f>
        <v>0</v>
      </c>
      <c r="G1440" s="347">
        <f t="shared" si="413"/>
        <v>0</v>
      </c>
    </row>
    <row r="1441" spans="1:7" ht="18.95" customHeight="1" x14ac:dyDescent="0.2">
      <c r="A1441" s="348" t="str">
        <f t="shared" si="410"/>
        <v/>
      </c>
      <c r="B1441" s="290" t="str">
        <f t="shared" si="411"/>
        <v/>
      </c>
      <c r="C1441" s="290"/>
      <c r="D1441" s="293"/>
      <c r="E1441" s="346">
        <f t="shared" si="412"/>
        <v>0</v>
      </c>
      <c r="F1441" s="349">
        <f>IF(C1441="",0,F1440)</f>
        <v>0</v>
      </c>
      <c r="G1441" s="347">
        <f t="shared" si="413"/>
        <v>0</v>
      </c>
    </row>
    <row r="1442" spans="1:7" ht="18.95" customHeight="1" x14ac:dyDescent="0.2">
      <c r="A1442" s="348" t="str">
        <f t="shared" si="410"/>
        <v/>
      </c>
      <c r="B1442" s="290" t="str">
        <f t="shared" si="411"/>
        <v/>
      </c>
      <c r="C1442" s="290"/>
      <c r="D1442" s="293"/>
      <c r="E1442" s="346">
        <f t="shared" si="412"/>
        <v>0</v>
      </c>
      <c r="F1442" s="349">
        <f>IF(C1442="",0,F1441)</f>
        <v>0</v>
      </c>
      <c r="G1442" s="347">
        <f t="shared" si="413"/>
        <v>0</v>
      </c>
    </row>
    <row r="1443" spans="1:7" ht="18.95" customHeight="1" x14ac:dyDescent="0.2">
      <c r="A1443" s="348" t="str">
        <f t="shared" si="410"/>
        <v/>
      </c>
      <c r="B1443" s="290" t="str">
        <f t="shared" si="411"/>
        <v/>
      </c>
      <c r="C1443" s="290"/>
      <c r="D1443" s="351"/>
      <c r="E1443" s="346">
        <f t="shared" si="412"/>
        <v>0</v>
      </c>
      <c r="F1443" s="349">
        <f>IF(C1443="",0,F1442)</f>
        <v>0</v>
      </c>
      <c r="G1443" s="347">
        <f t="shared" si="413"/>
        <v>0</v>
      </c>
    </row>
    <row r="1444" spans="1:7" ht="18.95" customHeight="1" x14ac:dyDescent="0.2">
      <c r="A1444" s="348" t="str">
        <f t="shared" si="410"/>
        <v/>
      </c>
      <c r="B1444" s="290" t="str">
        <f t="shared" si="411"/>
        <v/>
      </c>
      <c r="C1444" s="290"/>
      <c r="D1444" s="293"/>
      <c r="E1444" s="346">
        <f t="shared" si="412"/>
        <v>0</v>
      </c>
      <c r="F1444" s="349">
        <f>IF(C1444="",0,F1443)</f>
        <v>0</v>
      </c>
      <c r="G1444" s="347">
        <f t="shared" si="413"/>
        <v>0</v>
      </c>
    </row>
    <row r="1445" spans="1:7" ht="18.95" customHeight="1" x14ac:dyDescent="0.2">
      <c r="A1445" s="353"/>
      <c r="B1445" s="149"/>
      <c r="C1445" s="142"/>
      <c r="D1445" s="150"/>
      <c r="E1445" s="143"/>
      <c r="F1445" s="356" t="s">
        <v>30</v>
      </c>
      <c r="G1445" s="355">
        <f>SUBTOTAL(9,G1439:G1444)</f>
        <v>0</v>
      </c>
    </row>
    <row r="1446" spans="1:7" ht="18.95" customHeight="1" x14ac:dyDescent="0.2">
      <c r="A1446" s="156"/>
      <c r="B1446" s="142"/>
      <c r="C1446" s="157" t="s">
        <v>1047</v>
      </c>
      <c r="D1446" s="150"/>
      <c r="E1446" s="327"/>
      <c r="F1446" s="327"/>
      <c r="G1446" s="342"/>
    </row>
    <row r="1447" spans="1:7" ht="18.95" customHeight="1" x14ac:dyDescent="0.2">
      <c r="A1447" s="735" t="s">
        <v>582</v>
      </c>
      <c r="B1447" s="736"/>
      <c r="C1447" s="737" t="s">
        <v>0</v>
      </c>
      <c r="D1447" s="737" t="s">
        <v>1655</v>
      </c>
      <c r="E1447" s="737" t="s">
        <v>26</v>
      </c>
      <c r="F1447" s="737" t="s">
        <v>27</v>
      </c>
      <c r="G1447" s="733" t="s">
        <v>28</v>
      </c>
    </row>
    <row r="1448" spans="1:7" ht="18.95" customHeight="1" x14ac:dyDescent="0.2">
      <c r="A1448" s="154" t="s">
        <v>583</v>
      </c>
      <c r="B1448" s="155" t="s">
        <v>584</v>
      </c>
      <c r="C1448" s="738"/>
      <c r="D1448" s="738"/>
      <c r="E1448" s="738"/>
      <c r="F1448" s="738"/>
      <c r="G1448" s="734"/>
    </row>
    <row r="1449" spans="1:7" ht="18.95" customHeight="1" x14ac:dyDescent="0.2">
      <c r="A1449" s="348" t="str">
        <f t="shared" ref="A1449:A1460" si="414">IFERROR(VLOOKUP(C1449,Tabla_Insumos,4,FALSE),"")</f>
        <v/>
      </c>
      <c r="B1449" s="290" t="str">
        <f t="shared" ref="B1449:B1460" si="415">IFERROR(VLOOKUP(C1449,Tabla_Insumos,5,FALSE),"")</f>
        <v/>
      </c>
      <c r="C1449" s="290"/>
      <c r="D1449" s="608">
        <f t="shared" ref="D1449:D1460" si="416">IFERROR(VLOOKUP(C1449,Tabla_Insumos,2,FALSE),0)</f>
        <v>0</v>
      </c>
      <c r="E1449" s="293"/>
      <c r="F1449" s="346">
        <f t="shared" ref="F1449:F1460" si="417">IFERROR(VLOOKUP(C1449,Tabla_Insumos,3,FALSE),0)</f>
        <v>0</v>
      </c>
      <c r="G1449" s="347">
        <f t="shared" ref="G1449:G1460" si="418">ROUND(E1449*F1449,2)</f>
        <v>0</v>
      </c>
    </row>
    <row r="1450" spans="1:7" ht="18.95" customHeight="1" x14ac:dyDescent="0.2">
      <c r="A1450" s="348" t="str">
        <f t="shared" si="414"/>
        <v/>
      </c>
      <c r="B1450" s="290" t="str">
        <f t="shared" si="415"/>
        <v/>
      </c>
      <c r="C1450" s="126"/>
      <c r="D1450" s="608">
        <f t="shared" si="416"/>
        <v>0</v>
      </c>
      <c r="E1450" s="293"/>
      <c r="F1450" s="346">
        <f t="shared" si="417"/>
        <v>0</v>
      </c>
      <c r="G1450" s="347">
        <f t="shared" si="418"/>
        <v>0</v>
      </c>
    </row>
    <row r="1451" spans="1:7" ht="18.95" customHeight="1" x14ac:dyDescent="0.2">
      <c r="A1451" s="348" t="str">
        <f t="shared" si="414"/>
        <v/>
      </c>
      <c r="B1451" s="290" t="str">
        <f t="shared" si="415"/>
        <v/>
      </c>
      <c r="C1451" s="290"/>
      <c r="D1451" s="608">
        <f t="shared" si="416"/>
        <v>0</v>
      </c>
      <c r="E1451" s="293"/>
      <c r="F1451" s="346">
        <f t="shared" si="417"/>
        <v>0</v>
      </c>
      <c r="G1451" s="347">
        <f t="shared" si="418"/>
        <v>0</v>
      </c>
    </row>
    <row r="1452" spans="1:7" ht="18.95" customHeight="1" x14ac:dyDescent="0.2">
      <c r="A1452" s="348" t="str">
        <f t="shared" si="414"/>
        <v/>
      </c>
      <c r="B1452" s="290" t="str">
        <f t="shared" si="415"/>
        <v/>
      </c>
      <c r="C1452" s="290"/>
      <c r="D1452" s="608">
        <f t="shared" si="416"/>
        <v>0</v>
      </c>
      <c r="E1452" s="293"/>
      <c r="F1452" s="346">
        <f t="shared" si="417"/>
        <v>0</v>
      </c>
      <c r="G1452" s="347">
        <f t="shared" si="418"/>
        <v>0</v>
      </c>
    </row>
    <row r="1453" spans="1:7" ht="18.95" customHeight="1" x14ac:dyDescent="0.2">
      <c r="A1453" s="348" t="str">
        <f t="shared" si="414"/>
        <v/>
      </c>
      <c r="B1453" s="290" t="str">
        <f t="shared" si="415"/>
        <v/>
      </c>
      <c r="C1453" s="290"/>
      <c r="D1453" s="608">
        <f t="shared" si="416"/>
        <v>0</v>
      </c>
      <c r="E1453" s="293"/>
      <c r="F1453" s="346">
        <f t="shared" si="417"/>
        <v>0</v>
      </c>
      <c r="G1453" s="347">
        <f t="shared" si="418"/>
        <v>0</v>
      </c>
    </row>
    <row r="1454" spans="1:7" ht="18.95" customHeight="1" x14ac:dyDescent="0.2">
      <c r="A1454" s="348" t="str">
        <f t="shared" si="414"/>
        <v/>
      </c>
      <c r="B1454" s="290" t="str">
        <f t="shared" si="415"/>
        <v/>
      </c>
      <c r="C1454" s="290"/>
      <c r="D1454" s="608">
        <f t="shared" si="416"/>
        <v>0</v>
      </c>
      <c r="E1454" s="293"/>
      <c r="F1454" s="346">
        <f t="shared" si="417"/>
        <v>0</v>
      </c>
      <c r="G1454" s="347">
        <f t="shared" si="418"/>
        <v>0</v>
      </c>
    </row>
    <row r="1455" spans="1:7" ht="18.95" customHeight="1" x14ac:dyDescent="0.2">
      <c r="A1455" s="348" t="str">
        <f t="shared" si="414"/>
        <v/>
      </c>
      <c r="B1455" s="290" t="str">
        <f t="shared" si="415"/>
        <v/>
      </c>
      <c r="C1455" s="290"/>
      <c r="D1455" s="608">
        <f t="shared" si="416"/>
        <v>0</v>
      </c>
      <c r="E1455" s="293"/>
      <c r="F1455" s="346">
        <f t="shared" si="417"/>
        <v>0</v>
      </c>
      <c r="G1455" s="347">
        <f t="shared" si="418"/>
        <v>0</v>
      </c>
    </row>
    <row r="1456" spans="1:7" s="295" customFormat="1" ht="18.95" customHeight="1" x14ac:dyDescent="0.2">
      <c r="A1456" s="348" t="str">
        <f t="shared" si="414"/>
        <v/>
      </c>
      <c r="B1456" s="290" t="str">
        <f t="shared" si="415"/>
        <v/>
      </c>
      <c r="C1456" s="290"/>
      <c r="D1456" s="608">
        <f t="shared" si="416"/>
        <v>0</v>
      </c>
      <c r="E1456" s="323"/>
      <c r="F1456" s="346">
        <f t="shared" si="417"/>
        <v>0</v>
      </c>
      <c r="G1456" s="347">
        <f t="shared" si="418"/>
        <v>0</v>
      </c>
    </row>
    <row r="1457" spans="1:8" ht="18.95" customHeight="1" x14ac:dyDescent="0.2">
      <c r="A1457" s="348" t="str">
        <f t="shared" si="414"/>
        <v/>
      </c>
      <c r="B1457" s="290" t="str">
        <f t="shared" si="415"/>
        <v/>
      </c>
      <c r="C1457" s="290"/>
      <c r="D1457" s="608">
        <f t="shared" si="416"/>
        <v>0</v>
      </c>
      <c r="E1457" s="293"/>
      <c r="F1457" s="346">
        <f t="shared" si="417"/>
        <v>0</v>
      </c>
      <c r="G1457" s="347">
        <f t="shared" si="418"/>
        <v>0</v>
      </c>
    </row>
    <row r="1458" spans="1:8" ht="18.95" customHeight="1" x14ac:dyDescent="0.2">
      <c r="A1458" s="348" t="str">
        <f t="shared" si="414"/>
        <v/>
      </c>
      <c r="B1458" s="290" t="str">
        <f t="shared" si="415"/>
        <v/>
      </c>
      <c r="C1458" s="290"/>
      <c r="D1458" s="608">
        <f t="shared" si="416"/>
        <v>0</v>
      </c>
      <c r="E1458" s="293"/>
      <c r="F1458" s="346">
        <f t="shared" si="417"/>
        <v>0</v>
      </c>
      <c r="G1458" s="347">
        <f t="shared" si="418"/>
        <v>0</v>
      </c>
    </row>
    <row r="1459" spans="1:8" ht="18.95" customHeight="1" x14ac:dyDescent="0.2">
      <c r="A1459" s="348" t="str">
        <f t="shared" si="414"/>
        <v/>
      </c>
      <c r="B1459" s="290" t="str">
        <f t="shared" si="415"/>
        <v/>
      </c>
      <c r="C1459" s="290"/>
      <c r="D1459" s="608">
        <f t="shared" si="416"/>
        <v>0</v>
      </c>
      <c r="E1459" s="293"/>
      <c r="F1459" s="346">
        <f t="shared" si="417"/>
        <v>0</v>
      </c>
      <c r="G1459" s="347">
        <f t="shared" si="418"/>
        <v>0</v>
      </c>
    </row>
    <row r="1460" spans="1:8" ht="18.95" customHeight="1" x14ac:dyDescent="0.2">
      <c r="A1460" s="348" t="str">
        <f t="shared" si="414"/>
        <v/>
      </c>
      <c r="B1460" s="290" t="str">
        <f t="shared" si="415"/>
        <v/>
      </c>
      <c r="C1460" s="290"/>
      <c r="D1460" s="608">
        <f t="shared" si="416"/>
        <v>0</v>
      </c>
      <c r="E1460" s="293"/>
      <c r="F1460" s="346">
        <f t="shared" si="417"/>
        <v>0</v>
      </c>
      <c r="G1460" s="347">
        <f t="shared" si="418"/>
        <v>0</v>
      </c>
    </row>
    <row r="1461" spans="1:8" ht="18.95" customHeight="1" x14ac:dyDescent="0.2">
      <c r="A1461" s="156"/>
      <c r="B1461" s="142"/>
      <c r="C1461" s="142"/>
      <c r="D1461" s="150"/>
      <c r="E1461" s="143"/>
      <c r="F1461" s="356" t="s">
        <v>31</v>
      </c>
      <c r="G1461" s="355">
        <f>SUBTOTAL(9,G1449:G1460)</f>
        <v>0</v>
      </c>
    </row>
    <row r="1462" spans="1:8" ht="18.95" customHeight="1" x14ac:dyDescent="0.2">
      <c r="A1462" s="156"/>
      <c r="B1462" s="142"/>
      <c r="C1462" s="157" t="s">
        <v>1048</v>
      </c>
      <c r="D1462" s="150"/>
      <c r="E1462" s="327"/>
      <c r="F1462" s="327"/>
      <c r="G1462" s="342"/>
    </row>
    <row r="1463" spans="1:8" ht="18.95" customHeight="1" x14ac:dyDescent="0.2">
      <c r="A1463" s="735" t="s">
        <v>582</v>
      </c>
      <c r="B1463" s="736"/>
      <c r="C1463" s="737" t="s">
        <v>0</v>
      </c>
      <c r="D1463" s="739" t="s">
        <v>1750</v>
      </c>
      <c r="E1463" s="741" t="s">
        <v>26</v>
      </c>
      <c r="F1463" s="741" t="s">
        <v>27</v>
      </c>
      <c r="G1463" s="733" t="s">
        <v>28</v>
      </c>
    </row>
    <row r="1464" spans="1:8" ht="18.95" customHeight="1" x14ac:dyDescent="0.2">
      <c r="A1464" s="154" t="s">
        <v>583</v>
      </c>
      <c r="B1464" s="155" t="s">
        <v>584</v>
      </c>
      <c r="C1464" s="738"/>
      <c r="D1464" s="740"/>
      <c r="E1464" s="742"/>
      <c r="F1464" s="742"/>
      <c r="G1464" s="734"/>
    </row>
    <row r="1465" spans="1:8" ht="18.95" customHeight="1" x14ac:dyDescent="0.2">
      <c r="A1465" s="348" t="str">
        <f>IFERROR(VLOOKUP(C1465,Tabla_Insumos,4,FALSE),"")</f>
        <v/>
      </c>
      <c r="B1465" s="290" t="s">
        <v>4</v>
      </c>
      <c r="C1465" s="290"/>
      <c r="D1465" s="293"/>
      <c r="E1465" s="322"/>
      <c r="F1465" s="324"/>
      <c r="G1465" s="347">
        <f t="shared" ref="G1465" si="419">ROUND(E1465*F1465,2)</f>
        <v>0</v>
      </c>
    </row>
    <row r="1466" spans="1:8" ht="18.95" customHeight="1" x14ac:dyDescent="0.2">
      <c r="A1466" s="156"/>
      <c r="B1466" s="142"/>
      <c r="C1466" s="142"/>
      <c r="D1466" s="150"/>
      <c r="E1466" s="143"/>
      <c r="F1466" s="356" t="s">
        <v>1049</v>
      </c>
      <c r="G1466" s="355">
        <f>SUBTOTAL(9,G1465:G1465)</f>
        <v>0</v>
      </c>
    </row>
    <row r="1467" spans="1:8" ht="18.95" customHeight="1" thickBot="1" x14ac:dyDescent="0.25">
      <c r="A1467" s="158"/>
      <c r="B1467" s="159"/>
      <c r="C1467" s="160"/>
      <c r="D1467" s="161"/>
      <c r="E1467" s="357"/>
      <c r="F1467" s="357"/>
      <c r="G1467" s="358"/>
    </row>
    <row r="1468" spans="1:8" ht="18.95" customHeight="1" x14ac:dyDescent="0.2">
      <c r="A1468" s="359">
        <f>B1407</f>
        <v>21</v>
      </c>
      <c r="B1468" s="360" t="str">
        <f>C1407</f>
        <v>CONSTRUCCIÓN DE ALAMABRADO SEGÚN PLANO TIPO H-2840-I, TIPO "C"</v>
      </c>
      <c r="C1468" s="361"/>
      <c r="D1468" s="361"/>
      <c r="E1468" s="361" t="s">
        <v>1050</v>
      </c>
      <c r="F1468" s="362" t="str">
        <f>CONCATENATE("$/",G1407)</f>
        <v>$/m</v>
      </c>
      <c r="G1468" s="363">
        <f>SUBTOTAL(9,G1427:G1467)</f>
        <v>0</v>
      </c>
    </row>
    <row r="1469" spans="1:8" ht="18.95" customHeight="1" thickBot="1" x14ac:dyDescent="0.25">
      <c r="A1469" s="364"/>
      <c r="B1469" s="365"/>
      <c r="C1469" s="365"/>
      <c r="D1469" s="365"/>
      <c r="E1469" s="366" t="s">
        <v>1051</v>
      </c>
      <c r="F1469" s="367" t="str">
        <f>CONCATENATE("$/",G1407)</f>
        <v>$/m</v>
      </c>
      <c r="G1469" s="368" t="e">
        <f ca="1">PrecioUnitario(G1468,GG_Porcentaje,Beneficio,Ingresos_Brutos,IVA)</f>
        <v>#NAME?</v>
      </c>
    </row>
    <row r="1470" spans="1:8" ht="18.95" customHeight="1" thickTop="1" thickBot="1" x14ac:dyDescent="0.25">
      <c r="F1470" s="294"/>
      <c r="G1470" s="294"/>
    </row>
    <row r="1471" spans="1:8" ht="18.95" customHeight="1" thickTop="1" x14ac:dyDescent="0.2">
      <c r="A1471" s="194" t="s">
        <v>33</v>
      </c>
      <c r="B1471" s="195"/>
      <c r="C1471" s="195"/>
      <c r="D1471" s="195"/>
      <c r="E1471" s="195"/>
      <c r="F1471" s="195"/>
      <c r="G1471" s="196"/>
      <c r="H1471" s="143">
        <f>COUNTIF($A$1:A1477,"ANALISIS DE PRECIOS")</f>
        <v>22</v>
      </c>
    </row>
    <row r="1472" spans="1:8" ht="18.95" customHeight="1" x14ac:dyDescent="0.2">
      <c r="A1472" s="144" t="s">
        <v>720</v>
      </c>
      <c r="B1472" s="145" t="str">
        <f>Comitente</f>
        <v>DIRECCIÓN PROVINCIAL DE VIALIDAD</v>
      </c>
      <c r="C1472" s="139"/>
      <c r="D1472" s="146"/>
      <c r="E1472" s="325"/>
      <c r="F1472" s="325"/>
      <c r="G1472" s="326"/>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PAVIMENTACION Y ENSANCHE DE RUTA PROVINCIAL N°7 AV. JOAQUIN UÑAC</v>
      </c>
      <c r="C1474" s="140"/>
      <c r="D1474" s="140"/>
      <c r="E1474" s="143"/>
      <c r="F1474" s="145" t="s">
        <v>34</v>
      </c>
      <c r="G1474" s="147">
        <f>Fecha_Base</f>
        <v>43444</v>
      </c>
      <c r="H1474" s="143"/>
    </row>
    <row r="1475" spans="1:8" ht="18.95" customHeight="1" x14ac:dyDescent="0.2">
      <c r="A1475" s="148" t="s">
        <v>719</v>
      </c>
      <c r="B1475" s="141" t="str">
        <f>Ubicación</f>
        <v>DEPARTAMENTO POCITO</v>
      </c>
      <c r="C1475" s="141"/>
      <c r="D1475" s="150"/>
      <c r="E1475" s="143"/>
      <c r="F1475" s="327"/>
      <c r="G1475" s="328"/>
      <c r="H1475" s="143"/>
    </row>
    <row r="1476" spans="1:8" ht="18.95" customHeight="1" x14ac:dyDescent="0.2">
      <c r="A1476" s="148" t="s">
        <v>35</v>
      </c>
      <c r="B1476" s="151" t="str">
        <f>IFERROR(VALUE(LEFT(B1477,FIND("-",B1477)-1)),"")</f>
        <v/>
      </c>
      <c r="C1476" s="142" t="str">
        <f>IFERROR(VLOOKUP(B1476,Tabla_CyP,2,FALSE),"")</f>
        <v/>
      </c>
      <c r="D1476" s="150"/>
      <c r="E1476" s="143"/>
      <c r="F1476" s="327"/>
      <c r="G1476" s="328"/>
      <c r="H1476" s="143"/>
    </row>
    <row r="1477" spans="1:8" ht="18.95" customHeight="1" x14ac:dyDescent="0.2">
      <c r="A1477" s="148" t="s">
        <v>24</v>
      </c>
      <c r="B1477" s="152">
        <f>IFERROR(VLOOKUP(COUNTIF($A$1:A1477,"ANALISIS DE PRECIOS"),Tabla_NumeroItem,4,FALSE),"")</f>
        <v>22</v>
      </c>
      <c r="C1477" s="745" t="str">
        <f>IFERROR(VLOOKUP(B1477,Tabla_CyP,2,FALSE),"")</f>
        <v>COLOCACIÓN DE TRANQUERA s/PLANO TIPO J-5084 TIPO "A"</v>
      </c>
      <c r="D1477" s="745"/>
      <c r="E1477" s="745"/>
      <c r="F1477" s="141" t="s">
        <v>25</v>
      </c>
      <c r="G1477" s="153" t="str">
        <f>IFERROR(VLOOKUP(B1477,Tabla_CyP,4,FALSE),"")</f>
        <v>N°</v>
      </c>
      <c r="H1477" s="143"/>
    </row>
    <row r="1478" spans="1:8" ht="18.95" customHeight="1" x14ac:dyDescent="0.2">
      <c r="A1478" s="148"/>
      <c r="B1478" s="141"/>
      <c r="C1478" s="142"/>
      <c r="D1478" s="150"/>
      <c r="E1478" s="142"/>
      <c r="F1478" s="142"/>
      <c r="G1478" s="329"/>
      <c r="H1478" s="143"/>
    </row>
    <row r="1479" spans="1:8" ht="18.95" customHeight="1" x14ac:dyDescent="0.2">
      <c r="A1479" s="330"/>
      <c r="B1479" s="331"/>
      <c r="C1479" s="332" t="s">
        <v>1032</v>
      </c>
      <c r="D1479" s="331"/>
      <c r="E1479" s="331"/>
      <c r="F1479" s="331"/>
      <c r="G1479" s="333"/>
      <c r="H1479" s="143"/>
    </row>
    <row r="1480" spans="1:8" ht="18.95" customHeight="1" x14ac:dyDescent="0.2">
      <c r="A1480" s="148"/>
      <c r="B1480" s="334"/>
      <c r="C1480" s="335" t="s">
        <v>1033</v>
      </c>
      <c r="D1480" s="336" t="s">
        <v>26</v>
      </c>
      <c r="E1480" s="336" t="s">
        <v>1034</v>
      </c>
      <c r="F1480" s="336" t="s">
        <v>1035</v>
      </c>
      <c r="G1480" s="337" t="s">
        <v>1036</v>
      </c>
      <c r="H1480" s="143"/>
    </row>
    <row r="1481" spans="1:8" ht="18.95" customHeight="1" x14ac:dyDescent="0.2">
      <c r="A1481" s="343"/>
      <c r="B1481" s="344"/>
      <c r="C1481" s="290"/>
      <c r="D1481" s="293"/>
      <c r="E1481" s="345"/>
      <c r="F1481" s="346"/>
      <c r="G1481" s="347">
        <f t="shared" ref="G1481:G1490" si="420">ROUND(D1481*F1481,2)</f>
        <v>0</v>
      </c>
    </row>
    <row r="1482" spans="1:8" ht="18.95" customHeight="1" x14ac:dyDescent="0.2">
      <c r="A1482" s="343"/>
      <c r="B1482" s="344"/>
      <c r="C1482" s="290"/>
      <c r="D1482" s="293"/>
      <c r="E1482" s="345"/>
      <c r="F1482" s="346"/>
      <c r="G1482" s="347">
        <f t="shared" si="420"/>
        <v>0</v>
      </c>
    </row>
    <row r="1483" spans="1:8" ht="18.95" customHeight="1" x14ac:dyDescent="0.2">
      <c r="A1483" s="343"/>
      <c r="B1483" s="344"/>
      <c r="C1483" s="290"/>
      <c r="D1483" s="293"/>
      <c r="E1483" s="345">
        <f t="shared" ref="E1483:E1490" si="421">IFERROR(VLOOKUP(C1483,T_Equipos,4,FALSE),0)</f>
        <v>0</v>
      </c>
      <c r="F1483" s="346">
        <f t="shared" ref="F1483:F1490" si="422">IFERROR(VLOOKUP(C1483,T_Equipos,11,FALSE),0)</f>
        <v>0</v>
      </c>
      <c r="G1483" s="347">
        <f t="shared" si="420"/>
        <v>0</v>
      </c>
    </row>
    <row r="1484" spans="1:8" ht="18.95" customHeight="1" x14ac:dyDescent="0.2">
      <c r="A1484" s="343"/>
      <c r="B1484" s="344"/>
      <c r="C1484" s="290"/>
      <c r="D1484" s="293"/>
      <c r="E1484" s="345">
        <f t="shared" si="421"/>
        <v>0</v>
      </c>
      <c r="F1484" s="346">
        <f t="shared" si="422"/>
        <v>0</v>
      </c>
      <c r="G1484" s="347">
        <f t="shared" si="420"/>
        <v>0</v>
      </c>
    </row>
    <row r="1485" spans="1:8" ht="18.95" customHeight="1" x14ac:dyDescent="0.2">
      <c r="A1485" s="343"/>
      <c r="B1485" s="344"/>
      <c r="C1485" s="290"/>
      <c r="D1485" s="293"/>
      <c r="E1485" s="345">
        <f t="shared" si="421"/>
        <v>0</v>
      </c>
      <c r="F1485" s="346">
        <f t="shared" si="422"/>
        <v>0</v>
      </c>
      <c r="G1485" s="347">
        <f t="shared" si="420"/>
        <v>0</v>
      </c>
    </row>
    <row r="1486" spans="1:8" ht="18.95" customHeight="1" x14ac:dyDescent="0.2">
      <c r="A1486" s="343"/>
      <c r="B1486" s="344"/>
      <c r="C1486" s="290"/>
      <c r="D1486" s="293"/>
      <c r="E1486" s="345">
        <f t="shared" si="421"/>
        <v>0</v>
      </c>
      <c r="F1486" s="346">
        <f t="shared" si="422"/>
        <v>0</v>
      </c>
      <c r="G1486" s="347">
        <f t="shared" si="420"/>
        <v>0</v>
      </c>
    </row>
    <row r="1487" spans="1:8" ht="18.95" customHeight="1" x14ac:dyDescent="0.2">
      <c r="A1487" s="343"/>
      <c r="B1487" s="344"/>
      <c r="C1487" s="290"/>
      <c r="D1487" s="293"/>
      <c r="E1487" s="345">
        <f t="shared" si="421"/>
        <v>0</v>
      </c>
      <c r="F1487" s="346">
        <f t="shared" si="422"/>
        <v>0</v>
      </c>
      <c r="G1487" s="347">
        <f t="shared" si="420"/>
        <v>0</v>
      </c>
    </row>
    <row r="1488" spans="1:8" ht="18.95" customHeight="1" x14ac:dyDescent="0.2">
      <c r="A1488" s="343"/>
      <c r="B1488" s="344"/>
      <c r="C1488" s="290"/>
      <c r="D1488" s="293"/>
      <c r="E1488" s="345">
        <f t="shared" si="421"/>
        <v>0</v>
      </c>
      <c r="F1488" s="346">
        <f t="shared" si="422"/>
        <v>0</v>
      </c>
      <c r="G1488" s="347">
        <f t="shared" si="420"/>
        <v>0</v>
      </c>
    </row>
    <row r="1489" spans="1:7" ht="18.95" customHeight="1" x14ac:dyDescent="0.2">
      <c r="A1489" s="343"/>
      <c r="B1489" s="344"/>
      <c r="C1489" s="290"/>
      <c r="D1489" s="293"/>
      <c r="E1489" s="345">
        <f t="shared" si="421"/>
        <v>0</v>
      </c>
      <c r="F1489" s="346">
        <f t="shared" si="422"/>
        <v>0</v>
      </c>
      <c r="G1489" s="347">
        <f t="shared" si="420"/>
        <v>0</v>
      </c>
    </row>
    <row r="1490" spans="1:7" ht="18.95" customHeight="1" thickBot="1" x14ac:dyDescent="0.25">
      <c r="A1490" s="343"/>
      <c r="B1490" s="344"/>
      <c r="C1490" s="290"/>
      <c r="D1490" s="293"/>
      <c r="E1490" s="345">
        <f t="shared" si="421"/>
        <v>0</v>
      </c>
      <c r="F1490" s="346">
        <f t="shared" si="422"/>
        <v>0</v>
      </c>
      <c r="G1490" s="347">
        <f t="shared" si="420"/>
        <v>0</v>
      </c>
    </row>
    <row r="1491" spans="1:7" ht="18.95" customHeight="1" thickBot="1" x14ac:dyDescent="0.25">
      <c r="A1491" s="148"/>
      <c r="B1491" s="334"/>
      <c r="C1491" s="143"/>
      <c r="D1491" s="146" t="s">
        <v>1037</v>
      </c>
      <c r="E1491" s="338">
        <f>SUMPRODUCT(D1481:D1490,E1481:E1490)</f>
        <v>0</v>
      </c>
      <c r="F1491" s="141" t="s">
        <v>1038</v>
      </c>
      <c r="G1491" s="339">
        <f>SUM(G1481:G1490)</f>
        <v>0</v>
      </c>
    </row>
    <row r="1492" spans="1:7" ht="18.95" customHeight="1" x14ac:dyDescent="0.2">
      <c r="A1492" s="148"/>
      <c r="B1492" s="334"/>
      <c r="C1492" s="141" t="s">
        <v>1039</v>
      </c>
      <c r="D1492" s="320"/>
      <c r="E1492" s="340" t="str">
        <f>CONCATENATE(G1477,"/día")</f>
        <v>N°/día</v>
      </c>
      <c r="F1492" s="141"/>
      <c r="G1492" s="341"/>
    </row>
    <row r="1493" spans="1:7" ht="18.95" customHeight="1" x14ac:dyDescent="0.2">
      <c r="A1493" s="148"/>
      <c r="B1493" s="334"/>
      <c r="C1493" s="142"/>
      <c r="D1493" s="150"/>
      <c r="E1493" s="141"/>
      <c r="F1493" s="141"/>
      <c r="G1493" s="341"/>
    </row>
    <row r="1494" spans="1:7" ht="18.95" customHeight="1" x14ac:dyDescent="0.2">
      <c r="A1494" s="735" t="s">
        <v>582</v>
      </c>
      <c r="B1494" s="736"/>
      <c r="C1494" s="737" t="s">
        <v>0</v>
      </c>
      <c r="D1494" s="743" t="s">
        <v>1053</v>
      </c>
      <c r="E1494" s="743" t="s">
        <v>1706</v>
      </c>
      <c r="F1494" s="743" t="s">
        <v>1054</v>
      </c>
      <c r="G1494" s="743" t="s">
        <v>1055</v>
      </c>
    </row>
    <row r="1495" spans="1:7" ht="18.95" customHeight="1" x14ac:dyDescent="0.2">
      <c r="A1495" s="154" t="s">
        <v>583</v>
      </c>
      <c r="B1495" s="155" t="s">
        <v>584</v>
      </c>
      <c r="C1495" s="738"/>
      <c r="D1495" s="742"/>
      <c r="E1495" s="742"/>
      <c r="F1495" s="744"/>
      <c r="G1495" s="742"/>
    </row>
    <row r="1496" spans="1:7" ht="18.95" customHeight="1" x14ac:dyDescent="0.2">
      <c r="A1496" s="156"/>
      <c r="B1496" s="142"/>
      <c r="C1496" s="157" t="s">
        <v>1041</v>
      </c>
      <c r="D1496" s="150"/>
      <c r="E1496" s="142"/>
      <c r="F1496" s="142"/>
      <c r="G1496" s="342"/>
    </row>
    <row r="1497" spans="1:7" ht="18.95" customHeight="1" x14ac:dyDescent="0.2">
      <c r="A1497" s="348" t="str">
        <f t="shared" ref="A1497:A1504" si="423">IFERROR(VLOOKUP(C1497,Tabla_Insumos,4,FALSE),"")</f>
        <v/>
      </c>
      <c r="B1497" s="290" t="str">
        <f t="shared" ref="B1497:B1504" si="424">IFERROR(VLOOKUP(C1497,Tabla_Insumos,5,FALSE),"")</f>
        <v/>
      </c>
      <c r="C1497" s="290"/>
      <c r="D1497" s="607">
        <f t="shared" ref="D1497:D1504" si="425">IFERROR(VLOOKUP(C1497,Tabla_Insumos,3,FALSE),0)</f>
        <v>0</v>
      </c>
      <c r="E1497" s="349">
        <f>D1497*$G$21</f>
        <v>0</v>
      </c>
      <c r="F1497" s="350">
        <f>IF(C1497="",0,D1492)</f>
        <v>0</v>
      </c>
      <c r="G1497" s="347">
        <f>IFERROR(ROUND(E1497/F1497,2),0)</f>
        <v>0</v>
      </c>
    </row>
    <row r="1498" spans="1:7" ht="18.95" customHeight="1" x14ac:dyDescent="0.2">
      <c r="A1498" s="348" t="str">
        <f t="shared" si="423"/>
        <v/>
      </c>
      <c r="B1498" s="290" t="str">
        <f t="shared" si="424"/>
        <v/>
      </c>
      <c r="C1498" s="321"/>
      <c r="D1498" s="607">
        <f t="shared" si="425"/>
        <v>0</v>
      </c>
      <c r="E1498" s="349">
        <f t="shared" ref="E1498:E1499" si="426">D1498*$G$21</f>
        <v>0</v>
      </c>
      <c r="F1498" s="350">
        <f t="shared" ref="F1498:F1501" si="427">IF(C1498="",0,F1497)</f>
        <v>0</v>
      </c>
      <c r="G1498" s="347">
        <f t="shared" ref="G1498:G1504" si="428">IFERROR(ROUND(E1498/F1498,2),0)</f>
        <v>0</v>
      </c>
    </row>
    <row r="1499" spans="1:7" ht="18.95" customHeight="1" x14ac:dyDescent="0.2">
      <c r="A1499" s="348" t="str">
        <f t="shared" si="423"/>
        <v/>
      </c>
      <c r="B1499" s="290" t="str">
        <f t="shared" si="424"/>
        <v/>
      </c>
      <c r="C1499" s="321"/>
      <c r="D1499" s="607">
        <f t="shared" si="425"/>
        <v>0</v>
      </c>
      <c r="E1499" s="349">
        <f t="shared" si="426"/>
        <v>0</v>
      </c>
      <c r="F1499" s="350">
        <f t="shared" si="427"/>
        <v>0</v>
      </c>
      <c r="G1499" s="347">
        <f t="shared" si="428"/>
        <v>0</v>
      </c>
    </row>
    <row r="1500" spans="1:7" ht="18.95" customHeight="1" x14ac:dyDescent="0.2">
      <c r="A1500" s="348" t="str">
        <f t="shared" si="423"/>
        <v/>
      </c>
      <c r="B1500" s="290" t="str">
        <f t="shared" si="424"/>
        <v/>
      </c>
      <c r="C1500" s="321"/>
      <c r="D1500" s="607">
        <f t="shared" si="425"/>
        <v>0</v>
      </c>
      <c r="E1500" s="349">
        <f>D1500*$E$21</f>
        <v>0</v>
      </c>
      <c r="F1500" s="350">
        <f t="shared" si="427"/>
        <v>0</v>
      </c>
      <c r="G1500" s="347">
        <f t="shared" si="428"/>
        <v>0</v>
      </c>
    </row>
    <row r="1501" spans="1:7" ht="18.95" customHeight="1" x14ac:dyDescent="0.2">
      <c r="A1501" s="348" t="str">
        <f t="shared" si="423"/>
        <v/>
      </c>
      <c r="B1501" s="290" t="str">
        <f t="shared" si="424"/>
        <v/>
      </c>
      <c r="C1501" s="321"/>
      <c r="D1501" s="607">
        <f t="shared" si="425"/>
        <v>0</v>
      </c>
      <c r="E1501" s="349">
        <f>D1501*$E$21</f>
        <v>0</v>
      </c>
      <c r="F1501" s="350">
        <f t="shared" si="427"/>
        <v>0</v>
      </c>
      <c r="G1501" s="347">
        <f t="shared" si="428"/>
        <v>0</v>
      </c>
    </row>
    <row r="1502" spans="1:7" ht="18.95" customHeight="1" x14ac:dyDescent="0.2">
      <c r="A1502" s="348" t="str">
        <f t="shared" si="423"/>
        <v/>
      </c>
      <c r="B1502" s="290" t="str">
        <f t="shared" si="424"/>
        <v/>
      </c>
      <c r="C1502" s="321"/>
      <c r="D1502" s="607">
        <f t="shared" si="425"/>
        <v>0</v>
      </c>
      <c r="E1502" s="349"/>
      <c r="F1502" s="350">
        <f>IF(C1502="",0,F1501)</f>
        <v>0</v>
      </c>
      <c r="G1502" s="347">
        <f t="shared" si="428"/>
        <v>0</v>
      </c>
    </row>
    <row r="1503" spans="1:7" ht="18.95" customHeight="1" x14ac:dyDescent="0.2">
      <c r="A1503" s="348" t="str">
        <f t="shared" si="423"/>
        <v/>
      </c>
      <c r="B1503" s="290" t="str">
        <f t="shared" si="424"/>
        <v/>
      </c>
      <c r="C1503" s="321"/>
      <c r="D1503" s="607">
        <f t="shared" si="425"/>
        <v>0</v>
      </c>
      <c r="E1503" s="349"/>
      <c r="F1503" s="350">
        <f t="shared" ref="F1503:F1504" si="429">IF(C1503="",0,F1502)</f>
        <v>0</v>
      </c>
      <c r="G1503" s="347">
        <f t="shared" si="428"/>
        <v>0</v>
      </c>
    </row>
    <row r="1504" spans="1:7" ht="18.95" customHeight="1" x14ac:dyDescent="0.2">
      <c r="A1504" s="348" t="str">
        <f t="shared" si="423"/>
        <v/>
      </c>
      <c r="B1504" s="290" t="str">
        <f t="shared" si="424"/>
        <v/>
      </c>
      <c r="C1504" s="321"/>
      <c r="D1504" s="607">
        <f t="shared" si="425"/>
        <v>0</v>
      </c>
      <c r="E1504" s="349"/>
      <c r="F1504" s="350">
        <f t="shared" si="429"/>
        <v>0</v>
      </c>
      <c r="G1504" s="347">
        <f t="shared" si="428"/>
        <v>0</v>
      </c>
    </row>
    <row r="1505" spans="1:7" ht="18.95" customHeight="1" x14ac:dyDescent="0.2">
      <c r="A1505" s="353"/>
      <c r="B1505" s="149"/>
      <c r="C1505" s="142"/>
      <c r="D1505" s="150"/>
      <c r="E1505" s="143"/>
      <c r="F1505" s="354" t="s">
        <v>29</v>
      </c>
      <c r="G1505" s="355">
        <f>SUBTOTAL(9,G1497:G1504)</f>
        <v>0</v>
      </c>
    </row>
    <row r="1506" spans="1:7" ht="18.95" customHeight="1" x14ac:dyDescent="0.2">
      <c r="A1506" s="156"/>
      <c r="B1506" s="142"/>
      <c r="C1506" s="157" t="s">
        <v>722</v>
      </c>
      <c r="D1506" s="150"/>
      <c r="E1506" s="327"/>
      <c r="F1506" s="327"/>
      <c r="G1506" s="342"/>
    </row>
    <row r="1507" spans="1:7" ht="18.95" customHeight="1" x14ac:dyDescent="0.2">
      <c r="A1507" s="735" t="s">
        <v>582</v>
      </c>
      <c r="B1507" s="736"/>
      <c r="C1507" s="737" t="s">
        <v>0</v>
      </c>
      <c r="D1507" s="739" t="s">
        <v>26</v>
      </c>
      <c r="E1507" s="743" t="s">
        <v>1707</v>
      </c>
      <c r="F1507" s="741" t="s">
        <v>1040</v>
      </c>
      <c r="G1507" s="733" t="s">
        <v>28</v>
      </c>
    </row>
    <row r="1508" spans="1:7" ht="18.95" customHeight="1" x14ac:dyDescent="0.2">
      <c r="A1508" s="154" t="s">
        <v>583</v>
      </c>
      <c r="B1508" s="155" t="s">
        <v>584</v>
      </c>
      <c r="C1508" s="738"/>
      <c r="D1508" s="740"/>
      <c r="E1508" s="742"/>
      <c r="F1508" s="742"/>
      <c r="G1508" s="734"/>
    </row>
    <row r="1509" spans="1:7" ht="18.95" customHeight="1" x14ac:dyDescent="0.2">
      <c r="A1509" s="348" t="str">
        <f t="shared" ref="A1509:A1514" si="430">IFERROR(VLOOKUP(C1509,Tabla_Insumos,4,FALSE),"")</f>
        <v/>
      </c>
      <c r="B1509" s="290" t="str">
        <f t="shared" ref="B1509:B1514" si="431">IFERROR(VLOOKUP(C1509,Tabla_Insumos,5,FALSE),"")</f>
        <v/>
      </c>
      <c r="C1509" s="291"/>
      <c r="D1509" s="293"/>
      <c r="E1509" s="346">
        <f t="shared" ref="E1509:E1514" si="432">IFERROR(VLOOKUP(C1509,Tabla_Insumos,3,FALSE),0)</f>
        <v>0</v>
      </c>
      <c r="F1509" s="349">
        <f>IF(C1509="",0,D1492)</f>
        <v>0</v>
      </c>
      <c r="G1509" s="347">
        <f t="shared" ref="G1509:G1514" si="433">IFERROR(ROUND(D1509*E1509/F1509,2),0)</f>
        <v>0</v>
      </c>
    </row>
    <row r="1510" spans="1:7" ht="18.95" customHeight="1" x14ac:dyDescent="0.2">
      <c r="A1510" s="348" t="str">
        <f t="shared" si="430"/>
        <v/>
      </c>
      <c r="B1510" s="290" t="str">
        <f t="shared" si="431"/>
        <v/>
      </c>
      <c r="C1510" s="290"/>
      <c r="D1510" s="293"/>
      <c r="E1510" s="346">
        <f t="shared" si="432"/>
        <v>0</v>
      </c>
      <c r="F1510" s="349">
        <f>IF(C1510="",0,F1509)</f>
        <v>0</v>
      </c>
      <c r="G1510" s="347">
        <f t="shared" si="433"/>
        <v>0</v>
      </c>
    </row>
    <row r="1511" spans="1:7" ht="18.95" customHeight="1" x14ac:dyDescent="0.2">
      <c r="A1511" s="348" t="str">
        <f t="shared" si="430"/>
        <v/>
      </c>
      <c r="B1511" s="290" t="str">
        <f t="shared" si="431"/>
        <v/>
      </c>
      <c r="C1511" s="290"/>
      <c r="D1511" s="293"/>
      <c r="E1511" s="346">
        <f t="shared" si="432"/>
        <v>0</v>
      </c>
      <c r="F1511" s="349">
        <f>IF(C1511="",0,F1510)</f>
        <v>0</v>
      </c>
      <c r="G1511" s="347">
        <f t="shared" si="433"/>
        <v>0</v>
      </c>
    </row>
    <row r="1512" spans="1:7" ht="18.95" customHeight="1" x14ac:dyDescent="0.2">
      <c r="A1512" s="348" t="str">
        <f t="shared" si="430"/>
        <v/>
      </c>
      <c r="B1512" s="290" t="str">
        <f t="shared" si="431"/>
        <v/>
      </c>
      <c r="C1512" s="290"/>
      <c r="D1512" s="293"/>
      <c r="E1512" s="346">
        <f t="shared" si="432"/>
        <v>0</v>
      </c>
      <c r="F1512" s="349">
        <f>IF(C1512="",0,F1511)</f>
        <v>0</v>
      </c>
      <c r="G1512" s="347">
        <f t="shared" si="433"/>
        <v>0</v>
      </c>
    </row>
    <row r="1513" spans="1:7" ht="18.95" customHeight="1" x14ac:dyDescent="0.2">
      <c r="A1513" s="348" t="str">
        <f t="shared" si="430"/>
        <v/>
      </c>
      <c r="B1513" s="290" t="str">
        <f t="shared" si="431"/>
        <v/>
      </c>
      <c r="C1513" s="290"/>
      <c r="D1513" s="351"/>
      <c r="E1513" s="346">
        <f t="shared" si="432"/>
        <v>0</v>
      </c>
      <c r="F1513" s="349">
        <f>IF(C1513="",0,F1512)</f>
        <v>0</v>
      </c>
      <c r="G1513" s="347">
        <f t="shared" si="433"/>
        <v>0</v>
      </c>
    </row>
    <row r="1514" spans="1:7" ht="18.95" customHeight="1" x14ac:dyDescent="0.2">
      <c r="A1514" s="348" t="str">
        <f t="shared" si="430"/>
        <v/>
      </c>
      <c r="B1514" s="290" t="str">
        <f t="shared" si="431"/>
        <v/>
      </c>
      <c r="C1514" s="290"/>
      <c r="D1514" s="293"/>
      <c r="E1514" s="346">
        <f t="shared" si="432"/>
        <v>0</v>
      </c>
      <c r="F1514" s="349">
        <f>IF(C1514="",0,F1513)</f>
        <v>0</v>
      </c>
      <c r="G1514" s="347">
        <f t="shared" si="433"/>
        <v>0</v>
      </c>
    </row>
    <row r="1515" spans="1:7" ht="18.95" customHeight="1" x14ac:dyDescent="0.2">
      <c r="A1515" s="353"/>
      <c r="B1515" s="149"/>
      <c r="C1515" s="142"/>
      <c r="D1515" s="150"/>
      <c r="E1515" s="143"/>
      <c r="F1515" s="356" t="s">
        <v>30</v>
      </c>
      <c r="G1515" s="355">
        <f>SUBTOTAL(9,G1509:G1514)</f>
        <v>0</v>
      </c>
    </row>
    <row r="1516" spans="1:7" ht="18.95" customHeight="1" x14ac:dyDescent="0.2">
      <c r="A1516" s="156"/>
      <c r="B1516" s="142"/>
      <c r="C1516" s="157" t="s">
        <v>1047</v>
      </c>
      <c r="D1516" s="150"/>
      <c r="E1516" s="327"/>
      <c r="F1516" s="327"/>
      <c r="G1516" s="342"/>
    </row>
    <row r="1517" spans="1:7" ht="18.95" customHeight="1" x14ac:dyDescent="0.2">
      <c r="A1517" s="735" t="s">
        <v>582</v>
      </c>
      <c r="B1517" s="736"/>
      <c r="C1517" s="737" t="s">
        <v>0</v>
      </c>
      <c r="D1517" s="737" t="s">
        <v>1655</v>
      </c>
      <c r="E1517" s="737" t="s">
        <v>26</v>
      </c>
      <c r="F1517" s="737" t="s">
        <v>27</v>
      </c>
      <c r="G1517" s="733" t="s">
        <v>28</v>
      </c>
    </row>
    <row r="1518" spans="1:7" ht="18.95" customHeight="1" x14ac:dyDescent="0.2">
      <c r="A1518" s="154" t="s">
        <v>583</v>
      </c>
      <c r="B1518" s="155" t="s">
        <v>584</v>
      </c>
      <c r="C1518" s="738"/>
      <c r="D1518" s="738"/>
      <c r="E1518" s="738"/>
      <c r="F1518" s="738"/>
      <c r="G1518" s="734"/>
    </row>
    <row r="1519" spans="1:7" ht="18.95" customHeight="1" x14ac:dyDescent="0.2">
      <c r="A1519" s="348" t="str">
        <f t="shared" ref="A1519:A1530" si="434">IFERROR(VLOOKUP(C1519,Tabla_Insumos,4,FALSE),"")</f>
        <v/>
      </c>
      <c r="B1519" s="290" t="str">
        <f t="shared" ref="B1519:B1530" si="435">IFERROR(VLOOKUP(C1519,Tabla_Insumos,5,FALSE),"")</f>
        <v/>
      </c>
      <c r="C1519" s="290"/>
      <c r="D1519" s="608">
        <f t="shared" ref="D1519:D1530" si="436">IFERROR(VLOOKUP(C1519,Tabla_Insumos,2,FALSE),0)</f>
        <v>0</v>
      </c>
      <c r="E1519" s="293"/>
      <c r="F1519" s="346">
        <f t="shared" ref="F1519:F1530" si="437">IFERROR(VLOOKUP(C1519,Tabla_Insumos,3,FALSE),0)</f>
        <v>0</v>
      </c>
      <c r="G1519" s="347">
        <f t="shared" ref="G1519:G1530" si="438">ROUND(E1519*F1519,2)</f>
        <v>0</v>
      </c>
    </row>
    <row r="1520" spans="1:7" ht="18.95" customHeight="1" x14ac:dyDescent="0.2">
      <c r="A1520" s="348" t="str">
        <f t="shared" si="434"/>
        <v/>
      </c>
      <c r="B1520" s="290" t="str">
        <f t="shared" si="435"/>
        <v/>
      </c>
      <c r="C1520" s="126"/>
      <c r="D1520" s="608">
        <f t="shared" si="436"/>
        <v>0</v>
      </c>
      <c r="E1520" s="293"/>
      <c r="F1520" s="346">
        <f t="shared" si="437"/>
        <v>0</v>
      </c>
      <c r="G1520" s="347">
        <f t="shared" si="438"/>
        <v>0</v>
      </c>
    </row>
    <row r="1521" spans="1:7" ht="18.95" customHeight="1" x14ac:dyDescent="0.2">
      <c r="A1521" s="348" t="str">
        <f t="shared" si="434"/>
        <v/>
      </c>
      <c r="B1521" s="290" t="str">
        <f t="shared" si="435"/>
        <v/>
      </c>
      <c r="C1521" s="290"/>
      <c r="D1521" s="608">
        <f t="shared" si="436"/>
        <v>0</v>
      </c>
      <c r="E1521" s="293"/>
      <c r="F1521" s="346">
        <f t="shared" si="437"/>
        <v>0</v>
      </c>
      <c r="G1521" s="347">
        <f t="shared" si="438"/>
        <v>0</v>
      </c>
    </row>
    <row r="1522" spans="1:7" ht="18.95" customHeight="1" x14ac:dyDescent="0.2">
      <c r="A1522" s="348" t="str">
        <f t="shared" si="434"/>
        <v/>
      </c>
      <c r="B1522" s="290" t="str">
        <f t="shared" si="435"/>
        <v/>
      </c>
      <c r="C1522" s="290"/>
      <c r="D1522" s="608">
        <f t="shared" si="436"/>
        <v>0</v>
      </c>
      <c r="E1522" s="293"/>
      <c r="F1522" s="346">
        <f t="shared" si="437"/>
        <v>0</v>
      </c>
      <c r="G1522" s="347">
        <f t="shared" si="438"/>
        <v>0</v>
      </c>
    </row>
    <row r="1523" spans="1:7" ht="18.95" customHeight="1" x14ac:dyDescent="0.2">
      <c r="A1523" s="348" t="str">
        <f t="shared" si="434"/>
        <v/>
      </c>
      <c r="B1523" s="290" t="str">
        <f t="shared" si="435"/>
        <v/>
      </c>
      <c r="C1523" s="290"/>
      <c r="D1523" s="608">
        <f t="shared" si="436"/>
        <v>0</v>
      </c>
      <c r="E1523" s="293"/>
      <c r="F1523" s="346">
        <f t="shared" si="437"/>
        <v>0</v>
      </c>
      <c r="G1523" s="347">
        <f t="shared" si="438"/>
        <v>0</v>
      </c>
    </row>
    <row r="1524" spans="1:7" ht="18.95" customHeight="1" x14ac:dyDescent="0.2">
      <c r="A1524" s="348" t="str">
        <f t="shared" si="434"/>
        <v/>
      </c>
      <c r="B1524" s="290" t="str">
        <f t="shared" si="435"/>
        <v/>
      </c>
      <c r="C1524" s="290"/>
      <c r="D1524" s="608">
        <f t="shared" si="436"/>
        <v>0</v>
      </c>
      <c r="E1524" s="293"/>
      <c r="F1524" s="346">
        <f t="shared" si="437"/>
        <v>0</v>
      </c>
      <c r="G1524" s="347">
        <f t="shared" si="438"/>
        <v>0</v>
      </c>
    </row>
    <row r="1525" spans="1:7" ht="18.95" customHeight="1" x14ac:dyDescent="0.2">
      <c r="A1525" s="348" t="str">
        <f t="shared" si="434"/>
        <v/>
      </c>
      <c r="B1525" s="290" t="str">
        <f t="shared" si="435"/>
        <v/>
      </c>
      <c r="C1525" s="290"/>
      <c r="D1525" s="608">
        <f t="shared" si="436"/>
        <v>0</v>
      </c>
      <c r="E1525" s="293"/>
      <c r="F1525" s="346">
        <f t="shared" si="437"/>
        <v>0</v>
      </c>
      <c r="G1525" s="347">
        <f t="shared" si="438"/>
        <v>0</v>
      </c>
    </row>
    <row r="1526" spans="1:7" s="295" customFormat="1" ht="18.95" customHeight="1" x14ac:dyDescent="0.2">
      <c r="A1526" s="348" t="str">
        <f t="shared" si="434"/>
        <v/>
      </c>
      <c r="B1526" s="290" t="str">
        <f t="shared" si="435"/>
        <v/>
      </c>
      <c r="C1526" s="290"/>
      <c r="D1526" s="608">
        <f t="shared" si="436"/>
        <v>0</v>
      </c>
      <c r="E1526" s="323"/>
      <c r="F1526" s="346">
        <f t="shared" si="437"/>
        <v>0</v>
      </c>
      <c r="G1526" s="347">
        <f t="shared" si="438"/>
        <v>0</v>
      </c>
    </row>
    <row r="1527" spans="1:7" ht="18.95" customHeight="1" x14ac:dyDescent="0.2">
      <c r="A1527" s="348" t="str">
        <f t="shared" si="434"/>
        <v/>
      </c>
      <c r="B1527" s="290" t="str">
        <f t="shared" si="435"/>
        <v/>
      </c>
      <c r="C1527" s="290"/>
      <c r="D1527" s="608">
        <f t="shared" si="436"/>
        <v>0</v>
      </c>
      <c r="E1527" s="293"/>
      <c r="F1527" s="346">
        <f t="shared" si="437"/>
        <v>0</v>
      </c>
      <c r="G1527" s="347">
        <f t="shared" si="438"/>
        <v>0</v>
      </c>
    </row>
    <row r="1528" spans="1:7" ht="18.95" customHeight="1" x14ac:dyDescent="0.2">
      <c r="A1528" s="348" t="str">
        <f t="shared" si="434"/>
        <v/>
      </c>
      <c r="B1528" s="290" t="str">
        <f t="shared" si="435"/>
        <v/>
      </c>
      <c r="C1528" s="290"/>
      <c r="D1528" s="608">
        <f t="shared" si="436"/>
        <v>0</v>
      </c>
      <c r="E1528" s="293"/>
      <c r="F1528" s="346">
        <f t="shared" si="437"/>
        <v>0</v>
      </c>
      <c r="G1528" s="347">
        <f t="shared" si="438"/>
        <v>0</v>
      </c>
    </row>
    <row r="1529" spans="1:7" ht="18.95" customHeight="1" x14ac:dyDescent="0.2">
      <c r="A1529" s="348" t="str">
        <f t="shared" si="434"/>
        <v/>
      </c>
      <c r="B1529" s="290" t="str">
        <f t="shared" si="435"/>
        <v/>
      </c>
      <c r="C1529" s="290"/>
      <c r="D1529" s="608">
        <f t="shared" si="436"/>
        <v>0</v>
      </c>
      <c r="E1529" s="293"/>
      <c r="F1529" s="346">
        <f t="shared" si="437"/>
        <v>0</v>
      </c>
      <c r="G1529" s="347">
        <f t="shared" si="438"/>
        <v>0</v>
      </c>
    </row>
    <row r="1530" spans="1:7" ht="18.95" customHeight="1" x14ac:dyDescent="0.2">
      <c r="A1530" s="348" t="str">
        <f t="shared" si="434"/>
        <v/>
      </c>
      <c r="B1530" s="290" t="str">
        <f t="shared" si="435"/>
        <v/>
      </c>
      <c r="C1530" s="290"/>
      <c r="D1530" s="608">
        <f t="shared" si="436"/>
        <v>0</v>
      </c>
      <c r="E1530" s="293"/>
      <c r="F1530" s="346">
        <f t="shared" si="437"/>
        <v>0</v>
      </c>
      <c r="G1530" s="347">
        <f t="shared" si="438"/>
        <v>0</v>
      </c>
    </row>
    <row r="1531" spans="1:7" ht="18.95" customHeight="1" x14ac:dyDescent="0.2">
      <c r="A1531" s="156"/>
      <c r="B1531" s="142"/>
      <c r="C1531" s="142"/>
      <c r="D1531" s="150"/>
      <c r="E1531" s="143"/>
      <c r="F1531" s="356" t="s">
        <v>31</v>
      </c>
      <c r="G1531" s="355">
        <f>SUBTOTAL(9,G1519:G1530)</f>
        <v>0</v>
      </c>
    </row>
    <row r="1532" spans="1:7" ht="18.95" customHeight="1" x14ac:dyDescent="0.2">
      <c r="A1532" s="156"/>
      <c r="B1532" s="142"/>
      <c r="C1532" s="157" t="s">
        <v>1048</v>
      </c>
      <c r="D1532" s="150"/>
      <c r="E1532" s="327"/>
      <c r="F1532" s="327"/>
      <c r="G1532" s="342"/>
    </row>
    <row r="1533" spans="1:7" ht="18.95" customHeight="1" x14ac:dyDescent="0.2">
      <c r="A1533" s="735" t="s">
        <v>582</v>
      </c>
      <c r="B1533" s="736"/>
      <c r="C1533" s="737" t="s">
        <v>0</v>
      </c>
      <c r="D1533" s="739" t="s">
        <v>1750</v>
      </c>
      <c r="E1533" s="741" t="s">
        <v>26</v>
      </c>
      <c r="F1533" s="741" t="s">
        <v>27</v>
      </c>
      <c r="G1533" s="733" t="s">
        <v>28</v>
      </c>
    </row>
    <row r="1534" spans="1:7" ht="18.95" customHeight="1" x14ac:dyDescent="0.2">
      <c r="A1534" s="154" t="s">
        <v>583</v>
      </c>
      <c r="B1534" s="155" t="s">
        <v>584</v>
      </c>
      <c r="C1534" s="738"/>
      <c r="D1534" s="740"/>
      <c r="E1534" s="742"/>
      <c r="F1534" s="742"/>
      <c r="G1534" s="734"/>
    </row>
    <row r="1535" spans="1:7" ht="18.95" customHeight="1" x14ac:dyDescent="0.2">
      <c r="A1535" s="348" t="str">
        <f>IFERROR(VLOOKUP(C1535,Tabla_Insumos,4,FALSE),"")</f>
        <v/>
      </c>
      <c r="B1535" s="290" t="s">
        <v>4</v>
      </c>
      <c r="C1535" s="290"/>
      <c r="D1535" s="293"/>
      <c r="E1535" s="322"/>
      <c r="F1535" s="324"/>
      <c r="G1535" s="347">
        <f t="shared" ref="G1535" si="439">ROUND(E1535*F1535,2)</f>
        <v>0</v>
      </c>
    </row>
    <row r="1536" spans="1:7" ht="18.95" customHeight="1" x14ac:dyDescent="0.2">
      <c r="A1536" s="156"/>
      <c r="B1536" s="142"/>
      <c r="C1536" s="142"/>
      <c r="D1536" s="150"/>
      <c r="E1536" s="143"/>
      <c r="F1536" s="356" t="s">
        <v>1049</v>
      </c>
      <c r="G1536" s="355">
        <f>SUBTOTAL(9,G1535:G1535)</f>
        <v>0</v>
      </c>
    </row>
    <row r="1537" spans="1:8" ht="18.95" customHeight="1" thickBot="1" x14ac:dyDescent="0.25">
      <c r="A1537" s="158"/>
      <c r="B1537" s="159"/>
      <c r="C1537" s="160"/>
      <c r="D1537" s="161"/>
      <c r="E1537" s="357"/>
      <c r="F1537" s="357"/>
      <c r="G1537" s="358"/>
    </row>
    <row r="1538" spans="1:8" ht="18.95" customHeight="1" x14ac:dyDescent="0.2">
      <c r="A1538" s="359">
        <f>B1477</f>
        <v>22</v>
      </c>
      <c r="B1538" s="360" t="str">
        <f>C1477</f>
        <v>COLOCACIÓN DE TRANQUERA s/PLANO TIPO J-5084 TIPO "A"</v>
      </c>
      <c r="C1538" s="361"/>
      <c r="D1538" s="361"/>
      <c r="E1538" s="361" t="s">
        <v>1050</v>
      </c>
      <c r="F1538" s="362" t="str">
        <f>CONCATENATE("$/",G1477)</f>
        <v>$/N°</v>
      </c>
      <c r="G1538" s="363">
        <f>SUBTOTAL(9,G1497:G1537)</f>
        <v>0</v>
      </c>
    </row>
    <row r="1539" spans="1:8" ht="18.95" customHeight="1" thickBot="1" x14ac:dyDescent="0.25">
      <c r="A1539" s="364"/>
      <c r="B1539" s="365"/>
      <c r="C1539" s="365"/>
      <c r="D1539" s="365"/>
      <c r="E1539" s="366" t="s">
        <v>1051</v>
      </c>
      <c r="F1539" s="367" t="str">
        <f>CONCATENATE("$/",G1477)</f>
        <v>$/N°</v>
      </c>
      <c r="G1539" s="368" t="e">
        <f ca="1">PrecioUnitario(G1538,GG_Porcentaje,Beneficio,Ingresos_Brutos,IVA)</f>
        <v>#NAME?</v>
      </c>
    </row>
    <row r="1540" spans="1:8" ht="18.95" customHeight="1" thickTop="1" thickBot="1" x14ac:dyDescent="0.25">
      <c r="F1540" s="294"/>
      <c r="G1540" s="294"/>
    </row>
    <row r="1541" spans="1:8" ht="18.95" customHeight="1" thickTop="1" x14ac:dyDescent="0.2">
      <c r="A1541" s="194" t="s">
        <v>33</v>
      </c>
      <c r="B1541" s="195"/>
      <c r="C1541" s="195"/>
      <c r="D1541" s="195"/>
      <c r="E1541" s="195"/>
      <c r="F1541" s="195"/>
      <c r="G1541" s="196"/>
      <c r="H1541" s="143">
        <f>COUNTIF($A$1:A1547,"ANALISIS DE PRECIOS")</f>
        <v>23</v>
      </c>
    </row>
    <row r="1542" spans="1:8" ht="18.95" customHeight="1" x14ac:dyDescent="0.2">
      <c r="A1542" s="144" t="s">
        <v>720</v>
      </c>
      <c r="B1542" s="145" t="str">
        <f>Comitente</f>
        <v>DIRECCIÓN PROVINCIAL DE VIALIDAD</v>
      </c>
      <c r="C1542" s="139"/>
      <c r="D1542" s="146"/>
      <c r="E1542" s="325"/>
      <c r="F1542" s="325"/>
      <c r="G1542" s="326"/>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PAVIMENTACION Y ENSANCHE DE RUTA PROVINCIAL N°7 AV. JOAQUIN UÑAC</v>
      </c>
      <c r="C1544" s="140"/>
      <c r="D1544" s="140"/>
      <c r="E1544" s="143"/>
      <c r="F1544" s="145" t="s">
        <v>34</v>
      </c>
      <c r="G1544" s="147">
        <f>Fecha_Base</f>
        <v>43444</v>
      </c>
      <c r="H1544" s="143"/>
    </row>
    <row r="1545" spans="1:8" ht="18.95" customHeight="1" x14ac:dyDescent="0.2">
      <c r="A1545" s="148" t="s">
        <v>719</v>
      </c>
      <c r="B1545" s="141" t="str">
        <f>Ubicación</f>
        <v>DEPARTAMENTO POCITO</v>
      </c>
      <c r="C1545" s="141"/>
      <c r="D1545" s="150"/>
      <c r="E1545" s="143"/>
      <c r="F1545" s="327"/>
      <c r="G1545" s="328"/>
      <c r="H1545" s="143"/>
    </row>
    <row r="1546" spans="1:8" ht="18.95" customHeight="1" x14ac:dyDescent="0.2">
      <c r="A1546" s="148" t="s">
        <v>35</v>
      </c>
      <c r="B1546" s="151" t="str">
        <f>IFERROR(VALUE(LEFT(B1547,FIND("-",B1547)-1)),"")</f>
        <v/>
      </c>
      <c r="C1546" s="142" t="str">
        <f>IFERROR(VLOOKUP(B1546,Tabla_CyP,2,FALSE),"")</f>
        <v/>
      </c>
      <c r="D1546" s="150"/>
      <c r="E1546" s="143"/>
      <c r="F1546" s="327"/>
      <c r="G1546" s="328"/>
      <c r="H1546" s="143"/>
    </row>
    <row r="1547" spans="1:8" ht="18.95" customHeight="1" x14ac:dyDescent="0.2">
      <c r="A1547" s="148" t="s">
        <v>24</v>
      </c>
      <c r="B1547" s="152">
        <f>IFERROR(VLOOKUP(COUNTIF($A$1:A1547,"ANALISIS DE PRECIOS"),Tabla_NumeroItem,4,FALSE),"")</f>
        <v>23</v>
      </c>
      <c r="C1547" s="745" t="str">
        <f>IFERROR(VLOOKUP(B1547,Tabla_CyP,2,FALSE),"")</f>
        <v>SEÑALAMIENTO VERTICAL REFLECTIVO</v>
      </c>
      <c r="D1547" s="745"/>
      <c r="E1547" s="745"/>
      <c r="F1547" s="141" t="s">
        <v>25</v>
      </c>
      <c r="G1547" s="153" t="str">
        <f>IFERROR(VLOOKUP(B1547,Tabla_CyP,4,FALSE),"")</f>
        <v>m²</v>
      </c>
      <c r="H1547" s="143"/>
    </row>
    <row r="1548" spans="1:8" ht="18.95" customHeight="1" x14ac:dyDescent="0.2">
      <c r="A1548" s="148"/>
      <c r="B1548" s="141"/>
      <c r="C1548" s="142"/>
      <c r="D1548" s="150"/>
      <c r="E1548" s="142"/>
      <c r="F1548" s="142"/>
      <c r="G1548" s="329"/>
      <c r="H1548" s="143"/>
    </row>
    <row r="1549" spans="1:8" ht="18.95" customHeight="1" x14ac:dyDescent="0.2">
      <c r="A1549" s="330"/>
      <c r="B1549" s="331"/>
      <c r="C1549" s="332" t="s">
        <v>1032</v>
      </c>
      <c r="D1549" s="331"/>
      <c r="E1549" s="331"/>
      <c r="F1549" s="331"/>
      <c r="G1549" s="333"/>
      <c r="H1549" s="143"/>
    </row>
    <row r="1550" spans="1:8" ht="18.95" customHeight="1" x14ac:dyDescent="0.2">
      <c r="A1550" s="148"/>
      <c r="B1550" s="334"/>
      <c r="C1550" s="335" t="s">
        <v>1033</v>
      </c>
      <c r="D1550" s="336" t="s">
        <v>26</v>
      </c>
      <c r="E1550" s="336" t="s">
        <v>1034</v>
      </c>
      <c r="F1550" s="336" t="s">
        <v>1035</v>
      </c>
      <c r="G1550" s="337" t="s">
        <v>1036</v>
      </c>
      <c r="H1550" s="143"/>
    </row>
    <row r="1551" spans="1:8" ht="18.95" customHeight="1" x14ac:dyDescent="0.2">
      <c r="A1551" s="343"/>
      <c r="B1551" s="344"/>
      <c r="C1551" s="290"/>
      <c r="D1551" s="293"/>
      <c r="E1551" s="345"/>
      <c r="F1551" s="346"/>
      <c r="G1551" s="347">
        <f t="shared" ref="G1551:G1560" si="440">ROUND(D1551*F1551,2)</f>
        <v>0</v>
      </c>
    </row>
    <row r="1552" spans="1:8" ht="18.95" customHeight="1" x14ac:dyDescent="0.2">
      <c r="A1552" s="343"/>
      <c r="B1552" s="344"/>
      <c r="C1552" s="290"/>
      <c r="D1552" s="293"/>
      <c r="E1552" s="345"/>
      <c r="F1552" s="346"/>
      <c r="G1552" s="347">
        <f t="shared" si="440"/>
        <v>0</v>
      </c>
    </row>
    <row r="1553" spans="1:7" ht="18.95" customHeight="1" x14ac:dyDescent="0.2">
      <c r="A1553" s="343"/>
      <c r="B1553" s="344"/>
      <c r="C1553" s="290"/>
      <c r="D1553" s="293"/>
      <c r="E1553" s="345">
        <f t="shared" ref="E1553:E1560" si="441">IFERROR(VLOOKUP(C1553,T_Equipos,4,FALSE),0)</f>
        <v>0</v>
      </c>
      <c r="F1553" s="346">
        <f t="shared" ref="F1553:F1560" si="442">IFERROR(VLOOKUP(C1553,T_Equipos,11,FALSE),0)</f>
        <v>0</v>
      </c>
      <c r="G1553" s="347">
        <f t="shared" si="440"/>
        <v>0</v>
      </c>
    </row>
    <row r="1554" spans="1:7" ht="18.95" customHeight="1" x14ac:dyDescent="0.2">
      <c r="A1554" s="343"/>
      <c r="B1554" s="344"/>
      <c r="C1554" s="290"/>
      <c r="D1554" s="293"/>
      <c r="E1554" s="345">
        <f t="shared" si="441"/>
        <v>0</v>
      </c>
      <c r="F1554" s="346">
        <f t="shared" si="442"/>
        <v>0</v>
      </c>
      <c r="G1554" s="347">
        <f t="shared" si="440"/>
        <v>0</v>
      </c>
    </row>
    <row r="1555" spans="1:7" ht="18.95" customHeight="1" x14ac:dyDescent="0.2">
      <c r="A1555" s="343"/>
      <c r="B1555" s="344"/>
      <c r="C1555" s="290"/>
      <c r="D1555" s="293"/>
      <c r="E1555" s="345">
        <f t="shared" si="441"/>
        <v>0</v>
      </c>
      <c r="F1555" s="346">
        <f t="shared" si="442"/>
        <v>0</v>
      </c>
      <c r="G1555" s="347">
        <f t="shared" si="440"/>
        <v>0</v>
      </c>
    </row>
    <row r="1556" spans="1:7" ht="18.95" customHeight="1" x14ac:dyDescent="0.2">
      <c r="A1556" s="343"/>
      <c r="B1556" s="344"/>
      <c r="C1556" s="290"/>
      <c r="D1556" s="293"/>
      <c r="E1556" s="345">
        <f t="shared" si="441"/>
        <v>0</v>
      </c>
      <c r="F1556" s="346">
        <f t="shared" si="442"/>
        <v>0</v>
      </c>
      <c r="G1556" s="347">
        <f t="shared" si="440"/>
        <v>0</v>
      </c>
    </row>
    <row r="1557" spans="1:7" ht="18.95" customHeight="1" x14ac:dyDescent="0.2">
      <c r="A1557" s="343"/>
      <c r="B1557" s="344"/>
      <c r="C1557" s="290"/>
      <c r="D1557" s="293"/>
      <c r="E1557" s="345">
        <f t="shared" si="441"/>
        <v>0</v>
      </c>
      <c r="F1557" s="346">
        <f t="shared" si="442"/>
        <v>0</v>
      </c>
      <c r="G1557" s="347">
        <f t="shared" si="440"/>
        <v>0</v>
      </c>
    </row>
    <row r="1558" spans="1:7" ht="18.95" customHeight="1" x14ac:dyDescent="0.2">
      <c r="A1558" s="343"/>
      <c r="B1558" s="344"/>
      <c r="C1558" s="290"/>
      <c r="D1558" s="293"/>
      <c r="E1558" s="345">
        <f t="shared" si="441"/>
        <v>0</v>
      </c>
      <c r="F1558" s="346">
        <f t="shared" si="442"/>
        <v>0</v>
      </c>
      <c r="G1558" s="347">
        <f t="shared" si="440"/>
        <v>0</v>
      </c>
    </row>
    <row r="1559" spans="1:7" ht="18.95" customHeight="1" x14ac:dyDescent="0.2">
      <c r="A1559" s="343"/>
      <c r="B1559" s="344"/>
      <c r="C1559" s="290"/>
      <c r="D1559" s="293"/>
      <c r="E1559" s="345">
        <f t="shared" si="441"/>
        <v>0</v>
      </c>
      <c r="F1559" s="346">
        <f t="shared" si="442"/>
        <v>0</v>
      </c>
      <c r="G1559" s="347">
        <f t="shared" si="440"/>
        <v>0</v>
      </c>
    </row>
    <row r="1560" spans="1:7" ht="18.95" customHeight="1" thickBot="1" x14ac:dyDescent="0.25">
      <c r="A1560" s="343"/>
      <c r="B1560" s="344"/>
      <c r="C1560" s="290"/>
      <c r="D1560" s="293"/>
      <c r="E1560" s="345">
        <f t="shared" si="441"/>
        <v>0</v>
      </c>
      <c r="F1560" s="346">
        <f t="shared" si="442"/>
        <v>0</v>
      </c>
      <c r="G1560" s="347">
        <f t="shared" si="440"/>
        <v>0</v>
      </c>
    </row>
    <row r="1561" spans="1:7" ht="18.95" customHeight="1" thickBot="1" x14ac:dyDescent="0.25">
      <c r="A1561" s="148"/>
      <c r="B1561" s="334"/>
      <c r="C1561" s="143"/>
      <c r="D1561" s="146" t="s">
        <v>1037</v>
      </c>
      <c r="E1561" s="338">
        <f>SUMPRODUCT(D1551:D1560,E1551:E1560)</f>
        <v>0</v>
      </c>
      <c r="F1561" s="141" t="s">
        <v>1038</v>
      </c>
      <c r="G1561" s="339">
        <f>SUM(G1551:G1560)</f>
        <v>0</v>
      </c>
    </row>
    <row r="1562" spans="1:7" ht="18.95" customHeight="1" x14ac:dyDescent="0.2">
      <c r="A1562" s="148"/>
      <c r="B1562" s="334"/>
      <c r="C1562" s="141" t="s">
        <v>1039</v>
      </c>
      <c r="D1562" s="320"/>
      <c r="E1562" s="340" t="str">
        <f>CONCATENATE(G1547,"/día")</f>
        <v>m²/día</v>
      </c>
      <c r="F1562" s="141"/>
      <c r="G1562" s="341"/>
    </row>
    <row r="1563" spans="1:7" ht="18.95" customHeight="1" x14ac:dyDescent="0.2">
      <c r="A1563" s="148"/>
      <c r="B1563" s="334"/>
      <c r="C1563" s="142"/>
      <c r="D1563" s="150"/>
      <c r="E1563" s="141"/>
      <c r="F1563" s="141"/>
      <c r="G1563" s="341"/>
    </row>
    <row r="1564" spans="1:7" ht="18.95" customHeight="1" x14ac:dyDescent="0.2">
      <c r="A1564" s="735" t="s">
        <v>582</v>
      </c>
      <c r="B1564" s="736"/>
      <c r="C1564" s="737" t="s">
        <v>0</v>
      </c>
      <c r="D1564" s="743" t="s">
        <v>1053</v>
      </c>
      <c r="E1564" s="743" t="s">
        <v>1706</v>
      </c>
      <c r="F1564" s="743" t="s">
        <v>1054</v>
      </c>
      <c r="G1564" s="743" t="s">
        <v>1055</v>
      </c>
    </row>
    <row r="1565" spans="1:7" ht="18.95" customHeight="1" x14ac:dyDescent="0.2">
      <c r="A1565" s="154" t="s">
        <v>583</v>
      </c>
      <c r="B1565" s="155" t="s">
        <v>584</v>
      </c>
      <c r="C1565" s="738"/>
      <c r="D1565" s="742"/>
      <c r="E1565" s="742"/>
      <c r="F1565" s="744"/>
      <c r="G1565" s="742"/>
    </row>
    <row r="1566" spans="1:7" ht="18.95" customHeight="1" x14ac:dyDescent="0.2">
      <c r="A1566" s="156"/>
      <c r="B1566" s="142"/>
      <c r="C1566" s="157" t="s">
        <v>1041</v>
      </c>
      <c r="D1566" s="150"/>
      <c r="E1566" s="142"/>
      <c r="F1566" s="142"/>
      <c r="G1566" s="342"/>
    </row>
    <row r="1567" spans="1:7" ht="18.95" customHeight="1" x14ac:dyDescent="0.2">
      <c r="A1567" s="348" t="str">
        <f t="shared" ref="A1567:A1574" si="443">IFERROR(VLOOKUP(C1567,Tabla_Insumos,4,FALSE),"")</f>
        <v/>
      </c>
      <c r="B1567" s="290" t="str">
        <f t="shared" ref="B1567:B1574" si="444">IFERROR(VLOOKUP(C1567,Tabla_Insumos,5,FALSE),"")</f>
        <v/>
      </c>
      <c r="C1567" s="290"/>
      <c r="D1567" s="607">
        <f t="shared" ref="D1567:D1574" si="445">IFERROR(VLOOKUP(C1567,Tabla_Insumos,3,FALSE),0)</f>
        <v>0</v>
      </c>
      <c r="E1567" s="349">
        <f>D1567*$G$21</f>
        <v>0</v>
      </c>
      <c r="F1567" s="350">
        <f>IF(C1567="",0,D1562)</f>
        <v>0</v>
      </c>
      <c r="G1567" s="347">
        <f>IFERROR(ROUND(E1567/F1567,2),0)</f>
        <v>0</v>
      </c>
    </row>
    <row r="1568" spans="1:7" ht="18.95" customHeight="1" x14ac:dyDescent="0.2">
      <c r="A1568" s="348" t="str">
        <f t="shared" si="443"/>
        <v/>
      </c>
      <c r="B1568" s="290" t="str">
        <f t="shared" si="444"/>
        <v/>
      </c>
      <c r="C1568" s="321"/>
      <c r="D1568" s="607">
        <f t="shared" si="445"/>
        <v>0</v>
      </c>
      <c r="E1568" s="349">
        <f t="shared" ref="E1568:E1569" si="446">D1568*$G$21</f>
        <v>0</v>
      </c>
      <c r="F1568" s="350">
        <f t="shared" ref="F1568:F1571" si="447">IF(C1568="",0,F1567)</f>
        <v>0</v>
      </c>
      <c r="G1568" s="347">
        <f t="shared" ref="G1568:G1574" si="448">IFERROR(ROUND(E1568/F1568,2),0)</f>
        <v>0</v>
      </c>
    </row>
    <row r="1569" spans="1:7" ht="18.95" customHeight="1" x14ac:dyDescent="0.2">
      <c r="A1569" s="348" t="str">
        <f t="shared" si="443"/>
        <v/>
      </c>
      <c r="B1569" s="290" t="str">
        <f t="shared" si="444"/>
        <v/>
      </c>
      <c r="C1569" s="321"/>
      <c r="D1569" s="607">
        <f t="shared" si="445"/>
        <v>0</v>
      </c>
      <c r="E1569" s="349">
        <f t="shared" si="446"/>
        <v>0</v>
      </c>
      <c r="F1569" s="350">
        <f t="shared" si="447"/>
        <v>0</v>
      </c>
      <c r="G1569" s="347">
        <f t="shared" si="448"/>
        <v>0</v>
      </c>
    </row>
    <row r="1570" spans="1:7" ht="18.95" customHeight="1" x14ac:dyDescent="0.2">
      <c r="A1570" s="348" t="str">
        <f t="shared" si="443"/>
        <v/>
      </c>
      <c r="B1570" s="290" t="str">
        <f t="shared" si="444"/>
        <v/>
      </c>
      <c r="C1570" s="321"/>
      <c r="D1570" s="607">
        <f t="shared" si="445"/>
        <v>0</v>
      </c>
      <c r="E1570" s="349">
        <f>D1570*$E$21</f>
        <v>0</v>
      </c>
      <c r="F1570" s="350">
        <f t="shared" si="447"/>
        <v>0</v>
      </c>
      <c r="G1570" s="347">
        <f t="shared" si="448"/>
        <v>0</v>
      </c>
    </row>
    <row r="1571" spans="1:7" ht="18.95" customHeight="1" x14ac:dyDescent="0.2">
      <c r="A1571" s="348" t="str">
        <f t="shared" si="443"/>
        <v/>
      </c>
      <c r="B1571" s="290" t="str">
        <f t="shared" si="444"/>
        <v/>
      </c>
      <c r="C1571" s="321"/>
      <c r="D1571" s="607">
        <f t="shared" si="445"/>
        <v>0</v>
      </c>
      <c r="E1571" s="349">
        <f>D1571*$E$21</f>
        <v>0</v>
      </c>
      <c r="F1571" s="350">
        <f t="shared" si="447"/>
        <v>0</v>
      </c>
      <c r="G1571" s="347">
        <f t="shared" si="448"/>
        <v>0</v>
      </c>
    </row>
    <row r="1572" spans="1:7" ht="18.95" customHeight="1" x14ac:dyDescent="0.2">
      <c r="A1572" s="348" t="str">
        <f t="shared" si="443"/>
        <v/>
      </c>
      <c r="B1572" s="290" t="str">
        <f t="shared" si="444"/>
        <v/>
      </c>
      <c r="C1572" s="321"/>
      <c r="D1572" s="607">
        <f t="shared" si="445"/>
        <v>0</v>
      </c>
      <c r="E1572" s="349"/>
      <c r="F1572" s="350">
        <f>IF(C1572="",0,F1571)</f>
        <v>0</v>
      </c>
      <c r="G1572" s="347">
        <f t="shared" si="448"/>
        <v>0</v>
      </c>
    </row>
    <row r="1573" spans="1:7" ht="18.95" customHeight="1" x14ac:dyDescent="0.2">
      <c r="A1573" s="348" t="str">
        <f t="shared" si="443"/>
        <v/>
      </c>
      <c r="B1573" s="290" t="str">
        <f t="shared" si="444"/>
        <v/>
      </c>
      <c r="C1573" s="321"/>
      <c r="D1573" s="607">
        <f t="shared" si="445"/>
        <v>0</v>
      </c>
      <c r="E1573" s="349"/>
      <c r="F1573" s="350">
        <f t="shared" ref="F1573:F1574" si="449">IF(C1573="",0,F1572)</f>
        <v>0</v>
      </c>
      <c r="G1573" s="347">
        <f t="shared" si="448"/>
        <v>0</v>
      </c>
    </row>
    <row r="1574" spans="1:7" ht="18.95" customHeight="1" x14ac:dyDescent="0.2">
      <c r="A1574" s="348" t="str">
        <f t="shared" si="443"/>
        <v/>
      </c>
      <c r="B1574" s="290" t="str">
        <f t="shared" si="444"/>
        <v/>
      </c>
      <c r="C1574" s="321"/>
      <c r="D1574" s="607">
        <f t="shared" si="445"/>
        <v>0</v>
      </c>
      <c r="E1574" s="349"/>
      <c r="F1574" s="350">
        <f t="shared" si="449"/>
        <v>0</v>
      </c>
      <c r="G1574" s="347">
        <f t="shared" si="448"/>
        <v>0</v>
      </c>
    </row>
    <row r="1575" spans="1:7" ht="18.95" customHeight="1" x14ac:dyDescent="0.2">
      <c r="A1575" s="353"/>
      <c r="B1575" s="149"/>
      <c r="C1575" s="142"/>
      <c r="D1575" s="150"/>
      <c r="E1575" s="143"/>
      <c r="F1575" s="354" t="s">
        <v>29</v>
      </c>
      <c r="G1575" s="355">
        <f>SUBTOTAL(9,G1567:G1574)</f>
        <v>0</v>
      </c>
    </row>
    <row r="1576" spans="1:7" ht="18.95" customHeight="1" x14ac:dyDescent="0.2">
      <c r="A1576" s="156"/>
      <c r="B1576" s="142"/>
      <c r="C1576" s="157" t="s">
        <v>722</v>
      </c>
      <c r="D1576" s="150"/>
      <c r="E1576" s="327"/>
      <c r="F1576" s="327"/>
      <c r="G1576" s="342"/>
    </row>
    <row r="1577" spans="1:7" ht="18.95" customHeight="1" x14ac:dyDescent="0.2">
      <c r="A1577" s="735" t="s">
        <v>582</v>
      </c>
      <c r="B1577" s="736"/>
      <c r="C1577" s="737" t="s">
        <v>0</v>
      </c>
      <c r="D1577" s="739" t="s">
        <v>26</v>
      </c>
      <c r="E1577" s="743" t="s">
        <v>1707</v>
      </c>
      <c r="F1577" s="741" t="s">
        <v>1040</v>
      </c>
      <c r="G1577" s="733" t="s">
        <v>28</v>
      </c>
    </row>
    <row r="1578" spans="1:7" ht="18.95" customHeight="1" x14ac:dyDescent="0.2">
      <c r="A1578" s="154" t="s">
        <v>583</v>
      </c>
      <c r="B1578" s="155" t="s">
        <v>584</v>
      </c>
      <c r="C1578" s="738"/>
      <c r="D1578" s="740"/>
      <c r="E1578" s="742"/>
      <c r="F1578" s="742"/>
      <c r="G1578" s="734"/>
    </row>
    <row r="1579" spans="1:7" ht="18.95" customHeight="1" x14ac:dyDescent="0.2">
      <c r="A1579" s="348" t="str">
        <f t="shared" ref="A1579:A1584" si="450">IFERROR(VLOOKUP(C1579,Tabla_Insumos,4,FALSE),"")</f>
        <v/>
      </c>
      <c r="B1579" s="290" t="str">
        <f t="shared" ref="B1579:B1584" si="451">IFERROR(VLOOKUP(C1579,Tabla_Insumos,5,FALSE),"")</f>
        <v/>
      </c>
      <c r="C1579" s="291"/>
      <c r="D1579" s="293"/>
      <c r="E1579" s="346">
        <f t="shared" ref="E1579:E1584" si="452">IFERROR(VLOOKUP(C1579,Tabla_Insumos,3,FALSE),0)</f>
        <v>0</v>
      </c>
      <c r="F1579" s="349">
        <f>IF(C1579="",0,D1562)</f>
        <v>0</v>
      </c>
      <c r="G1579" s="347">
        <f t="shared" ref="G1579:G1584" si="453">IFERROR(ROUND(D1579*E1579/F1579,2),0)</f>
        <v>0</v>
      </c>
    </row>
    <row r="1580" spans="1:7" ht="18.95" customHeight="1" x14ac:dyDescent="0.2">
      <c r="A1580" s="348" t="str">
        <f t="shared" si="450"/>
        <v/>
      </c>
      <c r="B1580" s="290" t="str">
        <f t="shared" si="451"/>
        <v/>
      </c>
      <c r="C1580" s="290"/>
      <c r="D1580" s="293"/>
      <c r="E1580" s="346">
        <f t="shared" si="452"/>
        <v>0</v>
      </c>
      <c r="F1580" s="349">
        <f>IF(C1580="",0,F1579)</f>
        <v>0</v>
      </c>
      <c r="G1580" s="347">
        <f t="shared" si="453"/>
        <v>0</v>
      </c>
    </row>
    <row r="1581" spans="1:7" ht="18.95" customHeight="1" x14ac:dyDescent="0.2">
      <c r="A1581" s="348" t="str">
        <f t="shared" si="450"/>
        <v/>
      </c>
      <c r="B1581" s="290" t="str">
        <f t="shared" si="451"/>
        <v/>
      </c>
      <c r="C1581" s="290"/>
      <c r="D1581" s="293"/>
      <c r="E1581" s="346">
        <f t="shared" si="452"/>
        <v>0</v>
      </c>
      <c r="F1581" s="349">
        <f>IF(C1581="",0,F1580)</f>
        <v>0</v>
      </c>
      <c r="G1581" s="347">
        <f t="shared" si="453"/>
        <v>0</v>
      </c>
    </row>
    <row r="1582" spans="1:7" ht="18.95" customHeight="1" x14ac:dyDescent="0.2">
      <c r="A1582" s="348" t="str">
        <f t="shared" si="450"/>
        <v/>
      </c>
      <c r="B1582" s="290" t="str">
        <f t="shared" si="451"/>
        <v/>
      </c>
      <c r="C1582" s="290"/>
      <c r="D1582" s="293"/>
      <c r="E1582" s="346">
        <f t="shared" si="452"/>
        <v>0</v>
      </c>
      <c r="F1582" s="349">
        <f>IF(C1582="",0,F1581)</f>
        <v>0</v>
      </c>
      <c r="G1582" s="347">
        <f t="shared" si="453"/>
        <v>0</v>
      </c>
    </row>
    <row r="1583" spans="1:7" ht="18.95" customHeight="1" x14ac:dyDescent="0.2">
      <c r="A1583" s="348" t="str">
        <f t="shared" si="450"/>
        <v/>
      </c>
      <c r="B1583" s="290" t="str">
        <f t="shared" si="451"/>
        <v/>
      </c>
      <c r="C1583" s="290"/>
      <c r="D1583" s="351"/>
      <c r="E1583" s="346">
        <f t="shared" si="452"/>
        <v>0</v>
      </c>
      <c r="F1583" s="349">
        <f>IF(C1583="",0,F1582)</f>
        <v>0</v>
      </c>
      <c r="G1583" s="347">
        <f t="shared" si="453"/>
        <v>0</v>
      </c>
    </row>
    <row r="1584" spans="1:7" ht="18.95" customHeight="1" x14ac:dyDescent="0.2">
      <c r="A1584" s="348" t="str">
        <f t="shared" si="450"/>
        <v/>
      </c>
      <c r="B1584" s="290" t="str">
        <f t="shared" si="451"/>
        <v/>
      </c>
      <c r="C1584" s="290"/>
      <c r="D1584" s="293"/>
      <c r="E1584" s="346">
        <f t="shared" si="452"/>
        <v>0</v>
      </c>
      <c r="F1584" s="349">
        <f>IF(C1584="",0,F1583)</f>
        <v>0</v>
      </c>
      <c r="G1584" s="347">
        <f t="shared" si="453"/>
        <v>0</v>
      </c>
    </row>
    <row r="1585" spans="1:7" ht="18.95" customHeight="1" x14ac:dyDescent="0.2">
      <c r="A1585" s="353"/>
      <c r="B1585" s="149"/>
      <c r="C1585" s="142"/>
      <c r="D1585" s="150"/>
      <c r="E1585" s="143"/>
      <c r="F1585" s="356" t="s">
        <v>30</v>
      </c>
      <c r="G1585" s="355">
        <f>SUBTOTAL(9,G1579:G1584)</f>
        <v>0</v>
      </c>
    </row>
    <row r="1586" spans="1:7" ht="18.95" customHeight="1" x14ac:dyDescent="0.2">
      <c r="A1586" s="156"/>
      <c r="B1586" s="142"/>
      <c r="C1586" s="157" t="s">
        <v>1047</v>
      </c>
      <c r="D1586" s="150"/>
      <c r="E1586" s="327"/>
      <c r="F1586" s="327"/>
      <c r="G1586" s="342"/>
    </row>
    <row r="1587" spans="1:7" ht="18.95" customHeight="1" x14ac:dyDescent="0.2">
      <c r="A1587" s="735" t="s">
        <v>582</v>
      </c>
      <c r="B1587" s="736"/>
      <c r="C1587" s="737" t="s">
        <v>0</v>
      </c>
      <c r="D1587" s="737" t="s">
        <v>1655</v>
      </c>
      <c r="E1587" s="737" t="s">
        <v>26</v>
      </c>
      <c r="F1587" s="737" t="s">
        <v>27</v>
      </c>
      <c r="G1587" s="733" t="s">
        <v>28</v>
      </c>
    </row>
    <row r="1588" spans="1:7" ht="18.95" customHeight="1" x14ac:dyDescent="0.2">
      <c r="A1588" s="154" t="s">
        <v>583</v>
      </c>
      <c r="B1588" s="155" t="s">
        <v>584</v>
      </c>
      <c r="C1588" s="738"/>
      <c r="D1588" s="738"/>
      <c r="E1588" s="738"/>
      <c r="F1588" s="738"/>
      <c r="G1588" s="734"/>
    </row>
    <row r="1589" spans="1:7" ht="18.95" customHeight="1" x14ac:dyDescent="0.2">
      <c r="A1589" s="348" t="str">
        <f t="shared" ref="A1589:A1600" si="454">IFERROR(VLOOKUP(C1589,Tabla_Insumos,4,FALSE),"")</f>
        <v/>
      </c>
      <c r="B1589" s="290" t="str">
        <f t="shared" ref="B1589:B1600" si="455">IFERROR(VLOOKUP(C1589,Tabla_Insumos,5,FALSE),"")</f>
        <v/>
      </c>
      <c r="C1589" s="290"/>
      <c r="D1589" s="608">
        <f t="shared" ref="D1589:D1600" si="456">IFERROR(VLOOKUP(C1589,Tabla_Insumos,2,FALSE),0)</f>
        <v>0</v>
      </c>
      <c r="E1589" s="293"/>
      <c r="F1589" s="346">
        <f t="shared" ref="F1589:F1600" si="457">IFERROR(VLOOKUP(C1589,Tabla_Insumos,3,FALSE),0)</f>
        <v>0</v>
      </c>
      <c r="G1589" s="347">
        <f t="shared" ref="G1589:G1600" si="458">ROUND(E1589*F1589,2)</f>
        <v>0</v>
      </c>
    </row>
    <row r="1590" spans="1:7" ht="18.95" customHeight="1" x14ac:dyDescent="0.2">
      <c r="A1590" s="348" t="str">
        <f t="shared" si="454"/>
        <v/>
      </c>
      <c r="B1590" s="290" t="str">
        <f t="shared" si="455"/>
        <v/>
      </c>
      <c r="C1590" s="126"/>
      <c r="D1590" s="608">
        <f t="shared" si="456"/>
        <v>0</v>
      </c>
      <c r="E1590" s="293"/>
      <c r="F1590" s="346">
        <f t="shared" si="457"/>
        <v>0</v>
      </c>
      <c r="G1590" s="347">
        <f t="shared" si="458"/>
        <v>0</v>
      </c>
    </row>
    <row r="1591" spans="1:7" ht="18.95" customHeight="1" x14ac:dyDescent="0.2">
      <c r="A1591" s="348" t="str">
        <f t="shared" si="454"/>
        <v/>
      </c>
      <c r="B1591" s="290" t="str">
        <f t="shared" si="455"/>
        <v/>
      </c>
      <c r="C1591" s="290"/>
      <c r="D1591" s="608">
        <f t="shared" si="456"/>
        <v>0</v>
      </c>
      <c r="E1591" s="293"/>
      <c r="F1591" s="346">
        <f t="shared" si="457"/>
        <v>0</v>
      </c>
      <c r="G1591" s="347">
        <f t="shared" si="458"/>
        <v>0</v>
      </c>
    </row>
    <row r="1592" spans="1:7" ht="18.95" customHeight="1" x14ac:dyDescent="0.2">
      <c r="A1592" s="348" t="str">
        <f t="shared" si="454"/>
        <v/>
      </c>
      <c r="B1592" s="290" t="str">
        <f t="shared" si="455"/>
        <v/>
      </c>
      <c r="C1592" s="290"/>
      <c r="D1592" s="608">
        <f t="shared" si="456"/>
        <v>0</v>
      </c>
      <c r="E1592" s="293"/>
      <c r="F1592" s="346">
        <f t="shared" si="457"/>
        <v>0</v>
      </c>
      <c r="G1592" s="347">
        <f t="shared" si="458"/>
        <v>0</v>
      </c>
    </row>
    <row r="1593" spans="1:7" ht="18.95" customHeight="1" x14ac:dyDescent="0.2">
      <c r="A1593" s="348" t="str">
        <f t="shared" si="454"/>
        <v/>
      </c>
      <c r="B1593" s="290" t="str">
        <f t="shared" si="455"/>
        <v/>
      </c>
      <c r="C1593" s="290"/>
      <c r="D1593" s="608">
        <f t="shared" si="456"/>
        <v>0</v>
      </c>
      <c r="E1593" s="293"/>
      <c r="F1593" s="346">
        <f t="shared" si="457"/>
        <v>0</v>
      </c>
      <c r="G1593" s="347">
        <f t="shared" si="458"/>
        <v>0</v>
      </c>
    </row>
    <row r="1594" spans="1:7" ht="18.95" customHeight="1" x14ac:dyDescent="0.2">
      <c r="A1594" s="348" t="str">
        <f t="shared" si="454"/>
        <v/>
      </c>
      <c r="B1594" s="290" t="str">
        <f t="shared" si="455"/>
        <v/>
      </c>
      <c r="C1594" s="290"/>
      <c r="D1594" s="608">
        <f t="shared" si="456"/>
        <v>0</v>
      </c>
      <c r="E1594" s="293"/>
      <c r="F1594" s="346">
        <f t="shared" si="457"/>
        <v>0</v>
      </c>
      <c r="G1594" s="347">
        <f t="shared" si="458"/>
        <v>0</v>
      </c>
    </row>
    <row r="1595" spans="1:7" ht="18.95" customHeight="1" x14ac:dyDescent="0.2">
      <c r="A1595" s="348" t="str">
        <f t="shared" si="454"/>
        <v/>
      </c>
      <c r="B1595" s="290" t="str">
        <f t="shared" si="455"/>
        <v/>
      </c>
      <c r="C1595" s="290"/>
      <c r="D1595" s="608">
        <f t="shared" si="456"/>
        <v>0</v>
      </c>
      <c r="E1595" s="293"/>
      <c r="F1595" s="346">
        <f t="shared" si="457"/>
        <v>0</v>
      </c>
      <c r="G1595" s="347">
        <f t="shared" si="458"/>
        <v>0</v>
      </c>
    </row>
    <row r="1596" spans="1:7" s="295" customFormat="1" ht="18.95" customHeight="1" x14ac:dyDescent="0.2">
      <c r="A1596" s="348" t="str">
        <f t="shared" si="454"/>
        <v/>
      </c>
      <c r="B1596" s="290" t="str">
        <f t="shared" si="455"/>
        <v/>
      </c>
      <c r="C1596" s="290"/>
      <c r="D1596" s="608">
        <f t="shared" si="456"/>
        <v>0</v>
      </c>
      <c r="E1596" s="323"/>
      <c r="F1596" s="346">
        <f t="shared" si="457"/>
        <v>0</v>
      </c>
      <c r="G1596" s="347">
        <f t="shared" si="458"/>
        <v>0</v>
      </c>
    </row>
    <row r="1597" spans="1:7" ht="18.95" customHeight="1" x14ac:dyDescent="0.2">
      <c r="A1597" s="348" t="str">
        <f t="shared" si="454"/>
        <v/>
      </c>
      <c r="B1597" s="290" t="str">
        <f t="shared" si="455"/>
        <v/>
      </c>
      <c r="C1597" s="290"/>
      <c r="D1597" s="608">
        <f t="shared" si="456"/>
        <v>0</v>
      </c>
      <c r="E1597" s="293"/>
      <c r="F1597" s="346">
        <f t="shared" si="457"/>
        <v>0</v>
      </c>
      <c r="G1597" s="347">
        <f t="shared" si="458"/>
        <v>0</v>
      </c>
    </row>
    <row r="1598" spans="1:7" ht="18.95" customHeight="1" x14ac:dyDescent="0.2">
      <c r="A1598" s="348" t="str">
        <f t="shared" si="454"/>
        <v/>
      </c>
      <c r="B1598" s="290" t="str">
        <f t="shared" si="455"/>
        <v/>
      </c>
      <c r="C1598" s="290"/>
      <c r="D1598" s="608">
        <f t="shared" si="456"/>
        <v>0</v>
      </c>
      <c r="E1598" s="293"/>
      <c r="F1598" s="346">
        <f t="shared" si="457"/>
        <v>0</v>
      </c>
      <c r="G1598" s="347">
        <f t="shared" si="458"/>
        <v>0</v>
      </c>
    </row>
    <row r="1599" spans="1:7" ht="18.95" customHeight="1" x14ac:dyDescent="0.2">
      <c r="A1599" s="348" t="str">
        <f t="shared" si="454"/>
        <v/>
      </c>
      <c r="B1599" s="290" t="str">
        <f t="shared" si="455"/>
        <v/>
      </c>
      <c r="C1599" s="290"/>
      <c r="D1599" s="608">
        <f t="shared" si="456"/>
        <v>0</v>
      </c>
      <c r="E1599" s="293"/>
      <c r="F1599" s="346">
        <f t="shared" si="457"/>
        <v>0</v>
      </c>
      <c r="G1599" s="347">
        <f t="shared" si="458"/>
        <v>0</v>
      </c>
    </row>
    <row r="1600" spans="1:7" ht="18.95" customHeight="1" x14ac:dyDescent="0.2">
      <c r="A1600" s="348" t="str">
        <f t="shared" si="454"/>
        <v/>
      </c>
      <c r="B1600" s="290" t="str">
        <f t="shared" si="455"/>
        <v/>
      </c>
      <c r="C1600" s="290"/>
      <c r="D1600" s="608">
        <f t="shared" si="456"/>
        <v>0</v>
      </c>
      <c r="E1600" s="293"/>
      <c r="F1600" s="346">
        <f t="shared" si="457"/>
        <v>0</v>
      </c>
      <c r="G1600" s="347">
        <f t="shared" si="458"/>
        <v>0</v>
      </c>
    </row>
    <row r="1601" spans="1:8" ht="18.95" customHeight="1" x14ac:dyDescent="0.2">
      <c r="A1601" s="156"/>
      <c r="B1601" s="142"/>
      <c r="C1601" s="142"/>
      <c r="D1601" s="150"/>
      <c r="E1601" s="143"/>
      <c r="F1601" s="356" t="s">
        <v>31</v>
      </c>
      <c r="G1601" s="355">
        <f>SUBTOTAL(9,G1589:G1600)</f>
        <v>0</v>
      </c>
    </row>
    <row r="1602" spans="1:8" ht="18.95" customHeight="1" x14ac:dyDescent="0.2">
      <c r="A1602" s="156"/>
      <c r="B1602" s="142"/>
      <c r="C1602" s="157" t="s">
        <v>1048</v>
      </c>
      <c r="D1602" s="150"/>
      <c r="E1602" s="327"/>
      <c r="F1602" s="327"/>
      <c r="G1602" s="342"/>
    </row>
    <row r="1603" spans="1:8" ht="18.95" customHeight="1" x14ac:dyDescent="0.2">
      <c r="A1603" s="735" t="s">
        <v>582</v>
      </c>
      <c r="B1603" s="736"/>
      <c r="C1603" s="737" t="s">
        <v>0</v>
      </c>
      <c r="D1603" s="739" t="s">
        <v>1750</v>
      </c>
      <c r="E1603" s="741" t="s">
        <v>26</v>
      </c>
      <c r="F1603" s="741" t="s">
        <v>27</v>
      </c>
      <c r="G1603" s="733" t="s">
        <v>28</v>
      </c>
    </row>
    <row r="1604" spans="1:8" ht="18.95" customHeight="1" x14ac:dyDescent="0.2">
      <c r="A1604" s="154" t="s">
        <v>583</v>
      </c>
      <c r="B1604" s="155" t="s">
        <v>584</v>
      </c>
      <c r="C1604" s="738"/>
      <c r="D1604" s="740"/>
      <c r="E1604" s="742"/>
      <c r="F1604" s="742"/>
      <c r="G1604" s="734"/>
    </row>
    <row r="1605" spans="1:8" ht="18.95" customHeight="1" x14ac:dyDescent="0.2">
      <c r="A1605" s="348" t="str">
        <f>IFERROR(VLOOKUP(C1605,Tabla_Insumos,4,FALSE),"")</f>
        <v/>
      </c>
      <c r="B1605" s="290" t="s">
        <v>4</v>
      </c>
      <c r="C1605" s="290"/>
      <c r="D1605" s="293"/>
      <c r="E1605" s="322"/>
      <c r="F1605" s="324"/>
      <c r="G1605" s="347">
        <f t="shared" ref="G1605" si="459">ROUND(E1605*F1605,2)</f>
        <v>0</v>
      </c>
    </row>
    <row r="1606" spans="1:8" ht="18.95" customHeight="1" x14ac:dyDescent="0.2">
      <c r="A1606" s="156"/>
      <c r="B1606" s="142"/>
      <c r="C1606" s="142"/>
      <c r="D1606" s="150"/>
      <c r="E1606" s="143"/>
      <c r="F1606" s="356" t="s">
        <v>1049</v>
      </c>
      <c r="G1606" s="355">
        <f>SUBTOTAL(9,G1605:G1605)</f>
        <v>0</v>
      </c>
    </row>
    <row r="1607" spans="1:8" ht="18.95" customHeight="1" thickBot="1" x14ac:dyDescent="0.25">
      <c r="A1607" s="158"/>
      <c r="B1607" s="159"/>
      <c r="C1607" s="160"/>
      <c r="D1607" s="161"/>
      <c r="E1607" s="357"/>
      <c r="F1607" s="357"/>
      <c r="G1607" s="358"/>
    </row>
    <row r="1608" spans="1:8" ht="18.95" customHeight="1" x14ac:dyDescent="0.2">
      <c r="A1608" s="359">
        <f>B1547</f>
        <v>23</v>
      </c>
      <c r="B1608" s="360" t="str">
        <f>C1547</f>
        <v>SEÑALAMIENTO VERTICAL REFLECTIVO</v>
      </c>
      <c r="C1608" s="361"/>
      <c r="D1608" s="361"/>
      <c r="E1608" s="361" t="s">
        <v>1050</v>
      </c>
      <c r="F1608" s="362" t="str">
        <f>CONCATENATE("$/",G1547)</f>
        <v>$/m²</v>
      </c>
      <c r="G1608" s="363">
        <f>SUBTOTAL(9,G1567:G1607)</f>
        <v>0</v>
      </c>
    </row>
    <row r="1609" spans="1:8" ht="18.95" customHeight="1" thickBot="1" x14ac:dyDescent="0.25">
      <c r="A1609" s="364"/>
      <c r="B1609" s="365"/>
      <c r="C1609" s="365"/>
      <c r="D1609" s="365"/>
      <c r="E1609" s="366" t="s">
        <v>1051</v>
      </c>
      <c r="F1609" s="367" t="str">
        <f>CONCATENATE("$/",G1547)</f>
        <v>$/m²</v>
      </c>
      <c r="G1609" s="368" t="e">
        <f ca="1">PrecioUnitario(G1608,GG_Porcentaje,Beneficio,Ingresos_Brutos,IVA)</f>
        <v>#NAME?</v>
      </c>
    </row>
    <row r="1610" spans="1:8" ht="18.95" customHeight="1" thickTop="1" thickBot="1" x14ac:dyDescent="0.25">
      <c r="F1610" s="294"/>
      <c r="G1610" s="294"/>
    </row>
    <row r="1611" spans="1:8" ht="18.95" customHeight="1" thickTop="1" x14ac:dyDescent="0.2">
      <c r="A1611" s="194" t="s">
        <v>33</v>
      </c>
      <c r="B1611" s="195"/>
      <c r="C1611" s="195"/>
      <c r="D1611" s="195"/>
      <c r="E1611" s="195"/>
      <c r="F1611" s="195"/>
      <c r="G1611" s="196"/>
      <c r="H1611" s="143">
        <f>COUNTIF($A$1:A1617,"ANALISIS DE PRECIOS")</f>
        <v>24</v>
      </c>
    </row>
    <row r="1612" spans="1:8" ht="18.95" customHeight="1" x14ac:dyDescent="0.2">
      <c r="A1612" s="144" t="s">
        <v>720</v>
      </c>
      <c r="B1612" s="145" t="str">
        <f>Comitente</f>
        <v>DIRECCIÓN PROVINCIAL DE VIALIDAD</v>
      </c>
      <c r="C1612" s="139"/>
      <c r="D1612" s="146"/>
      <c r="E1612" s="325"/>
      <c r="F1612" s="325"/>
      <c r="G1612" s="326"/>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PAVIMENTACION Y ENSANCHE DE RUTA PROVINCIAL N°7 AV. JOAQUIN UÑAC</v>
      </c>
      <c r="C1614" s="140"/>
      <c r="D1614" s="140"/>
      <c r="E1614" s="143"/>
      <c r="F1614" s="145" t="s">
        <v>34</v>
      </c>
      <c r="G1614" s="147">
        <f>Fecha_Base</f>
        <v>43444</v>
      </c>
      <c r="H1614" s="143"/>
    </row>
    <row r="1615" spans="1:8" ht="18.95" customHeight="1" x14ac:dyDescent="0.2">
      <c r="A1615" s="148" t="s">
        <v>719</v>
      </c>
      <c r="B1615" s="141" t="str">
        <f>Ubicación</f>
        <v>DEPARTAMENTO POCITO</v>
      </c>
      <c r="C1615" s="141"/>
      <c r="D1615" s="150"/>
      <c r="E1615" s="143"/>
      <c r="F1615" s="327"/>
      <c r="G1615" s="328"/>
      <c r="H1615" s="143"/>
    </row>
    <row r="1616" spans="1:8" ht="18.95" customHeight="1" x14ac:dyDescent="0.2">
      <c r="A1616" s="148" t="s">
        <v>35</v>
      </c>
      <c r="B1616" s="151" t="str">
        <f>IFERROR(VALUE(LEFT(B1617,FIND("-",B1617)-1)),"")</f>
        <v/>
      </c>
      <c r="C1616" s="142" t="str">
        <f>IFERROR(VLOOKUP(B1616,Tabla_CyP,2,FALSE),"")</f>
        <v/>
      </c>
      <c r="D1616" s="150"/>
      <c r="E1616" s="143"/>
      <c r="F1616" s="327"/>
      <c r="G1616" s="328"/>
      <c r="H1616" s="143"/>
    </row>
    <row r="1617" spans="1:8" ht="18.95" customHeight="1" x14ac:dyDescent="0.2">
      <c r="A1617" s="148" t="s">
        <v>24</v>
      </c>
      <c r="B1617" s="152" t="str">
        <f>IFERROR(VLOOKUP(COUNTIF($A$1:A1617,"ANALISIS DE PRECIOS"),Tabla_NumeroItem,4,FALSE),"")</f>
        <v>24.a</v>
      </c>
      <c r="C1617" s="745" t="str">
        <f>IFERROR(VLOOKUP(B1617,Tabla_CyP,2,FALSE),"")</f>
        <v xml:space="preserve">   Por Pulverización</v>
      </c>
      <c r="D1617" s="745"/>
      <c r="E1617" s="745"/>
      <c r="F1617" s="141" t="s">
        <v>25</v>
      </c>
      <c r="G1617" s="153" t="str">
        <f>IFERROR(VLOOKUP(B1617,Tabla_CyP,4,FALSE),"")</f>
        <v>m2</v>
      </c>
      <c r="H1617" s="143"/>
    </row>
    <row r="1618" spans="1:8" ht="18.95" customHeight="1" x14ac:dyDescent="0.2">
      <c r="A1618" s="148"/>
      <c r="B1618" s="141"/>
      <c r="C1618" s="142"/>
      <c r="D1618" s="150"/>
      <c r="E1618" s="142"/>
      <c r="F1618" s="142"/>
      <c r="G1618" s="329"/>
      <c r="H1618" s="143"/>
    </row>
    <row r="1619" spans="1:8" ht="18.95" customHeight="1" x14ac:dyDescent="0.2">
      <c r="A1619" s="330"/>
      <c r="B1619" s="331"/>
      <c r="C1619" s="332" t="s">
        <v>1032</v>
      </c>
      <c r="D1619" s="331"/>
      <c r="E1619" s="331"/>
      <c r="F1619" s="331"/>
      <c r="G1619" s="333"/>
      <c r="H1619" s="143"/>
    </row>
    <row r="1620" spans="1:8" ht="18.95" customHeight="1" x14ac:dyDescent="0.2">
      <c r="A1620" s="148"/>
      <c r="B1620" s="334"/>
      <c r="C1620" s="335" t="s">
        <v>1033</v>
      </c>
      <c r="D1620" s="336" t="s">
        <v>26</v>
      </c>
      <c r="E1620" s="336" t="s">
        <v>1034</v>
      </c>
      <c r="F1620" s="336" t="s">
        <v>1035</v>
      </c>
      <c r="G1620" s="337" t="s">
        <v>1036</v>
      </c>
      <c r="H1620" s="143"/>
    </row>
    <row r="1621" spans="1:8" ht="18.95" customHeight="1" x14ac:dyDescent="0.2">
      <c r="A1621" s="343"/>
      <c r="B1621" s="344"/>
      <c r="C1621" s="290"/>
      <c r="D1621" s="293"/>
      <c r="E1621" s="345"/>
      <c r="F1621" s="346"/>
      <c r="G1621" s="347">
        <f t="shared" ref="G1621:G1630" si="460">ROUND(D1621*F1621,2)</f>
        <v>0</v>
      </c>
    </row>
    <row r="1622" spans="1:8" ht="18.95" customHeight="1" x14ac:dyDescent="0.2">
      <c r="A1622" s="343"/>
      <c r="B1622" s="344"/>
      <c r="C1622" s="290"/>
      <c r="D1622" s="293"/>
      <c r="E1622" s="345"/>
      <c r="F1622" s="346"/>
      <c r="G1622" s="347">
        <f t="shared" si="460"/>
        <v>0</v>
      </c>
    </row>
    <row r="1623" spans="1:8" ht="18.95" customHeight="1" x14ac:dyDescent="0.2">
      <c r="A1623" s="343"/>
      <c r="B1623" s="344"/>
      <c r="C1623" s="290"/>
      <c r="D1623" s="293"/>
      <c r="E1623" s="345">
        <f t="shared" ref="E1623:E1630" si="461">IFERROR(VLOOKUP(C1623,T_Equipos,4,FALSE),0)</f>
        <v>0</v>
      </c>
      <c r="F1623" s="346">
        <f t="shared" ref="F1623:F1630" si="462">IFERROR(VLOOKUP(C1623,T_Equipos,11,FALSE),0)</f>
        <v>0</v>
      </c>
      <c r="G1623" s="347">
        <f t="shared" si="460"/>
        <v>0</v>
      </c>
    </row>
    <row r="1624" spans="1:8" ht="18.95" customHeight="1" x14ac:dyDescent="0.2">
      <c r="A1624" s="343"/>
      <c r="B1624" s="344"/>
      <c r="C1624" s="290"/>
      <c r="D1624" s="293"/>
      <c r="E1624" s="345">
        <f t="shared" si="461"/>
        <v>0</v>
      </c>
      <c r="F1624" s="346">
        <f t="shared" si="462"/>
        <v>0</v>
      </c>
      <c r="G1624" s="347">
        <f t="shared" si="460"/>
        <v>0</v>
      </c>
    </row>
    <row r="1625" spans="1:8" ht="18.95" customHeight="1" x14ac:dyDescent="0.2">
      <c r="A1625" s="343"/>
      <c r="B1625" s="344"/>
      <c r="C1625" s="290"/>
      <c r="D1625" s="293"/>
      <c r="E1625" s="345">
        <f t="shared" si="461"/>
        <v>0</v>
      </c>
      <c r="F1625" s="346">
        <f t="shared" si="462"/>
        <v>0</v>
      </c>
      <c r="G1625" s="347">
        <f t="shared" si="460"/>
        <v>0</v>
      </c>
    </row>
    <row r="1626" spans="1:8" ht="18.95" customHeight="1" x14ac:dyDescent="0.2">
      <c r="A1626" s="343"/>
      <c r="B1626" s="344"/>
      <c r="C1626" s="290"/>
      <c r="D1626" s="293"/>
      <c r="E1626" s="345">
        <f t="shared" si="461"/>
        <v>0</v>
      </c>
      <c r="F1626" s="346">
        <f t="shared" si="462"/>
        <v>0</v>
      </c>
      <c r="G1626" s="347">
        <f t="shared" si="460"/>
        <v>0</v>
      </c>
    </row>
    <row r="1627" spans="1:8" ht="18.95" customHeight="1" x14ac:dyDescent="0.2">
      <c r="A1627" s="343"/>
      <c r="B1627" s="344"/>
      <c r="C1627" s="290"/>
      <c r="D1627" s="293"/>
      <c r="E1627" s="345">
        <f t="shared" si="461"/>
        <v>0</v>
      </c>
      <c r="F1627" s="346">
        <f t="shared" si="462"/>
        <v>0</v>
      </c>
      <c r="G1627" s="347">
        <f t="shared" si="460"/>
        <v>0</v>
      </c>
    </row>
    <row r="1628" spans="1:8" ht="18.95" customHeight="1" x14ac:dyDescent="0.2">
      <c r="A1628" s="343"/>
      <c r="B1628" s="344"/>
      <c r="C1628" s="290"/>
      <c r="D1628" s="293"/>
      <c r="E1628" s="345">
        <f t="shared" si="461"/>
        <v>0</v>
      </c>
      <c r="F1628" s="346">
        <f t="shared" si="462"/>
        <v>0</v>
      </c>
      <c r="G1628" s="347">
        <f t="shared" si="460"/>
        <v>0</v>
      </c>
    </row>
    <row r="1629" spans="1:8" ht="18.95" customHeight="1" x14ac:dyDescent="0.2">
      <c r="A1629" s="343"/>
      <c r="B1629" s="344"/>
      <c r="C1629" s="290"/>
      <c r="D1629" s="293"/>
      <c r="E1629" s="345">
        <f t="shared" si="461"/>
        <v>0</v>
      </c>
      <c r="F1629" s="346">
        <f t="shared" si="462"/>
        <v>0</v>
      </c>
      <c r="G1629" s="347">
        <f t="shared" si="460"/>
        <v>0</v>
      </c>
    </row>
    <row r="1630" spans="1:8" ht="18.95" customHeight="1" thickBot="1" x14ac:dyDescent="0.25">
      <c r="A1630" s="343"/>
      <c r="B1630" s="344"/>
      <c r="C1630" s="290"/>
      <c r="D1630" s="293"/>
      <c r="E1630" s="345">
        <f t="shared" si="461"/>
        <v>0</v>
      </c>
      <c r="F1630" s="346">
        <f t="shared" si="462"/>
        <v>0</v>
      </c>
      <c r="G1630" s="347">
        <f t="shared" si="460"/>
        <v>0</v>
      </c>
    </row>
    <row r="1631" spans="1:8" ht="18.95" customHeight="1" thickBot="1" x14ac:dyDescent="0.25">
      <c r="A1631" s="148"/>
      <c r="B1631" s="334"/>
      <c r="C1631" s="143"/>
      <c r="D1631" s="146" t="s">
        <v>1037</v>
      </c>
      <c r="E1631" s="338">
        <f>SUMPRODUCT(D1621:D1630,E1621:E1630)</f>
        <v>0</v>
      </c>
      <c r="F1631" s="141" t="s">
        <v>1038</v>
      </c>
      <c r="G1631" s="339">
        <f>SUM(G1621:G1630)</f>
        <v>0</v>
      </c>
    </row>
    <row r="1632" spans="1:8" ht="18.95" customHeight="1" x14ac:dyDescent="0.2">
      <c r="A1632" s="148"/>
      <c r="B1632" s="334"/>
      <c r="C1632" s="141" t="s">
        <v>1039</v>
      </c>
      <c r="D1632" s="320"/>
      <c r="E1632" s="340" t="str">
        <f>CONCATENATE(G1617,"/día")</f>
        <v>m2/día</v>
      </c>
      <c r="F1632" s="141"/>
      <c r="G1632" s="341"/>
    </row>
    <row r="1633" spans="1:7" ht="18.95" customHeight="1" x14ac:dyDescent="0.2">
      <c r="A1633" s="148"/>
      <c r="B1633" s="334"/>
      <c r="C1633" s="142"/>
      <c r="D1633" s="150"/>
      <c r="E1633" s="141"/>
      <c r="F1633" s="141"/>
      <c r="G1633" s="341"/>
    </row>
    <row r="1634" spans="1:7" ht="18.95" customHeight="1" x14ac:dyDescent="0.2">
      <c r="A1634" s="735" t="s">
        <v>582</v>
      </c>
      <c r="B1634" s="736"/>
      <c r="C1634" s="737" t="s">
        <v>0</v>
      </c>
      <c r="D1634" s="743" t="s">
        <v>1053</v>
      </c>
      <c r="E1634" s="743" t="s">
        <v>1706</v>
      </c>
      <c r="F1634" s="743" t="s">
        <v>1054</v>
      </c>
      <c r="G1634" s="743" t="s">
        <v>1055</v>
      </c>
    </row>
    <row r="1635" spans="1:7" ht="18.95" customHeight="1" x14ac:dyDescent="0.2">
      <c r="A1635" s="154" t="s">
        <v>583</v>
      </c>
      <c r="B1635" s="155" t="s">
        <v>584</v>
      </c>
      <c r="C1635" s="738"/>
      <c r="D1635" s="742"/>
      <c r="E1635" s="742"/>
      <c r="F1635" s="744"/>
      <c r="G1635" s="742"/>
    </row>
    <row r="1636" spans="1:7" ht="18.95" customHeight="1" x14ac:dyDescent="0.2">
      <c r="A1636" s="156"/>
      <c r="B1636" s="142"/>
      <c r="C1636" s="157" t="s">
        <v>1041</v>
      </c>
      <c r="D1636" s="150"/>
      <c r="E1636" s="142"/>
      <c r="F1636" s="142"/>
      <c r="G1636" s="342"/>
    </row>
    <row r="1637" spans="1:7" ht="18.95" customHeight="1" x14ac:dyDescent="0.2">
      <c r="A1637" s="348" t="str">
        <f t="shared" ref="A1637:A1644" si="463">IFERROR(VLOOKUP(C1637,Tabla_Insumos,4,FALSE),"")</f>
        <v/>
      </c>
      <c r="B1637" s="290" t="str">
        <f t="shared" ref="B1637:B1644" si="464">IFERROR(VLOOKUP(C1637,Tabla_Insumos,5,FALSE),"")</f>
        <v/>
      </c>
      <c r="C1637" s="290"/>
      <c r="D1637" s="607">
        <f t="shared" ref="D1637:D1644" si="465">IFERROR(VLOOKUP(C1637,Tabla_Insumos,3,FALSE),0)</f>
        <v>0</v>
      </c>
      <c r="E1637" s="349">
        <f>D1637*$G$21</f>
        <v>0</v>
      </c>
      <c r="F1637" s="350">
        <f>IF(C1637="",0,D1632)</f>
        <v>0</v>
      </c>
      <c r="G1637" s="347">
        <f>IFERROR(ROUND(E1637/F1637,2),0)</f>
        <v>0</v>
      </c>
    </row>
    <row r="1638" spans="1:7" ht="18.95" customHeight="1" x14ac:dyDescent="0.2">
      <c r="A1638" s="348" t="str">
        <f t="shared" si="463"/>
        <v/>
      </c>
      <c r="B1638" s="290" t="str">
        <f t="shared" si="464"/>
        <v/>
      </c>
      <c r="C1638" s="321"/>
      <c r="D1638" s="607">
        <f t="shared" si="465"/>
        <v>0</v>
      </c>
      <c r="E1638" s="349">
        <f t="shared" ref="E1638:E1639" si="466">D1638*$G$21</f>
        <v>0</v>
      </c>
      <c r="F1638" s="350">
        <f t="shared" ref="F1638:F1641" si="467">IF(C1638="",0,F1637)</f>
        <v>0</v>
      </c>
      <c r="G1638" s="347">
        <f t="shared" ref="G1638:G1644" si="468">IFERROR(ROUND(E1638/F1638,2),0)</f>
        <v>0</v>
      </c>
    </row>
    <row r="1639" spans="1:7" ht="18.95" customHeight="1" x14ac:dyDescent="0.2">
      <c r="A1639" s="348" t="str">
        <f t="shared" si="463"/>
        <v/>
      </c>
      <c r="B1639" s="290" t="str">
        <f t="shared" si="464"/>
        <v/>
      </c>
      <c r="C1639" s="321"/>
      <c r="D1639" s="607">
        <f t="shared" si="465"/>
        <v>0</v>
      </c>
      <c r="E1639" s="349">
        <f t="shared" si="466"/>
        <v>0</v>
      </c>
      <c r="F1639" s="350">
        <f t="shared" si="467"/>
        <v>0</v>
      </c>
      <c r="G1639" s="347">
        <f t="shared" si="468"/>
        <v>0</v>
      </c>
    </row>
    <row r="1640" spans="1:7" ht="18.95" customHeight="1" x14ac:dyDescent="0.2">
      <c r="A1640" s="348" t="str">
        <f t="shared" si="463"/>
        <v/>
      </c>
      <c r="B1640" s="290" t="str">
        <f t="shared" si="464"/>
        <v/>
      </c>
      <c r="C1640" s="321"/>
      <c r="D1640" s="607">
        <f t="shared" si="465"/>
        <v>0</v>
      </c>
      <c r="E1640" s="349">
        <f>D1640*$E$21</f>
        <v>0</v>
      </c>
      <c r="F1640" s="350">
        <f t="shared" si="467"/>
        <v>0</v>
      </c>
      <c r="G1640" s="347">
        <f t="shared" si="468"/>
        <v>0</v>
      </c>
    </row>
    <row r="1641" spans="1:7" ht="18.95" customHeight="1" x14ac:dyDescent="0.2">
      <c r="A1641" s="348" t="str">
        <f t="shared" si="463"/>
        <v/>
      </c>
      <c r="B1641" s="290" t="str">
        <f t="shared" si="464"/>
        <v/>
      </c>
      <c r="C1641" s="321"/>
      <c r="D1641" s="607">
        <f t="shared" si="465"/>
        <v>0</v>
      </c>
      <c r="E1641" s="349">
        <f>D1641*$E$21</f>
        <v>0</v>
      </c>
      <c r="F1641" s="350">
        <f t="shared" si="467"/>
        <v>0</v>
      </c>
      <c r="G1641" s="347">
        <f t="shared" si="468"/>
        <v>0</v>
      </c>
    </row>
    <row r="1642" spans="1:7" ht="18.95" customHeight="1" x14ac:dyDescent="0.2">
      <c r="A1642" s="348" t="str">
        <f t="shared" si="463"/>
        <v/>
      </c>
      <c r="B1642" s="290" t="str">
        <f t="shared" si="464"/>
        <v/>
      </c>
      <c r="C1642" s="321"/>
      <c r="D1642" s="607">
        <f t="shared" si="465"/>
        <v>0</v>
      </c>
      <c r="E1642" s="349"/>
      <c r="F1642" s="350">
        <f>IF(C1642="",0,F1641)</f>
        <v>0</v>
      </c>
      <c r="G1642" s="347">
        <f t="shared" si="468"/>
        <v>0</v>
      </c>
    </row>
    <row r="1643" spans="1:7" ht="18.95" customHeight="1" x14ac:dyDescent="0.2">
      <c r="A1643" s="348" t="str">
        <f t="shared" si="463"/>
        <v/>
      </c>
      <c r="B1643" s="290" t="str">
        <f t="shared" si="464"/>
        <v/>
      </c>
      <c r="C1643" s="321"/>
      <c r="D1643" s="607">
        <f t="shared" si="465"/>
        <v>0</v>
      </c>
      <c r="E1643" s="349"/>
      <c r="F1643" s="350">
        <f t="shared" ref="F1643:F1644" si="469">IF(C1643="",0,F1642)</f>
        <v>0</v>
      </c>
      <c r="G1643" s="347">
        <f t="shared" si="468"/>
        <v>0</v>
      </c>
    </row>
    <row r="1644" spans="1:7" ht="18.95" customHeight="1" x14ac:dyDescent="0.2">
      <c r="A1644" s="348" t="str">
        <f t="shared" si="463"/>
        <v/>
      </c>
      <c r="B1644" s="290" t="str">
        <f t="shared" si="464"/>
        <v/>
      </c>
      <c r="C1644" s="321"/>
      <c r="D1644" s="607">
        <f t="shared" si="465"/>
        <v>0</v>
      </c>
      <c r="E1644" s="349"/>
      <c r="F1644" s="350">
        <f t="shared" si="469"/>
        <v>0</v>
      </c>
      <c r="G1644" s="347">
        <f t="shared" si="468"/>
        <v>0</v>
      </c>
    </row>
    <row r="1645" spans="1:7" ht="18.95" customHeight="1" x14ac:dyDescent="0.2">
      <c r="A1645" s="353"/>
      <c r="B1645" s="149"/>
      <c r="C1645" s="142"/>
      <c r="D1645" s="150"/>
      <c r="E1645" s="143"/>
      <c r="F1645" s="354" t="s">
        <v>29</v>
      </c>
      <c r="G1645" s="355">
        <f>SUBTOTAL(9,G1637:G1644)</f>
        <v>0</v>
      </c>
    </row>
    <row r="1646" spans="1:7" ht="18.95" customHeight="1" x14ac:dyDescent="0.2">
      <c r="A1646" s="156"/>
      <c r="B1646" s="142"/>
      <c r="C1646" s="157" t="s">
        <v>722</v>
      </c>
      <c r="D1646" s="150"/>
      <c r="E1646" s="327"/>
      <c r="F1646" s="327"/>
      <c r="G1646" s="342"/>
    </row>
    <row r="1647" spans="1:7" ht="18.95" customHeight="1" x14ac:dyDescent="0.2">
      <c r="A1647" s="735" t="s">
        <v>582</v>
      </c>
      <c r="B1647" s="736"/>
      <c r="C1647" s="737" t="s">
        <v>0</v>
      </c>
      <c r="D1647" s="739" t="s">
        <v>26</v>
      </c>
      <c r="E1647" s="743" t="s">
        <v>1707</v>
      </c>
      <c r="F1647" s="741" t="s">
        <v>1040</v>
      </c>
      <c r="G1647" s="733" t="s">
        <v>28</v>
      </c>
    </row>
    <row r="1648" spans="1:7" ht="18.95" customHeight="1" x14ac:dyDescent="0.2">
      <c r="A1648" s="154" t="s">
        <v>583</v>
      </c>
      <c r="B1648" s="155" t="s">
        <v>584</v>
      </c>
      <c r="C1648" s="738"/>
      <c r="D1648" s="740"/>
      <c r="E1648" s="742"/>
      <c r="F1648" s="742"/>
      <c r="G1648" s="734"/>
    </row>
    <row r="1649" spans="1:7" ht="18.95" customHeight="1" x14ac:dyDescent="0.2">
      <c r="A1649" s="348" t="str">
        <f t="shared" ref="A1649:A1654" si="470">IFERROR(VLOOKUP(C1649,Tabla_Insumos,4,FALSE),"")</f>
        <v/>
      </c>
      <c r="B1649" s="290" t="str">
        <f t="shared" ref="B1649:B1654" si="471">IFERROR(VLOOKUP(C1649,Tabla_Insumos,5,FALSE),"")</f>
        <v/>
      </c>
      <c r="C1649" s="291"/>
      <c r="D1649" s="293"/>
      <c r="E1649" s="346">
        <f t="shared" ref="E1649:E1654" si="472">IFERROR(VLOOKUP(C1649,Tabla_Insumos,3,FALSE),0)</f>
        <v>0</v>
      </c>
      <c r="F1649" s="349">
        <f>IF(C1649="",0,D1632)</f>
        <v>0</v>
      </c>
      <c r="G1649" s="347">
        <f t="shared" ref="G1649:G1654" si="473">IFERROR(ROUND(D1649*E1649/F1649,2),0)</f>
        <v>0</v>
      </c>
    </row>
    <row r="1650" spans="1:7" ht="18.95" customHeight="1" x14ac:dyDescent="0.2">
      <c r="A1650" s="348" t="str">
        <f t="shared" si="470"/>
        <v/>
      </c>
      <c r="B1650" s="290" t="str">
        <f t="shared" si="471"/>
        <v/>
      </c>
      <c r="C1650" s="290"/>
      <c r="D1650" s="293"/>
      <c r="E1650" s="346">
        <f t="shared" si="472"/>
        <v>0</v>
      </c>
      <c r="F1650" s="349">
        <f>IF(C1650="",0,F1649)</f>
        <v>0</v>
      </c>
      <c r="G1650" s="347">
        <f t="shared" si="473"/>
        <v>0</v>
      </c>
    </row>
    <row r="1651" spans="1:7" ht="18.95" customHeight="1" x14ac:dyDescent="0.2">
      <c r="A1651" s="348" t="str">
        <f t="shared" si="470"/>
        <v/>
      </c>
      <c r="B1651" s="290" t="str">
        <f t="shared" si="471"/>
        <v/>
      </c>
      <c r="C1651" s="290"/>
      <c r="D1651" s="293"/>
      <c r="E1651" s="346">
        <f t="shared" si="472"/>
        <v>0</v>
      </c>
      <c r="F1651" s="349">
        <f>IF(C1651="",0,F1650)</f>
        <v>0</v>
      </c>
      <c r="G1651" s="347">
        <f t="shared" si="473"/>
        <v>0</v>
      </c>
    </row>
    <row r="1652" spans="1:7" ht="18.95" customHeight="1" x14ac:dyDescent="0.2">
      <c r="A1652" s="348" t="str">
        <f t="shared" si="470"/>
        <v/>
      </c>
      <c r="B1652" s="290" t="str">
        <f t="shared" si="471"/>
        <v/>
      </c>
      <c r="C1652" s="290"/>
      <c r="D1652" s="293"/>
      <c r="E1652" s="346">
        <f t="shared" si="472"/>
        <v>0</v>
      </c>
      <c r="F1652" s="349">
        <f>IF(C1652="",0,F1651)</f>
        <v>0</v>
      </c>
      <c r="G1652" s="347">
        <f t="shared" si="473"/>
        <v>0</v>
      </c>
    </row>
    <row r="1653" spans="1:7" ht="18.95" customHeight="1" x14ac:dyDescent="0.2">
      <c r="A1653" s="348" t="str">
        <f t="shared" si="470"/>
        <v/>
      </c>
      <c r="B1653" s="290" t="str">
        <f t="shared" si="471"/>
        <v/>
      </c>
      <c r="C1653" s="290"/>
      <c r="D1653" s="351"/>
      <c r="E1653" s="346">
        <f t="shared" si="472"/>
        <v>0</v>
      </c>
      <c r="F1653" s="349">
        <f>IF(C1653="",0,F1652)</f>
        <v>0</v>
      </c>
      <c r="G1653" s="347">
        <f t="shared" si="473"/>
        <v>0</v>
      </c>
    </row>
    <row r="1654" spans="1:7" ht="18.95" customHeight="1" x14ac:dyDescent="0.2">
      <c r="A1654" s="348" t="str">
        <f t="shared" si="470"/>
        <v/>
      </c>
      <c r="B1654" s="290" t="str">
        <f t="shared" si="471"/>
        <v/>
      </c>
      <c r="C1654" s="290"/>
      <c r="D1654" s="293"/>
      <c r="E1654" s="346">
        <f t="shared" si="472"/>
        <v>0</v>
      </c>
      <c r="F1654" s="349">
        <f>IF(C1654="",0,F1653)</f>
        <v>0</v>
      </c>
      <c r="G1654" s="347">
        <f t="shared" si="473"/>
        <v>0</v>
      </c>
    </row>
    <row r="1655" spans="1:7" ht="18.95" customHeight="1" x14ac:dyDescent="0.2">
      <c r="A1655" s="353"/>
      <c r="B1655" s="149"/>
      <c r="C1655" s="142"/>
      <c r="D1655" s="150"/>
      <c r="E1655" s="143"/>
      <c r="F1655" s="356" t="s">
        <v>30</v>
      </c>
      <c r="G1655" s="355">
        <f>SUBTOTAL(9,G1649:G1654)</f>
        <v>0</v>
      </c>
    </row>
    <row r="1656" spans="1:7" ht="18.95" customHeight="1" x14ac:dyDescent="0.2">
      <c r="A1656" s="156"/>
      <c r="B1656" s="142"/>
      <c r="C1656" s="157" t="s">
        <v>1047</v>
      </c>
      <c r="D1656" s="150"/>
      <c r="E1656" s="327"/>
      <c r="F1656" s="327"/>
      <c r="G1656" s="342"/>
    </row>
    <row r="1657" spans="1:7" ht="18.95" customHeight="1" x14ac:dyDescent="0.2">
      <c r="A1657" s="735" t="s">
        <v>582</v>
      </c>
      <c r="B1657" s="736"/>
      <c r="C1657" s="737" t="s">
        <v>0</v>
      </c>
      <c r="D1657" s="737" t="s">
        <v>1655</v>
      </c>
      <c r="E1657" s="737" t="s">
        <v>26</v>
      </c>
      <c r="F1657" s="737" t="s">
        <v>27</v>
      </c>
      <c r="G1657" s="733" t="s">
        <v>28</v>
      </c>
    </row>
    <row r="1658" spans="1:7" ht="18.95" customHeight="1" x14ac:dyDescent="0.2">
      <c r="A1658" s="154" t="s">
        <v>583</v>
      </c>
      <c r="B1658" s="155" t="s">
        <v>584</v>
      </c>
      <c r="C1658" s="738"/>
      <c r="D1658" s="738"/>
      <c r="E1658" s="738"/>
      <c r="F1658" s="738"/>
      <c r="G1658" s="734"/>
    </row>
    <row r="1659" spans="1:7" ht="18.95" customHeight="1" x14ac:dyDescent="0.2">
      <c r="A1659" s="348" t="str">
        <f t="shared" ref="A1659:A1670" si="474">IFERROR(VLOOKUP(C1659,Tabla_Insumos,4,FALSE),"")</f>
        <v/>
      </c>
      <c r="B1659" s="290" t="str">
        <f t="shared" ref="B1659:B1670" si="475">IFERROR(VLOOKUP(C1659,Tabla_Insumos,5,FALSE),"")</f>
        <v/>
      </c>
      <c r="C1659" s="290"/>
      <c r="D1659" s="608">
        <f t="shared" ref="D1659:D1670" si="476">IFERROR(VLOOKUP(C1659,Tabla_Insumos,2,FALSE),0)</f>
        <v>0</v>
      </c>
      <c r="E1659" s="293"/>
      <c r="F1659" s="346">
        <f t="shared" ref="F1659:F1670" si="477">IFERROR(VLOOKUP(C1659,Tabla_Insumos,3,FALSE),0)</f>
        <v>0</v>
      </c>
      <c r="G1659" s="347">
        <f t="shared" ref="G1659:G1670" si="478">ROUND(E1659*F1659,2)</f>
        <v>0</v>
      </c>
    </row>
    <row r="1660" spans="1:7" ht="18.95" customHeight="1" x14ac:dyDescent="0.2">
      <c r="A1660" s="348" t="str">
        <f t="shared" si="474"/>
        <v/>
      </c>
      <c r="B1660" s="290" t="str">
        <f t="shared" si="475"/>
        <v/>
      </c>
      <c r="C1660" s="126"/>
      <c r="D1660" s="608">
        <f t="shared" si="476"/>
        <v>0</v>
      </c>
      <c r="E1660" s="293"/>
      <c r="F1660" s="346">
        <f t="shared" si="477"/>
        <v>0</v>
      </c>
      <c r="G1660" s="347">
        <f t="shared" si="478"/>
        <v>0</v>
      </c>
    </row>
    <row r="1661" spans="1:7" ht="18.95" customHeight="1" x14ac:dyDescent="0.2">
      <c r="A1661" s="348" t="str">
        <f t="shared" si="474"/>
        <v/>
      </c>
      <c r="B1661" s="290" t="str">
        <f t="shared" si="475"/>
        <v/>
      </c>
      <c r="C1661" s="290"/>
      <c r="D1661" s="608">
        <f t="shared" si="476"/>
        <v>0</v>
      </c>
      <c r="E1661" s="293"/>
      <c r="F1661" s="346">
        <f t="shared" si="477"/>
        <v>0</v>
      </c>
      <c r="G1661" s="347">
        <f t="shared" si="478"/>
        <v>0</v>
      </c>
    </row>
    <row r="1662" spans="1:7" ht="18.95" customHeight="1" x14ac:dyDescent="0.2">
      <c r="A1662" s="348" t="str">
        <f t="shared" si="474"/>
        <v/>
      </c>
      <c r="B1662" s="290" t="str">
        <f t="shared" si="475"/>
        <v/>
      </c>
      <c r="C1662" s="290"/>
      <c r="D1662" s="608">
        <f t="shared" si="476"/>
        <v>0</v>
      </c>
      <c r="E1662" s="293"/>
      <c r="F1662" s="346">
        <f t="shared" si="477"/>
        <v>0</v>
      </c>
      <c r="G1662" s="347">
        <f t="shared" si="478"/>
        <v>0</v>
      </c>
    </row>
    <row r="1663" spans="1:7" ht="18.95" customHeight="1" x14ac:dyDescent="0.2">
      <c r="A1663" s="348" t="str">
        <f t="shared" si="474"/>
        <v/>
      </c>
      <c r="B1663" s="290" t="str">
        <f t="shared" si="475"/>
        <v/>
      </c>
      <c r="C1663" s="290"/>
      <c r="D1663" s="608">
        <f t="shared" si="476"/>
        <v>0</v>
      </c>
      <c r="E1663" s="293"/>
      <c r="F1663" s="346">
        <f t="shared" si="477"/>
        <v>0</v>
      </c>
      <c r="G1663" s="347">
        <f t="shared" si="478"/>
        <v>0</v>
      </c>
    </row>
    <row r="1664" spans="1:7" ht="18.95" customHeight="1" x14ac:dyDescent="0.2">
      <c r="A1664" s="348" t="str">
        <f t="shared" si="474"/>
        <v/>
      </c>
      <c r="B1664" s="290" t="str">
        <f t="shared" si="475"/>
        <v/>
      </c>
      <c r="C1664" s="290"/>
      <c r="D1664" s="608">
        <f t="shared" si="476"/>
        <v>0</v>
      </c>
      <c r="E1664" s="293"/>
      <c r="F1664" s="346">
        <f t="shared" si="477"/>
        <v>0</v>
      </c>
      <c r="G1664" s="347">
        <f t="shared" si="478"/>
        <v>0</v>
      </c>
    </row>
    <row r="1665" spans="1:7" ht="18.95" customHeight="1" x14ac:dyDescent="0.2">
      <c r="A1665" s="348" t="str">
        <f t="shared" si="474"/>
        <v/>
      </c>
      <c r="B1665" s="290" t="str">
        <f t="shared" si="475"/>
        <v/>
      </c>
      <c r="C1665" s="290"/>
      <c r="D1665" s="608">
        <f t="shared" si="476"/>
        <v>0</v>
      </c>
      <c r="E1665" s="293"/>
      <c r="F1665" s="346">
        <f t="shared" si="477"/>
        <v>0</v>
      </c>
      <c r="G1665" s="347">
        <f t="shared" si="478"/>
        <v>0</v>
      </c>
    </row>
    <row r="1666" spans="1:7" s="295" customFormat="1" ht="18.95" customHeight="1" x14ac:dyDescent="0.2">
      <c r="A1666" s="348" t="str">
        <f t="shared" si="474"/>
        <v/>
      </c>
      <c r="B1666" s="290" t="str">
        <f t="shared" si="475"/>
        <v/>
      </c>
      <c r="C1666" s="290"/>
      <c r="D1666" s="608">
        <f t="shared" si="476"/>
        <v>0</v>
      </c>
      <c r="E1666" s="323"/>
      <c r="F1666" s="346">
        <f t="shared" si="477"/>
        <v>0</v>
      </c>
      <c r="G1666" s="347">
        <f t="shared" si="478"/>
        <v>0</v>
      </c>
    </row>
    <row r="1667" spans="1:7" ht="18.95" customHeight="1" x14ac:dyDescent="0.2">
      <c r="A1667" s="348" t="str">
        <f t="shared" si="474"/>
        <v/>
      </c>
      <c r="B1667" s="290" t="str">
        <f t="shared" si="475"/>
        <v/>
      </c>
      <c r="C1667" s="290"/>
      <c r="D1667" s="608">
        <f t="shared" si="476"/>
        <v>0</v>
      </c>
      <c r="E1667" s="293"/>
      <c r="F1667" s="346">
        <f t="shared" si="477"/>
        <v>0</v>
      </c>
      <c r="G1667" s="347">
        <f t="shared" si="478"/>
        <v>0</v>
      </c>
    </row>
    <row r="1668" spans="1:7" ht="18.95" customHeight="1" x14ac:dyDescent="0.2">
      <c r="A1668" s="348" t="str">
        <f t="shared" si="474"/>
        <v/>
      </c>
      <c r="B1668" s="290" t="str">
        <f t="shared" si="475"/>
        <v/>
      </c>
      <c r="C1668" s="290"/>
      <c r="D1668" s="608">
        <f t="shared" si="476"/>
        <v>0</v>
      </c>
      <c r="E1668" s="293"/>
      <c r="F1668" s="346">
        <f t="shared" si="477"/>
        <v>0</v>
      </c>
      <c r="G1668" s="347">
        <f t="shared" si="478"/>
        <v>0</v>
      </c>
    </row>
    <row r="1669" spans="1:7" ht="18.95" customHeight="1" x14ac:dyDescent="0.2">
      <c r="A1669" s="348" t="str">
        <f t="shared" si="474"/>
        <v/>
      </c>
      <c r="B1669" s="290" t="str">
        <f t="shared" si="475"/>
        <v/>
      </c>
      <c r="C1669" s="290"/>
      <c r="D1669" s="608">
        <f t="shared" si="476"/>
        <v>0</v>
      </c>
      <c r="E1669" s="293"/>
      <c r="F1669" s="346">
        <f t="shared" si="477"/>
        <v>0</v>
      </c>
      <c r="G1669" s="347">
        <f t="shared" si="478"/>
        <v>0</v>
      </c>
    </row>
    <row r="1670" spans="1:7" ht="18.95" customHeight="1" x14ac:dyDescent="0.2">
      <c r="A1670" s="348" t="str">
        <f t="shared" si="474"/>
        <v/>
      </c>
      <c r="B1670" s="290" t="str">
        <f t="shared" si="475"/>
        <v/>
      </c>
      <c r="C1670" s="290"/>
      <c r="D1670" s="608">
        <f t="shared" si="476"/>
        <v>0</v>
      </c>
      <c r="E1670" s="293"/>
      <c r="F1670" s="346">
        <f t="shared" si="477"/>
        <v>0</v>
      </c>
      <c r="G1670" s="347">
        <f t="shared" si="478"/>
        <v>0</v>
      </c>
    </row>
    <row r="1671" spans="1:7" ht="18.95" customHeight="1" x14ac:dyDescent="0.2">
      <c r="A1671" s="156"/>
      <c r="B1671" s="142"/>
      <c r="C1671" s="142"/>
      <c r="D1671" s="150"/>
      <c r="E1671" s="143"/>
      <c r="F1671" s="356" t="s">
        <v>31</v>
      </c>
      <c r="G1671" s="355">
        <f>SUBTOTAL(9,G1659:G1670)</f>
        <v>0</v>
      </c>
    </row>
    <row r="1672" spans="1:7" ht="18.95" customHeight="1" x14ac:dyDescent="0.2">
      <c r="A1672" s="156"/>
      <c r="B1672" s="142"/>
      <c r="C1672" s="157" t="s">
        <v>1048</v>
      </c>
      <c r="D1672" s="150"/>
      <c r="E1672" s="327"/>
      <c r="F1672" s="327"/>
      <c r="G1672" s="342"/>
    </row>
    <row r="1673" spans="1:7" ht="18.95" customHeight="1" x14ac:dyDescent="0.2">
      <c r="A1673" s="735" t="s">
        <v>582</v>
      </c>
      <c r="B1673" s="736"/>
      <c r="C1673" s="737" t="s">
        <v>0</v>
      </c>
      <c r="D1673" s="739" t="s">
        <v>1750</v>
      </c>
      <c r="E1673" s="741" t="s">
        <v>26</v>
      </c>
      <c r="F1673" s="741" t="s">
        <v>27</v>
      </c>
      <c r="G1673" s="733" t="s">
        <v>28</v>
      </c>
    </row>
    <row r="1674" spans="1:7" ht="18.95" customHeight="1" x14ac:dyDescent="0.2">
      <c r="A1674" s="154" t="s">
        <v>583</v>
      </c>
      <c r="B1674" s="155" t="s">
        <v>584</v>
      </c>
      <c r="C1674" s="738"/>
      <c r="D1674" s="740"/>
      <c r="E1674" s="742"/>
      <c r="F1674" s="742"/>
      <c r="G1674" s="734"/>
    </row>
    <row r="1675" spans="1:7" ht="18.95" customHeight="1" x14ac:dyDescent="0.2">
      <c r="A1675" s="348" t="str">
        <f>IFERROR(VLOOKUP(C1675,Tabla_Insumos,4,FALSE),"")</f>
        <v/>
      </c>
      <c r="B1675" s="290" t="s">
        <v>4</v>
      </c>
      <c r="C1675" s="290"/>
      <c r="D1675" s="293"/>
      <c r="E1675" s="322"/>
      <c r="F1675" s="324"/>
      <c r="G1675" s="347">
        <f t="shared" ref="G1675" si="479">ROUND(E1675*F1675,2)</f>
        <v>0</v>
      </c>
    </row>
    <row r="1676" spans="1:7" ht="18.95" customHeight="1" x14ac:dyDescent="0.2">
      <c r="A1676" s="156"/>
      <c r="B1676" s="142"/>
      <c r="C1676" s="142"/>
      <c r="D1676" s="150"/>
      <c r="E1676" s="143"/>
      <c r="F1676" s="356" t="s">
        <v>1049</v>
      </c>
      <c r="G1676" s="355">
        <f>SUBTOTAL(9,G1675:G1675)</f>
        <v>0</v>
      </c>
    </row>
    <row r="1677" spans="1:7" ht="18.95" customHeight="1" thickBot="1" x14ac:dyDescent="0.25">
      <c r="A1677" s="158"/>
      <c r="B1677" s="159"/>
      <c r="C1677" s="160"/>
      <c r="D1677" s="161"/>
      <c r="E1677" s="357"/>
      <c r="F1677" s="357"/>
      <c r="G1677" s="358"/>
    </row>
    <row r="1678" spans="1:7" ht="18.95" customHeight="1" x14ac:dyDescent="0.2">
      <c r="A1678" s="359" t="str">
        <f>B1617</f>
        <v>24.a</v>
      </c>
      <c r="B1678" s="360" t="str">
        <f>C1617</f>
        <v xml:space="preserve">   Por Pulverización</v>
      </c>
      <c r="C1678" s="361"/>
      <c r="D1678" s="361"/>
      <c r="E1678" s="361" t="s">
        <v>1050</v>
      </c>
      <c r="F1678" s="362" t="str">
        <f>CONCATENATE("$/",G1617)</f>
        <v>$/m2</v>
      </c>
      <c r="G1678" s="363">
        <f>SUBTOTAL(9,G1637:G1677)</f>
        <v>0</v>
      </c>
    </row>
    <row r="1679" spans="1:7" ht="18.95" customHeight="1" thickBot="1" x14ac:dyDescent="0.25">
      <c r="A1679" s="364"/>
      <c r="B1679" s="365"/>
      <c r="C1679" s="365"/>
      <c r="D1679" s="365"/>
      <c r="E1679" s="366" t="s">
        <v>1051</v>
      </c>
      <c r="F1679" s="367" t="str">
        <f>CONCATENATE("$/",G1617)</f>
        <v>$/m2</v>
      </c>
      <c r="G1679" s="368" t="e">
        <f ca="1">PrecioUnitario(G1678,GG_Porcentaje,Beneficio,Ingresos_Brutos,IVA)</f>
        <v>#NAME?</v>
      </c>
    </row>
    <row r="1680" spans="1:7" ht="18.95" customHeight="1" thickTop="1" thickBot="1" x14ac:dyDescent="0.25">
      <c r="F1680" s="294"/>
      <c r="G1680" s="294"/>
    </row>
    <row r="1681" spans="1:8" ht="18.95" customHeight="1" thickTop="1" x14ac:dyDescent="0.2">
      <c r="A1681" s="194" t="s">
        <v>33</v>
      </c>
      <c r="B1681" s="195"/>
      <c r="C1681" s="195"/>
      <c r="D1681" s="195"/>
      <c r="E1681" s="195"/>
      <c r="F1681" s="195"/>
      <c r="G1681" s="196"/>
      <c r="H1681" s="143">
        <f>COUNTIF($A$1:A1687,"ANALISIS DE PRECIOS")</f>
        <v>25</v>
      </c>
    </row>
    <row r="1682" spans="1:8" ht="18.95" customHeight="1" x14ac:dyDescent="0.2">
      <c r="A1682" s="144" t="s">
        <v>720</v>
      </c>
      <c r="B1682" s="145" t="str">
        <f>Comitente</f>
        <v>DIRECCIÓN PROVINCIAL DE VIALIDAD</v>
      </c>
      <c r="C1682" s="139"/>
      <c r="D1682" s="146"/>
      <c r="E1682" s="325"/>
      <c r="F1682" s="325"/>
      <c r="G1682" s="326"/>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PAVIMENTACION Y ENSANCHE DE RUTA PROVINCIAL N°7 AV. JOAQUIN UÑAC</v>
      </c>
      <c r="C1684" s="140"/>
      <c r="D1684" s="140"/>
      <c r="E1684" s="143"/>
      <c r="F1684" s="145" t="s">
        <v>34</v>
      </c>
      <c r="G1684" s="147">
        <f>Fecha_Base</f>
        <v>43444</v>
      </c>
      <c r="H1684" s="143"/>
    </row>
    <row r="1685" spans="1:8" ht="18.95" customHeight="1" x14ac:dyDescent="0.2">
      <c r="A1685" s="148" t="s">
        <v>719</v>
      </c>
      <c r="B1685" s="141" t="str">
        <f>Ubicación</f>
        <v>DEPARTAMENTO POCITO</v>
      </c>
      <c r="C1685" s="141"/>
      <c r="D1685" s="150"/>
      <c r="E1685" s="143"/>
      <c r="F1685" s="327"/>
      <c r="G1685" s="328"/>
      <c r="H1685" s="143"/>
    </row>
    <row r="1686" spans="1:8" ht="18.95" customHeight="1" x14ac:dyDescent="0.2">
      <c r="A1686" s="148" t="s">
        <v>35</v>
      </c>
      <c r="B1686" s="151" t="str">
        <f>IFERROR(VALUE(LEFT(B1687,FIND("-",B1687)-1)),"")</f>
        <v/>
      </c>
      <c r="C1686" s="142" t="str">
        <f>IFERROR(VLOOKUP(B1686,Tabla_CyP,2,FALSE),"")</f>
        <v/>
      </c>
      <c r="D1686" s="150"/>
      <c r="E1686" s="143"/>
      <c r="F1686" s="327"/>
      <c r="G1686" s="328"/>
      <c r="H1686" s="143"/>
    </row>
    <row r="1687" spans="1:8" ht="18.95" customHeight="1" x14ac:dyDescent="0.2">
      <c r="A1687" s="148" t="s">
        <v>24</v>
      </c>
      <c r="B1687" s="152" t="str">
        <f>IFERROR(VLOOKUP(COUNTIF($A$1:A1687,"ANALISIS DE PRECIOS"),Tabla_NumeroItem,4,FALSE),"")</f>
        <v>24.b</v>
      </c>
      <c r="C1687" s="745" t="str">
        <f>IFERROR(VLOOKUP(B1687,Tabla_CyP,2,FALSE),"")</f>
        <v xml:space="preserve">   Por Extrusión</v>
      </c>
      <c r="D1687" s="745"/>
      <c r="E1687" s="745"/>
      <c r="F1687" s="141" t="s">
        <v>25</v>
      </c>
      <c r="G1687" s="153" t="str">
        <f>IFERROR(VLOOKUP(B1687,Tabla_CyP,4,FALSE),"")</f>
        <v>m2</v>
      </c>
      <c r="H1687" s="143"/>
    </row>
    <row r="1688" spans="1:8" ht="18.95" customHeight="1" x14ac:dyDescent="0.2">
      <c r="A1688" s="148"/>
      <c r="B1688" s="141"/>
      <c r="C1688" s="142"/>
      <c r="D1688" s="150"/>
      <c r="E1688" s="142"/>
      <c r="F1688" s="142"/>
      <c r="G1688" s="329"/>
      <c r="H1688" s="143"/>
    </row>
    <row r="1689" spans="1:8" ht="18.95" customHeight="1" x14ac:dyDescent="0.2">
      <c r="A1689" s="330"/>
      <c r="B1689" s="331"/>
      <c r="C1689" s="332" t="s">
        <v>1032</v>
      </c>
      <c r="D1689" s="331"/>
      <c r="E1689" s="331"/>
      <c r="F1689" s="331"/>
      <c r="G1689" s="333"/>
      <c r="H1689" s="143"/>
    </row>
    <row r="1690" spans="1:8" ht="18.95" customHeight="1" x14ac:dyDescent="0.2">
      <c r="A1690" s="148"/>
      <c r="B1690" s="334"/>
      <c r="C1690" s="335" t="s">
        <v>1033</v>
      </c>
      <c r="D1690" s="336" t="s">
        <v>26</v>
      </c>
      <c r="E1690" s="336" t="s">
        <v>1034</v>
      </c>
      <c r="F1690" s="336" t="s">
        <v>1035</v>
      </c>
      <c r="G1690" s="337" t="s">
        <v>1036</v>
      </c>
      <c r="H1690" s="143"/>
    </row>
    <row r="1691" spans="1:8" ht="18.95" customHeight="1" x14ac:dyDescent="0.2">
      <c r="A1691" s="343"/>
      <c r="B1691" s="344"/>
      <c r="C1691" s="290"/>
      <c r="D1691" s="293"/>
      <c r="E1691" s="345"/>
      <c r="F1691" s="346"/>
      <c r="G1691" s="347">
        <f t="shared" ref="G1691:G1700" si="480">ROUND(D1691*F1691,2)</f>
        <v>0</v>
      </c>
    </row>
    <row r="1692" spans="1:8" ht="18.95" customHeight="1" x14ac:dyDescent="0.2">
      <c r="A1692" s="343"/>
      <c r="B1692" s="344"/>
      <c r="C1692" s="290"/>
      <c r="D1692" s="293"/>
      <c r="E1692" s="345"/>
      <c r="F1692" s="346"/>
      <c r="G1692" s="347">
        <f t="shared" si="480"/>
        <v>0</v>
      </c>
    </row>
    <row r="1693" spans="1:8" ht="18.95" customHeight="1" x14ac:dyDescent="0.2">
      <c r="A1693" s="343"/>
      <c r="B1693" s="344"/>
      <c r="C1693" s="290"/>
      <c r="D1693" s="293"/>
      <c r="E1693" s="345">
        <f t="shared" ref="E1693:E1700" si="481">IFERROR(VLOOKUP(C1693,T_Equipos,4,FALSE),0)</f>
        <v>0</v>
      </c>
      <c r="F1693" s="346">
        <f t="shared" ref="F1693:F1700" si="482">IFERROR(VLOOKUP(C1693,T_Equipos,11,FALSE),0)</f>
        <v>0</v>
      </c>
      <c r="G1693" s="347">
        <f t="shared" si="480"/>
        <v>0</v>
      </c>
    </row>
    <row r="1694" spans="1:8" ht="18.95" customHeight="1" x14ac:dyDescent="0.2">
      <c r="A1694" s="343"/>
      <c r="B1694" s="344"/>
      <c r="C1694" s="290"/>
      <c r="D1694" s="293"/>
      <c r="E1694" s="345">
        <f t="shared" si="481"/>
        <v>0</v>
      </c>
      <c r="F1694" s="346">
        <f t="shared" si="482"/>
        <v>0</v>
      </c>
      <c r="G1694" s="347">
        <f t="shared" si="480"/>
        <v>0</v>
      </c>
    </row>
    <row r="1695" spans="1:8" ht="18.95" customHeight="1" x14ac:dyDescent="0.2">
      <c r="A1695" s="343"/>
      <c r="B1695" s="344"/>
      <c r="C1695" s="290"/>
      <c r="D1695" s="293"/>
      <c r="E1695" s="345">
        <f t="shared" si="481"/>
        <v>0</v>
      </c>
      <c r="F1695" s="346">
        <f t="shared" si="482"/>
        <v>0</v>
      </c>
      <c r="G1695" s="347">
        <f t="shared" si="480"/>
        <v>0</v>
      </c>
    </row>
    <row r="1696" spans="1:8" ht="18.95" customHeight="1" x14ac:dyDescent="0.2">
      <c r="A1696" s="343"/>
      <c r="B1696" s="344"/>
      <c r="C1696" s="290"/>
      <c r="D1696" s="293"/>
      <c r="E1696" s="345">
        <f t="shared" si="481"/>
        <v>0</v>
      </c>
      <c r="F1696" s="346">
        <f t="shared" si="482"/>
        <v>0</v>
      </c>
      <c r="G1696" s="347">
        <f t="shared" si="480"/>
        <v>0</v>
      </c>
    </row>
    <row r="1697" spans="1:7" ht="18.95" customHeight="1" x14ac:dyDescent="0.2">
      <c r="A1697" s="343"/>
      <c r="B1697" s="344"/>
      <c r="C1697" s="290"/>
      <c r="D1697" s="293"/>
      <c r="E1697" s="345">
        <f t="shared" si="481"/>
        <v>0</v>
      </c>
      <c r="F1697" s="346">
        <f t="shared" si="482"/>
        <v>0</v>
      </c>
      <c r="G1697" s="347">
        <f t="shared" si="480"/>
        <v>0</v>
      </c>
    </row>
    <row r="1698" spans="1:7" ht="18.95" customHeight="1" x14ac:dyDescent="0.2">
      <c r="A1698" s="343"/>
      <c r="B1698" s="344"/>
      <c r="C1698" s="290"/>
      <c r="D1698" s="293"/>
      <c r="E1698" s="345">
        <f t="shared" si="481"/>
        <v>0</v>
      </c>
      <c r="F1698" s="346">
        <f t="shared" si="482"/>
        <v>0</v>
      </c>
      <c r="G1698" s="347">
        <f t="shared" si="480"/>
        <v>0</v>
      </c>
    </row>
    <row r="1699" spans="1:7" ht="18.95" customHeight="1" x14ac:dyDescent="0.2">
      <c r="A1699" s="343"/>
      <c r="B1699" s="344"/>
      <c r="C1699" s="290"/>
      <c r="D1699" s="293"/>
      <c r="E1699" s="345">
        <f t="shared" si="481"/>
        <v>0</v>
      </c>
      <c r="F1699" s="346">
        <f t="shared" si="482"/>
        <v>0</v>
      </c>
      <c r="G1699" s="347">
        <f t="shared" si="480"/>
        <v>0</v>
      </c>
    </row>
    <row r="1700" spans="1:7" ht="18.95" customHeight="1" thickBot="1" x14ac:dyDescent="0.25">
      <c r="A1700" s="343"/>
      <c r="B1700" s="344"/>
      <c r="C1700" s="290"/>
      <c r="D1700" s="293"/>
      <c r="E1700" s="345">
        <f t="shared" si="481"/>
        <v>0</v>
      </c>
      <c r="F1700" s="346">
        <f t="shared" si="482"/>
        <v>0</v>
      </c>
      <c r="G1700" s="347">
        <f t="shared" si="480"/>
        <v>0</v>
      </c>
    </row>
    <row r="1701" spans="1:7" ht="18.95" customHeight="1" thickBot="1" x14ac:dyDescent="0.25">
      <c r="A1701" s="148"/>
      <c r="B1701" s="334"/>
      <c r="C1701" s="143"/>
      <c r="D1701" s="146" t="s">
        <v>1037</v>
      </c>
      <c r="E1701" s="338">
        <f>SUMPRODUCT(D1691:D1700,E1691:E1700)</f>
        <v>0</v>
      </c>
      <c r="F1701" s="141" t="s">
        <v>1038</v>
      </c>
      <c r="G1701" s="339">
        <f>SUM(G1691:G1700)</f>
        <v>0</v>
      </c>
    </row>
    <row r="1702" spans="1:7" ht="18.95" customHeight="1" x14ac:dyDescent="0.2">
      <c r="A1702" s="148"/>
      <c r="B1702" s="334"/>
      <c r="C1702" s="141" t="s">
        <v>1039</v>
      </c>
      <c r="D1702" s="320"/>
      <c r="E1702" s="340" t="str">
        <f>CONCATENATE(G1687,"/día")</f>
        <v>m2/día</v>
      </c>
      <c r="F1702" s="141"/>
      <c r="G1702" s="341"/>
    </row>
    <row r="1703" spans="1:7" ht="18.95" customHeight="1" x14ac:dyDescent="0.2">
      <c r="A1703" s="148"/>
      <c r="B1703" s="334"/>
      <c r="C1703" s="142"/>
      <c r="D1703" s="150"/>
      <c r="E1703" s="141"/>
      <c r="F1703" s="141"/>
      <c r="G1703" s="341"/>
    </row>
    <row r="1704" spans="1:7" ht="18.95" customHeight="1" x14ac:dyDescent="0.2">
      <c r="A1704" s="735" t="s">
        <v>582</v>
      </c>
      <c r="B1704" s="736"/>
      <c r="C1704" s="737" t="s">
        <v>0</v>
      </c>
      <c r="D1704" s="743" t="s">
        <v>1053</v>
      </c>
      <c r="E1704" s="743" t="s">
        <v>1706</v>
      </c>
      <c r="F1704" s="743" t="s">
        <v>1054</v>
      </c>
      <c r="G1704" s="743" t="s">
        <v>1055</v>
      </c>
    </row>
    <row r="1705" spans="1:7" ht="18.95" customHeight="1" x14ac:dyDescent="0.2">
      <c r="A1705" s="154" t="s">
        <v>583</v>
      </c>
      <c r="B1705" s="155" t="s">
        <v>584</v>
      </c>
      <c r="C1705" s="738"/>
      <c r="D1705" s="742"/>
      <c r="E1705" s="742"/>
      <c r="F1705" s="744"/>
      <c r="G1705" s="742"/>
    </row>
    <row r="1706" spans="1:7" ht="18.95" customHeight="1" x14ac:dyDescent="0.2">
      <c r="A1706" s="156"/>
      <c r="B1706" s="142"/>
      <c r="C1706" s="157" t="s">
        <v>1041</v>
      </c>
      <c r="D1706" s="150"/>
      <c r="E1706" s="142"/>
      <c r="F1706" s="142"/>
      <c r="G1706" s="342"/>
    </row>
    <row r="1707" spans="1:7" ht="18.95" customHeight="1" x14ac:dyDescent="0.2">
      <c r="A1707" s="348" t="str">
        <f t="shared" ref="A1707:A1714" si="483">IFERROR(VLOOKUP(C1707,Tabla_Insumos,4,FALSE),"")</f>
        <v/>
      </c>
      <c r="B1707" s="290" t="str">
        <f t="shared" ref="B1707:B1714" si="484">IFERROR(VLOOKUP(C1707,Tabla_Insumos,5,FALSE),"")</f>
        <v/>
      </c>
      <c r="C1707" s="290"/>
      <c r="D1707" s="607">
        <f t="shared" ref="D1707:D1714" si="485">IFERROR(VLOOKUP(C1707,Tabla_Insumos,3,FALSE),0)</f>
        <v>0</v>
      </c>
      <c r="E1707" s="349">
        <f>D1707*$G$21</f>
        <v>0</v>
      </c>
      <c r="F1707" s="350">
        <f>IF(C1707="",0,D1702)</f>
        <v>0</v>
      </c>
      <c r="G1707" s="347">
        <f>IFERROR(ROUND(E1707/F1707,2),0)</f>
        <v>0</v>
      </c>
    </row>
    <row r="1708" spans="1:7" ht="18.95" customHeight="1" x14ac:dyDescent="0.2">
      <c r="A1708" s="348" t="str">
        <f t="shared" si="483"/>
        <v/>
      </c>
      <c r="B1708" s="290" t="str">
        <f t="shared" si="484"/>
        <v/>
      </c>
      <c r="C1708" s="321"/>
      <c r="D1708" s="607">
        <f t="shared" si="485"/>
        <v>0</v>
      </c>
      <c r="E1708" s="349">
        <f t="shared" ref="E1708:E1709" si="486">D1708*$G$21</f>
        <v>0</v>
      </c>
      <c r="F1708" s="350">
        <f t="shared" ref="F1708:F1711" si="487">IF(C1708="",0,F1707)</f>
        <v>0</v>
      </c>
      <c r="G1708" s="347">
        <f t="shared" ref="G1708:G1714" si="488">IFERROR(ROUND(E1708/F1708,2),0)</f>
        <v>0</v>
      </c>
    </row>
    <row r="1709" spans="1:7" ht="18.95" customHeight="1" x14ac:dyDescent="0.2">
      <c r="A1709" s="348" t="str">
        <f t="shared" si="483"/>
        <v/>
      </c>
      <c r="B1709" s="290" t="str">
        <f t="shared" si="484"/>
        <v/>
      </c>
      <c r="C1709" s="321"/>
      <c r="D1709" s="607">
        <f t="shared" si="485"/>
        <v>0</v>
      </c>
      <c r="E1709" s="349">
        <f t="shared" si="486"/>
        <v>0</v>
      </c>
      <c r="F1709" s="350">
        <f t="shared" si="487"/>
        <v>0</v>
      </c>
      <c r="G1709" s="347">
        <f t="shared" si="488"/>
        <v>0</v>
      </c>
    </row>
    <row r="1710" spans="1:7" ht="18.95" customHeight="1" x14ac:dyDescent="0.2">
      <c r="A1710" s="348" t="str">
        <f t="shared" si="483"/>
        <v/>
      </c>
      <c r="B1710" s="290" t="str">
        <f t="shared" si="484"/>
        <v/>
      </c>
      <c r="C1710" s="321"/>
      <c r="D1710" s="607">
        <f t="shared" si="485"/>
        <v>0</v>
      </c>
      <c r="E1710" s="349">
        <f>D1710*$E$21</f>
        <v>0</v>
      </c>
      <c r="F1710" s="350">
        <f t="shared" si="487"/>
        <v>0</v>
      </c>
      <c r="G1710" s="347">
        <f t="shared" si="488"/>
        <v>0</v>
      </c>
    </row>
    <row r="1711" spans="1:7" ht="18.95" customHeight="1" x14ac:dyDescent="0.2">
      <c r="A1711" s="348" t="str">
        <f t="shared" si="483"/>
        <v/>
      </c>
      <c r="B1711" s="290" t="str">
        <f t="shared" si="484"/>
        <v/>
      </c>
      <c r="C1711" s="321"/>
      <c r="D1711" s="607">
        <f t="shared" si="485"/>
        <v>0</v>
      </c>
      <c r="E1711" s="349">
        <f>D1711*$E$21</f>
        <v>0</v>
      </c>
      <c r="F1711" s="350">
        <f t="shared" si="487"/>
        <v>0</v>
      </c>
      <c r="G1711" s="347">
        <f t="shared" si="488"/>
        <v>0</v>
      </c>
    </row>
    <row r="1712" spans="1:7" ht="18.95" customHeight="1" x14ac:dyDescent="0.2">
      <c r="A1712" s="348" t="str">
        <f t="shared" si="483"/>
        <v/>
      </c>
      <c r="B1712" s="290" t="str">
        <f t="shared" si="484"/>
        <v/>
      </c>
      <c r="C1712" s="321"/>
      <c r="D1712" s="607">
        <f t="shared" si="485"/>
        <v>0</v>
      </c>
      <c r="E1712" s="349"/>
      <c r="F1712" s="350">
        <f>IF(C1712="",0,F1711)</f>
        <v>0</v>
      </c>
      <c r="G1712" s="347">
        <f t="shared" si="488"/>
        <v>0</v>
      </c>
    </row>
    <row r="1713" spans="1:7" ht="18.95" customHeight="1" x14ac:dyDescent="0.2">
      <c r="A1713" s="348" t="str">
        <f t="shared" si="483"/>
        <v/>
      </c>
      <c r="B1713" s="290" t="str">
        <f t="shared" si="484"/>
        <v/>
      </c>
      <c r="C1713" s="321"/>
      <c r="D1713" s="607">
        <f t="shared" si="485"/>
        <v>0</v>
      </c>
      <c r="E1713" s="349"/>
      <c r="F1713" s="350">
        <f t="shared" ref="F1713:F1714" si="489">IF(C1713="",0,F1712)</f>
        <v>0</v>
      </c>
      <c r="G1713" s="347">
        <f t="shared" si="488"/>
        <v>0</v>
      </c>
    </row>
    <row r="1714" spans="1:7" ht="18.95" customHeight="1" x14ac:dyDescent="0.2">
      <c r="A1714" s="348" t="str">
        <f t="shared" si="483"/>
        <v/>
      </c>
      <c r="B1714" s="290" t="str">
        <f t="shared" si="484"/>
        <v/>
      </c>
      <c r="C1714" s="321"/>
      <c r="D1714" s="607">
        <f t="shared" si="485"/>
        <v>0</v>
      </c>
      <c r="E1714" s="349"/>
      <c r="F1714" s="350">
        <f t="shared" si="489"/>
        <v>0</v>
      </c>
      <c r="G1714" s="347">
        <f t="shared" si="488"/>
        <v>0</v>
      </c>
    </row>
    <row r="1715" spans="1:7" ht="18.95" customHeight="1" x14ac:dyDescent="0.2">
      <c r="A1715" s="353"/>
      <c r="B1715" s="149"/>
      <c r="C1715" s="142"/>
      <c r="D1715" s="150"/>
      <c r="E1715" s="143"/>
      <c r="F1715" s="354" t="s">
        <v>29</v>
      </c>
      <c r="G1715" s="355">
        <f>SUBTOTAL(9,G1707:G1714)</f>
        <v>0</v>
      </c>
    </row>
    <row r="1716" spans="1:7" ht="18.95" customHeight="1" x14ac:dyDescent="0.2">
      <c r="A1716" s="156"/>
      <c r="B1716" s="142"/>
      <c r="C1716" s="157" t="s">
        <v>722</v>
      </c>
      <c r="D1716" s="150"/>
      <c r="E1716" s="327"/>
      <c r="F1716" s="327"/>
      <c r="G1716" s="342"/>
    </row>
    <row r="1717" spans="1:7" ht="18.95" customHeight="1" x14ac:dyDescent="0.2">
      <c r="A1717" s="735" t="s">
        <v>582</v>
      </c>
      <c r="B1717" s="736"/>
      <c r="C1717" s="737" t="s">
        <v>0</v>
      </c>
      <c r="D1717" s="739" t="s">
        <v>26</v>
      </c>
      <c r="E1717" s="743" t="s">
        <v>1707</v>
      </c>
      <c r="F1717" s="741" t="s">
        <v>1040</v>
      </c>
      <c r="G1717" s="733" t="s">
        <v>28</v>
      </c>
    </row>
    <row r="1718" spans="1:7" ht="18.95" customHeight="1" x14ac:dyDescent="0.2">
      <c r="A1718" s="154" t="s">
        <v>583</v>
      </c>
      <c r="B1718" s="155" t="s">
        <v>584</v>
      </c>
      <c r="C1718" s="738"/>
      <c r="D1718" s="740"/>
      <c r="E1718" s="742"/>
      <c r="F1718" s="742"/>
      <c r="G1718" s="734"/>
    </row>
    <row r="1719" spans="1:7" ht="18.95" customHeight="1" x14ac:dyDescent="0.2">
      <c r="A1719" s="348" t="str">
        <f t="shared" ref="A1719:A1724" si="490">IFERROR(VLOOKUP(C1719,Tabla_Insumos,4,FALSE),"")</f>
        <v/>
      </c>
      <c r="B1719" s="290" t="str">
        <f t="shared" ref="B1719:B1724" si="491">IFERROR(VLOOKUP(C1719,Tabla_Insumos,5,FALSE),"")</f>
        <v/>
      </c>
      <c r="C1719" s="291"/>
      <c r="D1719" s="293"/>
      <c r="E1719" s="346">
        <f t="shared" ref="E1719:E1724" si="492">IFERROR(VLOOKUP(C1719,Tabla_Insumos,3,FALSE),0)</f>
        <v>0</v>
      </c>
      <c r="F1719" s="349">
        <f>IF(C1719="",0,D1702)</f>
        <v>0</v>
      </c>
      <c r="G1719" s="347">
        <f t="shared" ref="G1719:G1724" si="493">IFERROR(ROUND(D1719*E1719/F1719,2),0)</f>
        <v>0</v>
      </c>
    </row>
    <row r="1720" spans="1:7" ht="18.95" customHeight="1" x14ac:dyDescent="0.2">
      <c r="A1720" s="348" t="str">
        <f t="shared" si="490"/>
        <v/>
      </c>
      <c r="B1720" s="290" t="str">
        <f t="shared" si="491"/>
        <v/>
      </c>
      <c r="C1720" s="290"/>
      <c r="D1720" s="293"/>
      <c r="E1720" s="346">
        <f t="shared" si="492"/>
        <v>0</v>
      </c>
      <c r="F1720" s="349">
        <f>IF(C1720="",0,F1719)</f>
        <v>0</v>
      </c>
      <c r="G1720" s="347">
        <f t="shared" si="493"/>
        <v>0</v>
      </c>
    </row>
    <row r="1721" spans="1:7" ht="18.95" customHeight="1" x14ac:dyDescent="0.2">
      <c r="A1721" s="348" t="str">
        <f t="shared" si="490"/>
        <v/>
      </c>
      <c r="B1721" s="290" t="str">
        <f t="shared" si="491"/>
        <v/>
      </c>
      <c r="C1721" s="290"/>
      <c r="D1721" s="293"/>
      <c r="E1721" s="346">
        <f t="shared" si="492"/>
        <v>0</v>
      </c>
      <c r="F1721" s="349">
        <f>IF(C1721="",0,F1720)</f>
        <v>0</v>
      </c>
      <c r="G1721" s="347">
        <f t="shared" si="493"/>
        <v>0</v>
      </c>
    </row>
    <row r="1722" spans="1:7" ht="18.95" customHeight="1" x14ac:dyDescent="0.2">
      <c r="A1722" s="348" t="str">
        <f t="shared" si="490"/>
        <v/>
      </c>
      <c r="B1722" s="290" t="str">
        <f t="shared" si="491"/>
        <v/>
      </c>
      <c r="C1722" s="290"/>
      <c r="D1722" s="293"/>
      <c r="E1722" s="346">
        <f t="shared" si="492"/>
        <v>0</v>
      </c>
      <c r="F1722" s="349">
        <f>IF(C1722="",0,F1721)</f>
        <v>0</v>
      </c>
      <c r="G1722" s="347">
        <f t="shared" si="493"/>
        <v>0</v>
      </c>
    </row>
    <row r="1723" spans="1:7" ht="18.95" customHeight="1" x14ac:dyDescent="0.2">
      <c r="A1723" s="348" t="str">
        <f t="shared" si="490"/>
        <v/>
      </c>
      <c r="B1723" s="290" t="str">
        <f t="shared" si="491"/>
        <v/>
      </c>
      <c r="C1723" s="290"/>
      <c r="D1723" s="351"/>
      <c r="E1723" s="346">
        <f t="shared" si="492"/>
        <v>0</v>
      </c>
      <c r="F1723" s="349">
        <f>IF(C1723="",0,F1722)</f>
        <v>0</v>
      </c>
      <c r="G1723" s="347">
        <f t="shared" si="493"/>
        <v>0</v>
      </c>
    </row>
    <row r="1724" spans="1:7" ht="18.95" customHeight="1" x14ac:dyDescent="0.2">
      <c r="A1724" s="348" t="str">
        <f t="shared" si="490"/>
        <v/>
      </c>
      <c r="B1724" s="290" t="str">
        <f t="shared" si="491"/>
        <v/>
      </c>
      <c r="C1724" s="290"/>
      <c r="D1724" s="293"/>
      <c r="E1724" s="346">
        <f t="shared" si="492"/>
        <v>0</v>
      </c>
      <c r="F1724" s="349">
        <f>IF(C1724="",0,F1723)</f>
        <v>0</v>
      </c>
      <c r="G1724" s="347">
        <f t="shared" si="493"/>
        <v>0</v>
      </c>
    </row>
    <row r="1725" spans="1:7" ht="18.95" customHeight="1" x14ac:dyDescent="0.2">
      <c r="A1725" s="353"/>
      <c r="B1725" s="149"/>
      <c r="C1725" s="142"/>
      <c r="D1725" s="150"/>
      <c r="E1725" s="143"/>
      <c r="F1725" s="356" t="s">
        <v>30</v>
      </c>
      <c r="G1725" s="355">
        <f>SUBTOTAL(9,G1719:G1724)</f>
        <v>0</v>
      </c>
    </row>
    <row r="1726" spans="1:7" ht="18.95" customHeight="1" x14ac:dyDescent="0.2">
      <c r="A1726" s="156"/>
      <c r="B1726" s="142"/>
      <c r="C1726" s="157" t="s">
        <v>1047</v>
      </c>
      <c r="D1726" s="150"/>
      <c r="E1726" s="327"/>
      <c r="F1726" s="327"/>
      <c r="G1726" s="342"/>
    </row>
    <row r="1727" spans="1:7" ht="18.95" customHeight="1" x14ac:dyDescent="0.2">
      <c r="A1727" s="735" t="s">
        <v>582</v>
      </c>
      <c r="B1727" s="736"/>
      <c r="C1727" s="737" t="s">
        <v>0</v>
      </c>
      <c r="D1727" s="737" t="s">
        <v>1655</v>
      </c>
      <c r="E1727" s="737" t="s">
        <v>26</v>
      </c>
      <c r="F1727" s="737" t="s">
        <v>27</v>
      </c>
      <c r="G1727" s="733" t="s">
        <v>28</v>
      </c>
    </row>
    <row r="1728" spans="1:7" ht="18.95" customHeight="1" x14ac:dyDescent="0.2">
      <c r="A1728" s="154" t="s">
        <v>583</v>
      </c>
      <c r="B1728" s="155" t="s">
        <v>584</v>
      </c>
      <c r="C1728" s="738"/>
      <c r="D1728" s="738"/>
      <c r="E1728" s="738"/>
      <c r="F1728" s="738"/>
      <c r="G1728" s="734"/>
    </row>
    <row r="1729" spans="1:7" ht="18.95" customHeight="1" x14ac:dyDescent="0.2">
      <c r="A1729" s="348" t="str">
        <f t="shared" ref="A1729:A1740" si="494">IFERROR(VLOOKUP(C1729,Tabla_Insumos,4,FALSE),"")</f>
        <v/>
      </c>
      <c r="B1729" s="290" t="str">
        <f t="shared" ref="B1729:B1740" si="495">IFERROR(VLOOKUP(C1729,Tabla_Insumos,5,FALSE),"")</f>
        <v/>
      </c>
      <c r="C1729" s="290"/>
      <c r="D1729" s="608">
        <f t="shared" ref="D1729:D1740" si="496">IFERROR(VLOOKUP(C1729,Tabla_Insumos,2,FALSE),0)</f>
        <v>0</v>
      </c>
      <c r="E1729" s="293"/>
      <c r="F1729" s="346">
        <f t="shared" ref="F1729:F1740" si="497">IFERROR(VLOOKUP(C1729,Tabla_Insumos,3,FALSE),0)</f>
        <v>0</v>
      </c>
      <c r="G1729" s="347">
        <f t="shared" ref="G1729:G1740" si="498">ROUND(E1729*F1729,2)</f>
        <v>0</v>
      </c>
    </row>
    <row r="1730" spans="1:7" ht="18.95" customHeight="1" x14ac:dyDescent="0.2">
      <c r="A1730" s="348" t="str">
        <f t="shared" si="494"/>
        <v/>
      </c>
      <c r="B1730" s="290" t="str">
        <f t="shared" si="495"/>
        <v/>
      </c>
      <c r="C1730" s="126"/>
      <c r="D1730" s="608">
        <f t="shared" si="496"/>
        <v>0</v>
      </c>
      <c r="E1730" s="293"/>
      <c r="F1730" s="346">
        <f t="shared" si="497"/>
        <v>0</v>
      </c>
      <c r="G1730" s="347">
        <f t="shared" si="498"/>
        <v>0</v>
      </c>
    </row>
    <row r="1731" spans="1:7" ht="18.95" customHeight="1" x14ac:dyDescent="0.2">
      <c r="A1731" s="348" t="str">
        <f t="shared" si="494"/>
        <v/>
      </c>
      <c r="B1731" s="290" t="str">
        <f t="shared" si="495"/>
        <v/>
      </c>
      <c r="C1731" s="290"/>
      <c r="D1731" s="608">
        <f t="shared" si="496"/>
        <v>0</v>
      </c>
      <c r="E1731" s="293"/>
      <c r="F1731" s="346">
        <f t="shared" si="497"/>
        <v>0</v>
      </c>
      <c r="G1731" s="347">
        <f t="shared" si="498"/>
        <v>0</v>
      </c>
    </row>
    <row r="1732" spans="1:7" ht="18.95" customHeight="1" x14ac:dyDescent="0.2">
      <c r="A1732" s="348" t="str">
        <f t="shared" si="494"/>
        <v/>
      </c>
      <c r="B1732" s="290" t="str">
        <f t="shared" si="495"/>
        <v/>
      </c>
      <c r="C1732" s="290"/>
      <c r="D1732" s="608">
        <f t="shared" si="496"/>
        <v>0</v>
      </c>
      <c r="E1732" s="293"/>
      <c r="F1732" s="346">
        <f t="shared" si="497"/>
        <v>0</v>
      </c>
      <c r="G1732" s="347">
        <f t="shared" si="498"/>
        <v>0</v>
      </c>
    </row>
    <row r="1733" spans="1:7" ht="18.95" customHeight="1" x14ac:dyDescent="0.2">
      <c r="A1733" s="348" t="str">
        <f t="shared" si="494"/>
        <v/>
      </c>
      <c r="B1733" s="290" t="str">
        <f t="shared" si="495"/>
        <v/>
      </c>
      <c r="C1733" s="290"/>
      <c r="D1733" s="608">
        <f t="shared" si="496"/>
        <v>0</v>
      </c>
      <c r="E1733" s="293"/>
      <c r="F1733" s="346">
        <f t="shared" si="497"/>
        <v>0</v>
      </c>
      <c r="G1733" s="347">
        <f t="shared" si="498"/>
        <v>0</v>
      </c>
    </row>
    <row r="1734" spans="1:7" ht="18.95" customHeight="1" x14ac:dyDescent="0.2">
      <c r="A1734" s="348" t="str">
        <f t="shared" si="494"/>
        <v/>
      </c>
      <c r="B1734" s="290" t="str">
        <f t="shared" si="495"/>
        <v/>
      </c>
      <c r="C1734" s="290"/>
      <c r="D1734" s="608">
        <f t="shared" si="496"/>
        <v>0</v>
      </c>
      <c r="E1734" s="293"/>
      <c r="F1734" s="346">
        <f t="shared" si="497"/>
        <v>0</v>
      </c>
      <c r="G1734" s="347">
        <f t="shared" si="498"/>
        <v>0</v>
      </c>
    </row>
    <row r="1735" spans="1:7" ht="18.95" customHeight="1" x14ac:dyDescent="0.2">
      <c r="A1735" s="348" t="str">
        <f t="shared" si="494"/>
        <v/>
      </c>
      <c r="B1735" s="290" t="str">
        <f t="shared" si="495"/>
        <v/>
      </c>
      <c r="C1735" s="290"/>
      <c r="D1735" s="608">
        <f t="shared" si="496"/>
        <v>0</v>
      </c>
      <c r="E1735" s="293"/>
      <c r="F1735" s="346">
        <f t="shared" si="497"/>
        <v>0</v>
      </c>
      <c r="G1735" s="347">
        <f t="shared" si="498"/>
        <v>0</v>
      </c>
    </row>
    <row r="1736" spans="1:7" s="295" customFormat="1" ht="18.95" customHeight="1" x14ac:dyDescent="0.2">
      <c r="A1736" s="348" t="str">
        <f t="shared" si="494"/>
        <v/>
      </c>
      <c r="B1736" s="290" t="str">
        <f t="shared" si="495"/>
        <v/>
      </c>
      <c r="C1736" s="290"/>
      <c r="D1736" s="608">
        <f t="shared" si="496"/>
        <v>0</v>
      </c>
      <c r="E1736" s="323"/>
      <c r="F1736" s="346">
        <f t="shared" si="497"/>
        <v>0</v>
      </c>
      <c r="G1736" s="347">
        <f t="shared" si="498"/>
        <v>0</v>
      </c>
    </row>
    <row r="1737" spans="1:7" ht="18.95" customHeight="1" x14ac:dyDescent="0.2">
      <c r="A1737" s="348" t="str">
        <f t="shared" si="494"/>
        <v/>
      </c>
      <c r="B1737" s="290" t="str">
        <f t="shared" si="495"/>
        <v/>
      </c>
      <c r="C1737" s="290"/>
      <c r="D1737" s="608">
        <f t="shared" si="496"/>
        <v>0</v>
      </c>
      <c r="E1737" s="293"/>
      <c r="F1737" s="346">
        <f t="shared" si="497"/>
        <v>0</v>
      </c>
      <c r="G1737" s="347">
        <f t="shared" si="498"/>
        <v>0</v>
      </c>
    </row>
    <row r="1738" spans="1:7" ht="18.95" customHeight="1" x14ac:dyDescent="0.2">
      <c r="A1738" s="348" t="str">
        <f t="shared" si="494"/>
        <v/>
      </c>
      <c r="B1738" s="290" t="str">
        <f t="shared" si="495"/>
        <v/>
      </c>
      <c r="C1738" s="290"/>
      <c r="D1738" s="608">
        <f t="shared" si="496"/>
        <v>0</v>
      </c>
      <c r="E1738" s="293"/>
      <c r="F1738" s="346">
        <f t="shared" si="497"/>
        <v>0</v>
      </c>
      <c r="G1738" s="347">
        <f t="shared" si="498"/>
        <v>0</v>
      </c>
    </row>
    <row r="1739" spans="1:7" ht="18.95" customHeight="1" x14ac:dyDescent="0.2">
      <c r="A1739" s="348" t="str">
        <f t="shared" si="494"/>
        <v/>
      </c>
      <c r="B1739" s="290" t="str">
        <f t="shared" si="495"/>
        <v/>
      </c>
      <c r="C1739" s="290"/>
      <c r="D1739" s="608">
        <f t="shared" si="496"/>
        <v>0</v>
      </c>
      <c r="E1739" s="293"/>
      <c r="F1739" s="346">
        <f t="shared" si="497"/>
        <v>0</v>
      </c>
      <c r="G1739" s="347">
        <f t="shared" si="498"/>
        <v>0</v>
      </c>
    </row>
    <row r="1740" spans="1:7" ht="18.95" customHeight="1" x14ac:dyDescent="0.2">
      <c r="A1740" s="348" t="str">
        <f t="shared" si="494"/>
        <v/>
      </c>
      <c r="B1740" s="290" t="str">
        <f t="shared" si="495"/>
        <v/>
      </c>
      <c r="C1740" s="290"/>
      <c r="D1740" s="608">
        <f t="shared" si="496"/>
        <v>0</v>
      </c>
      <c r="E1740" s="293"/>
      <c r="F1740" s="346">
        <f t="shared" si="497"/>
        <v>0</v>
      </c>
      <c r="G1740" s="347">
        <f t="shared" si="498"/>
        <v>0</v>
      </c>
    </row>
    <row r="1741" spans="1:7" ht="18.95" customHeight="1" x14ac:dyDescent="0.2">
      <c r="A1741" s="156"/>
      <c r="B1741" s="142"/>
      <c r="C1741" s="142"/>
      <c r="D1741" s="150"/>
      <c r="E1741" s="143"/>
      <c r="F1741" s="356" t="s">
        <v>31</v>
      </c>
      <c r="G1741" s="355">
        <f>SUBTOTAL(9,G1729:G1740)</f>
        <v>0</v>
      </c>
    </row>
    <row r="1742" spans="1:7" ht="18.95" customHeight="1" x14ac:dyDescent="0.2">
      <c r="A1742" s="156"/>
      <c r="B1742" s="142"/>
      <c r="C1742" s="157" t="s">
        <v>1048</v>
      </c>
      <c r="D1742" s="150"/>
      <c r="E1742" s="327"/>
      <c r="F1742" s="327"/>
      <c r="G1742" s="342"/>
    </row>
    <row r="1743" spans="1:7" ht="18.95" customHeight="1" x14ac:dyDescent="0.2">
      <c r="A1743" s="735" t="s">
        <v>582</v>
      </c>
      <c r="B1743" s="736"/>
      <c r="C1743" s="737" t="s">
        <v>0</v>
      </c>
      <c r="D1743" s="739" t="s">
        <v>1750</v>
      </c>
      <c r="E1743" s="741" t="s">
        <v>26</v>
      </c>
      <c r="F1743" s="741" t="s">
        <v>27</v>
      </c>
      <c r="G1743" s="733" t="s">
        <v>28</v>
      </c>
    </row>
    <row r="1744" spans="1:7" ht="18.95" customHeight="1" x14ac:dyDescent="0.2">
      <c r="A1744" s="154" t="s">
        <v>583</v>
      </c>
      <c r="B1744" s="155" t="s">
        <v>584</v>
      </c>
      <c r="C1744" s="738"/>
      <c r="D1744" s="740"/>
      <c r="E1744" s="742"/>
      <c r="F1744" s="742"/>
      <c r="G1744" s="734"/>
    </row>
    <row r="1745" spans="1:8" ht="18.95" customHeight="1" x14ac:dyDescent="0.2">
      <c r="A1745" s="348" t="str">
        <f>IFERROR(VLOOKUP(C1745,Tabla_Insumos,4,FALSE),"")</f>
        <v/>
      </c>
      <c r="B1745" s="290" t="s">
        <v>4</v>
      </c>
      <c r="C1745" s="290"/>
      <c r="D1745" s="293"/>
      <c r="E1745" s="322"/>
      <c r="F1745" s="324"/>
      <c r="G1745" s="347">
        <f t="shared" ref="G1745" si="499">ROUND(E1745*F1745,2)</f>
        <v>0</v>
      </c>
    </row>
    <row r="1746" spans="1:8" ht="18.95" customHeight="1" x14ac:dyDescent="0.2">
      <c r="A1746" s="156"/>
      <c r="B1746" s="142"/>
      <c r="C1746" s="142"/>
      <c r="D1746" s="150"/>
      <c r="E1746" s="143"/>
      <c r="F1746" s="356" t="s">
        <v>1049</v>
      </c>
      <c r="G1746" s="355">
        <f>SUBTOTAL(9,G1745:G1745)</f>
        <v>0</v>
      </c>
    </row>
    <row r="1747" spans="1:8" ht="18.95" customHeight="1" thickBot="1" x14ac:dyDescent="0.25">
      <c r="A1747" s="158"/>
      <c r="B1747" s="159"/>
      <c r="C1747" s="160"/>
      <c r="D1747" s="161"/>
      <c r="E1747" s="357"/>
      <c r="F1747" s="357"/>
      <c r="G1747" s="358"/>
    </row>
    <row r="1748" spans="1:8" ht="18.95" customHeight="1" x14ac:dyDescent="0.2">
      <c r="A1748" s="359" t="str">
        <f>B1687</f>
        <v>24.b</v>
      </c>
      <c r="B1748" s="360" t="str">
        <f>C1687</f>
        <v xml:space="preserve">   Por Extrusión</v>
      </c>
      <c r="C1748" s="361"/>
      <c r="D1748" s="361"/>
      <c r="E1748" s="361" t="s">
        <v>1050</v>
      </c>
      <c r="F1748" s="362" t="str">
        <f>CONCATENATE("$/",G1687)</f>
        <v>$/m2</v>
      </c>
      <c r="G1748" s="363">
        <f>SUBTOTAL(9,G1707:G1747)</f>
        <v>0</v>
      </c>
    </row>
    <row r="1749" spans="1:8" ht="18.95" customHeight="1" thickBot="1" x14ac:dyDescent="0.25">
      <c r="A1749" s="364"/>
      <c r="B1749" s="365"/>
      <c r="C1749" s="365"/>
      <c r="D1749" s="365"/>
      <c r="E1749" s="366" t="s">
        <v>1051</v>
      </c>
      <c r="F1749" s="367" t="str">
        <f>CONCATENATE("$/",G1687)</f>
        <v>$/m2</v>
      </c>
      <c r="G1749" s="368" t="e">
        <f ca="1">PrecioUnitario(G1748,GG_Porcentaje,Beneficio,Ingresos_Brutos,IVA)</f>
        <v>#NAME?</v>
      </c>
    </row>
    <row r="1750" spans="1:8" ht="18.95" customHeight="1" thickTop="1" thickBot="1" x14ac:dyDescent="0.25">
      <c r="F1750" s="294"/>
      <c r="G1750" s="294"/>
    </row>
    <row r="1751" spans="1:8" ht="18.95" customHeight="1" thickTop="1" x14ac:dyDescent="0.2">
      <c r="A1751" s="194" t="s">
        <v>33</v>
      </c>
      <c r="B1751" s="195"/>
      <c r="C1751" s="195"/>
      <c r="D1751" s="195"/>
      <c r="E1751" s="195"/>
      <c r="F1751" s="195"/>
      <c r="G1751" s="196"/>
      <c r="H1751" s="143">
        <f>COUNTIF($A$1:A1757,"ANALISIS DE PRECIOS")</f>
        <v>26</v>
      </c>
    </row>
    <row r="1752" spans="1:8" ht="18.95" customHeight="1" x14ac:dyDescent="0.2">
      <c r="A1752" s="144" t="s">
        <v>720</v>
      </c>
      <c r="B1752" s="145" t="str">
        <f>Comitente</f>
        <v>DIRECCIÓN PROVINCIAL DE VIALIDAD</v>
      </c>
      <c r="C1752" s="139"/>
      <c r="D1752" s="146"/>
      <c r="E1752" s="325"/>
      <c r="F1752" s="325"/>
      <c r="G1752" s="326"/>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PAVIMENTACION Y ENSANCHE DE RUTA PROVINCIAL N°7 AV. JOAQUIN UÑAC</v>
      </c>
      <c r="C1754" s="140"/>
      <c r="D1754" s="140"/>
      <c r="E1754" s="143"/>
      <c r="F1754" s="145" t="s">
        <v>34</v>
      </c>
      <c r="G1754" s="147">
        <f>Fecha_Base</f>
        <v>43444</v>
      </c>
      <c r="H1754" s="143"/>
    </row>
    <row r="1755" spans="1:8" ht="18.95" customHeight="1" x14ac:dyDescent="0.2">
      <c r="A1755" s="148" t="s">
        <v>719</v>
      </c>
      <c r="B1755" s="141" t="str">
        <f>Ubicación</f>
        <v>DEPARTAMENTO POCITO</v>
      </c>
      <c r="C1755" s="141"/>
      <c r="D1755" s="150"/>
      <c r="E1755" s="143"/>
      <c r="F1755" s="327"/>
      <c r="G1755" s="328"/>
      <c r="H1755" s="143"/>
    </row>
    <row r="1756" spans="1:8" ht="18.95" customHeight="1" x14ac:dyDescent="0.2">
      <c r="A1756" s="148" t="s">
        <v>35</v>
      </c>
      <c r="B1756" s="151" t="str">
        <f>IFERROR(VALUE(LEFT(B1757,FIND("-",B1757)-1)),"")</f>
        <v/>
      </c>
      <c r="C1756" s="142" t="str">
        <f>IFERROR(VLOOKUP(B1756,Tabla_CyP,2,FALSE),"")</f>
        <v/>
      </c>
      <c r="D1756" s="150"/>
      <c r="E1756" s="143"/>
      <c r="F1756" s="327"/>
      <c r="G1756" s="328"/>
      <c r="H1756" s="143"/>
    </row>
    <row r="1757" spans="1:8" ht="18.95" customHeight="1" x14ac:dyDescent="0.2">
      <c r="A1757" s="148" t="s">
        <v>24</v>
      </c>
      <c r="B1757" s="152">
        <f>IFERROR(VLOOKUP(COUNTIF($A$1:A1757,"ANALISIS DE PRECIOS"),Tabla_NumeroItem,4,FALSE),"")</f>
        <v>25</v>
      </c>
      <c r="C1757" s="745" t="str">
        <f>IFERROR(VLOOKUP(B1757,Tabla_CyP,2,FALSE),"")</f>
        <v>DEMOLICIÓN DE CANAL DE HORMIGÓN Y OBRAS COMPLEMENTARIAS</v>
      </c>
      <c r="D1757" s="745"/>
      <c r="E1757" s="745"/>
      <c r="F1757" s="141" t="s">
        <v>25</v>
      </c>
      <c r="G1757" s="153" t="str">
        <f>IFERROR(VLOOKUP(B1757,Tabla_CyP,4,FALSE),"")</f>
        <v>m</v>
      </c>
      <c r="H1757" s="143"/>
    </row>
    <row r="1758" spans="1:8" ht="18.95" customHeight="1" x14ac:dyDescent="0.2">
      <c r="A1758" s="148"/>
      <c r="B1758" s="141"/>
      <c r="C1758" s="142"/>
      <c r="D1758" s="150"/>
      <c r="E1758" s="142"/>
      <c r="F1758" s="142"/>
      <c r="G1758" s="329"/>
      <c r="H1758" s="143"/>
    </row>
    <row r="1759" spans="1:8" ht="18.95" customHeight="1" x14ac:dyDescent="0.2">
      <c r="A1759" s="330"/>
      <c r="B1759" s="331"/>
      <c r="C1759" s="332" t="s">
        <v>1032</v>
      </c>
      <c r="D1759" s="331"/>
      <c r="E1759" s="331"/>
      <c r="F1759" s="331"/>
      <c r="G1759" s="333"/>
      <c r="H1759" s="143"/>
    </row>
    <row r="1760" spans="1:8" ht="18.95" customHeight="1" x14ac:dyDescent="0.2">
      <c r="A1760" s="148"/>
      <c r="B1760" s="334"/>
      <c r="C1760" s="335" t="s">
        <v>1033</v>
      </c>
      <c r="D1760" s="336" t="s">
        <v>26</v>
      </c>
      <c r="E1760" s="336" t="s">
        <v>1034</v>
      </c>
      <c r="F1760" s="336" t="s">
        <v>1035</v>
      </c>
      <c r="G1760" s="337" t="s">
        <v>1036</v>
      </c>
      <c r="H1760" s="143"/>
    </row>
    <row r="1761" spans="1:7" ht="18.95" customHeight="1" x14ac:dyDescent="0.2">
      <c r="A1761" s="343"/>
      <c r="B1761" s="344"/>
      <c r="C1761" s="290"/>
      <c r="D1761" s="293"/>
      <c r="E1761" s="345"/>
      <c r="F1761" s="346"/>
      <c r="G1761" s="347">
        <f t="shared" ref="G1761:G1770" si="500">ROUND(D1761*F1761,2)</f>
        <v>0</v>
      </c>
    </row>
    <row r="1762" spans="1:7" ht="18.95" customHeight="1" x14ac:dyDescent="0.2">
      <c r="A1762" s="343"/>
      <c r="B1762" s="344"/>
      <c r="C1762" s="290"/>
      <c r="D1762" s="293"/>
      <c r="E1762" s="345"/>
      <c r="F1762" s="346"/>
      <c r="G1762" s="347">
        <f t="shared" si="500"/>
        <v>0</v>
      </c>
    </row>
    <row r="1763" spans="1:7" ht="18.95" customHeight="1" x14ac:dyDescent="0.2">
      <c r="A1763" s="343"/>
      <c r="B1763" s="344"/>
      <c r="C1763" s="290"/>
      <c r="D1763" s="293"/>
      <c r="E1763" s="345">
        <f t="shared" ref="E1763:E1770" si="501">IFERROR(VLOOKUP(C1763,T_Equipos,4,FALSE),0)</f>
        <v>0</v>
      </c>
      <c r="F1763" s="346">
        <f t="shared" ref="F1763:F1770" si="502">IFERROR(VLOOKUP(C1763,T_Equipos,11,FALSE),0)</f>
        <v>0</v>
      </c>
      <c r="G1763" s="347">
        <f t="shared" si="500"/>
        <v>0</v>
      </c>
    </row>
    <row r="1764" spans="1:7" ht="18.95" customHeight="1" x14ac:dyDescent="0.2">
      <c r="A1764" s="343"/>
      <c r="B1764" s="344"/>
      <c r="C1764" s="290"/>
      <c r="D1764" s="293"/>
      <c r="E1764" s="345">
        <f t="shared" si="501"/>
        <v>0</v>
      </c>
      <c r="F1764" s="346">
        <f t="shared" si="502"/>
        <v>0</v>
      </c>
      <c r="G1764" s="347">
        <f t="shared" si="500"/>
        <v>0</v>
      </c>
    </row>
    <row r="1765" spans="1:7" ht="18.95" customHeight="1" x14ac:dyDescent="0.2">
      <c r="A1765" s="343"/>
      <c r="B1765" s="344"/>
      <c r="C1765" s="290"/>
      <c r="D1765" s="293"/>
      <c r="E1765" s="345">
        <f t="shared" si="501"/>
        <v>0</v>
      </c>
      <c r="F1765" s="346">
        <f t="shared" si="502"/>
        <v>0</v>
      </c>
      <c r="G1765" s="347">
        <f t="shared" si="500"/>
        <v>0</v>
      </c>
    </row>
    <row r="1766" spans="1:7" ht="18.95" customHeight="1" x14ac:dyDescent="0.2">
      <c r="A1766" s="343"/>
      <c r="B1766" s="344"/>
      <c r="C1766" s="290"/>
      <c r="D1766" s="293"/>
      <c r="E1766" s="345">
        <f t="shared" si="501"/>
        <v>0</v>
      </c>
      <c r="F1766" s="346">
        <f t="shared" si="502"/>
        <v>0</v>
      </c>
      <c r="G1766" s="347">
        <f t="shared" si="500"/>
        <v>0</v>
      </c>
    </row>
    <row r="1767" spans="1:7" ht="18.95" customHeight="1" x14ac:dyDescent="0.2">
      <c r="A1767" s="343"/>
      <c r="B1767" s="344"/>
      <c r="C1767" s="290"/>
      <c r="D1767" s="293"/>
      <c r="E1767" s="345">
        <f t="shared" si="501"/>
        <v>0</v>
      </c>
      <c r="F1767" s="346">
        <f t="shared" si="502"/>
        <v>0</v>
      </c>
      <c r="G1767" s="347">
        <f t="shared" si="500"/>
        <v>0</v>
      </c>
    </row>
    <row r="1768" spans="1:7" ht="18.95" customHeight="1" x14ac:dyDescent="0.2">
      <c r="A1768" s="343"/>
      <c r="B1768" s="344"/>
      <c r="C1768" s="290"/>
      <c r="D1768" s="293"/>
      <c r="E1768" s="345">
        <f t="shared" si="501"/>
        <v>0</v>
      </c>
      <c r="F1768" s="346">
        <f t="shared" si="502"/>
        <v>0</v>
      </c>
      <c r="G1768" s="347">
        <f t="shared" si="500"/>
        <v>0</v>
      </c>
    </row>
    <row r="1769" spans="1:7" ht="18.95" customHeight="1" x14ac:dyDescent="0.2">
      <c r="A1769" s="343"/>
      <c r="B1769" s="344"/>
      <c r="C1769" s="290"/>
      <c r="D1769" s="293"/>
      <c r="E1769" s="345">
        <f t="shared" si="501"/>
        <v>0</v>
      </c>
      <c r="F1769" s="346">
        <f t="shared" si="502"/>
        <v>0</v>
      </c>
      <c r="G1769" s="347">
        <f t="shared" si="500"/>
        <v>0</v>
      </c>
    </row>
    <row r="1770" spans="1:7" ht="18.95" customHeight="1" thickBot="1" x14ac:dyDescent="0.25">
      <c r="A1770" s="343"/>
      <c r="B1770" s="344"/>
      <c r="C1770" s="290"/>
      <c r="D1770" s="293"/>
      <c r="E1770" s="345">
        <f t="shared" si="501"/>
        <v>0</v>
      </c>
      <c r="F1770" s="346">
        <f t="shared" si="502"/>
        <v>0</v>
      </c>
      <c r="G1770" s="347">
        <f t="shared" si="500"/>
        <v>0</v>
      </c>
    </row>
    <row r="1771" spans="1:7" ht="18.95" customHeight="1" thickBot="1" x14ac:dyDescent="0.25">
      <c r="A1771" s="148"/>
      <c r="B1771" s="334"/>
      <c r="C1771" s="143"/>
      <c r="D1771" s="146" t="s">
        <v>1037</v>
      </c>
      <c r="E1771" s="338">
        <f>SUMPRODUCT(D1761:D1770,E1761:E1770)</f>
        <v>0</v>
      </c>
      <c r="F1771" s="141" t="s">
        <v>1038</v>
      </c>
      <c r="G1771" s="339">
        <f>SUM(G1761:G1770)</f>
        <v>0</v>
      </c>
    </row>
    <row r="1772" spans="1:7" ht="18.95" customHeight="1" x14ac:dyDescent="0.2">
      <c r="A1772" s="148"/>
      <c r="B1772" s="334"/>
      <c r="C1772" s="141" t="s">
        <v>1039</v>
      </c>
      <c r="D1772" s="320"/>
      <c r="E1772" s="340" t="str">
        <f>CONCATENATE(G1757,"/día")</f>
        <v>m/día</v>
      </c>
      <c r="F1772" s="141"/>
      <c r="G1772" s="341"/>
    </row>
    <row r="1773" spans="1:7" ht="18.95" customHeight="1" x14ac:dyDescent="0.2">
      <c r="A1773" s="148"/>
      <c r="B1773" s="334"/>
      <c r="C1773" s="142"/>
      <c r="D1773" s="150"/>
      <c r="E1773" s="141"/>
      <c r="F1773" s="141"/>
      <c r="G1773" s="341"/>
    </row>
    <row r="1774" spans="1:7" ht="18.95" customHeight="1" x14ac:dyDescent="0.2">
      <c r="A1774" s="735" t="s">
        <v>582</v>
      </c>
      <c r="B1774" s="736"/>
      <c r="C1774" s="737" t="s">
        <v>0</v>
      </c>
      <c r="D1774" s="743" t="s">
        <v>1053</v>
      </c>
      <c r="E1774" s="743" t="s">
        <v>1706</v>
      </c>
      <c r="F1774" s="743" t="s">
        <v>1054</v>
      </c>
      <c r="G1774" s="743" t="s">
        <v>1055</v>
      </c>
    </row>
    <row r="1775" spans="1:7" ht="18.95" customHeight="1" x14ac:dyDescent="0.2">
      <c r="A1775" s="154" t="s">
        <v>583</v>
      </c>
      <c r="B1775" s="155" t="s">
        <v>584</v>
      </c>
      <c r="C1775" s="738"/>
      <c r="D1775" s="742"/>
      <c r="E1775" s="742"/>
      <c r="F1775" s="744"/>
      <c r="G1775" s="742"/>
    </row>
    <row r="1776" spans="1:7" ht="18.95" customHeight="1" x14ac:dyDescent="0.2">
      <c r="A1776" s="156"/>
      <c r="B1776" s="142"/>
      <c r="C1776" s="157" t="s">
        <v>1041</v>
      </c>
      <c r="D1776" s="150"/>
      <c r="E1776" s="142"/>
      <c r="F1776" s="142"/>
      <c r="G1776" s="342"/>
    </row>
    <row r="1777" spans="1:7" ht="18.95" customHeight="1" x14ac:dyDescent="0.2">
      <c r="A1777" s="348" t="str">
        <f t="shared" ref="A1777:A1784" si="503">IFERROR(VLOOKUP(C1777,Tabla_Insumos,4,FALSE),"")</f>
        <v/>
      </c>
      <c r="B1777" s="290" t="str">
        <f t="shared" ref="B1777:B1784" si="504">IFERROR(VLOOKUP(C1777,Tabla_Insumos,5,FALSE),"")</f>
        <v/>
      </c>
      <c r="C1777" s="290"/>
      <c r="D1777" s="607">
        <f t="shared" ref="D1777:D1784" si="505">IFERROR(VLOOKUP(C1777,Tabla_Insumos,3,FALSE),0)</f>
        <v>0</v>
      </c>
      <c r="E1777" s="349">
        <f>D1777*$G$21</f>
        <v>0</v>
      </c>
      <c r="F1777" s="350">
        <f>IF(C1777="",0,D1772)</f>
        <v>0</v>
      </c>
      <c r="G1777" s="347">
        <f>IFERROR(ROUND(E1777/F1777,2),0)</f>
        <v>0</v>
      </c>
    </row>
    <row r="1778" spans="1:7" ht="18.95" customHeight="1" x14ac:dyDescent="0.2">
      <c r="A1778" s="348" t="str">
        <f t="shared" si="503"/>
        <v/>
      </c>
      <c r="B1778" s="290" t="str">
        <f t="shared" si="504"/>
        <v/>
      </c>
      <c r="C1778" s="321"/>
      <c r="D1778" s="607">
        <f t="shared" si="505"/>
        <v>0</v>
      </c>
      <c r="E1778" s="349">
        <f t="shared" ref="E1778:E1779" si="506">D1778*$G$21</f>
        <v>0</v>
      </c>
      <c r="F1778" s="350">
        <f t="shared" ref="F1778:F1781" si="507">IF(C1778="",0,F1777)</f>
        <v>0</v>
      </c>
      <c r="G1778" s="347">
        <f t="shared" ref="G1778:G1784" si="508">IFERROR(ROUND(E1778/F1778,2),0)</f>
        <v>0</v>
      </c>
    </row>
    <row r="1779" spans="1:7" ht="18.95" customHeight="1" x14ac:dyDescent="0.2">
      <c r="A1779" s="348" t="str">
        <f t="shared" si="503"/>
        <v/>
      </c>
      <c r="B1779" s="290" t="str">
        <f t="shared" si="504"/>
        <v/>
      </c>
      <c r="C1779" s="321"/>
      <c r="D1779" s="607">
        <f t="shared" si="505"/>
        <v>0</v>
      </c>
      <c r="E1779" s="349">
        <f t="shared" si="506"/>
        <v>0</v>
      </c>
      <c r="F1779" s="350">
        <f t="shared" si="507"/>
        <v>0</v>
      </c>
      <c r="G1779" s="347">
        <f t="shared" si="508"/>
        <v>0</v>
      </c>
    </row>
    <row r="1780" spans="1:7" ht="18.95" customHeight="1" x14ac:dyDescent="0.2">
      <c r="A1780" s="348" t="str">
        <f t="shared" si="503"/>
        <v/>
      </c>
      <c r="B1780" s="290" t="str">
        <f t="shared" si="504"/>
        <v/>
      </c>
      <c r="C1780" s="321"/>
      <c r="D1780" s="607">
        <f t="shared" si="505"/>
        <v>0</v>
      </c>
      <c r="E1780" s="349">
        <f>D1780*$E$21</f>
        <v>0</v>
      </c>
      <c r="F1780" s="350">
        <f t="shared" si="507"/>
        <v>0</v>
      </c>
      <c r="G1780" s="347">
        <f t="shared" si="508"/>
        <v>0</v>
      </c>
    </row>
    <row r="1781" spans="1:7" ht="18.95" customHeight="1" x14ac:dyDescent="0.2">
      <c r="A1781" s="348" t="str">
        <f t="shared" si="503"/>
        <v/>
      </c>
      <c r="B1781" s="290" t="str">
        <f t="shared" si="504"/>
        <v/>
      </c>
      <c r="C1781" s="321"/>
      <c r="D1781" s="607">
        <f t="shared" si="505"/>
        <v>0</v>
      </c>
      <c r="E1781" s="349">
        <f>D1781*$E$21</f>
        <v>0</v>
      </c>
      <c r="F1781" s="350">
        <f t="shared" si="507"/>
        <v>0</v>
      </c>
      <c r="G1781" s="347">
        <f t="shared" si="508"/>
        <v>0</v>
      </c>
    </row>
    <row r="1782" spans="1:7" ht="18.95" customHeight="1" x14ac:dyDescent="0.2">
      <c r="A1782" s="348" t="str">
        <f t="shared" si="503"/>
        <v/>
      </c>
      <c r="B1782" s="290" t="str">
        <f t="shared" si="504"/>
        <v/>
      </c>
      <c r="C1782" s="321"/>
      <c r="D1782" s="607">
        <f t="shared" si="505"/>
        <v>0</v>
      </c>
      <c r="E1782" s="349"/>
      <c r="F1782" s="350">
        <f>IF(C1782="",0,F1781)</f>
        <v>0</v>
      </c>
      <c r="G1782" s="347">
        <f t="shared" si="508"/>
        <v>0</v>
      </c>
    </row>
    <row r="1783" spans="1:7" ht="18.95" customHeight="1" x14ac:dyDescent="0.2">
      <c r="A1783" s="348" t="str">
        <f t="shared" si="503"/>
        <v/>
      </c>
      <c r="B1783" s="290" t="str">
        <f t="shared" si="504"/>
        <v/>
      </c>
      <c r="C1783" s="321"/>
      <c r="D1783" s="607">
        <f t="shared" si="505"/>
        <v>0</v>
      </c>
      <c r="E1783" s="349"/>
      <c r="F1783" s="350">
        <f t="shared" ref="F1783:F1784" si="509">IF(C1783="",0,F1782)</f>
        <v>0</v>
      </c>
      <c r="G1783" s="347">
        <f t="shared" si="508"/>
        <v>0</v>
      </c>
    </row>
    <row r="1784" spans="1:7" ht="18.95" customHeight="1" x14ac:dyDescent="0.2">
      <c r="A1784" s="348" t="str">
        <f t="shared" si="503"/>
        <v/>
      </c>
      <c r="B1784" s="290" t="str">
        <f t="shared" si="504"/>
        <v/>
      </c>
      <c r="C1784" s="321"/>
      <c r="D1784" s="607">
        <f t="shared" si="505"/>
        <v>0</v>
      </c>
      <c r="E1784" s="349"/>
      <c r="F1784" s="350">
        <f t="shared" si="509"/>
        <v>0</v>
      </c>
      <c r="G1784" s="347">
        <f t="shared" si="508"/>
        <v>0</v>
      </c>
    </row>
    <row r="1785" spans="1:7" ht="18.95" customHeight="1" x14ac:dyDescent="0.2">
      <c r="A1785" s="353"/>
      <c r="B1785" s="149"/>
      <c r="C1785" s="142"/>
      <c r="D1785" s="150"/>
      <c r="E1785" s="143"/>
      <c r="F1785" s="354" t="s">
        <v>29</v>
      </c>
      <c r="G1785" s="355">
        <f>SUBTOTAL(9,G1777:G1784)</f>
        <v>0</v>
      </c>
    </row>
    <row r="1786" spans="1:7" ht="18.95" customHeight="1" x14ac:dyDescent="0.2">
      <c r="A1786" s="156"/>
      <c r="B1786" s="142"/>
      <c r="C1786" s="157" t="s">
        <v>722</v>
      </c>
      <c r="D1786" s="150"/>
      <c r="E1786" s="327"/>
      <c r="F1786" s="327"/>
      <c r="G1786" s="342"/>
    </row>
    <row r="1787" spans="1:7" ht="18.95" customHeight="1" x14ac:dyDescent="0.2">
      <c r="A1787" s="735" t="s">
        <v>582</v>
      </c>
      <c r="B1787" s="736"/>
      <c r="C1787" s="737" t="s">
        <v>0</v>
      </c>
      <c r="D1787" s="739" t="s">
        <v>26</v>
      </c>
      <c r="E1787" s="743" t="s">
        <v>1707</v>
      </c>
      <c r="F1787" s="741" t="s">
        <v>1040</v>
      </c>
      <c r="G1787" s="733" t="s">
        <v>28</v>
      </c>
    </row>
    <row r="1788" spans="1:7" ht="18.95" customHeight="1" x14ac:dyDescent="0.2">
      <c r="A1788" s="154" t="s">
        <v>583</v>
      </c>
      <c r="B1788" s="155" t="s">
        <v>584</v>
      </c>
      <c r="C1788" s="738"/>
      <c r="D1788" s="740"/>
      <c r="E1788" s="742"/>
      <c r="F1788" s="742"/>
      <c r="G1788" s="734"/>
    </row>
    <row r="1789" spans="1:7" ht="18.95" customHeight="1" x14ac:dyDescent="0.2">
      <c r="A1789" s="348" t="str">
        <f t="shared" ref="A1789:A1794" si="510">IFERROR(VLOOKUP(C1789,Tabla_Insumos,4,FALSE),"")</f>
        <v/>
      </c>
      <c r="B1789" s="290" t="str">
        <f t="shared" ref="B1789:B1794" si="511">IFERROR(VLOOKUP(C1789,Tabla_Insumos,5,FALSE),"")</f>
        <v/>
      </c>
      <c r="C1789" s="291"/>
      <c r="D1789" s="293"/>
      <c r="E1789" s="346">
        <f t="shared" ref="E1789:E1794" si="512">IFERROR(VLOOKUP(C1789,Tabla_Insumos,3,FALSE),0)</f>
        <v>0</v>
      </c>
      <c r="F1789" s="349">
        <f>IF(C1789="",0,D1772)</f>
        <v>0</v>
      </c>
      <c r="G1789" s="347">
        <f t="shared" ref="G1789:G1794" si="513">IFERROR(ROUND(D1789*E1789/F1789,2),0)</f>
        <v>0</v>
      </c>
    </row>
    <row r="1790" spans="1:7" ht="18.95" customHeight="1" x14ac:dyDescent="0.2">
      <c r="A1790" s="348" t="str">
        <f t="shared" si="510"/>
        <v/>
      </c>
      <c r="B1790" s="290" t="str">
        <f t="shared" si="511"/>
        <v/>
      </c>
      <c r="C1790" s="290"/>
      <c r="D1790" s="293"/>
      <c r="E1790" s="346">
        <f t="shared" si="512"/>
        <v>0</v>
      </c>
      <c r="F1790" s="349">
        <f>IF(C1790="",0,F1789)</f>
        <v>0</v>
      </c>
      <c r="G1790" s="347">
        <f t="shared" si="513"/>
        <v>0</v>
      </c>
    </row>
    <row r="1791" spans="1:7" ht="18.95" customHeight="1" x14ac:dyDescent="0.2">
      <c r="A1791" s="348" t="str">
        <f t="shared" si="510"/>
        <v/>
      </c>
      <c r="B1791" s="290" t="str">
        <f t="shared" si="511"/>
        <v/>
      </c>
      <c r="C1791" s="290"/>
      <c r="D1791" s="293"/>
      <c r="E1791" s="346">
        <f t="shared" si="512"/>
        <v>0</v>
      </c>
      <c r="F1791" s="349">
        <f>IF(C1791="",0,F1790)</f>
        <v>0</v>
      </c>
      <c r="G1791" s="347">
        <f t="shared" si="513"/>
        <v>0</v>
      </c>
    </row>
    <row r="1792" spans="1:7" ht="18.95" customHeight="1" x14ac:dyDescent="0.2">
      <c r="A1792" s="348" t="str">
        <f t="shared" si="510"/>
        <v/>
      </c>
      <c r="B1792" s="290" t="str">
        <f t="shared" si="511"/>
        <v/>
      </c>
      <c r="C1792" s="290"/>
      <c r="D1792" s="293"/>
      <c r="E1792" s="346">
        <f t="shared" si="512"/>
        <v>0</v>
      </c>
      <c r="F1792" s="349">
        <f>IF(C1792="",0,F1791)</f>
        <v>0</v>
      </c>
      <c r="G1792" s="347">
        <f t="shared" si="513"/>
        <v>0</v>
      </c>
    </row>
    <row r="1793" spans="1:7" ht="18.95" customHeight="1" x14ac:dyDescent="0.2">
      <c r="A1793" s="348" t="str">
        <f t="shared" si="510"/>
        <v/>
      </c>
      <c r="B1793" s="290" t="str">
        <f t="shared" si="511"/>
        <v/>
      </c>
      <c r="C1793" s="290"/>
      <c r="D1793" s="351"/>
      <c r="E1793" s="346">
        <f t="shared" si="512"/>
        <v>0</v>
      </c>
      <c r="F1793" s="349">
        <f>IF(C1793="",0,F1792)</f>
        <v>0</v>
      </c>
      <c r="G1793" s="347">
        <f t="shared" si="513"/>
        <v>0</v>
      </c>
    </row>
    <row r="1794" spans="1:7" ht="18.95" customHeight="1" x14ac:dyDescent="0.2">
      <c r="A1794" s="348" t="str">
        <f t="shared" si="510"/>
        <v/>
      </c>
      <c r="B1794" s="290" t="str">
        <f t="shared" si="511"/>
        <v/>
      </c>
      <c r="C1794" s="290"/>
      <c r="D1794" s="293"/>
      <c r="E1794" s="346">
        <f t="shared" si="512"/>
        <v>0</v>
      </c>
      <c r="F1794" s="349">
        <f>IF(C1794="",0,F1793)</f>
        <v>0</v>
      </c>
      <c r="G1794" s="347">
        <f t="shared" si="513"/>
        <v>0</v>
      </c>
    </row>
    <row r="1795" spans="1:7" ht="18.95" customHeight="1" x14ac:dyDescent="0.2">
      <c r="A1795" s="353"/>
      <c r="B1795" s="149"/>
      <c r="C1795" s="142"/>
      <c r="D1795" s="150"/>
      <c r="E1795" s="143"/>
      <c r="F1795" s="356" t="s">
        <v>30</v>
      </c>
      <c r="G1795" s="355">
        <f>SUBTOTAL(9,G1789:G1794)</f>
        <v>0</v>
      </c>
    </row>
    <row r="1796" spans="1:7" ht="18.95" customHeight="1" x14ac:dyDescent="0.2">
      <c r="A1796" s="156"/>
      <c r="B1796" s="142"/>
      <c r="C1796" s="157" t="s">
        <v>1047</v>
      </c>
      <c r="D1796" s="150"/>
      <c r="E1796" s="327"/>
      <c r="F1796" s="327"/>
      <c r="G1796" s="342"/>
    </row>
    <row r="1797" spans="1:7" ht="18.95" customHeight="1" x14ac:dyDescent="0.2">
      <c r="A1797" s="735" t="s">
        <v>582</v>
      </c>
      <c r="B1797" s="736"/>
      <c r="C1797" s="737" t="s">
        <v>0</v>
      </c>
      <c r="D1797" s="737" t="s">
        <v>1655</v>
      </c>
      <c r="E1797" s="737" t="s">
        <v>26</v>
      </c>
      <c r="F1797" s="737" t="s">
        <v>27</v>
      </c>
      <c r="G1797" s="733" t="s">
        <v>28</v>
      </c>
    </row>
    <row r="1798" spans="1:7" ht="18.95" customHeight="1" x14ac:dyDescent="0.2">
      <c r="A1798" s="154" t="s">
        <v>583</v>
      </c>
      <c r="B1798" s="155" t="s">
        <v>584</v>
      </c>
      <c r="C1798" s="738"/>
      <c r="D1798" s="738"/>
      <c r="E1798" s="738"/>
      <c r="F1798" s="738"/>
      <c r="G1798" s="734"/>
    </row>
    <row r="1799" spans="1:7" ht="18.95" customHeight="1" x14ac:dyDescent="0.2">
      <c r="A1799" s="348" t="str">
        <f t="shared" ref="A1799:A1810" si="514">IFERROR(VLOOKUP(C1799,Tabla_Insumos,4,FALSE),"")</f>
        <v/>
      </c>
      <c r="B1799" s="290" t="str">
        <f t="shared" ref="B1799:B1810" si="515">IFERROR(VLOOKUP(C1799,Tabla_Insumos,5,FALSE),"")</f>
        <v/>
      </c>
      <c r="C1799" s="290"/>
      <c r="D1799" s="608">
        <f t="shared" ref="D1799:D1810" si="516">IFERROR(VLOOKUP(C1799,Tabla_Insumos,2,FALSE),0)</f>
        <v>0</v>
      </c>
      <c r="E1799" s="293"/>
      <c r="F1799" s="346">
        <f t="shared" ref="F1799:F1810" si="517">IFERROR(VLOOKUP(C1799,Tabla_Insumos,3,FALSE),0)</f>
        <v>0</v>
      </c>
      <c r="G1799" s="347">
        <f t="shared" ref="G1799:G1810" si="518">ROUND(E1799*F1799,2)</f>
        <v>0</v>
      </c>
    </row>
    <row r="1800" spans="1:7" ht="18.95" customHeight="1" x14ac:dyDescent="0.2">
      <c r="A1800" s="348" t="str">
        <f t="shared" si="514"/>
        <v/>
      </c>
      <c r="B1800" s="290" t="str">
        <f t="shared" si="515"/>
        <v/>
      </c>
      <c r="C1800" s="126"/>
      <c r="D1800" s="608">
        <f t="shared" si="516"/>
        <v>0</v>
      </c>
      <c r="E1800" s="293"/>
      <c r="F1800" s="346">
        <f t="shared" si="517"/>
        <v>0</v>
      </c>
      <c r="G1800" s="347">
        <f t="shared" si="518"/>
        <v>0</v>
      </c>
    </row>
    <row r="1801" spans="1:7" ht="18.95" customHeight="1" x14ac:dyDescent="0.2">
      <c r="A1801" s="348" t="str">
        <f t="shared" si="514"/>
        <v/>
      </c>
      <c r="B1801" s="290" t="str">
        <f t="shared" si="515"/>
        <v/>
      </c>
      <c r="C1801" s="290"/>
      <c r="D1801" s="608">
        <f t="shared" si="516"/>
        <v>0</v>
      </c>
      <c r="E1801" s="293"/>
      <c r="F1801" s="346">
        <f t="shared" si="517"/>
        <v>0</v>
      </c>
      <c r="G1801" s="347">
        <f t="shared" si="518"/>
        <v>0</v>
      </c>
    </row>
    <row r="1802" spans="1:7" ht="18.95" customHeight="1" x14ac:dyDescent="0.2">
      <c r="A1802" s="348" t="str">
        <f t="shared" si="514"/>
        <v/>
      </c>
      <c r="B1802" s="290" t="str">
        <f t="shared" si="515"/>
        <v/>
      </c>
      <c r="C1802" s="290"/>
      <c r="D1802" s="608">
        <f t="shared" si="516"/>
        <v>0</v>
      </c>
      <c r="E1802" s="293"/>
      <c r="F1802" s="346">
        <f t="shared" si="517"/>
        <v>0</v>
      </c>
      <c r="G1802" s="347">
        <f t="shared" si="518"/>
        <v>0</v>
      </c>
    </row>
    <row r="1803" spans="1:7" ht="18.95" customHeight="1" x14ac:dyDescent="0.2">
      <c r="A1803" s="348" t="str">
        <f t="shared" si="514"/>
        <v/>
      </c>
      <c r="B1803" s="290" t="str">
        <f t="shared" si="515"/>
        <v/>
      </c>
      <c r="C1803" s="290"/>
      <c r="D1803" s="608">
        <f t="shared" si="516"/>
        <v>0</v>
      </c>
      <c r="E1803" s="293"/>
      <c r="F1803" s="346">
        <f t="shared" si="517"/>
        <v>0</v>
      </c>
      <c r="G1803" s="347">
        <f t="shared" si="518"/>
        <v>0</v>
      </c>
    </row>
    <row r="1804" spans="1:7" ht="18.95" customHeight="1" x14ac:dyDescent="0.2">
      <c r="A1804" s="348" t="str">
        <f t="shared" si="514"/>
        <v/>
      </c>
      <c r="B1804" s="290" t="str">
        <f t="shared" si="515"/>
        <v/>
      </c>
      <c r="C1804" s="290"/>
      <c r="D1804" s="608">
        <f t="shared" si="516"/>
        <v>0</v>
      </c>
      <c r="E1804" s="293"/>
      <c r="F1804" s="346">
        <f t="shared" si="517"/>
        <v>0</v>
      </c>
      <c r="G1804" s="347">
        <f t="shared" si="518"/>
        <v>0</v>
      </c>
    </row>
    <row r="1805" spans="1:7" ht="18.95" customHeight="1" x14ac:dyDescent="0.2">
      <c r="A1805" s="348" t="str">
        <f t="shared" si="514"/>
        <v/>
      </c>
      <c r="B1805" s="290" t="str">
        <f t="shared" si="515"/>
        <v/>
      </c>
      <c r="C1805" s="290"/>
      <c r="D1805" s="608">
        <f t="shared" si="516"/>
        <v>0</v>
      </c>
      <c r="E1805" s="293"/>
      <c r="F1805" s="346">
        <f t="shared" si="517"/>
        <v>0</v>
      </c>
      <c r="G1805" s="347">
        <f t="shared" si="518"/>
        <v>0</v>
      </c>
    </row>
    <row r="1806" spans="1:7" s="295" customFormat="1" ht="18.95" customHeight="1" x14ac:dyDescent="0.2">
      <c r="A1806" s="348" t="str">
        <f t="shared" si="514"/>
        <v/>
      </c>
      <c r="B1806" s="290" t="str">
        <f t="shared" si="515"/>
        <v/>
      </c>
      <c r="C1806" s="290"/>
      <c r="D1806" s="608">
        <f t="shared" si="516"/>
        <v>0</v>
      </c>
      <c r="E1806" s="323"/>
      <c r="F1806" s="346">
        <f t="shared" si="517"/>
        <v>0</v>
      </c>
      <c r="G1806" s="347">
        <f t="shared" si="518"/>
        <v>0</v>
      </c>
    </row>
    <row r="1807" spans="1:7" ht="18.95" customHeight="1" x14ac:dyDescent="0.2">
      <c r="A1807" s="348" t="str">
        <f t="shared" si="514"/>
        <v/>
      </c>
      <c r="B1807" s="290" t="str">
        <f t="shared" si="515"/>
        <v/>
      </c>
      <c r="C1807" s="290"/>
      <c r="D1807" s="608">
        <f t="shared" si="516"/>
        <v>0</v>
      </c>
      <c r="E1807" s="293"/>
      <c r="F1807" s="346">
        <f t="shared" si="517"/>
        <v>0</v>
      </c>
      <c r="G1807" s="347">
        <f t="shared" si="518"/>
        <v>0</v>
      </c>
    </row>
    <row r="1808" spans="1:7" ht="18.95" customHeight="1" x14ac:dyDescent="0.2">
      <c r="A1808" s="348" t="str">
        <f t="shared" si="514"/>
        <v/>
      </c>
      <c r="B1808" s="290" t="str">
        <f t="shared" si="515"/>
        <v/>
      </c>
      <c r="C1808" s="290"/>
      <c r="D1808" s="608">
        <f t="shared" si="516"/>
        <v>0</v>
      </c>
      <c r="E1808" s="293"/>
      <c r="F1808" s="346">
        <f t="shared" si="517"/>
        <v>0</v>
      </c>
      <c r="G1808" s="347">
        <f t="shared" si="518"/>
        <v>0</v>
      </c>
    </row>
    <row r="1809" spans="1:8" ht="18.95" customHeight="1" x14ac:dyDescent="0.2">
      <c r="A1809" s="348" t="str">
        <f t="shared" si="514"/>
        <v/>
      </c>
      <c r="B1809" s="290" t="str">
        <f t="shared" si="515"/>
        <v/>
      </c>
      <c r="C1809" s="290"/>
      <c r="D1809" s="608">
        <f t="shared" si="516"/>
        <v>0</v>
      </c>
      <c r="E1809" s="293"/>
      <c r="F1809" s="346">
        <f t="shared" si="517"/>
        <v>0</v>
      </c>
      <c r="G1809" s="347">
        <f t="shared" si="518"/>
        <v>0</v>
      </c>
    </row>
    <row r="1810" spans="1:8" ht="18.95" customHeight="1" x14ac:dyDescent="0.2">
      <c r="A1810" s="348" t="str">
        <f t="shared" si="514"/>
        <v/>
      </c>
      <c r="B1810" s="290" t="str">
        <f t="shared" si="515"/>
        <v/>
      </c>
      <c r="C1810" s="290"/>
      <c r="D1810" s="608">
        <f t="shared" si="516"/>
        <v>0</v>
      </c>
      <c r="E1810" s="293"/>
      <c r="F1810" s="346">
        <f t="shared" si="517"/>
        <v>0</v>
      </c>
      <c r="G1810" s="347">
        <f t="shared" si="518"/>
        <v>0</v>
      </c>
    </row>
    <row r="1811" spans="1:8" ht="18.95" customHeight="1" x14ac:dyDescent="0.2">
      <c r="A1811" s="156"/>
      <c r="B1811" s="142"/>
      <c r="C1811" s="142"/>
      <c r="D1811" s="150"/>
      <c r="E1811" s="143"/>
      <c r="F1811" s="356" t="s">
        <v>31</v>
      </c>
      <c r="G1811" s="355">
        <f>SUBTOTAL(9,G1799:G1810)</f>
        <v>0</v>
      </c>
    </row>
    <row r="1812" spans="1:8" ht="18.95" customHeight="1" x14ac:dyDescent="0.2">
      <c r="A1812" s="156"/>
      <c r="B1812" s="142"/>
      <c r="C1812" s="157" t="s">
        <v>1048</v>
      </c>
      <c r="D1812" s="150"/>
      <c r="E1812" s="327"/>
      <c r="F1812" s="327"/>
      <c r="G1812" s="342"/>
    </row>
    <row r="1813" spans="1:8" ht="18.95" customHeight="1" x14ac:dyDescent="0.2">
      <c r="A1813" s="735" t="s">
        <v>582</v>
      </c>
      <c r="B1813" s="736"/>
      <c r="C1813" s="737" t="s">
        <v>0</v>
      </c>
      <c r="D1813" s="739" t="s">
        <v>1750</v>
      </c>
      <c r="E1813" s="741" t="s">
        <v>26</v>
      </c>
      <c r="F1813" s="741" t="s">
        <v>27</v>
      </c>
      <c r="G1813" s="733" t="s">
        <v>28</v>
      </c>
    </row>
    <row r="1814" spans="1:8" ht="18.95" customHeight="1" x14ac:dyDescent="0.2">
      <c r="A1814" s="154" t="s">
        <v>583</v>
      </c>
      <c r="B1814" s="155" t="s">
        <v>584</v>
      </c>
      <c r="C1814" s="738"/>
      <c r="D1814" s="740"/>
      <c r="E1814" s="742"/>
      <c r="F1814" s="742"/>
      <c r="G1814" s="734"/>
    </row>
    <row r="1815" spans="1:8" ht="18.95" customHeight="1" x14ac:dyDescent="0.2">
      <c r="A1815" s="348" t="str">
        <f>IFERROR(VLOOKUP(C1815,Tabla_Insumos,4,FALSE),"")</f>
        <v/>
      </c>
      <c r="B1815" s="290" t="s">
        <v>4</v>
      </c>
      <c r="C1815" s="290"/>
      <c r="D1815" s="293"/>
      <c r="E1815" s="322"/>
      <c r="F1815" s="324"/>
      <c r="G1815" s="347">
        <f t="shared" ref="G1815" si="519">ROUND(E1815*F1815,2)</f>
        <v>0</v>
      </c>
    </row>
    <row r="1816" spans="1:8" ht="18.95" customHeight="1" x14ac:dyDescent="0.2">
      <c r="A1816" s="156"/>
      <c r="B1816" s="142"/>
      <c r="C1816" s="142"/>
      <c r="D1816" s="150"/>
      <c r="E1816" s="143"/>
      <c r="F1816" s="356" t="s">
        <v>1049</v>
      </c>
      <c r="G1816" s="355">
        <f>SUBTOTAL(9,G1815:G1815)</f>
        <v>0</v>
      </c>
    </row>
    <row r="1817" spans="1:8" ht="18.95" customHeight="1" thickBot="1" x14ac:dyDescent="0.25">
      <c r="A1817" s="158"/>
      <c r="B1817" s="159"/>
      <c r="C1817" s="160"/>
      <c r="D1817" s="161"/>
      <c r="E1817" s="357"/>
      <c r="F1817" s="357"/>
      <c r="G1817" s="358"/>
    </row>
    <row r="1818" spans="1:8" ht="18.95" customHeight="1" x14ac:dyDescent="0.2">
      <c r="A1818" s="359">
        <f>B1757</f>
        <v>25</v>
      </c>
      <c r="B1818" s="360" t="str">
        <f>C1757</f>
        <v>DEMOLICIÓN DE CANAL DE HORMIGÓN Y OBRAS COMPLEMENTARIAS</v>
      </c>
      <c r="C1818" s="361"/>
      <c r="D1818" s="361"/>
      <c r="E1818" s="361" t="s">
        <v>1050</v>
      </c>
      <c r="F1818" s="362" t="str">
        <f>CONCATENATE("$/",G1757)</f>
        <v>$/m</v>
      </c>
      <c r="G1818" s="363">
        <f>SUBTOTAL(9,G1777:G1817)</f>
        <v>0</v>
      </c>
    </row>
    <row r="1819" spans="1:8" ht="18.95" customHeight="1" thickBot="1" x14ac:dyDescent="0.25">
      <c r="A1819" s="364"/>
      <c r="B1819" s="365"/>
      <c r="C1819" s="365"/>
      <c r="D1819" s="365"/>
      <c r="E1819" s="366" t="s">
        <v>1051</v>
      </c>
      <c r="F1819" s="367" t="str">
        <f>CONCATENATE("$/",G1757)</f>
        <v>$/m</v>
      </c>
      <c r="G1819" s="368" t="e">
        <f ca="1">PrecioUnitario(G1818,GG_Porcentaje,Beneficio,Ingresos_Brutos,IVA)</f>
        <v>#NAME?</v>
      </c>
    </row>
    <row r="1820" spans="1:8" ht="18.95" customHeight="1" thickTop="1" thickBot="1" x14ac:dyDescent="0.25">
      <c r="F1820" s="294"/>
      <c r="G1820" s="294"/>
    </row>
    <row r="1821" spans="1:8" ht="18.95" customHeight="1" thickTop="1" x14ac:dyDescent="0.2">
      <c r="A1821" s="194" t="s">
        <v>33</v>
      </c>
      <c r="B1821" s="195"/>
      <c r="C1821" s="195"/>
      <c r="D1821" s="195"/>
      <c r="E1821" s="195"/>
      <c r="F1821" s="195"/>
      <c r="G1821" s="196"/>
      <c r="H1821" s="143">
        <f>COUNTIF($A$1:A1827,"ANALISIS DE PRECIOS")</f>
        <v>27</v>
      </c>
    </row>
    <row r="1822" spans="1:8" ht="18.95" customHeight="1" x14ac:dyDescent="0.2">
      <c r="A1822" s="144" t="s">
        <v>720</v>
      </c>
      <c r="B1822" s="145" t="str">
        <f>Comitente</f>
        <v>DIRECCIÓN PROVINCIAL DE VIALIDAD</v>
      </c>
      <c r="C1822" s="139"/>
      <c r="D1822" s="146"/>
      <c r="E1822" s="325"/>
      <c r="F1822" s="325"/>
      <c r="G1822" s="326"/>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PAVIMENTACION Y ENSANCHE DE RUTA PROVINCIAL N°7 AV. JOAQUIN UÑAC</v>
      </c>
      <c r="C1824" s="140"/>
      <c r="D1824" s="140"/>
      <c r="E1824" s="143"/>
      <c r="F1824" s="145" t="s">
        <v>34</v>
      </c>
      <c r="G1824" s="147">
        <f>Fecha_Base</f>
        <v>43444</v>
      </c>
      <c r="H1824" s="143"/>
    </row>
    <row r="1825" spans="1:8" ht="18.95" customHeight="1" x14ac:dyDescent="0.2">
      <c r="A1825" s="148" t="s">
        <v>719</v>
      </c>
      <c r="B1825" s="141" t="str">
        <f>Ubicación</f>
        <v>DEPARTAMENTO POCITO</v>
      </c>
      <c r="C1825" s="141"/>
      <c r="D1825" s="150"/>
      <c r="E1825" s="143"/>
      <c r="F1825" s="327"/>
      <c r="G1825" s="328"/>
      <c r="H1825" s="143"/>
    </row>
    <row r="1826" spans="1:8" ht="18.95" customHeight="1" x14ac:dyDescent="0.2">
      <c r="A1826" s="148" t="s">
        <v>35</v>
      </c>
      <c r="B1826" s="151" t="str">
        <f>IFERROR(VALUE(LEFT(B1827,FIND("-",B1827)-1)),"")</f>
        <v/>
      </c>
      <c r="C1826" s="142" t="str">
        <f>IFERROR(VLOOKUP(B1826,Tabla_CyP,2,FALSE),"")</f>
        <v/>
      </c>
      <c r="D1826" s="150"/>
      <c r="E1826" s="143"/>
      <c r="F1826" s="327"/>
      <c r="G1826" s="328"/>
      <c r="H1826" s="143"/>
    </row>
    <row r="1827" spans="1:8" ht="18.95" customHeight="1" x14ac:dyDescent="0.2">
      <c r="A1827" s="148" t="s">
        <v>24</v>
      </c>
      <c r="B1827" s="152">
        <f>IFERROR(VLOOKUP(COUNTIF($A$1:A1827,"ANALISIS DE PRECIOS"),Tabla_NumeroItem,4,FALSE),"")</f>
        <v>26</v>
      </c>
      <c r="C1827" s="745" t="str">
        <f>IFERROR(VLOOKUP(B1827,Tabla_CyP,2,FALSE),"")</f>
        <v>RETIRO DE ALAMBRADO EXISTENTE</v>
      </c>
      <c r="D1827" s="745"/>
      <c r="E1827" s="745"/>
      <c r="F1827" s="141" t="s">
        <v>25</v>
      </c>
      <c r="G1827" s="153" t="str">
        <f>IFERROR(VLOOKUP(B1827,Tabla_CyP,4,FALSE),"")</f>
        <v>m</v>
      </c>
      <c r="H1827" s="143"/>
    </row>
    <row r="1828" spans="1:8" ht="18.95" customHeight="1" x14ac:dyDescent="0.2">
      <c r="A1828" s="148"/>
      <c r="B1828" s="141"/>
      <c r="C1828" s="142"/>
      <c r="D1828" s="150"/>
      <c r="E1828" s="142"/>
      <c r="F1828" s="142"/>
      <c r="G1828" s="329"/>
      <c r="H1828" s="143"/>
    </row>
    <row r="1829" spans="1:8" ht="18.95" customHeight="1" x14ac:dyDescent="0.2">
      <c r="A1829" s="330"/>
      <c r="B1829" s="331"/>
      <c r="C1829" s="332" t="s">
        <v>1032</v>
      </c>
      <c r="D1829" s="331"/>
      <c r="E1829" s="331"/>
      <c r="F1829" s="331"/>
      <c r="G1829" s="333"/>
      <c r="H1829" s="143"/>
    </row>
    <row r="1830" spans="1:8" ht="18.95" customHeight="1" x14ac:dyDescent="0.2">
      <c r="A1830" s="148"/>
      <c r="B1830" s="334"/>
      <c r="C1830" s="335" t="s">
        <v>1033</v>
      </c>
      <c r="D1830" s="336" t="s">
        <v>26</v>
      </c>
      <c r="E1830" s="336" t="s">
        <v>1034</v>
      </c>
      <c r="F1830" s="336" t="s">
        <v>1035</v>
      </c>
      <c r="G1830" s="337" t="s">
        <v>1036</v>
      </c>
      <c r="H1830" s="143"/>
    </row>
    <row r="1831" spans="1:8" ht="18.95" customHeight="1" x14ac:dyDescent="0.2">
      <c r="A1831" s="343"/>
      <c r="B1831" s="344"/>
      <c r="C1831" s="290"/>
      <c r="D1831" s="293"/>
      <c r="E1831" s="345"/>
      <c r="F1831" s="346"/>
      <c r="G1831" s="347">
        <f t="shared" ref="G1831:G1840" si="520">ROUND(D1831*F1831,2)</f>
        <v>0</v>
      </c>
    </row>
    <row r="1832" spans="1:8" ht="18.95" customHeight="1" x14ac:dyDescent="0.2">
      <c r="A1832" s="343"/>
      <c r="B1832" s="344"/>
      <c r="C1832" s="290"/>
      <c r="D1832" s="293"/>
      <c r="E1832" s="345"/>
      <c r="F1832" s="346"/>
      <c r="G1832" s="347">
        <f t="shared" si="520"/>
        <v>0</v>
      </c>
    </row>
    <row r="1833" spans="1:8" ht="18.95" customHeight="1" x14ac:dyDescent="0.2">
      <c r="A1833" s="343"/>
      <c r="B1833" s="344"/>
      <c r="C1833" s="290"/>
      <c r="D1833" s="293"/>
      <c r="E1833" s="345">
        <f t="shared" ref="E1833:E1840" si="521">IFERROR(VLOOKUP(C1833,T_Equipos,4,FALSE),0)</f>
        <v>0</v>
      </c>
      <c r="F1833" s="346">
        <f t="shared" ref="F1833:F1840" si="522">IFERROR(VLOOKUP(C1833,T_Equipos,11,FALSE),0)</f>
        <v>0</v>
      </c>
      <c r="G1833" s="347">
        <f t="shared" si="520"/>
        <v>0</v>
      </c>
    </row>
    <row r="1834" spans="1:8" ht="18.95" customHeight="1" x14ac:dyDescent="0.2">
      <c r="A1834" s="343"/>
      <c r="B1834" s="344"/>
      <c r="C1834" s="290"/>
      <c r="D1834" s="293"/>
      <c r="E1834" s="345">
        <f t="shared" si="521"/>
        <v>0</v>
      </c>
      <c r="F1834" s="346">
        <f t="shared" si="522"/>
        <v>0</v>
      </c>
      <c r="G1834" s="347">
        <f t="shared" si="520"/>
        <v>0</v>
      </c>
    </row>
    <row r="1835" spans="1:8" ht="18.95" customHeight="1" x14ac:dyDescent="0.2">
      <c r="A1835" s="343"/>
      <c r="B1835" s="344"/>
      <c r="C1835" s="290"/>
      <c r="D1835" s="293"/>
      <c r="E1835" s="345">
        <f t="shared" si="521"/>
        <v>0</v>
      </c>
      <c r="F1835" s="346">
        <f t="shared" si="522"/>
        <v>0</v>
      </c>
      <c r="G1835" s="347">
        <f t="shared" si="520"/>
        <v>0</v>
      </c>
    </row>
    <row r="1836" spans="1:8" ht="18.95" customHeight="1" x14ac:dyDescent="0.2">
      <c r="A1836" s="343"/>
      <c r="B1836" s="344"/>
      <c r="C1836" s="290"/>
      <c r="D1836" s="293"/>
      <c r="E1836" s="345">
        <f t="shared" si="521"/>
        <v>0</v>
      </c>
      <c r="F1836" s="346">
        <f t="shared" si="522"/>
        <v>0</v>
      </c>
      <c r="G1836" s="347">
        <f t="shared" si="520"/>
        <v>0</v>
      </c>
    </row>
    <row r="1837" spans="1:8" ht="18.95" customHeight="1" x14ac:dyDescent="0.2">
      <c r="A1837" s="343"/>
      <c r="B1837" s="344"/>
      <c r="C1837" s="290"/>
      <c r="D1837" s="293"/>
      <c r="E1837" s="345">
        <f t="shared" si="521"/>
        <v>0</v>
      </c>
      <c r="F1837" s="346">
        <f t="shared" si="522"/>
        <v>0</v>
      </c>
      <c r="G1837" s="347">
        <f t="shared" si="520"/>
        <v>0</v>
      </c>
    </row>
    <row r="1838" spans="1:8" ht="18.95" customHeight="1" x14ac:dyDescent="0.2">
      <c r="A1838" s="343"/>
      <c r="B1838" s="344"/>
      <c r="C1838" s="290"/>
      <c r="D1838" s="293"/>
      <c r="E1838" s="345">
        <f t="shared" si="521"/>
        <v>0</v>
      </c>
      <c r="F1838" s="346">
        <f t="shared" si="522"/>
        <v>0</v>
      </c>
      <c r="G1838" s="347">
        <f t="shared" si="520"/>
        <v>0</v>
      </c>
    </row>
    <row r="1839" spans="1:8" ht="18.95" customHeight="1" x14ac:dyDescent="0.2">
      <c r="A1839" s="343"/>
      <c r="B1839" s="344"/>
      <c r="C1839" s="290"/>
      <c r="D1839" s="293"/>
      <c r="E1839" s="345">
        <f t="shared" si="521"/>
        <v>0</v>
      </c>
      <c r="F1839" s="346">
        <f t="shared" si="522"/>
        <v>0</v>
      </c>
      <c r="G1839" s="347">
        <f t="shared" si="520"/>
        <v>0</v>
      </c>
    </row>
    <row r="1840" spans="1:8" ht="18.95" customHeight="1" thickBot="1" x14ac:dyDescent="0.25">
      <c r="A1840" s="343"/>
      <c r="B1840" s="344"/>
      <c r="C1840" s="290"/>
      <c r="D1840" s="293"/>
      <c r="E1840" s="345">
        <f t="shared" si="521"/>
        <v>0</v>
      </c>
      <c r="F1840" s="346">
        <f t="shared" si="522"/>
        <v>0</v>
      </c>
      <c r="G1840" s="347">
        <f t="shared" si="520"/>
        <v>0</v>
      </c>
    </row>
    <row r="1841" spans="1:7" ht="18.95" customHeight="1" thickBot="1" x14ac:dyDescent="0.25">
      <c r="A1841" s="148"/>
      <c r="B1841" s="334"/>
      <c r="C1841" s="143"/>
      <c r="D1841" s="146" t="s">
        <v>1037</v>
      </c>
      <c r="E1841" s="338">
        <f>SUMPRODUCT(D1831:D1840,E1831:E1840)</f>
        <v>0</v>
      </c>
      <c r="F1841" s="141" t="s">
        <v>1038</v>
      </c>
      <c r="G1841" s="339">
        <f>SUM(G1831:G1840)</f>
        <v>0</v>
      </c>
    </row>
    <row r="1842" spans="1:7" ht="18.95" customHeight="1" x14ac:dyDescent="0.2">
      <c r="A1842" s="148"/>
      <c r="B1842" s="334"/>
      <c r="C1842" s="141" t="s">
        <v>1039</v>
      </c>
      <c r="D1842" s="320"/>
      <c r="E1842" s="340" t="str">
        <f>CONCATENATE(G1827,"/día")</f>
        <v>m/día</v>
      </c>
      <c r="F1842" s="141"/>
      <c r="G1842" s="341"/>
    </row>
    <row r="1843" spans="1:7" ht="18.95" customHeight="1" x14ac:dyDescent="0.2">
      <c r="A1843" s="148"/>
      <c r="B1843" s="334"/>
      <c r="C1843" s="142"/>
      <c r="D1843" s="150"/>
      <c r="E1843" s="141"/>
      <c r="F1843" s="141"/>
      <c r="G1843" s="341"/>
    </row>
    <row r="1844" spans="1:7" ht="18.95" customHeight="1" x14ac:dyDescent="0.2">
      <c r="A1844" s="735" t="s">
        <v>582</v>
      </c>
      <c r="B1844" s="736"/>
      <c r="C1844" s="737" t="s">
        <v>0</v>
      </c>
      <c r="D1844" s="743" t="s">
        <v>1053</v>
      </c>
      <c r="E1844" s="743" t="s">
        <v>1706</v>
      </c>
      <c r="F1844" s="743" t="s">
        <v>1054</v>
      </c>
      <c r="G1844" s="743" t="s">
        <v>1055</v>
      </c>
    </row>
    <row r="1845" spans="1:7" ht="18.95" customHeight="1" x14ac:dyDescent="0.2">
      <c r="A1845" s="154" t="s">
        <v>583</v>
      </c>
      <c r="B1845" s="155" t="s">
        <v>584</v>
      </c>
      <c r="C1845" s="738"/>
      <c r="D1845" s="742"/>
      <c r="E1845" s="742"/>
      <c r="F1845" s="744"/>
      <c r="G1845" s="742"/>
    </row>
    <row r="1846" spans="1:7" ht="18.95" customHeight="1" x14ac:dyDescent="0.2">
      <c r="A1846" s="156"/>
      <c r="B1846" s="142"/>
      <c r="C1846" s="157" t="s">
        <v>1041</v>
      </c>
      <c r="D1846" s="150"/>
      <c r="E1846" s="142"/>
      <c r="F1846" s="142"/>
      <c r="G1846" s="342"/>
    </row>
    <row r="1847" spans="1:7" ht="18.95" customHeight="1" x14ac:dyDescent="0.2">
      <c r="A1847" s="348" t="str">
        <f t="shared" ref="A1847:A1854" si="523">IFERROR(VLOOKUP(C1847,Tabla_Insumos,4,FALSE),"")</f>
        <v/>
      </c>
      <c r="B1847" s="290" t="str">
        <f t="shared" ref="B1847:B1854" si="524">IFERROR(VLOOKUP(C1847,Tabla_Insumos,5,FALSE),"")</f>
        <v/>
      </c>
      <c r="C1847" s="290"/>
      <c r="D1847" s="607">
        <f t="shared" ref="D1847:D1854" si="525">IFERROR(VLOOKUP(C1847,Tabla_Insumos,3,FALSE),0)</f>
        <v>0</v>
      </c>
      <c r="E1847" s="349">
        <f>D1847*$G$21</f>
        <v>0</v>
      </c>
      <c r="F1847" s="350">
        <f>IF(C1847="",0,D1842)</f>
        <v>0</v>
      </c>
      <c r="G1847" s="347">
        <f>IFERROR(ROUND(E1847/F1847,2),0)</f>
        <v>0</v>
      </c>
    </row>
    <row r="1848" spans="1:7" ht="18.95" customHeight="1" x14ac:dyDescent="0.2">
      <c r="A1848" s="348" t="str">
        <f t="shared" si="523"/>
        <v/>
      </c>
      <c r="B1848" s="290" t="str">
        <f t="shared" si="524"/>
        <v/>
      </c>
      <c r="C1848" s="321"/>
      <c r="D1848" s="607">
        <f t="shared" si="525"/>
        <v>0</v>
      </c>
      <c r="E1848" s="349">
        <f t="shared" ref="E1848:E1849" si="526">D1848*$G$21</f>
        <v>0</v>
      </c>
      <c r="F1848" s="350">
        <f t="shared" ref="F1848:F1851" si="527">IF(C1848="",0,F1847)</f>
        <v>0</v>
      </c>
      <c r="G1848" s="347">
        <f t="shared" ref="G1848:G1854" si="528">IFERROR(ROUND(E1848/F1848,2),0)</f>
        <v>0</v>
      </c>
    </row>
    <row r="1849" spans="1:7" ht="18.95" customHeight="1" x14ac:dyDescent="0.2">
      <c r="A1849" s="348" t="str">
        <f t="shared" si="523"/>
        <v/>
      </c>
      <c r="B1849" s="290" t="str">
        <f t="shared" si="524"/>
        <v/>
      </c>
      <c r="C1849" s="321"/>
      <c r="D1849" s="607">
        <f t="shared" si="525"/>
        <v>0</v>
      </c>
      <c r="E1849" s="349">
        <f t="shared" si="526"/>
        <v>0</v>
      </c>
      <c r="F1849" s="350">
        <f t="shared" si="527"/>
        <v>0</v>
      </c>
      <c r="G1849" s="347">
        <f t="shared" si="528"/>
        <v>0</v>
      </c>
    </row>
    <row r="1850" spans="1:7" ht="18.95" customHeight="1" x14ac:dyDescent="0.2">
      <c r="A1850" s="348" t="str">
        <f t="shared" si="523"/>
        <v/>
      </c>
      <c r="B1850" s="290" t="str">
        <f t="shared" si="524"/>
        <v/>
      </c>
      <c r="C1850" s="321"/>
      <c r="D1850" s="607">
        <f t="shared" si="525"/>
        <v>0</v>
      </c>
      <c r="E1850" s="349">
        <f>D1850*$E$21</f>
        <v>0</v>
      </c>
      <c r="F1850" s="350">
        <f t="shared" si="527"/>
        <v>0</v>
      </c>
      <c r="G1850" s="347">
        <f t="shared" si="528"/>
        <v>0</v>
      </c>
    </row>
    <row r="1851" spans="1:7" ht="18.95" customHeight="1" x14ac:dyDescent="0.2">
      <c r="A1851" s="348" t="str">
        <f t="shared" si="523"/>
        <v/>
      </c>
      <c r="B1851" s="290" t="str">
        <f t="shared" si="524"/>
        <v/>
      </c>
      <c r="C1851" s="321"/>
      <c r="D1851" s="607">
        <f t="shared" si="525"/>
        <v>0</v>
      </c>
      <c r="E1851" s="349">
        <f>D1851*$E$21</f>
        <v>0</v>
      </c>
      <c r="F1851" s="350">
        <f t="shared" si="527"/>
        <v>0</v>
      </c>
      <c r="G1851" s="347">
        <f t="shared" si="528"/>
        <v>0</v>
      </c>
    </row>
    <row r="1852" spans="1:7" ht="18.95" customHeight="1" x14ac:dyDescent="0.2">
      <c r="A1852" s="348" t="str">
        <f t="shared" si="523"/>
        <v/>
      </c>
      <c r="B1852" s="290" t="str">
        <f t="shared" si="524"/>
        <v/>
      </c>
      <c r="C1852" s="321"/>
      <c r="D1852" s="607">
        <f t="shared" si="525"/>
        <v>0</v>
      </c>
      <c r="E1852" s="349"/>
      <c r="F1852" s="350">
        <f>IF(C1852="",0,F1851)</f>
        <v>0</v>
      </c>
      <c r="G1852" s="347">
        <f t="shared" si="528"/>
        <v>0</v>
      </c>
    </row>
    <row r="1853" spans="1:7" ht="18.95" customHeight="1" x14ac:dyDescent="0.2">
      <c r="A1853" s="348" t="str">
        <f t="shared" si="523"/>
        <v/>
      </c>
      <c r="B1853" s="290" t="str">
        <f t="shared" si="524"/>
        <v/>
      </c>
      <c r="C1853" s="321"/>
      <c r="D1853" s="607">
        <f t="shared" si="525"/>
        <v>0</v>
      </c>
      <c r="E1853" s="349"/>
      <c r="F1853" s="350">
        <f t="shared" ref="F1853:F1854" si="529">IF(C1853="",0,F1852)</f>
        <v>0</v>
      </c>
      <c r="G1853" s="347">
        <f t="shared" si="528"/>
        <v>0</v>
      </c>
    </row>
    <row r="1854" spans="1:7" ht="18.95" customHeight="1" x14ac:dyDescent="0.2">
      <c r="A1854" s="348" t="str">
        <f t="shared" si="523"/>
        <v/>
      </c>
      <c r="B1854" s="290" t="str">
        <f t="shared" si="524"/>
        <v/>
      </c>
      <c r="C1854" s="321"/>
      <c r="D1854" s="607">
        <f t="shared" si="525"/>
        <v>0</v>
      </c>
      <c r="E1854" s="349"/>
      <c r="F1854" s="350">
        <f t="shared" si="529"/>
        <v>0</v>
      </c>
      <c r="G1854" s="347">
        <f t="shared" si="528"/>
        <v>0</v>
      </c>
    </row>
    <row r="1855" spans="1:7" ht="18.95" customHeight="1" x14ac:dyDescent="0.2">
      <c r="A1855" s="353"/>
      <c r="B1855" s="149"/>
      <c r="C1855" s="142"/>
      <c r="D1855" s="150"/>
      <c r="E1855" s="143"/>
      <c r="F1855" s="354" t="s">
        <v>29</v>
      </c>
      <c r="G1855" s="355">
        <f>SUBTOTAL(9,G1847:G1854)</f>
        <v>0</v>
      </c>
    </row>
    <row r="1856" spans="1:7" ht="18.95" customHeight="1" x14ac:dyDescent="0.2">
      <c r="A1856" s="156"/>
      <c r="B1856" s="142"/>
      <c r="C1856" s="157" t="s">
        <v>722</v>
      </c>
      <c r="D1856" s="150"/>
      <c r="E1856" s="327"/>
      <c r="F1856" s="327"/>
      <c r="G1856" s="342"/>
    </row>
    <row r="1857" spans="1:7" ht="18.95" customHeight="1" x14ac:dyDescent="0.2">
      <c r="A1857" s="735" t="s">
        <v>582</v>
      </c>
      <c r="B1857" s="736"/>
      <c r="C1857" s="737" t="s">
        <v>0</v>
      </c>
      <c r="D1857" s="739" t="s">
        <v>26</v>
      </c>
      <c r="E1857" s="743" t="s">
        <v>1707</v>
      </c>
      <c r="F1857" s="741" t="s">
        <v>1040</v>
      </c>
      <c r="G1857" s="733" t="s">
        <v>28</v>
      </c>
    </row>
    <row r="1858" spans="1:7" ht="18.95" customHeight="1" x14ac:dyDescent="0.2">
      <c r="A1858" s="154" t="s">
        <v>583</v>
      </c>
      <c r="B1858" s="155" t="s">
        <v>584</v>
      </c>
      <c r="C1858" s="738"/>
      <c r="D1858" s="740"/>
      <c r="E1858" s="742"/>
      <c r="F1858" s="742"/>
      <c r="G1858" s="734"/>
    </row>
    <row r="1859" spans="1:7" ht="18.95" customHeight="1" x14ac:dyDescent="0.2">
      <c r="A1859" s="348" t="str">
        <f t="shared" ref="A1859:A1864" si="530">IFERROR(VLOOKUP(C1859,Tabla_Insumos,4,FALSE),"")</f>
        <v/>
      </c>
      <c r="B1859" s="290" t="str">
        <f t="shared" ref="B1859:B1864" si="531">IFERROR(VLOOKUP(C1859,Tabla_Insumos,5,FALSE),"")</f>
        <v/>
      </c>
      <c r="C1859" s="291"/>
      <c r="D1859" s="293"/>
      <c r="E1859" s="346">
        <f t="shared" ref="E1859:E1864" si="532">IFERROR(VLOOKUP(C1859,Tabla_Insumos,3,FALSE),0)</f>
        <v>0</v>
      </c>
      <c r="F1859" s="349">
        <f>IF(C1859="",0,D1842)</f>
        <v>0</v>
      </c>
      <c r="G1859" s="347">
        <f t="shared" ref="G1859:G1864" si="533">IFERROR(ROUND(D1859*E1859/F1859,2),0)</f>
        <v>0</v>
      </c>
    </row>
    <row r="1860" spans="1:7" ht="18.95" customHeight="1" x14ac:dyDescent="0.2">
      <c r="A1860" s="348" t="str">
        <f t="shared" si="530"/>
        <v/>
      </c>
      <c r="B1860" s="290" t="str">
        <f t="shared" si="531"/>
        <v/>
      </c>
      <c r="C1860" s="290"/>
      <c r="D1860" s="293"/>
      <c r="E1860" s="346">
        <f t="shared" si="532"/>
        <v>0</v>
      </c>
      <c r="F1860" s="349">
        <f>IF(C1860="",0,F1859)</f>
        <v>0</v>
      </c>
      <c r="G1860" s="347">
        <f t="shared" si="533"/>
        <v>0</v>
      </c>
    </row>
    <row r="1861" spans="1:7" ht="18.95" customHeight="1" x14ac:dyDescent="0.2">
      <c r="A1861" s="348" t="str">
        <f t="shared" si="530"/>
        <v/>
      </c>
      <c r="B1861" s="290" t="str">
        <f t="shared" si="531"/>
        <v/>
      </c>
      <c r="C1861" s="290"/>
      <c r="D1861" s="293"/>
      <c r="E1861" s="346">
        <f t="shared" si="532"/>
        <v>0</v>
      </c>
      <c r="F1861" s="349">
        <f>IF(C1861="",0,F1860)</f>
        <v>0</v>
      </c>
      <c r="G1861" s="347">
        <f t="shared" si="533"/>
        <v>0</v>
      </c>
    </row>
    <row r="1862" spans="1:7" ht="18.95" customHeight="1" x14ac:dyDescent="0.2">
      <c r="A1862" s="348" t="str">
        <f t="shared" si="530"/>
        <v/>
      </c>
      <c r="B1862" s="290" t="str">
        <f t="shared" si="531"/>
        <v/>
      </c>
      <c r="C1862" s="290"/>
      <c r="D1862" s="293"/>
      <c r="E1862" s="346">
        <f t="shared" si="532"/>
        <v>0</v>
      </c>
      <c r="F1862" s="349">
        <f>IF(C1862="",0,F1861)</f>
        <v>0</v>
      </c>
      <c r="G1862" s="347">
        <f t="shared" si="533"/>
        <v>0</v>
      </c>
    </row>
    <row r="1863" spans="1:7" ht="18.95" customHeight="1" x14ac:dyDescent="0.2">
      <c r="A1863" s="348" t="str">
        <f t="shared" si="530"/>
        <v/>
      </c>
      <c r="B1863" s="290" t="str">
        <f t="shared" si="531"/>
        <v/>
      </c>
      <c r="C1863" s="290"/>
      <c r="D1863" s="351"/>
      <c r="E1863" s="346">
        <f t="shared" si="532"/>
        <v>0</v>
      </c>
      <c r="F1863" s="349">
        <f>IF(C1863="",0,F1862)</f>
        <v>0</v>
      </c>
      <c r="G1863" s="347">
        <f t="shared" si="533"/>
        <v>0</v>
      </c>
    </row>
    <row r="1864" spans="1:7" ht="18.95" customHeight="1" x14ac:dyDescent="0.2">
      <c r="A1864" s="348" t="str">
        <f t="shared" si="530"/>
        <v/>
      </c>
      <c r="B1864" s="290" t="str">
        <f t="shared" si="531"/>
        <v/>
      </c>
      <c r="C1864" s="290"/>
      <c r="D1864" s="293"/>
      <c r="E1864" s="346">
        <f t="shared" si="532"/>
        <v>0</v>
      </c>
      <c r="F1864" s="349">
        <f>IF(C1864="",0,F1863)</f>
        <v>0</v>
      </c>
      <c r="G1864" s="347">
        <f t="shared" si="533"/>
        <v>0</v>
      </c>
    </row>
    <row r="1865" spans="1:7" ht="18.95" customHeight="1" x14ac:dyDescent="0.2">
      <c r="A1865" s="353"/>
      <c r="B1865" s="149"/>
      <c r="C1865" s="142"/>
      <c r="D1865" s="150"/>
      <c r="E1865" s="143"/>
      <c r="F1865" s="356" t="s">
        <v>30</v>
      </c>
      <c r="G1865" s="355">
        <f>SUBTOTAL(9,G1859:G1864)</f>
        <v>0</v>
      </c>
    </row>
    <row r="1866" spans="1:7" ht="18.95" customHeight="1" x14ac:dyDescent="0.2">
      <c r="A1866" s="156"/>
      <c r="B1866" s="142"/>
      <c r="C1866" s="157" t="s">
        <v>1047</v>
      </c>
      <c r="D1866" s="150"/>
      <c r="E1866" s="327"/>
      <c r="F1866" s="327"/>
      <c r="G1866" s="342"/>
    </row>
    <row r="1867" spans="1:7" ht="18.95" customHeight="1" x14ac:dyDescent="0.2">
      <c r="A1867" s="735" t="s">
        <v>582</v>
      </c>
      <c r="B1867" s="736"/>
      <c r="C1867" s="737" t="s">
        <v>0</v>
      </c>
      <c r="D1867" s="737" t="s">
        <v>1655</v>
      </c>
      <c r="E1867" s="737" t="s">
        <v>26</v>
      </c>
      <c r="F1867" s="737" t="s">
        <v>27</v>
      </c>
      <c r="G1867" s="733" t="s">
        <v>28</v>
      </c>
    </row>
    <row r="1868" spans="1:7" ht="18.95" customHeight="1" x14ac:dyDescent="0.2">
      <c r="A1868" s="154" t="s">
        <v>583</v>
      </c>
      <c r="B1868" s="155" t="s">
        <v>584</v>
      </c>
      <c r="C1868" s="738"/>
      <c r="D1868" s="738"/>
      <c r="E1868" s="738"/>
      <c r="F1868" s="738"/>
      <c r="G1868" s="734"/>
    </row>
    <row r="1869" spans="1:7" ht="18.95" customHeight="1" x14ac:dyDescent="0.2">
      <c r="A1869" s="348" t="str">
        <f t="shared" ref="A1869:A1880" si="534">IFERROR(VLOOKUP(C1869,Tabla_Insumos,4,FALSE),"")</f>
        <v/>
      </c>
      <c r="B1869" s="290" t="str">
        <f t="shared" ref="B1869:B1880" si="535">IFERROR(VLOOKUP(C1869,Tabla_Insumos,5,FALSE),"")</f>
        <v/>
      </c>
      <c r="C1869" s="290"/>
      <c r="D1869" s="608">
        <f t="shared" ref="D1869:D1880" si="536">IFERROR(VLOOKUP(C1869,Tabla_Insumos,2,FALSE),0)</f>
        <v>0</v>
      </c>
      <c r="E1869" s="293"/>
      <c r="F1869" s="346">
        <f t="shared" ref="F1869:F1880" si="537">IFERROR(VLOOKUP(C1869,Tabla_Insumos,3,FALSE),0)</f>
        <v>0</v>
      </c>
      <c r="G1869" s="347">
        <f t="shared" ref="G1869:G1880" si="538">ROUND(E1869*F1869,2)</f>
        <v>0</v>
      </c>
    </row>
    <row r="1870" spans="1:7" ht="18.95" customHeight="1" x14ac:dyDescent="0.2">
      <c r="A1870" s="348" t="str">
        <f t="shared" si="534"/>
        <v/>
      </c>
      <c r="B1870" s="290" t="str">
        <f t="shared" si="535"/>
        <v/>
      </c>
      <c r="C1870" s="126"/>
      <c r="D1870" s="608">
        <f t="shared" si="536"/>
        <v>0</v>
      </c>
      <c r="E1870" s="293"/>
      <c r="F1870" s="346">
        <f t="shared" si="537"/>
        <v>0</v>
      </c>
      <c r="G1870" s="347">
        <f t="shared" si="538"/>
        <v>0</v>
      </c>
    </row>
    <row r="1871" spans="1:7" ht="18.95" customHeight="1" x14ac:dyDescent="0.2">
      <c r="A1871" s="348" t="str">
        <f t="shared" si="534"/>
        <v/>
      </c>
      <c r="B1871" s="290" t="str">
        <f t="shared" si="535"/>
        <v/>
      </c>
      <c r="C1871" s="290"/>
      <c r="D1871" s="608">
        <f t="shared" si="536"/>
        <v>0</v>
      </c>
      <c r="E1871" s="293"/>
      <c r="F1871" s="346">
        <f t="shared" si="537"/>
        <v>0</v>
      </c>
      <c r="G1871" s="347">
        <f t="shared" si="538"/>
        <v>0</v>
      </c>
    </row>
    <row r="1872" spans="1:7" ht="18.95" customHeight="1" x14ac:dyDescent="0.2">
      <c r="A1872" s="348" t="str">
        <f t="shared" si="534"/>
        <v/>
      </c>
      <c r="B1872" s="290" t="str">
        <f t="shared" si="535"/>
        <v/>
      </c>
      <c r="C1872" s="290"/>
      <c r="D1872" s="608">
        <f t="shared" si="536"/>
        <v>0</v>
      </c>
      <c r="E1872" s="293"/>
      <c r="F1872" s="346">
        <f t="shared" si="537"/>
        <v>0</v>
      </c>
      <c r="G1872" s="347">
        <f t="shared" si="538"/>
        <v>0</v>
      </c>
    </row>
    <row r="1873" spans="1:7" ht="18.95" customHeight="1" x14ac:dyDescent="0.2">
      <c r="A1873" s="348" t="str">
        <f t="shared" si="534"/>
        <v/>
      </c>
      <c r="B1873" s="290" t="str">
        <f t="shared" si="535"/>
        <v/>
      </c>
      <c r="C1873" s="290"/>
      <c r="D1873" s="608">
        <f t="shared" si="536"/>
        <v>0</v>
      </c>
      <c r="E1873" s="293"/>
      <c r="F1873" s="346">
        <f t="shared" si="537"/>
        <v>0</v>
      </c>
      <c r="G1873" s="347">
        <f t="shared" si="538"/>
        <v>0</v>
      </c>
    </row>
    <row r="1874" spans="1:7" ht="18.95" customHeight="1" x14ac:dyDescent="0.2">
      <c r="A1874" s="348" t="str">
        <f t="shared" si="534"/>
        <v/>
      </c>
      <c r="B1874" s="290" t="str">
        <f t="shared" si="535"/>
        <v/>
      </c>
      <c r="C1874" s="290"/>
      <c r="D1874" s="608">
        <f t="shared" si="536"/>
        <v>0</v>
      </c>
      <c r="E1874" s="293"/>
      <c r="F1874" s="346">
        <f t="shared" si="537"/>
        <v>0</v>
      </c>
      <c r="G1874" s="347">
        <f t="shared" si="538"/>
        <v>0</v>
      </c>
    </row>
    <row r="1875" spans="1:7" ht="18.95" customHeight="1" x14ac:dyDescent="0.2">
      <c r="A1875" s="348" t="str">
        <f t="shared" si="534"/>
        <v/>
      </c>
      <c r="B1875" s="290" t="str">
        <f t="shared" si="535"/>
        <v/>
      </c>
      <c r="C1875" s="290"/>
      <c r="D1875" s="608">
        <f t="shared" si="536"/>
        <v>0</v>
      </c>
      <c r="E1875" s="293"/>
      <c r="F1875" s="346">
        <f t="shared" si="537"/>
        <v>0</v>
      </c>
      <c r="G1875" s="347">
        <f t="shared" si="538"/>
        <v>0</v>
      </c>
    </row>
    <row r="1876" spans="1:7" s="295" customFormat="1" ht="18.95" customHeight="1" x14ac:dyDescent="0.2">
      <c r="A1876" s="348" t="str">
        <f t="shared" si="534"/>
        <v/>
      </c>
      <c r="B1876" s="290" t="str">
        <f t="shared" si="535"/>
        <v/>
      </c>
      <c r="C1876" s="290"/>
      <c r="D1876" s="608">
        <f t="shared" si="536"/>
        <v>0</v>
      </c>
      <c r="E1876" s="323"/>
      <c r="F1876" s="346">
        <f t="shared" si="537"/>
        <v>0</v>
      </c>
      <c r="G1876" s="347">
        <f t="shared" si="538"/>
        <v>0</v>
      </c>
    </row>
    <row r="1877" spans="1:7" ht="18.95" customHeight="1" x14ac:dyDescent="0.2">
      <c r="A1877" s="348" t="str">
        <f t="shared" si="534"/>
        <v/>
      </c>
      <c r="B1877" s="290" t="str">
        <f t="shared" si="535"/>
        <v/>
      </c>
      <c r="C1877" s="290"/>
      <c r="D1877" s="608">
        <f t="shared" si="536"/>
        <v>0</v>
      </c>
      <c r="E1877" s="293"/>
      <c r="F1877" s="346">
        <f t="shared" si="537"/>
        <v>0</v>
      </c>
      <c r="G1877" s="347">
        <f t="shared" si="538"/>
        <v>0</v>
      </c>
    </row>
    <row r="1878" spans="1:7" ht="18.95" customHeight="1" x14ac:dyDescent="0.2">
      <c r="A1878" s="348" t="str">
        <f t="shared" si="534"/>
        <v/>
      </c>
      <c r="B1878" s="290" t="str">
        <f t="shared" si="535"/>
        <v/>
      </c>
      <c r="C1878" s="290"/>
      <c r="D1878" s="608">
        <f t="shared" si="536"/>
        <v>0</v>
      </c>
      <c r="E1878" s="293"/>
      <c r="F1878" s="346">
        <f t="shared" si="537"/>
        <v>0</v>
      </c>
      <c r="G1878" s="347">
        <f t="shared" si="538"/>
        <v>0</v>
      </c>
    </row>
    <row r="1879" spans="1:7" ht="18.95" customHeight="1" x14ac:dyDescent="0.2">
      <c r="A1879" s="348" t="str">
        <f t="shared" si="534"/>
        <v/>
      </c>
      <c r="B1879" s="290" t="str">
        <f t="shared" si="535"/>
        <v/>
      </c>
      <c r="C1879" s="290"/>
      <c r="D1879" s="608">
        <f t="shared" si="536"/>
        <v>0</v>
      </c>
      <c r="E1879" s="293"/>
      <c r="F1879" s="346">
        <f t="shared" si="537"/>
        <v>0</v>
      </c>
      <c r="G1879" s="347">
        <f t="shared" si="538"/>
        <v>0</v>
      </c>
    </row>
    <row r="1880" spans="1:7" ht="18.95" customHeight="1" x14ac:dyDescent="0.2">
      <c r="A1880" s="348" t="str">
        <f t="shared" si="534"/>
        <v/>
      </c>
      <c r="B1880" s="290" t="str">
        <f t="shared" si="535"/>
        <v/>
      </c>
      <c r="C1880" s="290"/>
      <c r="D1880" s="608">
        <f t="shared" si="536"/>
        <v>0</v>
      </c>
      <c r="E1880" s="293"/>
      <c r="F1880" s="346">
        <f t="shared" si="537"/>
        <v>0</v>
      </c>
      <c r="G1880" s="347">
        <f t="shared" si="538"/>
        <v>0</v>
      </c>
    </row>
    <row r="1881" spans="1:7" ht="18.95" customHeight="1" x14ac:dyDescent="0.2">
      <c r="A1881" s="156"/>
      <c r="B1881" s="142"/>
      <c r="C1881" s="142"/>
      <c r="D1881" s="150"/>
      <c r="E1881" s="143"/>
      <c r="F1881" s="356" t="s">
        <v>31</v>
      </c>
      <c r="G1881" s="355">
        <f>SUBTOTAL(9,G1869:G1880)</f>
        <v>0</v>
      </c>
    </row>
    <row r="1882" spans="1:7" ht="18.95" customHeight="1" x14ac:dyDescent="0.2">
      <c r="A1882" s="156"/>
      <c r="B1882" s="142"/>
      <c r="C1882" s="157" t="s">
        <v>1048</v>
      </c>
      <c r="D1882" s="150"/>
      <c r="E1882" s="327"/>
      <c r="F1882" s="327"/>
      <c r="G1882" s="342"/>
    </row>
    <row r="1883" spans="1:7" ht="18.95" customHeight="1" x14ac:dyDescent="0.2">
      <c r="A1883" s="735" t="s">
        <v>582</v>
      </c>
      <c r="B1883" s="736"/>
      <c r="C1883" s="737" t="s">
        <v>0</v>
      </c>
      <c r="D1883" s="739" t="s">
        <v>1750</v>
      </c>
      <c r="E1883" s="741" t="s">
        <v>26</v>
      </c>
      <c r="F1883" s="741" t="s">
        <v>27</v>
      </c>
      <c r="G1883" s="733" t="s">
        <v>28</v>
      </c>
    </row>
    <row r="1884" spans="1:7" ht="18.95" customHeight="1" x14ac:dyDescent="0.2">
      <c r="A1884" s="154" t="s">
        <v>583</v>
      </c>
      <c r="B1884" s="155" t="s">
        <v>584</v>
      </c>
      <c r="C1884" s="738"/>
      <c r="D1884" s="740"/>
      <c r="E1884" s="742"/>
      <c r="F1884" s="742"/>
      <c r="G1884" s="734"/>
    </row>
    <row r="1885" spans="1:7" ht="18.95" customHeight="1" x14ac:dyDescent="0.2">
      <c r="A1885" s="348" t="str">
        <f>IFERROR(VLOOKUP(C1885,Tabla_Insumos,4,FALSE),"")</f>
        <v/>
      </c>
      <c r="B1885" s="290" t="s">
        <v>4</v>
      </c>
      <c r="C1885" s="290"/>
      <c r="D1885" s="293"/>
      <c r="E1885" s="322"/>
      <c r="F1885" s="324"/>
      <c r="G1885" s="347">
        <f t="shared" ref="G1885" si="539">ROUND(E1885*F1885,2)</f>
        <v>0</v>
      </c>
    </row>
    <row r="1886" spans="1:7" ht="18.95" customHeight="1" x14ac:dyDescent="0.2">
      <c r="A1886" s="156"/>
      <c r="B1886" s="142"/>
      <c r="C1886" s="142"/>
      <c r="D1886" s="150"/>
      <c r="E1886" s="143"/>
      <c r="F1886" s="356" t="s">
        <v>1049</v>
      </c>
      <c r="G1886" s="355">
        <f>SUBTOTAL(9,G1885:G1885)</f>
        <v>0</v>
      </c>
    </row>
    <row r="1887" spans="1:7" ht="18.95" customHeight="1" thickBot="1" x14ac:dyDescent="0.25">
      <c r="A1887" s="158"/>
      <c r="B1887" s="159"/>
      <c r="C1887" s="160"/>
      <c r="D1887" s="161"/>
      <c r="E1887" s="357"/>
      <c r="F1887" s="357"/>
      <c r="G1887" s="358"/>
    </row>
    <row r="1888" spans="1:7" ht="18.95" customHeight="1" x14ac:dyDescent="0.2">
      <c r="A1888" s="359">
        <f>B1827</f>
        <v>26</v>
      </c>
      <c r="B1888" s="360" t="str">
        <f>C1827</f>
        <v>RETIRO DE ALAMBRADO EXISTENTE</v>
      </c>
      <c r="C1888" s="361"/>
      <c r="D1888" s="361"/>
      <c r="E1888" s="361" t="s">
        <v>1050</v>
      </c>
      <c r="F1888" s="362" t="str">
        <f>CONCATENATE("$/",G1827)</f>
        <v>$/m</v>
      </c>
      <c r="G1888" s="363">
        <f>SUBTOTAL(9,G1847:G1887)</f>
        <v>0</v>
      </c>
    </row>
    <row r="1889" spans="1:8" ht="18.95" customHeight="1" thickBot="1" x14ac:dyDescent="0.25">
      <c r="A1889" s="364"/>
      <c r="B1889" s="365"/>
      <c r="C1889" s="365"/>
      <c r="D1889" s="365"/>
      <c r="E1889" s="366" t="s">
        <v>1051</v>
      </c>
      <c r="F1889" s="367" t="str">
        <f>CONCATENATE("$/",G1827)</f>
        <v>$/m</v>
      </c>
      <c r="G1889" s="368" t="e">
        <f ca="1">PrecioUnitario(G1888,GG_Porcentaje,Beneficio,Ingresos_Brutos,IVA)</f>
        <v>#NAME?</v>
      </c>
    </row>
    <row r="1890" spans="1:8" ht="18.95" customHeight="1" thickTop="1" thickBot="1" x14ac:dyDescent="0.25">
      <c r="F1890" s="294"/>
      <c r="G1890" s="294"/>
    </row>
    <row r="1891" spans="1:8" ht="18.95" customHeight="1" thickTop="1" x14ac:dyDescent="0.2">
      <c r="A1891" s="194" t="s">
        <v>33</v>
      </c>
      <c r="B1891" s="195"/>
      <c r="C1891" s="195"/>
      <c r="D1891" s="195"/>
      <c r="E1891" s="195"/>
      <c r="F1891" s="195"/>
      <c r="G1891" s="196"/>
      <c r="H1891" s="143">
        <f>COUNTIF($A$1:A1897,"ANALISIS DE PRECIOS")</f>
        <v>28</v>
      </c>
    </row>
    <row r="1892" spans="1:8" ht="18.95" customHeight="1" x14ac:dyDescent="0.2">
      <c r="A1892" s="144" t="s">
        <v>720</v>
      </c>
      <c r="B1892" s="145" t="str">
        <f>Comitente</f>
        <v>DIRECCIÓN PROVINCIAL DE VIALIDAD</v>
      </c>
      <c r="C1892" s="139"/>
      <c r="D1892" s="146"/>
      <c r="E1892" s="325"/>
      <c r="F1892" s="325"/>
      <c r="G1892" s="326"/>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PAVIMENTACION Y ENSANCHE DE RUTA PROVINCIAL N°7 AV. JOAQUIN UÑAC</v>
      </c>
      <c r="C1894" s="140"/>
      <c r="D1894" s="140"/>
      <c r="E1894" s="143"/>
      <c r="F1894" s="145" t="s">
        <v>34</v>
      </c>
      <c r="G1894" s="147">
        <f>Fecha_Base</f>
        <v>43444</v>
      </c>
      <c r="H1894" s="143"/>
    </row>
    <row r="1895" spans="1:8" ht="18.95" customHeight="1" x14ac:dyDescent="0.2">
      <c r="A1895" s="148" t="s">
        <v>719</v>
      </c>
      <c r="B1895" s="141" t="str">
        <f>Ubicación</f>
        <v>DEPARTAMENTO POCITO</v>
      </c>
      <c r="C1895" s="141"/>
      <c r="D1895" s="150"/>
      <c r="E1895" s="143"/>
      <c r="F1895" s="327"/>
      <c r="G1895" s="328"/>
      <c r="H1895" s="143"/>
    </row>
    <row r="1896" spans="1:8" ht="18.95" customHeight="1" x14ac:dyDescent="0.2">
      <c r="A1896" s="148" t="s">
        <v>35</v>
      </c>
      <c r="B1896" s="151" t="str">
        <f>IFERROR(VALUE(LEFT(B1897,FIND("-",B1897)-1)),"")</f>
        <v/>
      </c>
      <c r="C1896" s="142" t="str">
        <f>IFERROR(VLOOKUP(B1896,Tabla_CyP,2,FALSE),"")</f>
        <v/>
      </c>
      <c r="D1896" s="150"/>
      <c r="E1896" s="143"/>
      <c r="F1896" s="327"/>
      <c r="G1896" s="328"/>
      <c r="H1896" s="143"/>
    </row>
    <row r="1897" spans="1:8" ht="18.95" customHeight="1" x14ac:dyDescent="0.2">
      <c r="A1897" s="148" t="s">
        <v>24</v>
      </c>
      <c r="B1897" s="152">
        <f>IFERROR(VLOOKUP(COUNTIF($A$1:A1897,"ANALISIS DE PRECIOS"),Tabla_NumeroItem,4,FALSE),"")</f>
        <v>27</v>
      </c>
      <c r="C1897" s="745" t="str">
        <f>IFERROR(VLOOKUP(B1897,Tabla_CyP,2,FALSE),"")</f>
        <v>LIMPIEZA DE CANAL EXISTENTE</v>
      </c>
      <c r="D1897" s="745"/>
      <c r="E1897" s="745"/>
      <c r="F1897" s="141" t="s">
        <v>25</v>
      </c>
      <c r="G1897" s="153" t="str">
        <f>IFERROR(VLOOKUP(B1897,Tabla_CyP,4,FALSE),"")</f>
        <v>m</v>
      </c>
      <c r="H1897" s="143"/>
    </row>
    <row r="1898" spans="1:8" ht="18.95" customHeight="1" x14ac:dyDescent="0.2">
      <c r="A1898" s="148"/>
      <c r="B1898" s="141"/>
      <c r="C1898" s="142"/>
      <c r="D1898" s="150"/>
      <c r="E1898" s="142"/>
      <c r="F1898" s="142"/>
      <c r="G1898" s="329"/>
      <c r="H1898" s="143"/>
    </row>
    <row r="1899" spans="1:8" ht="18.95" customHeight="1" x14ac:dyDescent="0.2">
      <c r="A1899" s="330"/>
      <c r="B1899" s="331"/>
      <c r="C1899" s="332" t="s">
        <v>1032</v>
      </c>
      <c r="D1899" s="331"/>
      <c r="E1899" s="331"/>
      <c r="F1899" s="331"/>
      <c r="G1899" s="333"/>
      <c r="H1899" s="143"/>
    </row>
    <row r="1900" spans="1:8" ht="18.95" customHeight="1" x14ac:dyDescent="0.2">
      <c r="A1900" s="148"/>
      <c r="B1900" s="334"/>
      <c r="C1900" s="335" t="s">
        <v>1033</v>
      </c>
      <c r="D1900" s="336" t="s">
        <v>26</v>
      </c>
      <c r="E1900" s="336" t="s">
        <v>1034</v>
      </c>
      <c r="F1900" s="336" t="s">
        <v>1035</v>
      </c>
      <c r="G1900" s="337" t="s">
        <v>1036</v>
      </c>
      <c r="H1900" s="143"/>
    </row>
    <row r="1901" spans="1:8" ht="18.95" customHeight="1" x14ac:dyDescent="0.2">
      <c r="A1901" s="343"/>
      <c r="B1901" s="344"/>
      <c r="C1901" s="290"/>
      <c r="D1901" s="293"/>
      <c r="E1901" s="345"/>
      <c r="F1901" s="346"/>
      <c r="G1901" s="347">
        <f t="shared" ref="G1901:G1910" si="540">ROUND(D1901*F1901,2)</f>
        <v>0</v>
      </c>
    </row>
    <row r="1902" spans="1:8" ht="18.95" customHeight="1" x14ac:dyDescent="0.2">
      <c r="A1902" s="343"/>
      <c r="B1902" s="344"/>
      <c r="C1902" s="290"/>
      <c r="D1902" s="293"/>
      <c r="E1902" s="345"/>
      <c r="F1902" s="346"/>
      <c r="G1902" s="347">
        <f t="shared" si="540"/>
        <v>0</v>
      </c>
    </row>
    <row r="1903" spans="1:8" ht="18.95" customHeight="1" x14ac:dyDescent="0.2">
      <c r="A1903" s="343"/>
      <c r="B1903" s="344"/>
      <c r="C1903" s="290"/>
      <c r="D1903" s="293"/>
      <c r="E1903" s="345">
        <f t="shared" ref="E1903:E1910" si="541">IFERROR(VLOOKUP(C1903,T_Equipos,4,FALSE),0)</f>
        <v>0</v>
      </c>
      <c r="F1903" s="346">
        <f t="shared" ref="F1903:F1910" si="542">IFERROR(VLOOKUP(C1903,T_Equipos,11,FALSE),0)</f>
        <v>0</v>
      </c>
      <c r="G1903" s="347">
        <f t="shared" si="540"/>
        <v>0</v>
      </c>
    </row>
    <row r="1904" spans="1:8" ht="18.95" customHeight="1" x14ac:dyDescent="0.2">
      <c r="A1904" s="343"/>
      <c r="B1904" s="344"/>
      <c r="C1904" s="290"/>
      <c r="D1904" s="293"/>
      <c r="E1904" s="345">
        <f t="shared" si="541"/>
        <v>0</v>
      </c>
      <c r="F1904" s="346">
        <f t="shared" si="542"/>
        <v>0</v>
      </c>
      <c r="G1904" s="347">
        <f t="shared" si="540"/>
        <v>0</v>
      </c>
    </row>
    <row r="1905" spans="1:7" ht="18.95" customHeight="1" x14ac:dyDescent="0.2">
      <c r="A1905" s="343"/>
      <c r="B1905" s="344"/>
      <c r="C1905" s="290"/>
      <c r="D1905" s="293"/>
      <c r="E1905" s="345">
        <f t="shared" si="541"/>
        <v>0</v>
      </c>
      <c r="F1905" s="346">
        <f t="shared" si="542"/>
        <v>0</v>
      </c>
      <c r="G1905" s="347">
        <f t="shared" si="540"/>
        <v>0</v>
      </c>
    </row>
    <row r="1906" spans="1:7" ht="18.95" customHeight="1" x14ac:dyDescent="0.2">
      <c r="A1906" s="343"/>
      <c r="B1906" s="344"/>
      <c r="C1906" s="290"/>
      <c r="D1906" s="293"/>
      <c r="E1906" s="345">
        <f t="shared" si="541"/>
        <v>0</v>
      </c>
      <c r="F1906" s="346">
        <f t="shared" si="542"/>
        <v>0</v>
      </c>
      <c r="G1906" s="347">
        <f t="shared" si="540"/>
        <v>0</v>
      </c>
    </row>
    <row r="1907" spans="1:7" ht="18.95" customHeight="1" x14ac:dyDescent="0.2">
      <c r="A1907" s="343"/>
      <c r="B1907" s="344"/>
      <c r="C1907" s="290"/>
      <c r="D1907" s="293"/>
      <c r="E1907" s="345">
        <f t="shared" si="541"/>
        <v>0</v>
      </c>
      <c r="F1907" s="346">
        <f t="shared" si="542"/>
        <v>0</v>
      </c>
      <c r="G1907" s="347">
        <f t="shared" si="540"/>
        <v>0</v>
      </c>
    </row>
    <row r="1908" spans="1:7" ht="18.95" customHeight="1" x14ac:dyDescent="0.2">
      <c r="A1908" s="343"/>
      <c r="B1908" s="344"/>
      <c r="C1908" s="290"/>
      <c r="D1908" s="293"/>
      <c r="E1908" s="345">
        <f t="shared" si="541"/>
        <v>0</v>
      </c>
      <c r="F1908" s="346">
        <f t="shared" si="542"/>
        <v>0</v>
      </c>
      <c r="G1908" s="347">
        <f t="shared" si="540"/>
        <v>0</v>
      </c>
    </row>
    <row r="1909" spans="1:7" ht="18.95" customHeight="1" x14ac:dyDescent="0.2">
      <c r="A1909" s="343"/>
      <c r="B1909" s="344"/>
      <c r="C1909" s="290"/>
      <c r="D1909" s="293"/>
      <c r="E1909" s="345">
        <f t="shared" si="541"/>
        <v>0</v>
      </c>
      <c r="F1909" s="346">
        <f t="shared" si="542"/>
        <v>0</v>
      </c>
      <c r="G1909" s="347">
        <f t="shared" si="540"/>
        <v>0</v>
      </c>
    </row>
    <row r="1910" spans="1:7" ht="18.95" customHeight="1" thickBot="1" x14ac:dyDescent="0.25">
      <c r="A1910" s="343"/>
      <c r="B1910" s="344"/>
      <c r="C1910" s="290"/>
      <c r="D1910" s="293"/>
      <c r="E1910" s="345">
        <f t="shared" si="541"/>
        <v>0</v>
      </c>
      <c r="F1910" s="346">
        <f t="shared" si="542"/>
        <v>0</v>
      </c>
      <c r="G1910" s="347">
        <f t="shared" si="540"/>
        <v>0</v>
      </c>
    </row>
    <row r="1911" spans="1:7" ht="18.95" customHeight="1" thickBot="1" x14ac:dyDescent="0.25">
      <c r="A1911" s="148"/>
      <c r="B1911" s="334"/>
      <c r="C1911" s="143"/>
      <c r="D1911" s="146" t="s">
        <v>1037</v>
      </c>
      <c r="E1911" s="338">
        <f>SUMPRODUCT(D1901:D1910,E1901:E1910)</f>
        <v>0</v>
      </c>
      <c r="F1911" s="141" t="s">
        <v>1038</v>
      </c>
      <c r="G1911" s="339">
        <f>SUM(G1901:G1910)</f>
        <v>0</v>
      </c>
    </row>
    <row r="1912" spans="1:7" ht="18.95" customHeight="1" x14ac:dyDescent="0.2">
      <c r="A1912" s="148"/>
      <c r="B1912" s="334"/>
      <c r="C1912" s="141" t="s">
        <v>1039</v>
      </c>
      <c r="D1912" s="320"/>
      <c r="E1912" s="340" t="str">
        <f>CONCATENATE(G1897,"/día")</f>
        <v>m/día</v>
      </c>
      <c r="F1912" s="141"/>
      <c r="G1912" s="341"/>
    </row>
    <row r="1913" spans="1:7" ht="18.95" customHeight="1" x14ac:dyDescent="0.2">
      <c r="A1913" s="148"/>
      <c r="B1913" s="334"/>
      <c r="C1913" s="142"/>
      <c r="D1913" s="150"/>
      <c r="E1913" s="141"/>
      <c r="F1913" s="141"/>
      <c r="G1913" s="341"/>
    </row>
    <row r="1914" spans="1:7" ht="18.95" customHeight="1" x14ac:dyDescent="0.2">
      <c r="A1914" s="735" t="s">
        <v>582</v>
      </c>
      <c r="B1914" s="736"/>
      <c r="C1914" s="737" t="s">
        <v>0</v>
      </c>
      <c r="D1914" s="743" t="s">
        <v>1053</v>
      </c>
      <c r="E1914" s="743" t="s">
        <v>1706</v>
      </c>
      <c r="F1914" s="743" t="s">
        <v>1054</v>
      </c>
      <c r="G1914" s="743" t="s">
        <v>1055</v>
      </c>
    </row>
    <row r="1915" spans="1:7" ht="18.95" customHeight="1" x14ac:dyDescent="0.2">
      <c r="A1915" s="154" t="s">
        <v>583</v>
      </c>
      <c r="B1915" s="155" t="s">
        <v>584</v>
      </c>
      <c r="C1915" s="738"/>
      <c r="D1915" s="742"/>
      <c r="E1915" s="742"/>
      <c r="F1915" s="744"/>
      <c r="G1915" s="742"/>
    </row>
    <row r="1916" spans="1:7" ht="18.95" customHeight="1" x14ac:dyDescent="0.2">
      <c r="A1916" s="156"/>
      <c r="B1916" s="142"/>
      <c r="C1916" s="157" t="s">
        <v>1041</v>
      </c>
      <c r="D1916" s="150"/>
      <c r="E1916" s="142"/>
      <c r="F1916" s="142"/>
      <c r="G1916" s="342"/>
    </row>
    <row r="1917" spans="1:7" ht="18.95" customHeight="1" x14ac:dyDescent="0.2">
      <c r="A1917" s="348" t="str">
        <f t="shared" ref="A1917:A1924" si="543">IFERROR(VLOOKUP(C1917,Tabla_Insumos,4,FALSE),"")</f>
        <v/>
      </c>
      <c r="B1917" s="290" t="str">
        <f t="shared" ref="B1917:B1924" si="544">IFERROR(VLOOKUP(C1917,Tabla_Insumos,5,FALSE),"")</f>
        <v/>
      </c>
      <c r="C1917" s="290"/>
      <c r="D1917" s="607">
        <f t="shared" ref="D1917:D1924" si="545">IFERROR(VLOOKUP(C1917,Tabla_Insumos,3,FALSE),0)</f>
        <v>0</v>
      </c>
      <c r="E1917" s="349">
        <f>D1917*$G$21</f>
        <v>0</v>
      </c>
      <c r="F1917" s="350">
        <f>IF(C1917="",0,D1912)</f>
        <v>0</v>
      </c>
      <c r="G1917" s="347">
        <f>IFERROR(ROUND(E1917/F1917,2),0)</f>
        <v>0</v>
      </c>
    </row>
    <row r="1918" spans="1:7" ht="18.95" customHeight="1" x14ac:dyDescent="0.2">
      <c r="A1918" s="348" t="str">
        <f t="shared" si="543"/>
        <v/>
      </c>
      <c r="B1918" s="290" t="str">
        <f t="shared" si="544"/>
        <v/>
      </c>
      <c r="C1918" s="321"/>
      <c r="D1918" s="607">
        <f t="shared" si="545"/>
        <v>0</v>
      </c>
      <c r="E1918" s="349">
        <f t="shared" ref="E1918:E1919" si="546">D1918*$G$21</f>
        <v>0</v>
      </c>
      <c r="F1918" s="350">
        <f t="shared" ref="F1918:F1921" si="547">IF(C1918="",0,F1917)</f>
        <v>0</v>
      </c>
      <c r="G1918" s="347">
        <f t="shared" ref="G1918:G1924" si="548">IFERROR(ROUND(E1918/F1918,2),0)</f>
        <v>0</v>
      </c>
    </row>
    <row r="1919" spans="1:7" ht="18.95" customHeight="1" x14ac:dyDescent="0.2">
      <c r="A1919" s="348" t="str">
        <f t="shared" si="543"/>
        <v/>
      </c>
      <c r="B1919" s="290" t="str">
        <f t="shared" si="544"/>
        <v/>
      </c>
      <c r="C1919" s="321"/>
      <c r="D1919" s="607">
        <f t="shared" si="545"/>
        <v>0</v>
      </c>
      <c r="E1919" s="349">
        <f t="shared" si="546"/>
        <v>0</v>
      </c>
      <c r="F1919" s="350">
        <f t="shared" si="547"/>
        <v>0</v>
      </c>
      <c r="G1919" s="347">
        <f t="shared" si="548"/>
        <v>0</v>
      </c>
    </row>
    <row r="1920" spans="1:7" ht="18.95" customHeight="1" x14ac:dyDescent="0.2">
      <c r="A1920" s="348" t="str">
        <f t="shared" si="543"/>
        <v/>
      </c>
      <c r="B1920" s="290" t="str">
        <f t="shared" si="544"/>
        <v/>
      </c>
      <c r="C1920" s="321"/>
      <c r="D1920" s="607">
        <f t="shared" si="545"/>
        <v>0</v>
      </c>
      <c r="E1920" s="349">
        <f>D1920*$E$21</f>
        <v>0</v>
      </c>
      <c r="F1920" s="350">
        <f t="shared" si="547"/>
        <v>0</v>
      </c>
      <c r="G1920" s="347">
        <f t="shared" si="548"/>
        <v>0</v>
      </c>
    </row>
    <row r="1921" spans="1:7" ht="18.95" customHeight="1" x14ac:dyDescent="0.2">
      <c r="A1921" s="348" t="str">
        <f t="shared" si="543"/>
        <v/>
      </c>
      <c r="B1921" s="290" t="str">
        <f t="shared" si="544"/>
        <v/>
      </c>
      <c r="C1921" s="321"/>
      <c r="D1921" s="607">
        <f t="shared" si="545"/>
        <v>0</v>
      </c>
      <c r="E1921" s="349">
        <f>D1921*$E$21</f>
        <v>0</v>
      </c>
      <c r="F1921" s="350">
        <f t="shared" si="547"/>
        <v>0</v>
      </c>
      <c r="G1921" s="347">
        <f t="shared" si="548"/>
        <v>0</v>
      </c>
    </row>
    <row r="1922" spans="1:7" ht="18.95" customHeight="1" x14ac:dyDescent="0.2">
      <c r="A1922" s="348" t="str">
        <f t="shared" si="543"/>
        <v/>
      </c>
      <c r="B1922" s="290" t="str">
        <f t="shared" si="544"/>
        <v/>
      </c>
      <c r="C1922" s="321"/>
      <c r="D1922" s="607">
        <f t="shared" si="545"/>
        <v>0</v>
      </c>
      <c r="E1922" s="349"/>
      <c r="F1922" s="350">
        <f>IF(C1922="",0,F1921)</f>
        <v>0</v>
      </c>
      <c r="G1922" s="347">
        <f t="shared" si="548"/>
        <v>0</v>
      </c>
    </row>
    <row r="1923" spans="1:7" ht="18.95" customHeight="1" x14ac:dyDescent="0.2">
      <c r="A1923" s="348" t="str">
        <f t="shared" si="543"/>
        <v/>
      </c>
      <c r="B1923" s="290" t="str">
        <f t="shared" si="544"/>
        <v/>
      </c>
      <c r="C1923" s="321"/>
      <c r="D1923" s="607">
        <f t="shared" si="545"/>
        <v>0</v>
      </c>
      <c r="E1923" s="349"/>
      <c r="F1923" s="350">
        <f t="shared" ref="F1923:F1924" si="549">IF(C1923="",0,F1922)</f>
        <v>0</v>
      </c>
      <c r="G1923" s="347">
        <f t="shared" si="548"/>
        <v>0</v>
      </c>
    </row>
    <row r="1924" spans="1:7" ht="18.95" customHeight="1" x14ac:dyDescent="0.2">
      <c r="A1924" s="348" t="str">
        <f t="shared" si="543"/>
        <v/>
      </c>
      <c r="B1924" s="290" t="str">
        <f t="shared" si="544"/>
        <v/>
      </c>
      <c r="C1924" s="321"/>
      <c r="D1924" s="607">
        <f t="shared" si="545"/>
        <v>0</v>
      </c>
      <c r="E1924" s="349"/>
      <c r="F1924" s="350">
        <f t="shared" si="549"/>
        <v>0</v>
      </c>
      <c r="G1924" s="347">
        <f t="shared" si="548"/>
        <v>0</v>
      </c>
    </row>
    <row r="1925" spans="1:7" ht="18.95" customHeight="1" x14ac:dyDescent="0.2">
      <c r="A1925" s="353"/>
      <c r="B1925" s="149"/>
      <c r="C1925" s="142"/>
      <c r="D1925" s="150"/>
      <c r="E1925" s="143"/>
      <c r="F1925" s="354" t="s">
        <v>29</v>
      </c>
      <c r="G1925" s="355">
        <f>SUBTOTAL(9,G1917:G1924)</f>
        <v>0</v>
      </c>
    </row>
    <row r="1926" spans="1:7" ht="18.95" customHeight="1" x14ac:dyDescent="0.2">
      <c r="A1926" s="156"/>
      <c r="B1926" s="142"/>
      <c r="C1926" s="157" t="s">
        <v>722</v>
      </c>
      <c r="D1926" s="150"/>
      <c r="E1926" s="327"/>
      <c r="F1926" s="327"/>
      <c r="G1926" s="342"/>
    </row>
    <row r="1927" spans="1:7" ht="18.95" customHeight="1" x14ac:dyDescent="0.2">
      <c r="A1927" s="735" t="s">
        <v>582</v>
      </c>
      <c r="B1927" s="736"/>
      <c r="C1927" s="737" t="s">
        <v>0</v>
      </c>
      <c r="D1927" s="739" t="s">
        <v>26</v>
      </c>
      <c r="E1927" s="743" t="s">
        <v>1707</v>
      </c>
      <c r="F1927" s="741" t="s">
        <v>1040</v>
      </c>
      <c r="G1927" s="733" t="s">
        <v>28</v>
      </c>
    </row>
    <row r="1928" spans="1:7" ht="18.95" customHeight="1" x14ac:dyDescent="0.2">
      <c r="A1928" s="154" t="s">
        <v>583</v>
      </c>
      <c r="B1928" s="155" t="s">
        <v>584</v>
      </c>
      <c r="C1928" s="738"/>
      <c r="D1928" s="740"/>
      <c r="E1928" s="742"/>
      <c r="F1928" s="742"/>
      <c r="G1928" s="734"/>
    </row>
    <row r="1929" spans="1:7" ht="18.95" customHeight="1" x14ac:dyDescent="0.2">
      <c r="A1929" s="348" t="str">
        <f t="shared" ref="A1929:A1934" si="550">IFERROR(VLOOKUP(C1929,Tabla_Insumos,4,FALSE),"")</f>
        <v/>
      </c>
      <c r="B1929" s="290" t="str">
        <f t="shared" ref="B1929:B1934" si="551">IFERROR(VLOOKUP(C1929,Tabla_Insumos,5,FALSE),"")</f>
        <v/>
      </c>
      <c r="C1929" s="291"/>
      <c r="D1929" s="293"/>
      <c r="E1929" s="346">
        <f t="shared" ref="E1929:E1934" si="552">IFERROR(VLOOKUP(C1929,Tabla_Insumos,3,FALSE),0)</f>
        <v>0</v>
      </c>
      <c r="F1929" s="349">
        <f>IF(C1929="",0,D1912)</f>
        <v>0</v>
      </c>
      <c r="G1929" s="347">
        <f t="shared" ref="G1929:G1934" si="553">IFERROR(ROUND(D1929*E1929/F1929,2),0)</f>
        <v>0</v>
      </c>
    </row>
    <row r="1930" spans="1:7" ht="18.95" customHeight="1" x14ac:dyDescent="0.2">
      <c r="A1930" s="348" t="str">
        <f t="shared" si="550"/>
        <v/>
      </c>
      <c r="B1930" s="290" t="str">
        <f t="shared" si="551"/>
        <v/>
      </c>
      <c r="C1930" s="290"/>
      <c r="D1930" s="293"/>
      <c r="E1930" s="346">
        <f t="shared" si="552"/>
        <v>0</v>
      </c>
      <c r="F1930" s="349">
        <f>IF(C1930="",0,F1929)</f>
        <v>0</v>
      </c>
      <c r="G1930" s="347">
        <f t="shared" si="553"/>
        <v>0</v>
      </c>
    </row>
    <row r="1931" spans="1:7" ht="18.95" customHeight="1" x14ac:dyDescent="0.2">
      <c r="A1931" s="348" t="str">
        <f t="shared" si="550"/>
        <v/>
      </c>
      <c r="B1931" s="290" t="str">
        <f t="shared" si="551"/>
        <v/>
      </c>
      <c r="C1931" s="290"/>
      <c r="D1931" s="293"/>
      <c r="E1931" s="346">
        <f t="shared" si="552"/>
        <v>0</v>
      </c>
      <c r="F1931" s="349">
        <f>IF(C1931="",0,F1930)</f>
        <v>0</v>
      </c>
      <c r="G1931" s="347">
        <f t="shared" si="553"/>
        <v>0</v>
      </c>
    </row>
    <row r="1932" spans="1:7" ht="18.95" customHeight="1" x14ac:dyDescent="0.2">
      <c r="A1932" s="348" t="str">
        <f t="shared" si="550"/>
        <v/>
      </c>
      <c r="B1932" s="290" t="str">
        <f t="shared" si="551"/>
        <v/>
      </c>
      <c r="C1932" s="290"/>
      <c r="D1932" s="293"/>
      <c r="E1932" s="346">
        <f t="shared" si="552"/>
        <v>0</v>
      </c>
      <c r="F1932" s="349">
        <f>IF(C1932="",0,F1931)</f>
        <v>0</v>
      </c>
      <c r="G1932" s="347">
        <f t="shared" si="553"/>
        <v>0</v>
      </c>
    </row>
    <row r="1933" spans="1:7" ht="18.95" customHeight="1" x14ac:dyDescent="0.2">
      <c r="A1933" s="348" t="str">
        <f t="shared" si="550"/>
        <v/>
      </c>
      <c r="B1933" s="290" t="str">
        <f t="shared" si="551"/>
        <v/>
      </c>
      <c r="C1933" s="290"/>
      <c r="D1933" s="351"/>
      <c r="E1933" s="346">
        <f t="shared" si="552"/>
        <v>0</v>
      </c>
      <c r="F1933" s="349">
        <f>IF(C1933="",0,F1932)</f>
        <v>0</v>
      </c>
      <c r="G1933" s="347">
        <f t="shared" si="553"/>
        <v>0</v>
      </c>
    </row>
    <row r="1934" spans="1:7" ht="18.95" customHeight="1" x14ac:dyDescent="0.2">
      <c r="A1934" s="348" t="str">
        <f t="shared" si="550"/>
        <v/>
      </c>
      <c r="B1934" s="290" t="str">
        <f t="shared" si="551"/>
        <v/>
      </c>
      <c r="C1934" s="290"/>
      <c r="D1934" s="293"/>
      <c r="E1934" s="346">
        <f t="shared" si="552"/>
        <v>0</v>
      </c>
      <c r="F1934" s="349">
        <f>IF(C1934="",0,F1933)</f>
        <v>0</v>
      </c>
      <c r="G1934" s="347">
        <f t="shared" si="553"/>
        <v>0</v>
      </c>
    </row>
    <row r="1935" spans="1:7" ht="18.95" customHeight="1" x14ac:dyDescent="0.2">
      <c r="A1935" s="353"/>
      <c r="B1935" s="149"/>
      <c r="C1935" s="142"/>
      <c r="D1935" s="150"/>
      <c r="E1935" s="143"/>
      <c r="F1935" s="356" t="s">
        <v>30</v>
      </c>
      <c r="G1935" s="355">
        <f>SUBTOTAL(9,G1929:G1934)</f>
        <v>0</v>
      </c>
    </row>
    <row r="1936" spans="1:7" ht="18.95" customHeight="1" x14ac:dyDescent="0.2">
      <c r="A1936" s="156"/>
      <c r="B1936" s="142"/>
      <c r="C1936" s="157" t="s">
        <v>1047</v>
      </c>
      <c r="D1936" s="150"/>
      <c r="E1936" s="327"/>
      <c r="F1936" s="327"/>
      <c r="G1936" s="342"/>
    </row>
    <row r="1937" spans="1:7" ht="18.95" customHeight="1" x14ac:dyDescent="0.2">
      <c r="A1937" s="735" t="s">
        <v>582</v>
      </c>
      <c r="B1937" s="736"/>
      <c r="C1937" s="737" t="s">
        <v>0</v>
      </c>
      <c r="D1937" s="737" t="s">
        <v>1655</v>
      </c>
      <c r="E1937" s="737" t="s">
        <v>26</v>
      </c>
      <c r="F1937" s="737" t="s">
        <v>27</v>
      </c>
      <c r="G1937" s="733" t="s">
        <v>28</v>
      </c>
    </row>
    <row r="1938" spans="1:7" ht="18.95" customHeight="1" x14ac:dyDescent="0.2">
      <c r="A1938" s="154" t="s">
        <v>583</v>
      </c>
      <c r="B1938" s="155" t="s">
        <v>584</v>
      </c>
      <c r="C1938" s="738"/>
      <c r="D1938" s="738"/>
      <c r="E1938" s="738"/>
      <c r="F1938" s="738"/>
      <c r="G1938" s="734"/>
    </row>
    <row r="1939" spans="1:7" ht="18.95" customHeight="1" x14ac:dyDescent="0.2">
      <c r="A1939" s="348" t="str">
        <f t="shared" ref="A1939:A1950" si="554">IFERROR(VLOOKUP(C1939,Tabla_Insumos,4,FALSE),"")</f>
        <v/>
      </c>
      <c r="B1939" s="290" t="str">
        <f t="shared" ref="B1939:B1950" si="555">IFERROR(VLOOKUP(C1939,Tabla_Insumos,5,FALSE),"")</f>
        <v/>
      </c>
      <c r="C1939" s="290"/>
      <c r="D1939" s="608">
        <f t="shared" ref="D1939:D1950" si="556">IFERROR(VLOOKUP(C1939,Tabla_Insumos,2,FALSE),0)</f>
        <v>0</v>
      </c>
      <c r="E1939" s="293"/>
      <c r="F1939" s="346">
        <f t="shared" ref="F1939:F1950" si="557">IFERROR(VLOOKUP(C1939,Tabla_Insumos,3,FALSE),0)</f>
        <v>0</v>
      </c>
      <c r="G1939" s="347">
        <f t="shared" ref="G1939:G1950" si="558">ROUND(E1939*F1939,2)</f>
        <v>0</v>
      </c>
    </row>
    <row r="1940" spans="1:7" ht="18.95" customHeight="1" x14ac:dyDescent="0.2">
      <c r="A1940" s="348" t="str">
        <f t="shared" si="554"/>
        <v/>
      </c>
      <c r="B1940" s="290" t="str">
        <f t="shared" si="555"/>
        <v/>
      </c>
      <c r="C1940" s="126"/>
      <c r="D1940" s="608">
        <f t="shared" si="556"/>
        <v>0</v>
      </c>
      <c r="E1940" s="293"/>
      <c r="F1940" s="346">
        <f t="shared" si="557"/>
        <v>0</v>
      </c>
      <c r="G1940" s="347">
        <f t="shared" si="558"/>
        <v>0</v>
      </c>
    </row>
    <row r="1941" spans="1:7" ht="18.95" customHeight="1" x14ac:dyDescent="0.2">
      <c r="A1941" s="348" t="str">
        <f t="shared" si="554"/>
        <v/>
      </c>
      <c r="B1941" s="290" t="str">
        <f t="shared" si="555"/>
        <v/>
      </c>
      <c r="C1941" s="290"/>
      <c r="D1941" s="608">
        <f t="shared" si="556"/>
        <v>0</v>
      </c>
      <c r="E1941" s="293"/>
      <c r="F1941" s="346">
        <f t="shared" si="557"/>
        <v>0</v>
      </c>
      <c r="G1941" s="347">
        <f t="shared" si="558"/>
        <v>0</v>
      </c>
    </row>
    <row r="1942" spans="1:7" ht="18.95" customHeight="1" x14ac:dyDescent="0.2">
      <c r="A1942" s="348" t="str">
        <f t="shared" si="554"/>
        <v/>
      </c>
      <c r="B1942" s="290" t="str">
        <f t="shared" si="555"/>
        <v/>
      </c>
      <c r="C1942" s="290"/>
      <c r="D1942" s="608">
        <f t="shared" si="556"/>
        <v>0</v>
      </c>
      <c r="E1942" s="293"/>
      <c r="F1942" s="346">
        <f t="shared" si="557"/>
        <v>0</v>
      </c>
      <c r="G1942" s="347">
        <f t="shared" si="558"/>
        <v>0</v>
      </c>
    </row>
    <row r="1943" spans="1:7" ht="18.95" customHeight="1" x14ac:dyDescent="0.2">
      <c r="A1943" s="348" t="str">
        <f t="shared" si="554"/>
        <v/>
      </c>
      <c r="B1943" s="290" t="str">
        <f t="shared" si="555"/>
        <v/>
      </c>
      <c r="C1943" s="290"/>
      <c r="D1943" s="608">
        <f t="shared" si="556"/>
        <v>0</v>
      </c>
      <c r="E1943" s="293"/>
      <c r="F1943" s="346">
        <f t="shared" si="557"/>
        <v>0</v>
      </c>
      <c r="G1943" s="347">
        <f t="shared" si="558"/>
        <v>0</v>
      </c>
    </row>
    <row r="1944" spans="1:7" ht="18.95" customHeight="1" x14ac:dyDescent="0.2">
      <c r="A1944" s="348" t="str">
        <f t="shared" si="554"/>
        <v/>
      </c>
      <c r="B1944" s="290" t="str">
        <f t="shared" si="555"/>
        <v/>
      </c>
      <c r="C1944" s="290"/>
      <c r="D1944" s="608">
        <f t="shared" si="556"/>
        <v>0</v>
      </c>
      <c r="E1944" s="293"/>
      <c r="F1944" s="346">
        <f t="shared" si="557"/>
        <v>0</v>
      </c>
      <c r="G1944" s="347">
        <f t="shared" si="558"/>
        <v>0</v>
      </c>
    </row>
    <row r="1945" spans="1:7" ht="18.95" customHeight="1" x14ac:dyDescent="0.2">
      <c r="A1945" s="348" t="str">
        <f t="shared" si="554"/>
        <v/>
      </c>
      <c r="B1945" s="290" t="str">
        <f t="shared" si="555"/>
        <v/>
      </c>
      <c r="C1945" s="290"/>
      <c r="D1945" s="608">
        <f t="shared" si="556"/>
        <v>0</v>
      </c>
      <c r="E1945" s="293"/>
      <c r="F1945" s="346">
        <f t="shared" si="557"/>
        <v>0</v>
      </c>
      <c r="G1945" s="347">
        <f t="shared" si="558"/>
        <v>0</v>
      </c>
    </row>
    <row r="1946" spans="1:7" s="295" customFormat="1" ht="18.95" customHeight="1" x14ac:dyDescent="0.2">
      <c r="A1946" s="348" t="str">
        <f t="shared" si="554"/>
        <v/>
      </c>
      <c r="B1946" s="290" t="str">
        <f t="shared" si="555"/>
        <v/>
      </c>
      <c r="C1946" s="290"/>
      <c r="D1946" s="608">
        <f t="shared" si="556"/>
        <v>0</v>
      </c>
      <c r="E1946" s="323"/>
      <c r="F1946" s="346">
        <f t="shared" si="557"/>
        <v>0</v>
      </c>
      <c r="G1946" s="347">
        <f t="shared" si="558"/>
        <v>0</v>
      </c>
    </row>
    <row r="1947" spans="1:7" ht="18.95" customHeight="1" x14ac:dyDescent="0.2">
      <c r="A1947" s="348" t="str">
        <f t="shared" si="554"/>
        <v/>
      </c>
      <c r="B1947" s="290" t="str">
        <f t="shared" si="555"/>
        <v/>
      </c>
      <c r="C1947" s="290"/>
      <c r="D1947" s="608">
        <f t="shared" si="556"/>
        <v>0</v>
      </c>
      <c r="E1947" s="293"/>
      <c r="F1947" s="346">
        <f t="shared" si="557"/>
        <v>0</v>
      </c>
      <c r="G1947" s="347">
        <f t="shared" si="558"/>
        <v>0</v>
      </c>
    </row>
    <row r="1948" spans="1:7" ht="18.95" customHeight="1" x14ac:dyDescent="0.2">
      <c r="A1948" s="348" t="str">
        <f t="shared" si="554"/>
        <v/>
      </c>
      <c r="B1948" s="290" t="str">
        <f t="shared" si="555"/>
        <v/>
      </c>
      <c r="C1948" s="290"/>
      <c r="D1948" s="608">
        <f t="shared" si="556"/>
        <v>0</v>
      </c>
      <c r="E1948" s="293"/>
      <c r="F1948" s="346">
        <f t="shared" si="557"/>
        <v>0</v>
      </c>
      <c r="G1948" s="347">
        <f t="shared" si="558"/>
        <v>0</v>
      </c>
    </row>
    <row r="1949" spans="1:7" ht="18.95" customHeight="1" x14ac:dyDescent="0.2">
      <c r="A1949" s="348" t="str">
        <f t="shared" si="554"/>
        <v/>
      </c>
      <c r="B1949" s="290" t="str">
        <f t="shared" si="555"/>
        <v/>
      </c>
      <c r="C1949" s="290"/>
      <c r="D1949" s="608">
        <f t="shared" si="556"/>
        <v>0</v>
      </c>
      <c r="E1949" s="293"/>
      <c r="F1949" s="346">
        <f t="shared" si="557"/>
        <v>0</v>
      </c>
      <c r="G1949" s="347">
        <f t="shared" si="558"/>
        <v>0</v>
      </c>
    </row>
    <row r="1950" spans="1:7" ht="18.95" customHeight="1" x14ac:dyDescent="0.2">
      <c r="A1950" s="348" t="str">
        <f t="shared" si="554"/>
        <v/>
      </c>
      <c r="B1950" s="290" t="str">
        <f t="shared" si="555"/>
        <v/>
      </c>
      <c r="C1950" s="290"/>
      <c r="D1950" s="608">
        <f t="shared" si="556"/>
        <v>0</v>
      </c>
      <c r="E1950" s="293"/>
      <c r="F1950" s="346">
        <f t="shared" si="557"/>
        <v>0</v>
      </c>
      <c r="G1950" s="347">
        <f t="shared" si="558"/>
        <v>0</v>
      </c>
    </row>
    <row r="1951" spans="1:7" ht="18.95" customHeight="1" x14ac:dyDescent="0.2">
      <c r="A1951" s="156"/>
      <c r="B1951" s="142"/>
      <c r="C1951" s="142"/>
      <c r="D1951" s="150"/>
      <c r="E1951" s="143"/>
      <c r="F1951" s="356" t="s">
        <v>31</v>
      </c>
      <c r="G1951" s="355">
        <f>SUBTOTAL(9,G1939:G1950)</f>
        <v>0</v>
      </c>
    </row>
    <row r="1952" spans="1:7" ht="18.95" customHeight="1" x14ac:dyDescent="0.2">
      <c r="A1952" s="156"/>
      <c r="B1952" s="142"/>
      <c r="C1952" s="157" t="s">
        <v>1048</v>
      </c>
      <c r="D1952" s="150"/>
      <c r="E1952" s="327"/>
      <c r="F1952" s="327"/>
      <c r="G1952" s="342"/>
    </row>
    <row r="1953" spans="1:8" ht="18.95" customHeight="1" x14ac:dyDescent="0.2">
      <c r="A1953" s="735" t="s">
        <v>582</v>
      </c>
      <c r="B1953" s="736"/>
      <c r="C1953" s="737" t="s">
        <v>0</v>
      </c>
      <c r="D1953" s="739" t="s">
        <v>1750</v>
      </c>
      <c r="E1953" s="741" t="s">
        <v>26</v>
      </c>
      <c r="F1953" s="741" t="s">
        <v>27</v>
      </c>
      <c r="G1953" s="733" t="s">
        <v>28</v>
      </c>
    </row>
    <row r="1954" spans="1:8" ht="18.95" customHeight="1" x14ac:dyDescent="0.2">
      <c r="A1954" s="154" t="s">
        <v>583</v>
      </c>
      <c r="B1954" s="155" t="s">
        <v>584</v>
      </c>
      <c r="C1954" s="738"/>
      <c r="D1954" s="740"/>
      <c r="E1954" s="742"/>
      <c r="F1954" s="742"/>
      <c r="G1954" s="734"/>
    </row>
    <row r="1955" spans="1:8" ht="18.95" customHeight="1" x14ac:dyDescent="0.2">
      <c r="A1955" s="348" t="str">
        <f>IFERROR(VLOOKUP(C1955,Tabla_Insumos,4,FALSE),"")</f>
        <v/>
      </c>
      <c r="B1955" s="290" t="s">
        <v>4</v>
      </c>
      <c r="C1955" s="290"/>
      <c r="D1955" s="293"/>
      <c r="E1955" s="322"/>
      <c r="F1955" s="324"/>
      <c r="G1955" s="347">
        <f t="shared" ref="G1955" si="559">ROUND(E1955*F1955,2)</f>
        <v>0</v>
      </c>
    </row>
    <row r="1956" spans="1:8" ht="18.95" customHeight="1" x14ac:dyDescent="0.2">
      <c r="A1956" s="156"/>
      <c r="B1956" s="142"/>
      <c r="C1956" s="142"/>
      <c r="D1956" s="150"/>
      <c r="E1956" s="143"/>
      <c r="F1956" s="356" t="s">
        <v>1049</v>
      </c>
      <c r="G1956" s="355">
        <f>SUBTOTAL(9,G1955:G1955)</f>
        <v>0</v>
      </c>
    </row>
    <row r="1957" spans="1:8" ht="18.95" customHeight="1" thickBot="1" x14ac:dyDescent="0.25">
      <c r="A1957" s="158"/>
      <c r="B1957" s="159"/>
      <c r="C1957" s="160"/>
      <c r="D1957" s="161"/>
      <c r="E1957" s="357"/>
      <c r="F1957" s="357"/>
      <c r="G1957" s="358"/>
    </row>
    <row r="1958" spans="1:8" ht="18.95" customHeight="1" x14ac:dyDescent="0.2">
      <c r="A1958" s="359">
        <f>B1897</f>
        <v>27</v>
      </c>
      <c r="B1958" s="360" t="str">
        <f>C1897</f>
        <v>LIMPIEZA DE CANAL EXISTENTE</v>
      </c>
      <c r="C1958" s="361"/>
      <c r="D1958" s="361"/>
      <c r="E1958" s="361" t="s">
        <v>1050</v>
      </c>
      <c r="F1958" s="362" t="str">
        <f>CONCATENATE("$/",G1897)</f>
        <v>$/m</v>
      </c>
      <c r="G1958" s="363">
        <f>SUBTOTAL(9,G1917:G1957)</f>
        <v>0</v>
      </c>
    </row>
    <row r="1959" spans="1:8" ht="18.95" customHeight="1" thickBot="1" x14ac:dyDescent="0.25">
      <c r="A1959" s="364"/>
      <c r="B1959" s="365"/>
      <c r="C1959" s="365"/>
      <c r="D1959" s="365"/>
      <c r="E1959" s="366" t="s">
        <v>1051</v>
      </c>
      <c r="F1959" s="367" t="str">
        <f>CONCATENATE("$/",G1897)</f>
        <v>$/m</v>
      </c>
      <c r="G1959" s="368" t="e">
        <f ca="1">PrecioUnitario(G1958,GG_Porcentaje,Beneficio,Ingresos_Brutos,IVA)</f>
        <v>#NAME?</v>
      </c>
    </row>
    <row r="1960" spans="1:8" ht="18.95" customHeight="1" thickTop="1" thickBot="1" x14ac:dyDescent="0.25">
      <c r="F1960" s="294"/>
      <c r="G1960" s="294"/>
    </row>
    <row r="1961" spans="1:8" ht="18.95" customHeight="1" thickTop="1" x14ac:dyDescent="0.2">
      <c r="A1961" s="194" t="s">
        <v>33</v>
      </c>
      <c r="B1961" s="195"/>
      <c r="C1961" s="195"/>
      <c r="D1961" s="195"/>
      <c r="E1961" s="195"/>
      <c r="F1961" s="195"/>
      <c r="G1961" s="196"/>
      <c r="H1961" s="143">
        <f>COUNTIF($A$1:A1967,"ANALISIS DE PRECIOS")</f>
        <v>29</v>
      </c>
    </row>
    <row r="1962" spans="1:8" ht="18.95" customHeight="1" x14ac:dyDescent="0.2">
      <c r="A1962" s="144" t="s">
        <v>720</v>
      </c>
      <c r="B1962" s="145" t="str">
        <f>Comitente</f>
        <v>DIRECCIÓN PROVINCIAL DE VIALIDAD</v>
      </c>
      <c r="C1962" s="139"/>
      <c r="D1962" s="146"/>
      <c r="E1962" s="325"/>
      <c r="F1962" s="325"/>
      <c r="G1962" s="326"/>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PAVIMENTACION Y ENSANCHE DE RUTA PROVINCIAL N°7 AV. JOAQUIN UÑAC</v>
      </c>
      <c r="C1964" s="140"/>
      <c r="D1964" s="140"/>
      <c r="E1964" s="143"/>
      <c r="F1964" s="145" t="s">
        <v>34</v>
      </c>
      <c r="G1964" s="147">
        <f>Fecha_Base</f>
        <v>43444</v>
      </c>
      <c r="H1964" s="143"/>
    </row>
    <row r="1965" spans="1:8" ht="18.95" customHeight="1" x14ac:dyDescent="0.2">
      <c r="A1965" s="148" t="s">
        <v>719</v>
      </c>
      <c r="B1965" s="141" t="str">
        <f>Ubicación</f>
        <v>DEPARTAMENTO POCITO</v>
      </c>
      <c r="C1965" s="141"/>
      <c r="D1965" s="150"/>
      <c r="E1965" s="143"/>
      <c r="F1965" s="327"/>
      <c r="G1965" s="328"/>
      <c r="H1965" s="143"/>
    </row>
    <row r="1966" spans="1:8" ht="18.95" customHeight="1" x14ac:dyDescent="0.2">
      <c r="A1966" s="148" t="s">
        <v>35</v>
      </c>
      <c r="B1966" s="151" t="str">
        <f>IFERROR(VALUE(LEFT(B1967,FIND("-",B1967)-1)),"")</f>
        <v/>
      </c>
      <c r="C1966" s="142" t="str">
        <f>IFERROR(VLOOKUP(B1966,Tabla_CyP,2,FALSE),"")</f>
        <v/>
      </c>
      <c r="D1966" s="150"/>
      <c r="E1966" s="143"/>
      <c r="F1966" s="327"/>
      <c r="G1966" s="328"/>
      <c r="H1966" s="143"/>
    </row>
    <row r="1967" spans="1:8" ht="18.95" customHeight="1" x14ac:dyDescent="0.2">
      <c r="A1967" s="148" t="s">
        <v>24</v>
      </c>
      <c r="B1967" s="152">
        <f>IFERROR(VLOOKUP(COUNTIF($A$1:A1967,"ANALISIS DE PRECIOS"),Tabla_NumeroItem,4,FALSE),"")</f>
        <v>28</v>
      </c>
      <c r="C1967" s="745" t="str">
        <f>IFERROR(VLOOKUP(B1967,Tabla_CyP,2,FALSE),"")</f>
        <v>DEMOLICIÓN DE OBRAS VARIAS</v>
      </c>
      <c r="D1967" s="745"/>
      <c r="E1967" s="745"/>
      <c r="F1967" s="141" t="s">
        <v>25</v>
      </c>
      <c r="G1967" s="153" t="str">
        <f>IFERROR(VLOOKUP(B1967,Tabla_CyP,4,FALSE),"")</f>
        <v>Gl</v>
      </c>
      <c r="H1967" s="143"/>
    </row>
    <row r="1968" spans="1:8" ht="18.95" customHeight="1" x14ac:dyDescent="0.2">
      <c r="A1968" s="148"/>
      <c r="B1968" s="141"/>
      <c r="C1968" s="142"/>
      <c r="D1968" s="150"/>
      <c r="E1968" s="142"/>
      <c r="F1968" s="142"/>
      <c r="G1968" s="329"/>
      <c r="H1968" s="143"/>
    </row>
    <row r="1969" spans="1:8" ht="18.95" customHeight="1" x14ac:dyDescent="0.2">
      <c r="A1969" s="330"/>
      <c r="B1969" s="331"/>
      <c r="C1969" s="332" t="s">
        <v>1032</v>
      </c>
      <c r="D1969" s="331"/>
      <c r="E1969" s="331"/>
      <c r="F1969" s="331"/>
      <c r="G1969" s="333"/>
      <c r="H1969" s="143"/>
    </row>
    <row r="1970" spans="1:8" ht="18.95" customHeight="1" x14ac:dyDescent="0.2">
      <c r="A1970" s="148"/>
      <c r="B1970" s="334"/>
      <c r="C1970" s="335" t="s">
        <v>1033</v>
      </c>
      <c r="D1970" s="336" t="s">
        <v>26</v>
      </c>
      <c r="E1970" s="336" t="s">
        <v>1034</v>
      </c>
      <c r="F1970" s="336" t="s">
        <v>1035</v>
      </c>
      <c r="G1970" s="337" t="s">
        <v>1036</v>
      </c>
      <c r="H1970" s="143"/>
    </row>
    <row r="1971" spans="1:8" ht="18.95" customHeight="1" x14ac:dyDescent="0.2">
      <c r="A1971" s="343"/>
      <c r="B1971" s="344"/>
      <c r="C1971" s="290"/>
      <c r="D1971" s="293"/>
      <c r="E1971" s="345"/>
      <c r="F1971" s="346"/>
      <c r="G1971" s="347">
        <f t="shared" ref="G1971:G1980" si="560">ROUND(D1971*F1971,2)</f>
        <v>0</v>
      </c>
    </row>
    <row r="1972" spans="1:8" ht="18.95" customHeight="1" x14ac:dyDescent="0.2">
      <c r="A1972" s="343"/>
      <c r="B1972" s="344"/>
      <c r="C1972" s="290"/>
      <c r="D1972" s="293"/>
      <c r="E1972" s="345"/>
      <c r="F1972" s="346"/>
      <c r="G1972" s="347">
        <f t="shared" si="560"/>
        <v>0</v>
      </c>
    </row>
    <row r="1973" spans="1:8" ht="18.95" customHeight="1" x14ac:dyDescent="0.2">
      <c r="A1973" s="343"/>
      <c r="B1973" s="344"/>
      <c r="C1973" s="290"/>
      <c r="D1973" s="293"/>
      <c r="E1973" s="345">
        <f t="shared" ref="E1973:E1980" si="561">IFERROR(VLOOKUP(C1973,T_Equipos,4,FALSE),0)</f>
        <v>0</v>
      </c>
      <c r="F1973" s="346">
        <f t="shared" ref="F1973:F1980" si="562">IFERROR(VLOOKUP(C1973,T_Equipos,11,FALSE),0)</f>
        <v>0</v>
      </c>
      <c r="G1973" s="347">
        <f t="shared" si="560"/>
        <v>0</v>
      </c>
    </row>
    <row r="1974" spans="1:8" ht="18.95" customHeight="1" x14ac:dyDescent="0.2">
      <c r="A1974" s="343"/>
      <c r="B1974" s="344"/>
      <c r="C1974" s="290"/>
      <c r="D1974" s="293"/>
      <c r="E1974" s="345">
        <f t="shared" si="561"/>
        <v>0</v>
      </c>
      <c r="F1974" s="346">
        <f t="shared" si="562"/>
        <v>0</v>
      </c>
      <c r="G1974" s="347">
        <f t="shared" si="560"/>
        <v>0</v>
      </c>
    </row>
    <row r="1975" spans="1:8" ht="18.95" customHeight="1" x14ac:dyDescent="0.2">
      <c r="A1975" s="343"/>
      <c r="B1975" s="344"/>
      <c r="C1975" s="290"/>
      <c r="D1975" s="293"/>
      <c r="E1975" s="345">
        <f t="shared" si="561"/>
        <v>0</v>
      </c>
      <c r="F1975" s="346">
        <f t="shared" si="562"/>
        <v>0</v>
      </c>
      <c r="G1975" s="347">
        <f t="shared" si="560"/>
        <v>0</v>
      </c>
    </row>
    <row r="1976" spans="1:8" ht="18.95" customHeight="1" x14ac:dyDescent="0.2">
      <c r="A1976" s="343"/>
      <c r="B1976" s="344"/>
      <c r="C1976" s="290"/>
      <c r="D1976" s="293"/>
      <c r="E1976" s="345">
        <f t="shared" si="561"/>
        <v>0</v>
      </c>
      <c r="F1976" s="346">
        <f t="shared" si="562"/>
        <v>0</v>
      </c>
      <c r="G1976" s="347">
        <f t="shared" si="560"/>
        <v>0</v>
      </c>
    </row>
    <row r="1977" spans="1:8" ht="18.95" customHeight="1" x14ac:dyDescent="0.2">
      <c r="A1977" s="343"/>
      <c r="B1977" s="344"/>
      <c r="C1977" s="290"/>
      <c r="D1977" s="293"/>
      <c r="E1977" s="345">
        <f t="shared" si="561"/>
        <v>0</v>
      </c>
      <c r="F1977" s="346">
        <f t="shared" si="562"/>
        <v>0</v>
      </c>
      <c r="G1977" s="347">
        <f t="shared" si="560"/>
        <v>0</v>
      </c>
    </row>
    <row r="1978" spans="1:8" ht="18.95" customHeight="1" x14ac:dyDescent="0.2">
      <c r="A1978" s="343"/>
      <c r="B1978" s="344"/>
      <c r="C1978" s="290"/>
      <c r="D1978" s="293"/>
      <c r="E1978" s="345">
        <f t="shared" si="561"/>
        <v>0</v>
      </c>
      <c r="F1978" s="346">
        <f t="shared" si="562"/>
        <v>0</v>
      </c>
      <c r="G1978" s="347">
        <f t="shared" si="560"/>
        <v>0</v>
      </c>
    </row>
    <row r="1979" spans="1:8" ht="18.95" customHeight="1" x14ac:dyDescent="0.2">
      <c r="A1979" s="343"/>
      <c r="B1979" s="344"/>
      <c r="C1979" s="290"/>
      <c r="D1979" s="293"/>
      <c r="E1979" s="345">
        <f t="shared" si="561"/>
        <v>0</v>
      </c>
      <c r="F1979" s="346">
        <f t="shared" si="562"/>
        <v>0</v>
      </c>
      <c r="G1979" s="347">
        <f t="shared" si="560"/>
        <v>0</v>
      </c>
    </row>
    <row r="1980" spans="1:8" ht="18.95" customHeight="1" thickBot="1" x14ac:dyDescent="0.25">
      <c r="A1980" s="343"/>
      <c r="B1980" s="344"/>
      <c r="C1980" s="290"/>
      <c r="D1980" s="293"/>
      <c r="E1980" s="345">
        <f t="shared" si="561"/>
        <v>0</v>
      </c>
      <c r="F1980" s="346">
        <f t="shared" si="562"/>
        <v>0</v>
      </c>
      <c r="G1980" s="347">
        <f t="shared" si="560"/>
        <v>0</v>
      </c>
    </row>
    <row r="1981" spans="1:8" ht="18.95" customHeight="1" thickBot="1" x14ac:dyDescent="0.25">
      <c r="A1981" s="148"/>
      <c r="B1981" s="334"/>
      <c r="C1981" s="143"/>
      <c r="D1981" s="146" t="s">
        <v>1037</v>
      </c>
      <c r="E1981" s="338">
        <f>SUMPRODUCT(D1971:D1980,E1971:E1980)</f>
        <v>0</v>
      </c>
      <c r="F1981" s="141" t="s">
        <v>1038</v>
      </c>
      <c r="G1981" s="339">
        <f>SUM(G1971:G1980)</f>
        <v>0</v>
      </c>
    </row>
    <row r="1982" spans="1:8" ht="18.95" customHeight="1" x14ac:dyDescent="0.2">
      <c r="A1982" s="148"/>
      <c r="B1982" s="334"/>
      <c r="C1982" s="141" t="s">
        <v>1039</v>
      </c>
      <c r="D1982" s="320"/>
      <c r="E1982" s="340" t="str">
        <f>CONCATENATE(G1967,"/día")</f>
        <v>Gl/día</v>
      </c>
      <c r="F1982" s="141"/>
      <c r="G1982" s="341"/>
    </row>
    <row r="1983" spans="1:8" ht="18.95" customHeight="1" x14ac:dyDescent="0.2">
      <c r="A1983" s="148"/>
      <c r="B1983" s="334"/>
      <c r="C1983" s="142"/>
      <c r="D1983" s="150"/>
      <c r="E1983" s="141"/>
      <c r="F1983" s="141"/>
      <c r="G1983" s="341"/>
    </row>
    <row r="1984" spans="1:8" ht="18.95" customHeight="1" x14ac:dyDescent="0.2">
      <c r="A1984" s="735" t="s">
        <v>582</v>
      </c>
      <c r="B1984" s="736"/>
      <c r="C1984" s="737" t="s">
        <v>0</v>
      </c>
      <c r="D1984" s="743" t="s">
        <v>1053</v>
      </c>
      <c r="E1984" s="743" t="s">
        <v>1706</v>
      </c>
      <c r="F1984" s="743" t="s">
        <v>1054</v>
      </c>
      <c r="G1984" s="743" t="s">
        <v>1055</v>
      </c>
    </row>
    <row r="1985" spans="1:7" ht="18.95" customHeight="1" x14ac:dyDescent="0.2">
      <c r="A1985" s="154" t="s">
        <v>583</v>
      </c>
      <c r="B1985" s="155" t="s">
        <v>584</v>
      </c>
      <c r="C1985" s="738"/>
      <c r="D1985" s="742"/>
      <c r="E1985" s="742"/>
      <c r="F1985" s="744"/>
      <c r="G1985" s="742"/>
    </row>
    <row r="1986" spans="1:7" ht="18.95" customHeight="1" x14ac:dyDescent="0.2">
      <c r="A1986" s="156"/>
      <c r="B1986" s="142"/>
      <c r="C1986" s="157" t="s">
        <v>1041</v>
      </c>
      <c r="D1986" s="150"/>
      <c r="E1986" s="142"/>
      <c r="F1986" s="142"/>
      <c r="G1986" s="342"/>
    </row>
    <row r="1987" spans="1:7" ht="18.95" customHeight="1" x14ac:dyDescent="0.2">
      <c r="A1987" s="348" t="str">
        <f t="shared" ref="A1987:A1994" si="563">IFERROR(VLOOKUP(C1987,Tabla_Insumos,4,FALSE),"")</f>
        <v/>
      </c>
      <c r="B1987" s="290" t="str">
        <f t="shared" ref="B1987:B1994" si="564">IFERROR(VLOOKUP(C1987,Tabla_Insumos,5,FALSE),"")</f>
        <v/>
      </c>
      <c r="C1987" s="290"/>
      <c r="D1987" s="607">
        <f t="shared" ref="D1987:D1994" si="565">IFERROR(VLOOKUP(C1987,Tabla_Insumos,3,FALSE),0)</f>
        <v>0</v>
      </c>
      <c r="E1987" s="349">
        <f>D1987*$G$21</f>
        <v>0</v>
      </c>
      <c r="F1987" s="350">
        <f>IF(C1987="",0,D1982)</f>
        <v>0</v>
      </c>
      <c r="G1987" s="347">
        <f>IFERROR(ROUND(E1987/F1987,2),0)</f>
        <v>0</v>
      </c>
    </row>
    <row r="1988" spans="1:7" ht="18.95" customHeight="1" x14ac:dyDescent="0.2">
      <c r="A1988" s="348" t="str">
        <f t="shared" si="563"/>
        <v/>
      </c>
      <c r="B1988" s="290" t="str">
        <f t="shared" si="564"/>
        <v/>
      </c>
      <c r="C1988" s="321"/>
      <c r="D1988" s="607">
        <f t="shared" si="565"/>
        <v>0</v>
      </c>
      <c r="E1988" s="349">
        <f t="shared" ref="E1988:E1989" si="566">D1988*$G$21</f>
        <v>0</v>
      </c>
      <c r="F1988" s="350">
        <f t="shared" ref="F1988:F1991" si="567">IF(C1988="",0,F1987)</f>
        <v>0</v>
      </c>
      <c r="G1988" s="347">
        <f t="shared" ref="G1988:G1994" si="568">IFERROR(ROUND(E1988/F1988,2),0)</f>
        <v>0</v>
      </c>
    </row>
    <row r="1989" spans="1:7" ht="18.95" customHeight="1" x14ac:dyDescent="0.2">
      <c r="A1989" s="348" t="str">
        <f t="shared" si="563"/>
        <v/>
      </c>
      <c r="B1989" s="290" t="str">
        <f t="shared" si="564"/>
        <v/>
      </c>
      <c r="C1989" s="321"/>
      <c r="D1989" s="607">
        <f t="shared" si="565"/>
        <v>0</v>
      </c>
      <c r="E1989" s="349">
        <f t="shared" si="566"/>
        <v>0</v>
      </c>
      <c r="F1989" s="350">
        <f t="shared" si="567"/>
        <v>0</v>
      </c>
      <c r="G1989" s="347">
        <f t="shared" si="568"/>
        <v>0</v>
      </c>
    </row>
    <row r="1990" spans="1:7" ht="18.95" customHeight="1" x14ac:dyDescent="0.2">
      <c r="A1990" s="348" t="str">
        <f t="shared" si="563"/>
        <v/>
      </c>
      <c r="B1990" s="290" t="str">
        <f t="shared" si="564"/>
        <v/>
      </c>
      <c r="C1990" s="321"/>
      <c r="D1990" s="607">
        <f t="shared" si="565"/>
        <v>0</v>
      </c>
      <c r="E1990" s="349">
        <f>D1990*$E$21</f>
        <v>0</v>
      </c>
      <c r="F1990" s="350">
        <f t="shared" si="567"/>
        <v>0</v>
      </c>
      <c r="G1990" s="347">
        <f t="shared" si="568"/>
        <v>0</v>
      </c>
    </row>
    <row r="1991" spans="1:7" ht="18.95" customHeight="1" x14ac:dyDescent="0.2">
      <c r="A1991" s="348" t="str">
        <f t="shared" si="563"/>
        <v/>
      </c>
      <c r="B1991" s="290" t="str">
        <f t="shared" si="564"/>
        <v/>
      </c>
      <c r="C1991" s="321"/>
      <c r="D1991" s="607">
        <f t="shared" si="565"/>
        <v>0</v>
      </c>
      <c r="E1991" s="349">
        <f>D1991*$E$21</f>
        <v>0</v>
      </c>
      <c r="F1991" s="350">
        <f t="shared" si="567"/>
        <v>0</v>
      </c>
      <c r="G1991" s="347">
        <f t="shared" si="568"/>
        <v>0</v>
      </c>
    </row>
    <row r="1992" spans="1:7" ht="18.95" customHeight="1" x14ac:dyDescent="0.2">
      <c r="A1992" s="348" t="str">
        <f t="shared" si="563"/>
        <v/>
      </c>
      <c r="B1992" s="290" t="str">
        <f t="shared" si="564"/>
        <v/>
      </c>
      <c r="C1992" s="321"/>
      <c r="D1992" s="607">
        <f t="shared" si="565"/>
        <v>0</v>
      </c>
      <c r="E1992" s="349"/>
      <c r="F1992" s="350">
        <f>IF(C1992="",0,F1991)</f>
        <v>0</v>
      </c>
      <c r="G1992" s="347">
        <f t="shared" si="568"/>
        <v>0</v>
      </c>
    </row>
    <row r="1993" spans="1:7" ht="18.95" customHeight="1" x14ac:dyDescent="0.2">
      <c r="A1993" s="348" t="str">
        <f t="shared" si="563"/>
        <v/>
      </c>
      <c r="B1993" s="290" t="str">
        <f t="shared" si="564"/>
        <v/>
      </c>
      <c r="C1993" s="321"/>
      <c r="D1993" s="607">
        <f t="shared" si="565"/>
        <v>0</v>
      </c>
      <c r="E1993" s="349"/>
      <c r="F1993" s="350">
        <f t="shared" ref="F1993:F1994" si="569">IF(C1993="",0,F1992)</f>
        <v>0</v>
      </c>
      <c r="G1993" s="347">
        <f t="shared" si="568"/>
        <v>0</v>
      </c>
    </row>
    <row r="1994" spans="1:7" ht="18.95" customHeight="1" x14ac:dyDescent="0.2">
      <c r="A1994" s="348" t="str">
        <f t="shared" si="563"/>
        <v/>
      </c>
      <c r="B1994" s="290" t="str">
        <f t="shared" si="564"/>
        <v/>
      </c>
      <c r="C1994" s="321"/>
      <c r="D1994" s="607">
        <f t="shared" si="565"/>
        <v>0</v>
      </c>
      <c r="E1994" s="349"/>
      <c r="F1994" s="350">
        <f t="shared" si="569"/>
        <v>0</v>
      </c>
      <c r="G1994" s="347">
        <f t="shared" si="568"/>
        <v>0</v>
      </c>
    </row>
    <row r="1995" spans="1:7" ht="18.95" customHeight="1" x14ac:dyDescent="0.2">
      <c r="A1995" s="353"/>
      <c r="B1995" s="149"/>
      <c r="C1995" s="142"/>
      <c r="D1995" s="150"/>
      <c r="E1995" s="143"/>
      <c r="F1995" s="354" t="s">
        <v>29</v>
      </c>
      <c r="G1995" s="355">
        <f>SUBTOTAL(9,G1987:G1994)</f>
        <v>0</v>
      </c>
    </row>
    <row r="1996" spans="1:7" ht="18.95" customHeight="1" x14ac:dyDescent="0.2">
      <c r="A1996" s="156"/>
      <c r="B1996" s="142"/>
      <c r="C1996" s="157" t="s">
        <v>722</v>
      </c>
      <c r="D1996" s="150"/>
      <c r="E1996" s="327"/>
      <c r="F1996" s="327"/>
      <c r="G1996" s="342"/>
    </row>
    <row r="1997" spans="1:7" ht="18.95" customHeight="1" x14ac:dyDescent="0.2">
      <c r="A1997" s="735" t="s">
        <v>582</v>
      </c>
      <c r="B1997" s="736"/>
      <c r="C1997" s="737" t="s">
        <v>0</v>
      </c>
      <c r="D1997" s="739" t="s">
        <v>26</v>
      </c>
      <c r="E1997" s="743" t="s">
        <v>1707</v>
      </c>
      <c r="F1997" s="741" t="s">
        <v>1040</v>
      </c>
      <c r="G1997" s="733" t="s">
        <v>28</v>
      </c>
    </row>
    <row r="1998" spans="1:7" ht="18.95" customHeight="1" x14ac:dyDescent="0.2">
      <c r="A1998" s="154" t="s">
        <v>583</v>
      </c>
      <c r="B1998" s="155" t="s">
        <v>584</v>
      </c>
      <c r="C1998" s="738"/>
      <c r="D1998" s="740"/>
      <c r="E1998" s="742"/>
      <c r="F1998" s="742"/>
      <c r="G1998" s="734"/>
    </row>
    <row r="1999" spans="1:7" ht="18.95" customHeight="1" x14ac:dyDescent="0.2">
      <c r="A1999" s="348" t="str">
        <f t="shared" ref="A1999:A2004" si="570">IFERROR(VLOOKUP(C1999,Tabla_Insumos,4,FALSE),"")</f>
        <v/>
      </c>
      <c r="B1999" s="290" t="str">
        <f t="shared" ref="B1999:B2004" si="571">IFERROR(VLOOKUP(C1999,Tabla_Insumos,5,FALSE),"")</f>
        <v/>
      </c>
      <c r="C1999" s="291"/>
      <c r="D1999" s="293"/>
      <c r="E1999" s="346">
        <f t="shared" ref="E1999:E2004" si="572">IFERROR(VLOOKUP(C1999,Tabla_Insumos,3,FALSE),0)</f>
        <v>0</v>
      </c>
      <c r="F1999" s="349">
        <f>IF(C1999="",0,D1982)</f>
        <v>0</v>
      </c>
      <c r="G1999" s="347">
        <f t="shared" ref="G1999:G2004" si="573">IFERROR(ROUND(D1999*E1999/F1999,2),0)</f>
        <v>0</v>
      </c>
    </row>
    <row r="2000" spans="1:7" ht="18.95" customHeight="1" x14ac:dyDescent="0.2">
      <c r="A2000" s="348" t="str">
        <f t="shared" si="570"/>
        <v/>
      </c>
      <c r="B2000" s="290" t="str">
        <f t="shared" si="571"/>
        <v/>
      </c>
      <c r="C2000" s="290"/>
      <c r="D2000" s="293"/>
      <c r="E2000" s="346">
        <f t="shared" si="572"/>
        <v>0</v>
      </c>
      <c r="F2000" s="349">
        <f>IF(C2000="",0,F1999)</f>
        <v>0</v>
      </c>
      <c r="G2000" s="347">
        <f t="shared" si="573"/>
        <v>0</v>
      </c>
    </row>
    <row r="2001" spans="1:7" ht="18.95" customHeight="1" x14ac:dyDescent="0.2">
      <c r="A2001" s="348" t="str">
        <f t="shared" si="570"/>
        <v/>
      </c>
      <c r="B2001" s="290" t="str">
        <f t="shared" si="571"/>
        <v/>
      </c>
      <c r="C2001" s="290"/>
      <c r="D2001" s="293"/>
      <c r="E2001" s="346">
        <f t="shared" si="572"/>
        <v>0</v>
      </c>
      <c r="F2001" s="349">
        <f>IF(C2001="",0,F2000)</f>
        <v>0</v>
      </c>
      <c r="G2001" s="347">
        <f t="shared" si="573"/>
        <v>0</v>
      </c>
    </row>
    <row r="2002" spans="1:7" ht="18.95" customHeight="1" x14ac:dyDescent="0.2">
      <c r="A2002" s="348" t="str">
        <f t="shared" si="570"/>
        <v/>
      </c>
      <c r="B2002" s="290" t="str">
        <f t="shared" si="571"/>
        <v/>
      </c>
      <c r="C2002" s="290"/>
      <c r="D2002" s="293"/>
      <c r="E2002" s="346">
        <f t="shared" si="572"/>
        <v>0</v>
      </c>
      <c r="F2002" s="349">
        <f>IF(C2002="",0,F2001)</f>
        <v>0</v>
      </c>
      <c r="G2002" s="347">
        <f t="shared" si="573"/>
        <v>0</v>
      </c>
    </row>
    <row r="2003" spans="1:7" ht="18.95" customHeight="1" x14ac:dyDescent="0.2">
      <c r="A2003" s="348" t="str">
        <f t="shared" si="570"/>
        <v/>
      </c>
      <c r="B2003" s="290" t="str">
        <f t="shared" si="571"/>
        <v/>
      </c>
      <c r="C2003" s="290"/>
      <c r="D2003" s="351"/>
      <c r="E2003" s="346">
        <f t="shared" si="572"/>
        <v>0</v>
      </c>
      <c r="F2003" s="349">
        <f>IF(C2003="",0,F2002)</f>
        <v>0</v>
      </c>
      <c r="G2003" s="347">
        <f t="shared" si="573"/>
        <v>0</v>
      </c>
    </row>
    <row r="2004" spans="1:7" ht="18.95" customHeight="1" x14ac:dyDescent="0.2">
      <c r="A2004" s="348" t="str">
        <f t="shared" si="570"/>
        <v/>
      </c>
      <c r="B2004" s="290" t="str">
        <f t="shared" si="571"/>
        <v/>
      </c>
      <c r="C2004" s="290"/>
      <c r="D2004" s="293"/>
      <c r="E2004" s="346">
        <f t="shared" si="572"/>
        <v>0</v>
      </c>
      <c r="F2004" s="349">
        <f>IF(C2004="",0,F2003)</f>
        <v>0</v>
      </c>
      <c r="G2004" s="347">
        <f t="shared" si="573"/>
        <v>0</v>
      </c>
    </row>
    <row r="2005" spans="1:7" ht="18.95" customHeight="1" x14ac:dyDescent="0.2">
      <c r="A2005" s="353"/>
      <c r="B2005" s="149"/>
      <c r="C2005" s="142"/>
      <c r="D2005" s="150"/>
      <c r="E2005" s="143"/>
      <c r="F2005" s="356" t="s">
        <v>30</v>
      </c>
      <c r="G2005" s="355">
        <f>SUBTOTAL(9,G1999:G2004)</f>
        <v>0</v>
      </c>
    </row>
    <row r="2006" spans="1:7" ht="18.95" customHeight="1" x14ac:dyDescent="0.2">
      <c r="A2006" s="156"/>
      <c r="B2006" s="142"/>
      <c r="C2006" s="157" t="s">
        <v>1047</v>
      </c>
      <c r="D2006" s="150"/>
      <c r="E2006" s="327"/>
      <c r="F2006" s="327"/>
      <c r="G2006" s="342"/>
    </row>
    <row r="2007" spans="1:7" ht="18.95" customHeight="1" x14ac:dyDescent="0.2">
      <c r="A2007" s="735" t="s">
        <v>582</v>
      </c>
      <c r="B2007" s="736"/>
      <c r="C2007" s="737" t="s">
        <v>0</v>
      </c>
      <c r="D2007" s="737" t="s">
        <v>1655</v>
      </c>
      <c r="E2007" s="737" t="s">
        <v>26</v>
      </c>
      <c r="F2007" s="737" t="s">
        <v>27</v>
      </c>
      <c r="G2007" s="733" t="s">
        <v>28</v>
      </c>
    </row>
    <row r="2008" spans="1:7" ht="18.95" customHeight="1" x14ac:dyDescent="0.2">
      <c r="A2008" s="154" t="s">
        <v>583</v>
      </c>
      <c r="B2008" s="155" t="s">
        <v>584</v>
      </c>
      <c r="C2008" s="738"/>
      <c r="D2008" s="738"/>
      <c r="E2008" s="738"/>
      <c r="F2008" s="738"/>
      <c r="G2008" s="734"/>
    </row>
    <row r="2009" spans="1:7" ht="18.95" customHeight="1" x14ac:dyDescent="0.2">
      <c r="A2009" s="348" t="str">
        <f t="shared" ref="A2009:A2020" si="574">IFERROR(VLOOKUP(C2009,Tabla_Insumos,4,FALSE),"")</f>
        <v/>
      </c>
      <c r="B2009" s="290" t="str">
        <f t="shared" ref="B2009:B2020" si="575">IFERROR(VLOOKUP(C2009,Tabla_Insumos,5,FALSE),"")</f>
        <v/>
      </c>
      <c r="C2009" s="290"/>
      <c r="D2009" s="608">
        <f t="shared" ref="D2009:D2020" si="576">IFERROR(VLOOKUP(C2009,Tabla_Insumos,2,FALSE),0)</f>
        <v>0</v>
      </c>
      <c r="E2009" s="293"/>
      <c r="F2009" s="346">
        <f t="shared" ref="F2009:F2020" si="577">IFERROR(VLOOKUP(C2009,Tabla_Insumos,3,FALSE),0)</f>
        <v>0</v>
      </c>
      <c r="G2009" s="347">
        <f t="shared" ref="G2009:G2020" si="578">ROUND(E2009*F2009,2)</f>
        <v>0</v>
      </c>
    </row>
    <row r="2010" spans="1:7" ht="18.95" customHeight="1" x14ac:dyDescent="0.2">
      <c r="A2010" s="348" t="str">
        <f t="shared" si="574"/>
        <v/>
      </c>
      <c r="B2010" s="290" t="str">
        <f t="shared" si="575"/>
        <v/>
      </c>
      <c r="C2010" s="126"/>
      <c r="D2010" s="608">
        <f t="shared" si="576"/>
        <v>0</v>
      </c>
      <c r="E2010" s="293"/>
      <c r="F2010" s="346">
        <f t="shared" si="577"/>
        <v>0</v>
      </c>
      <c r="G2010" s="347">
        <f t="shared" si="578"/>
        <v>0</v>
      </c>
    </row>
    <row r="2011" spans="1:7" ht="18.95" customHeight="1" x14ac:dyDescent="0.2">
      <c r="A2011" s="348" t="str">
        <f t="shared" si="574"/>
        <v/>
      </c>
      <c r="B2011" s="290" t="str">
        <f t="shared" si="575"/>
        <v/>
      </c>
      <c r="C2011" s="290"/>
      <c r="D2011" s="608">
        <f t="shared" si="576"/>
        <v>0</v>
      </c>
      <c r="E2011" s="293"/>
      <c r="F2011" s="346">
        <f t="shared" si="577"/>
        <v>0</v>
      </c>
      <c r="G2011" s="347">
        <f t="shared" si="578"/>
        <v>0</v>
      </c>
    </row>
    <row r="2012" spans="1:7" ht="18.95" customHeight="1" x14ac:dyDescent="0.2">
      <c r="A2012" s="348" t="str">
        <f t="shared" si="574"/>
        <v/>
      </c>
      <c r="B2012" s="290" t="str">
        <f t="shared" si="575"/>
        <v/>
      </c>
      <c r="C2012" s="290"/>
      <c r="D2012" s="608">
        <f t="shared" si="576"/>
        <v>0</v>
      </c>
      <c r="E2012" s="293"/>
      <c r="F2012" s="346">
        <f t="shared" si="577"/>
        <v>0</v>
      </c>
      <c r="G2012" s="347">
        <f t="shared" si="578"/>
        <v>0</v>
      </c>
    </row>
    <row r="2013" spans="1:7" ht="18.95" customHeight="1" x14ac:dyDescent="0.2">
      <c r="A2013" s="348" t="str">
        <f t="shared" si="574"/>
        <v/>
      </c>
      <c r="B2013" s="290" t="str">
        <f t="shared" si="575"/>
        <v/>
      </c>
      <c r="C2013" s="290"/>
      <c r="D2013" s="608">
        <f t="shared" si="576"/>
        <v>0</v>
      </c>
      <c r="E2013" s="293"/>
      <c r="F2013" s="346">
        <f t="shared" si="577"/>
        <v>0</v>
      </c>
      <c r="G2013" s="347">
        <f t="shared" si="578"/>
        <v>0</v>
      </c>
    </row>
    <row r="2014" spans="1:7" ht="18.95" customHeight="1" x14ac:dyDescent="0.2">
      <c r="A2014" s="348" t="str">
        <f t="shared" si="574"/>
        <v/>
      </c>
      <c r="B2014" s="290" t="str">
        <f t="shared" si="575"/>
        <v/>
      </c>
      <c r="C2014" s="290"/>
      <c r="D2014" s="608">
        <f t="shared" si="576"/>
        <v>0</v>
      </c>
      <c r="E2014" s="293"/>
      <c r="F2014" s="346">
        <f t="shared" si="577"/>
        <v>0</v>
      </c>
      <c r="G2014" s="347">
        <f t="shared" si="578"/>
        <v>0</v>
      </c>
    </row>
    <row r="2015" spans="1:7" ht="18.95" customHeight="1" x14ac:dyDescent="0.2">
      <c r="A2015" s="348" t="str">
        <f t="shared" si="574"/>
        <v/>
      </c>
      <c r="B2015" s="290" t="str">
        <f t="shared" si="575"/>
        <v/>
      </c>
      <c r="C2015" s="290"/>
      <c r="D2015" s="608">
        <f t="shared" si="576"/>
        <v>0</v>
      </c>
      <c r="E2015" s="293"/>
      <c r="F2015" s="346">
        <f t="shared" si="577"/>
        <v>0</v>
      </c>
      <c r="G2015" s="347">
        <f t="shared" si="578"/>
        <v>0</v>
      </c>
    </row>
    <row r="2016" spans="1:7" s="295" customFormat="1" ht="18.95" customHeight="1" x14ac:dyDescent="0.2">
      <c r="A2016" s="348" t="str">
        <f t="shared" si="574"/>
        <v/>
      </c>
      <c r="B2016" s="290" t="str">
        <f t="shared" si="575"/>
        <v/>
      </c>
      <c r="C2016" s="290"/>
      <c r="D2016" s="608">
        <f t="shared" si="576"/>
        <v>0</v>
      </c>
      <c r="E2016" s="323"/>
      <c r="F2016" s="346">
        <f t="shared" si="577"/>
        <v>0</v>
      </c>
      <c r="G2016" s="347">
        <f t="shared" si="578"/>
        <v>0</v>
      </c>
    </row>
    <row r="2017" spans="1:8" ht="18.95" customHeight="1" x14ac:dyDescent="0.2">
      <c r="A2017" s="348" t="str">
        <f t="shared" si="574"/>
        <v/>
      </c>
      <c r="B2017" s="290" t="str">
        <f t="shared" si="575"/>
        <v/>
      </c>
      <c r="C2017" s="290"/>
      <c r="D2017" s="608">
        <f t="shared" si="576"/>
        <v>0</v>
      </c>
      <c r="E2017" s="293"/>
      <c r="F2017" s="346">
        <f t="shared" si="577"/>
        <v>0</v>
      </c>
      <c r="G2017" s="347">
        <f t="shared" si="578"/>
        <v>0</v>
      </c>
    </row>
    <row r="2018" spans="1:8" ht="18.95" customHeight="1" x14ac:dyDescent="0.2">
      <c r="A2018" s="348" t="str">
        <f t="shared" si="574"/>
        <v/>
      </c>
      <c r="B2018" s="290" t="str">
        <f t="shared" si="575"/>
        <v/>
      </c>
      <c r="C2018" s="290"/>
      <c r="D2018" s="608">
        <f t="shared" si="576"/>
        <v>0</v>
      </c>
      <c r="E2018" s="293"/>
      <c r="F2018" s="346">
        <f t="shared" si="577"/>
        <v>0</v>
      </c>
      <c r="G2018" s="347">
        <f t="shared" si="578"/>
        <v>0</v>
      </c>
    </row>
    <row r="2019" spans="1:8" ht="18.95" customHeight="1" x14ac:dyDescent="0.2">
      <c r="A2019" s="348" t="str">
        <f t="shared" si="574"/>
        <v/>
      </c>
      <c r="B2019" s="290" t="str">
        <f t="shared" si="575"/>
        <v/>
      </c>
      <c r="C2019" s="290"/>
      <c r="D2019" s="608">
        <f t="shared" si="576"/>
        <v>0</v>
      </c>
      <c r="E2019" s="293"/>
      <c r="F2019" s="346">
        <f t="shared" si="577"/>
        <v>0</v>
      </c>
      <c r="G2019" s="347">
        <f t="shared" si="578"/>
        <v>0</v>
      </c>
    </row>
    <row r="2020" spans="1:8" ht="18.95" customHeight="1" x14ac:dyDescent="0.2">
      <c r="A2020" s="348" t="str">
        <f t="shared" si="574"/>
        <v/>
      </c>
      <c r="B2020" s="290" t="str">
        <f t="shared" si="575"/>
        <v/>
      </c>
      <c r="C2020" s="290"/>
      <c r="D2020" s="608">
        <f t="shared" si="576"/>
        <v>0</v>
      </c>
      <c r="E2020" s="293"/>
      <c r="F2020" s="346">
        <f t="shared" si="577"/>
        <v>0</v>
      </c>
      <c r="G2020" s="347">
        <f t="shared" si="578"/>
        <v>0</v>
      </c>
    </row>
    <row r="2021" spans="1:8" ht="18.95" customHeight="1" x14ac:dyDescent="0.2">
      <c r="A2021" s="156"/>
      <c r="B2021" s="142"/>
      <c r="C2021" s="142"/>
      <c r="D2021" s="150"/>
      <c r="E2021" s="143"/>
      <c r="F2021" s="356" t="s">
        <v>31</v>
      </c>
      <c r="G2021" s="355">
        <f>SUBTOTAL(9,G2009:G2020)</f>
        <v>0</v>
      </c>
    </row>
    <row r="2022" spans="1:8" ht="18.95" customHeight="1" x14ac:dyDescent="0.2">
      <c r="A2022" s="156"/>
      <c r="B2022" s="142"/>
      <c r="C2022" s="157" t="s">
        <v>1048</v>
      </c>
      <c r="D2022" s="150"/>
      <c r="E2022" s="327"/>
      <c r="F2022" s="327"/>
      <c r="G2022" s="342"/>
    </row>
    <row r="2023" spans="1:8" ht="18.95" customHeight="1" x14ac:dyDescent="0.2">
      <c r="A2023" s="735" t="s">
        <v>582</v>
      </c>
      <c r="B2023" s="736"/>
      <c r="C2023" s="737" t="s">
        <v>0</v>
      </c>
      <c r="D2023" s="739" t="s">
        <v>1750</v>
      </c>
      <c r="E2023" s="741" t="s">
        <v>26</v>
      </c>
      <c r="F2023" s="741" t="s">
        <v>27</v>
      </c>
      <c r="G2023" s="733" t="s">
        <v>28</v>
      </c>
    </row>
    <row r="2024" spans="1:8" ht="18.95" customHeight="1" x14ac:dyDescent="0.2">
      <c r="A2024" s="154" t="s">
        <v>583</v>
      </c>
      <c r="B2024" s="155" t="s">
        <v>584</v>
      </c>
      <c r="C2024" s="738"/>
      <c r="D2024" s="740"/>
      <c r="E2024" s="742"/>
      <c r="F2024" s="742"/>
      <c r="G2024" s="734"/>
    </row>
    <row r="2025" spans="1:8" ht="18.95" customHeight="1" x14ac:dyDescent="0.2">
      <c r="A2025" s="348" t="str">
        <f>IFERROR(VLOOKUP(C2025,Tabla_Insumos,4,FALSE),"")</f>
        <v/>
      </c>
      <c r="B2025" s="290" t="s">
        <v>4</v>
      </c>
      <c r="C2025" s="290"/>
      <c r="D2025" s="293"/>
      <c r="E2025" s="322"/>
      <c r="F2025" s="324"/>
      <c r="G2025" s="347">
        <f t="shared" ref="G2025" si="579">ROUND(E2025*F2025,2)</f>
        <v>0</v>
      </c>
    </row>
    <row r="2026" spans="1:8" ht="18.95" customHeight="1" x14ac:dyDescent="0.2">
      <c r="A2026" s="156"/>
      <c r="B2026" s="142"/>
      <c r="C2026" s="142"/>
      <c r="D2026" s="150"/>
      <c r="E2026" s="143"/>
      <c r="F2026" s="356" t="s">
        <v>1049</v>
      </c>
      <c r="G2026" s="355">
        <f>SUBTOTAL(9,G2025:G2025)</f>
        <v>0</v>
      </c>
    </row>
    <row r="2027" spans="1:8" ht="18.95" customHeight="1" thickBot="1" x14ac:dyDescent="0.25">
      <c r="A2027" s="158"/>
      <c r="B2027" s="159"/>
      <c r="C2027" s="160"/>
      <c r="D2027" s="161"/>
      <c r="E2027" s="357"/>
      <c r="F2027" s="357"/>
      <c r="G2027" s="358"/>
    </row>
    <row r="2028" spans="1:8" ht="18.95" customHeight="1" x14ac:dyDescent="0.2">
      <c r="A2028" s="359">
        <f>B1967</f>
        <v>28</v>
      </c>
      <c r="B2028" s="360" t="str">
        <f>C1967</f>
        <v>DEMOLICIÓN DE OBRAS VARIAS</v>
      </c>
      <c r="C2028" s="361"/>
      <c r="D2028" s="361"/>
      <c r="E2028" s="361" t="s">
        <v>1050</v>
      </c>
      <c r="F2028" s="362" t="str">
        <f>CONCATENATE("$/",G1967)</f>
        <v>$/Gl</v>
      </c>
      <c r="G2028" s="363">
        <f>SUBTOTAL(9,G1987:G2027)</f>
        <v>0</v>
      </c>
    </row>
    <row r="2029" spans="1:8" ht="18.95" customHeight="1" thickBot="1" x14ac:dyDescent="0.25">
      <c r="A2029" s="364"/>
      <c r="B2029" s="365"/>
      <c r="C2029" s="365"/>
      <c r="D2029" s="365"/>
      <c r="E2029" s="366" t="s">
        <v>1051</v>
      </c>
      <c r="F2029" s="367" t="str">
        <f>CONCATENATE("$/",G1967)</f>
        <v>$/Gl</v>
      </c>
      <c r="G2029" s="368" t="e">
        <f ca="1">PrecioUnitario(G2028,GG_Porcentaje,Beneficio,Ingresos_Brutos,IVA)</f>
        <v>#NAME?</v>
      </c>
    </row>
    <row r="2030" spans="1:8" ht="18.95" customHeight="1" thickTop="1" thickBot="1" x14ac:dyDescent="0.25">
      <c r="F2030" s="294"/>
      <c r="G2030" s="294"/>
    </row>
    <row r="2031" spans="1:8" ht="18.95" customHeight="1" thickTop="1" x14ac:dyDescent="0.2">
      <c r="A2031" s="194" t="s">
        <v>33</v>
      </c>
      <c r="B2031" s="195"/>
      <c r="C2031" s="195"/>
      <c r="D2031" s="195"/>
      <c r="E2031" s="195"/>
      <c r="F2031" s="195"/>
      <c r="G2031" s="196"/>
      <c r="H2031" s="143">
        <f>COUNTIF($A$1:A2037,"ANALISIS DE PRECIOS")</f>
        <v>30</v>
      </c>
    </row>
    <row r="2032" spans="1:8" ht="18.95" customHeight="1" x14ac:dyDescent="0.2">
      <c r="A2032" s="144" t="s">
        <v>720</v>
      </c>
      <c r="B2032" s="145" t="str">
        <f>Comitente</f>
        <v>DIRECCIÓN PROVINCIAL DE VIALIDAD</v>
      </c>
      <c r="C2032" s="139"/>
      <c r="D2032" s="146"/>
      <c r="E2032" s="325"/>
      <c r="F2032" s="325"/>
      <c r="G2032" s="326"/>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PAVIMENTACION Y ENSANCHE DE RUTA PROVINCIAL N°7 AV. JOAQUIN UÑAC</v>
      </c>
      <c r="C2034" s="140"/>
      <c r="D2034" s="140"/>
      <c r="E2034" s="143"/>
      <c r="F2034" s="145" t="s">
        <v>34</v>
      </c>
      <c r="G2034" s="147">
        <f>Fecha_Base</f>
        <v>43444</v>
      </c>
      <c r="H2034" s="143"/>
    </row>
    <row r="2035" spans="1:8" ht="18.95" customHeight="1" x14ac:dyDescent="0.2">
      <c r="A2035" s="148" t="s">
        <v>719</v>
      </c>
      <c r="B2035" s="141" t="str">
        <f>Ubicación</f>
        <v>DEPARTAMENTO POCITO</v>
      </c>
      <c r="C2035" s="141"/>
      <c r="D2035" s="150"/>
      <c r="E2035" s="143"/>
      <c r="F2035" s="327"/>
      <c r="G2035" s="328"/>
      <c r="H2035" s="143"/>
    </row>
    <row r="2036" spans="1:8" ht="18.95" customHeight="1" x14ac:dyDescent="0.2">
      <c r="A2036" s="148" t="s">
        <v>35</v>
      </c>
      <c r="B2036" s="151" t="str">
        <f>IFERROR(VALUE(LEFT(B2037,FIND("-",B2037)-1)),"")</f>
        <v/>
      </c>
      <c r="C2036" s="142" t="str">
        <f>IFERROR(VLOOKUP(B2036,Tabla_CyP,2,FALSE),"")</f>
        <v/>
      </c>
      <c r="D2036" s="150"/>
      <c r="E2036" s="143"/>
      <c r="F2036" s="327"/>
      <c r="G2036" s="328"/>
      <c r="H2036" s="143"/>
    </row>
    <row r="2037" spans="1:8" ht="18.95" customHeight="1" x14ac:dyDescent="0.2">
      <c r="A2037" s="148" t="s">
        <v>24</v>
      </c>
      <c r="B2037" s="152">
        <f>IFERROR(VLOOKUP(COUNTIF($A$1:A2037,"ANALISIS DE PRECIOS"),Tabla_NumeroItem,4,FALSE),"")</f>
        <v>29</v>
      </c>
      <c r="C2037" s="745" t="str">
        <f>IFERROR(VLOOKUP(B2037,Tabla_CyP,2,FALSE),"")</f>
        <v>RETIRO Y REUBICACIÓN DE INSTALACIONES DE SEMÁFOROS</v>
      </c>
      <c r="D2037" s="745"/>
      <c r="E2037" s="745"/>
      <c r="F2037" s="141" t="s">
        <v>25</v>
      </c>
      <c r="G2037" s="153" t="str">
        <f>IFERROR(VLOOKUP(B2037,Tabla_CyP,4,FALSE),"")</f>
        <v>Gl</v>
      </c>
      <c r="H2037" s="143"/>
    </row>
    <row r="2038" spans="1:8" ht="18.95" customHeight="1" x14ac:dyDescent="0.2">
      <c r="A2038" s="148"/>
      <c r="B2038" s="141"/>
      <c r="C2038" s="142"/>
      <c r="D2038" s="150"/>
      <c r="E2038" s="142"/>
      <c r="F2038" s="142"/>
      <c r="G2038" s="329"/>
      <c r="H2038" s="143"/>
    </row>
    <row r="2039" spans="1:8" ht="18.95" customHeight="1" x14ac:dyDescent="0.2">
      <c r="A2039" s="330"/>
      <c r="B2039" s="331"/>
      <c r="C2039" s="332" t="s">
        <v>1032</v>
      </c>
      <c r="D2039" s="331"/>
      <c r="E2039" s="331"/>
      <c r="F2039" s="331"/>
      <c r="G2039" s="333"/>
      <c r="H2039" s="143"/>
    </row>
    <row r="2040" spans="1:8" ht="18.95" customHeight="1" x14ac:dyDescent="0.2">
      <c r="A2040" s="148"/>
      <c r="B2040" s="334"/>
      <c r="C2040" s="335" t="s">
        <v>1033</v>
      </c>
      <c r="D2040" s="336" t="s">
        <v>26</v>
      </c>
      <c r="E2040" s="336" t="s">
        <v>1034</v>
      </c>
      <c r="F2040" s="336" t="s">
        <v>1035</v>
      </c>
      <c r="G2040" s="337" t="s">
        <v>1036</v>
      </c>
      <c r="H2040" s="143"/>
    </row>
    <row r="2041" spans="1:8" ht="18.95" customHeight="1" x14ac:dyDescent="0.2">
      <c r="A2041" s="343"/>
      <c r="B2041" s="344"/>
      <c r="C2041" s="290"/>
      <c r="D2041" s="293"/>
      <c r="E2041" s="345"/>
      <c r="F2041" s="346"/>
      <c r="G2041" s="347">
        <f t="shared" ref="G2041:G2050" si="580">ROUND(D2041*F2041,2)</f>
        <v>0</v>
      </c>
    </row>
    <row r="2042" spans="1:8" ht="18.95" customHeight="1" x14ac:dyDescent="0.2">
      <c r="A2042" s="343"/>
      <c r="B2042" s="344"/>
      <c r="C2042" s="290"/>
      <c r="D2042" s="293"/>
      <c r="E2042" s="345"/>
      <c r="F2042" s="346"/>
      <c r="G2042" s="347">
        <f t="shared" si="580"/>
        <v>0</v>
      </c>
    </row>
    <row r="2043" spans="1:8" ht="18.95" customHeight="1" x14ac:dyDescent="0.2">
      <c r="A2043" s="343"/>
      <c r="B2043" s="344"/>
      <c r="C2043" s="290"/>
      <c r="D2043" s="293"/>
      <c r="E2043" s="345">
        <f t="shared" ref="E2043:E2050" si="581">IFERROR(VLOOKUP(C2043,T_Equipos,4,FALSE),0)</f>
        <v>0</v>
      </c>
      <c r="F2043" s="346">
        <f t="shared" ref="F2043:F2050" si="582">IFERROR(VLOOKUP(C2043,T_Equipos,11,FALSE),0)</f>
        <v>0</v>
      </c>
      <c r="G2043" s="347">
        <f t="shared" si="580"/>
        <v>0</v>
      </c>
    </row>
    <row r="2044" spans="1:8" ht="18.95" customHeight="1" x14ac:dyDescent="0.2">
      <c r="A2044" s="343"/>
      <c r="B2044" s="344"/>
      <c r="C2044" s="290"/>
      <c r="D2044" s="293"/>
      <c r="E2044" s="345">
        <f t="shared" si="581"/>
        <v>0</v>
      </c>
      <c r="F2044" s="346">
        <f t="shared" si="582"/>
        <v>0</v>
      </c>
      <c r="G2044" s="347">
        <f t="shared" si="580"/>
        <v>0</v>
      </c>
    </row>
    <row r="2045" spans="1:8" ht="18.95" customHeight="1" x14ac:dyDescent="0.2">
      <c r="A2045" s="343"/>
      <c r="B2045" s="344"/>
      <c r="C2045" s="290"/>
      <c r="D2045" s="293"/>
      <c r="E2045" s="345">
        <f t="shared" si="581"/>
        <v>0</v>
      </c>
      <c r="F2045" s="346">
        <f t="shared" si="582"/>
        <v>0</v>
      </c>
      <c r="G2045" s="347">
        <f t="shared" si="580"/>
        <v>0</v>
      </c>
    </row>
    <row r="2046" spans="1:8" ht="18.95" customHeight="1" x14ac:dyDescent="0.2">
      <c r="A2046" s="343"/>
      <c r="B2046" s="344"/>
      <c r="C2046" s="290"/>
      <c r="D2046" s="293"/>
      <c r="E2046" s="345">
        <f t="shared" si="581"/>
        <v>0</v>
      </c>
      <c r="F2046" s="346">
        <f t="shared" si="582"/>
        <v>0</v>
      </c>
      <c r="G2046" s="347">
        <f t="shared" si="580"/>
        <v>0</v>
      </c>
    </row>
    <row r="2047" spans="1:8" ht="18.95" customHeight="1" x14ac:dyDescent="0.2">
      <c r="A2047" s="343"/>
      <c r="B2047" s="344"/>
      <c r="C2047" s="290"/>
      <c r="D2047" s="293"/>
      <c r="E2047" s="345">
        <f t="shared" si="581"/>
        <v>0</v>
      </c>
      <c r="F2047" s="346">
        <f t="shared" si="582"/>
        <v>0</v>
      </c>
      <c r="G2047" s="347">
        <f t="shared" si="580"/>
        <v>0</v>
      </c>
    </row>
    <row r="2048" spans="1:8" ht="18.95" customHeight="1" x14ac:dyDescent="0.2">
      <c r="A2048" s="343"/>
      <c r="B2048" s="344"/>
      <c r="C2048" s="290"/>
      <c r="D2048" s="293"/>
      <c r="E2048" s="345">
        <f t="shared" si="581"/>
        <v>0</v>
      </c>
      <c r="F2048" s="346">
        <f t="shared" si="582"/>
        <v>0</v>
      </c>
      <c r="G2048" s="347">
        <f t="shared" si="580"/>
        <v>0</v>
      </c>
    </row>
    <row r="2049" spans="1:7" ht="18.95" customHeight="1" x14ac:dyDescent="0.2">
      <c r="A2049" s="343"/>
      <c r="B2049" s="344"/>
      <c r="C2049" s="290"/>
      <c r="D2049" s="293"/>
      <c r="E2049" s="345">
        <f t="shared" si="581"/>
        <v>0</v>
      </c>
      <c r="F2049" s="346">
        <f t="shared" si="582"/>
        <v>0</v>
      </c>
      <c r="G2049" s="347">
        <f t="shared" si="580"/>
        <v>0</v>
      </c>
    </row>
    <row r="2050" spans="1:7" ht="18.95" customHeight="1" thickBot="1" x14ac:dyDescent="0.25">
      <c r="A2050" s="343"/>
      <c r="B2050" s="344"/>
      <c r="C2050" s="290"/>
      <c r="D2050" s="293"/>
      <c r="E2050" s="345">
        <f t="shared" si="581"/>
        <v>0</v>
      </c>
      <c r="F2050" s="346">
        <f t="shared" si="582"/>
        <v>0</v>
      </c>
      <c r="G2050" s="347">
        <f t="shared" si="580"/>
        <v>0</v>
      </c>
    </row>
    <row r="2051" spans="1:7" ht="18.95" customHeight="1" thickBot="1" x14ac:dyDescent="0.25">
      <c r="A2051" s="148"/>
      <c r="B2051" s="334"/>
      <c r="C2051" s="143"/>
      <c r="D2051" s="146" t="s">
        <v>1037</v>
      </c>
      <c r="E2051" s="338">
        <f>SUMPRODUCT(D2041:D2050,E2041:E2050)</f>
        <v>0</v>
      </c>
      <c r="F2051" s="141" t="s">
        <v>1038</v>
      </c>
      <c r="G2051" s="339">
        <f>SUM(G2041:G2050)</f>
        <v>0</v>
      </c>
    </row>
    <row r="2052" spans="1:7" ht="18.95" customHeight="1" x14ac:dyDescent="0.2">
      <c r="A2052" s="148"/>
      <c r="B2052" s="334"/>
      <c r="C2052" s="141" t="s">
        <v>1039</v>
      </c>
      <c r="D2052" s="320"/>
      <c r="E2052" s="340" t="str">
        <f>CONCATENATE(G2037,"/día")</f>
        <v>Gl/día</v>
      </c>
      <c r="F2052" s="141"/>
      <c r="G2052" s="341"/>
    </row>
    <row r="2053" spans="1:7" ht="18.95" customHeight="1" x14ac:dyDescent="0.2">
      <c r="A2053" s="148"/>
      <c r="B2053" s="334"/>
      <c r="C2053" s="142"/>
      <c r="D2053" s="150"/>
      <c r="E2053" s="141"/>
      <c r="F2053" s="141"/>
      <c r="G2053" s="341"/>
    </row>
    <row r="2054" spans="1:7" ht="18.95" customHeight="1" x14ac:dyDescent="0.2">
      <c r="A2054" s="735" t="s">
        <v>582</v>
      </c>
      <c r="B2054" s="736"/>
      <c r="C2054" s="737" t="s">
        <v>0</v>
      </c>
      <c r="D2054" s="743" t="s">
        <v>1053</v>
      </c>
      <c r="E2054" s="743" t="s">
        <v>1706</v>
      </c>
      <c r="F2054" s="743" t="s">
        <v>1054</v>
      </c>
      <c r="G2054" s="743" t="s">
        <v>1055</v>
      </c>
    </row>
    <row r="2055" spans="1:7" ht="18.95" customHeight="1" x14ac:dyDescent="0.2">
      <c r="A2055" s="154" t="s">
        <v>583</v>
      </c>
      <c r="B2055" s="155" t="s">
        <v>584</v>
      </c>
      <c r="C2055" s="738"/>
      <c r="D2055" s="742"/>
      <c r="E2055" s="742"/>
      <c r="F2055" s="744"/>
      <c r="G2055" s="742"/>
    </row>
    <row r="2056" spans="1:7" ht="18.95" customHeight="1" x14ac:dyDescent="0.2">
      <c r="A2056" s="156"/>
      <c r="B2056" s="142"/>
      <c r="C2056" s="157" t="s">
        <v>1041</v>
      </c>
      <c r="D2056" s="150"/>
      <c r="E2056" s="142"/>
      <c r="F2056" s="142"/>
      <c r="G2056" s="342"/>
    </row>
    <row r="2057" spans="1:7" ht="18.95" customHeight="1" x14ac:dyDescent="0.2">
      <c r="A2057" s="348" t="str">
        <f t="shared" ref="A2057:A2064" si="583">IFERROR(VLOOKUP(C2057,Tabla_Insumos,4,FALSE),"")</f>
        <v/>
      </c>
      <c r="B2057" s="290" t="str">
        <f t="shared" ref="B2057:B2064" si="584">IFERROR(VLOOKUP(C2057,Tabla_Insumos,5,FALSE),"")</f>
        <v/>
      </c>
      <c r="C2057" s="290"/>
      <c r="D2057" s="607">
        <f t="shared" ref="D2057:D2064" si="585">IFERROR(VLOOKUP(C2057,Tabla_Insumos,3,FALSE),0)</f>
        <v>0</v>
      </c>
      <c r="E2057" s="349">
        <f>D2057*$G$21</f>
        <v>0</v>
      </c>
      <c r="F2057" s="350">
        <f>IF(C2057="",0,D2052)</f>
        <v>0</v>
      </c>
      <c r="G2057" s="347">
        <f>IFERROR(ROUND(E2057/F2057,2),0)</f>
        <v>0</v>
      </c>
    </row>
    <row r="2058" spans="1:7" ht="18.95" customHeight="1" x14ac:dyDescent="0.2">
      <c r="A2058" s="348" t="str">
        <f t="shared" si="583"/>
        <v/>
      </c>
      <c r="B2058" s="290" t="str">
        <f t="shared" si="584"/>
        <v/>
      </c>
      <c r="C2058" s="321"/>
      <c r="D2058" s="607">
        <f t="shared" si="585"/>
        <v>0</v>
      </c>
      <c r="E2058" s="349">
        <f t="shared" ref="E2058:E2059" si="586">D2058*$G$21</f>
        <v>0</v>
      </c>
      <c r="F2058" s="350">
        <f t="shared" ref="F2058:F2061" si="587">IF(C2058="",0,F2057)</f>
        <v>0</v>
      </c>
      <c r="G2058" s="347">
        <f t="shared" ref="G2058:G2064" si="588">IFERROR(ROUND(E2058/F2058,2),0)</f>
        <v>0</v>
      </c>
    </row>
    <row r="2059" spans="1:7" ht="18.95" customHeight="1" x14ac:dyDescent="0.2">
      <c r="A2059" s="348" t="str">
        <f t="shared" si="583"/>
        <v/>
      </c>
      <c r="B2059" s="290" t="str">
        <f t="shared" si="584"/>
        <v/>
      </c>
      <c r="C2059" s="321"/>
      <c r="D2059" s="607">
        <f t="shared" si="585"/>
        <v>0</v>
      </c>
      <c r="E2059" s="349">
        <f t="shared" si="586"/>
        <v>0</v>
      </c>
      <c r="F2059" s="350">
        <f t="shared" si="587"/>
        <v>0</v>
      </c>
      <c r="G2059" s="347">
        <f t="shared" si="588"/>
        <v>0</v>
      </c>
    </row>
    <row r="2060" spans="1:7" ht="18.95" customHeight="1" x14ac:dyDescent="0.2">
      <c r="A2060" s="348" t="str">
        <f t="shared" si="583"/>
        <v/>
      </c>
      <c r="B2060" s="290" t="str">
        <f t="shared" si="584"/>
        <v/>
      </c>
      <c r="C2060" s="321"/>
      <c r="D2060" s="607">
        <f t="shared" si="585"/>
        <v>0</v>
      </c>
      <c r="E2060" s="349">
        <f>D2060*$E$21</f>
        <v>0</v>
      </c>
      <c r="F2060" s="350">
        <f t="shared" si="587"/>
        <v>0</v>
      </c>
      <c r="G2060" s="347">
        <f t="shared" si="588"/>
        <v>0</v>
      </c>
    </row>
    <row r="2061" spans="1:7" ht="18.95" customHeight="1" x14ac:dyDescent="0.2">
      <c r="A2061" s="348" t="str">
        <f t="shared" si="583"/>
        <v/>
      </c>
      <c r="B2061" s="290" t="str">
        <f t="shared" si="584"/>
        <v/>
      </c>
      <c r="C2061" s="321"/>
      <c r="D2061" s="607">
        <f t="shared" si="585"/>
        <v>0</v>
      </c>
      <c r="E2061" s="349">
        <f>D2061*$E$21</f>
        <v>0</v>
      </c>
      <c r="F2061" s="350">
        <f t="shared" si="587"/>
        <v>0</v>
      </c>
      <c r="G2061" s="347">
        <f t="shared" si="588"/>
        <v>0</v>
      </c>
    </row>
    <row r="2062" spans="1:7" ht="18.95" customHeight="1" x14ac:dyDescent="0.2">
      <c r="A2062" s="348" t="str">
        <f t="shared" si="583"/>
        <v/>
      </c>
      <c r="B2062" s="290" t="str">
        <f t="shared" si="584"/>
        <v/>
      </c>
      <c r="C2062" s="321"/>
      <c r="D2062" s="607">
        <f t="shared" si="585"/>
        <v>0</v>
      </c>
      <c r="E2062" s="349"/>
      <c r="F2062" s="350">
        <f>IF(C2062="",0,F2061)</f>
        <v>0</v>
      </c>
      <c r="G2062" s="347">
        <f t="shared" si="588"/>
        <v>0</v>
      </c>
    </row>
    <row r="2063" spans="1:7" ht="18.95" customHeight="1" x14ac:dyDescent="0.2">
      <c r="A2063" s="348" t="str">
        <f t="shared" si="583"/>
        <v/>
      </c>
      <c r="B2063" s="290" t="str">
        <f t="shared" si="584"/>
        <v/>
      </c>
      <c r="C2063" s="321"/>
      <c r="D2063" s="607">
        <f t="shared" si="585"/>
        <v>0</v>
      </c>
      <c r="E2063" s="349"/>
      <c r="F2063" s="350">
        <f t="shared" ref="F2063:F2064" si="589">IF(C2063="",0,F2062)</f>
        <v>0</v>
      </c>
      <c r="G2063" s="347">
        <f t="shared" si="588"/>
        <v>0</v>
      </c>
    </row>
    <row r="2064" spans="1:7" ht="18.95" customHeight="1" x14ac:dyDescent="0.2">
      <c r="A2064" s="348" t="str">
        <f t="shared" si="583"/>
        <v/>
      </c>
      <c r="B2064" s="290" t="str">
        <f t="shared" si="584"/>
        <v/>
      </c>
      <c r="C2064" s="321"/>
      <c r="D2064" s="607">
        <f t="shared" si="585"/>
        <v>0</v>
      </c>
      <c r="E2064" s="349"/>
      <c r="F2064" s="350">
        <f t="shared" si="589"/>
        <v>0</v>
      </c>
      <c r="G2064" s="347">
        <f t="shared" si="588"/>
        <v>0</v>
      </c>
    </row>
    <row r="2065" spans="1:7" ht="18.95" customHeight="1" x14ac:dyDescent="0.2">
      <c r="A2065" s="353"/>
      <c r="B2065" s="149"/>
      <c r="C2065" s="142"/>
      <c r="D2065" s="150"/>
      <c r="E2065" s="143"/>
      <c r="F2065" s="354" t="s">
        <v>29</v>
      </c>
      <c r="G2065" s="355">
        <f>SUBTOTAL(9,G2057:G2064)</f>
        <v>0</v>
      </c>
    </row>
    <row r="2066" spans="1:7" ht="18.95" customHeight="1" x14ac:dyDescent="0.2">
      <c r="A2066" s="156"/>
      <c r="B2066" s="142"/>
      <c r="C2066" s="157" t="s">
        <v>722</v>
      </c>
      <c r="D2066" s="150"/>
      <c r="E2066" s="327"/>
      <c r="F2066" s="327"/>
      <c r="G2066" s="342"/>
    </row>
    <row r="2067" spans="1:7" ht="18.95" customHeight="1" x14ac:dyDescent="0.2">
      <c r="A2067" s="735" t="s">
        <v>582</v>
      </c>
      <c r="B2067" s="736"/>
      <c r="C2067" s="737" t="s">
        <v>0</v>
      </c>
      <c r="D2067" s="739" t="s">
        <v>26</v>
      </c>
      <c r="E2067" s="743" t="s">
        <v>1707</v>
      </c>
      <c r="F2067" s="741" t="s">
        <v>1040</v>
      </c>
      <c r="G2067" s="733" t="s">
        <v>28</v>
      </c>
    </row>
    <row r="2068" spans="1:7" ht="18.95" customHeight="1" x14ac:dyDescent="0.2">
      <c r="A2068" s="154" t="s">
        <v>583</v>
      </c>
      <c r="B2068" s="155" t="s">
        <v>584</v>
      </c>
      <c r="C2068" s="738"/>
      <c r="D2068" s="740"/>
      <c r="E2068" s="742"/>
      <c r="F2068" s="742"/>
      <c r="G2068" s="734"/>
    </row>
    <row r="2069" spans="1:7" ht="18.95" customHeight="1" x14ac:dyDescent="0.2">
      <c r="A2069" s="348" t="str">
        <f t="shared" ref="A2069:A2074" si="590">IFERROR(VLOOKUP(C2069,Tabla_Insumos,4,FALSE),"")</f>
        <v/>
      </c>
      <c r="B2069" s="290" t="str">
        <f t="shared" ref="B2069:B2074" si="591">IFERROR(VLOOKUP(C2069,Tabla_Insumos,5,FALSE),"")</f>
        <v/>
      </c>
      <c r="C2069" s="291"/>
      <c r="D2069" s="293"/>
      <c r="E2069" s="346">
        <f t="shared" ref="E2069:E2074" si="592">IFERROR(VLOOKUP(C2069,Tabla_Insumos,3,FALSE),0)</f>
        <v>0</v>
      </c>
      <c r="F2069" s="349">
        <f>IF(C2069="",0,D2052)</f>
        <v>0</v>
      </c>
      <c r="G2069" s="347">
        <f t="shared" ref="G2069:G2074" si="593">IFERROR(ROUND(D2069*E2069/F2069,2),0)</f>
        <v>0</v>
      </c>
    </row>
    <row r="2070" spans="1:7" ht="18.95" customHeight="1" x14ac:dyDescent="0.2">
      <c r="A2070" s="348" t="str">
        <f t="shared" si="590"/>
        <v/>
      </c>
      <c r="B2070" s="290" t="str">
        <f t="shared" si="591"/>
        <v/>
      </c>
      <c r="C2070" s="290"/>
      <c r="D2070" s="293"/>
      <c r="E2070" s="346">
        <f t="shared" si="592"/>
        <v>0</v>
      </c>
      <c r="F2070" s="349">
        <f>IF(C2070="",0,F2069)</f>
        <v>0</v>
      </c>
      <c r="G2070" s="347">
        <f t="shared" si="593"/>
        <v>0</v>
      </c>
    </row>
    <row r="2071" spans="1:7" ht="18.95" customHeight="1" x14ac:dyDescent="0.2">
      <c r="A2071" s="348" t="str">
        <f t="shared" si="590"/>
        <v/>
      </c>
      <c r="B2071" s="290" t="str">
        <f t="shared" si="591"/>
        <v/>
      </c>
      <c r="C2071" s="290"/>
      <c r="D2071" s="293"/>
      <c r="E2071" s="346">
        <f t="shared" si="592"/>
        <v>0</v>
      </c>
      <c r="F2071" s="349">
        <f>IF(C2071="",0,F2070)</f>
        <v>0</v>
      </c>
      <c r="G2071" s="347">
        <f t="shared" si="593"/>
        <v>0</v>
      </c>
    </row>
    <row r="2072" spans="1:7" ht="18.95" customHeight="1" x14ac:dyDescent="0.2">
      <c r="A2072" s="348" t="str">
        <f t="shared" si="590"/>
        <v/>
      </c>
      <c r="B2072" s="290" t="str">
        <f t="shared" si="591"/>
        <v/>
      </c>
      <c r="C2072" s="290"/>
      <c r="D2072" s="293"/>
      <c r="E2072" s="346">
        <f t="shared" si="592"/>
        <v>0</v>
      </c>
      <c r="F2072" s="349">
        <f>IF(C2072="",0,F2071)</f>
        <v>0</v>
      </c>
      <c r="G2072" s="347">
        <f t="shared" si="593"/>
        <v>0</v>
      </c>
    </row>
    <row r="2073" spans="1:7" ht="18.95" customHeight="1" x14ac:dyDescent="0.2">
      <c r="A2073" s="348" t="str">
        <f t="shared" si="590"/>
        <v/>
      </c>
      <c r="B2073" s="290" t="str">
        <f t="shared" si="591"/>
        <v/>
      </c>
      <c r="C2073" s="290"/>
      <c r="D2073" s="351"/>
      <c r="E2073" s="346">
        <f t="shared" si="592"/>
        <v>0</v>
      </c>
      <c r="F2073" s="349">
        <f>IF(C2073="",0,F2072)</f>
        <v>0</v>
      </c>
      <c r="G2073" s="347">
        <f t="shared" si="593"/>
        <v>0</v>
      </c>
    </row>
    <row r="2074" spans="1:7" ht="18.95" customHeight="1" x14ac:dyDescent="0.2">
      <c r="A2074" s="348" t="str">
        <f t="shared" si="590"/>
        <v/>
      </c>
      <c r="B2074" s="290" t="str">
        <f t="shared" si="591"/>
        <v/>
      </c>
      <c r="C2074" s="290"/>
      <c r="D2074" s="293"/>
      <c r="E2074" s="346">
        <f t="shared" si="592"/>
        <v>0</v>
      </c>
      <c r="F2074" s="349">
        <f>IF(C2074="",0,F2073)</f>
        <v>0</v>
      </c>
      <c r="G2074" s="347">
        <f t="shared" si="593"/>
        <v>0</v>
      </c>
    </row>
    <row r="2075" spans="1:7" ht="18.95" customHeight="1" x14ac:dyDescent="0.2">
      <c r="A2075" s="353"/>
      <c r="B2075" s="149"/>
      <c r="C2075" s="142"/>
      <c r="D2075" s="150"/>
      <c r="E2075" s="143"/>
      <c r="F2075" s="356" t="s">
        <v>30</v>
      </c>
      <c r="G2075" s="355">
        <f>SUBTOTAL(9,G2069:G2074)</f>
        <v>0</v>
      </c>
    </row>
    <row r="2076" spans="1:7" ht="18.95" customHeight="1" x14ac:dyDescent="0.2">
      <c r="A2076" s="156"/>
      <c r="B2076" s="142"/>
      <c r="C2076" s="157" t="s">
        <v>1047</v>
      </c>
      <c r="D2076" s="150"/>
      <c r="E2076" s="327"/>
      <c r="F2076" s="327"/>
      <c r="G2076" s="342"/>
    </row>
    <row r="2077" spans="1:7" ht="18.95" customHeight="1" x14ac:dyDescent="0.2">
      <c r="A2077" s="735" t="s">
        <v>582</v>
      </c>
      <c r="B2077" s="736"/>
      <c r="C2077" s="737" t="s">
        <v>0</v>
      </c>
      <c r="D2077" s="737" t="s">
        <v>1655</v>
      </c>
      <c r="E2077" s="737" t="s">
        <v>26</v>
      </c>
      <c r="F2077" s="737" t="s">
        <v>27</v>
      </c>
      <c r="G2077" s="733" t="s">
        <v>28</v>
      </c>
    </row>
    <row r="2078" spans="1:7" ht="18.95" customHeight="1" x14ac:dyDescent="0.2">
      <c r="A2078" s="154" t="s">
        <v>583</v>
      </c>
      <c r="B2078" s="155" t="s">
        <v>584</v>
      </c>
      <c r="C2078" s="738"/>
      <c r="D2078" s="738"/>
      <c r="E2078" s="738"/>
      <c r="F2078" s="738"/>
      <c r="G2078" s="734"/>
    </row>
    <row r="2079" spans="1:7" ht="18.95" customHeight="1" x14ac:dyDescent="0.2">
      <c r="A2079" s="348" t="str">
        <f t="shared" ref="A2079:A2090" si="594">IFERROR(VLOOKUP(C2079,Tabla_Insumos,4,FALSE),"")</f>
        <v/>
      </c>
      <c r="B2079" s="290" t="str">
        <f t="shared" ref="B2079:B2090" si="595">IFERROR(VLOOKUP(C2079,Tabla_Insumos,5,FALSE),"")</f>
        <v/>
      </c>
      <c r="C2079" s="290"/>
      <c r="D2079" s="608">
        <f t="shared" ref="D2079:D2090" si="596">IFERROR(VLOOKUP(C2079,Tabla_Insumos,2,FALSE),0)</f>
        <v>0</v>
      </c>
      <c r="E2079" s="293"/>
      <c r="F2079" s="346">
        <f t="shared" ref="F2079:F2090" si="597">IFERROR(VLOOKUP(C2079,Tabla_Insumos,3,FALSE),0)</f>
        <v>0</v>
      </c>
      <c r="G2079" s="347">
        <f t="shared" ref="G2079:G2090" si="598">ROUND(E2079*F2079,2)</f>
        <v>0</v>
      </c>
    </row>
    <row r="2080" spans="1:7" ht="18.95" customHeight="1" x14ac:dyDescent="0.2">
      <c r="A2080" s="348" t="str">
        <f t="shared" si="594"/>
        <v/>
      </c>
      <c r="B2080" s="290" t="str">
        <f t="shared" si="595"/>
        <v/>
      </c>
      <c r="C2080" s="126"/>
      <c r="D2080" s="608">
        <f t="shared" si="596"/>
        <v>0</v>
      </c>
      <c r="E2080" s="293"/>
      <c r="F2080" s="346">
        <f t="shared" si="597"/>
        <v>0</v>
      </c>
      <c r="G2080" s="347">
        <f t="shared" si="598"/>
        <v>0</v>
      </c>
    </row>
    <row r="2081" spans="1:7" ht="18.95" customHeight="1" x14ac:dyDescent="0.2">
      <c r="A2081" s="348" t="str">
        <f t="shared" si="594"/>
        <v/>
      </c>
      <c r="B2081" s="290" t="str">
        <f t="shared" si="595"/>
        <v/>
      </c>
      <c r="C2081" s="290"/>
      <c r="D2081" s="608">
        <f t="shared" si="596"/>
        <v>0</v>
      </c>
      <c r="E2081" s="293"/>
      <c r="F2081" s="346">
        <f t="shared" si="597"/>
        <v>0</v>
      </c>
      <c r="G2081" s="347">
        <f t="shared" si="598"/>
        <v>0</v>
      </c>
    </row>
    <row r="2082" spans="1:7" ht="18.95" customHeight="1" x14ac:dyDescent="0.2">
      <c r="A2082" s="348" t="str">
        <f t="shared" si="594"/>
        <v/>
      </c>
      <c r="B2082" s="290" t="str">
        <f t="shared" si="595"/>
        <v/>
      </c>
      <c r="C2082" s="290"/>
      <c r="D2082" s="608">
        <f t="shared" si="596"/>
        <v>0</v>
      </c>
      <c r="E2082" s="293"/>
      <c r="F2082" s="346">
        <f t="shared" si="597"/>
        <v>0</v>
      </c>
      <c r="G2082" s="347">
        <f t="shared" si="598"/>
        <v>0</v>
      </c>
    </row>
    <row r="2083" spans="1:7" ht="18.95" customHeight="1" x14ac:dyDescent="0.2">
      <c r="A2083" s="348" t="str">
        <f t="shared" si="594"/>
        <v/>
      </c>
      <c r="B2083" s="290" t="str">
        <f t="shared" si="595"/>
        <v/>
      </c>
      <c r="C2083" s="290"/>
      <c r="D2083" s="608">
        <f t="shared" si="596"/>
        <v>0</v>
      </c>
      <c r="E2083" s="293"/>
      <c r="F2083" s="346">
        <f t="shared" si="597"/>
        <v>0</v>
      </c>
      <c r="G2083" s="347">
        <f t="shared" si="598"/>
        <v>0</v>
      </c>
    </row>
    <row r="2084" spans="1:7" ht="18.95" customHeight="1" x14ac:dyDescent="0.2">
      <c r="A2084" s="348" t="str">
        <f t="shared" si="594"/>
        <v/>
      </c>
      <c r="B2084" s="290" t="str">
        <f t="shared" si="595"/>
        <v/>
      </c>
      <c r="C2084" s="290"/>
      <c r="D2084" s="608">
        <f t="shared" si="596"/>
        <v>0</v>
      </c>
      <c r="E2084" s="293"/>
      <c r="F2084" s="346">
        <f t="shared" si="597"/>
        <v>0</v>
      </c>
      <c r="G2084" s="347">
        <f t="shared" si="598"/>
        <v>0</v>
      </c>
    </row>
    <row r="2085" spans="1:7" ht="18.95" customHeight="1" x14ac:dyDescent="0.2">
      <c r="A2085" s="348" t="str">
        <f t="shared" si="594"/>
        <v/>
      </c>
      <c r="B2085" s="290" t="str">
        <f t="shared" si="595"/>
        <v/>
      </c>
      <c r="C2085" s="290"/>
      <c r="D2085" s="608">
        <f t="shared" si="596"/>
        <v>0</v>
      </c>
      <c r="E2085" s="293"/>
      <c r="F2085" s="346">
        <f t="shared" si="597"/>
        <v>0</v>
      </c>
      <c r="G2085" s="347">
        <f t="shared" si="598"/>
        <v>0</v>
      </c>
    </row>
    <row r="2086" spans="1:7" s="295" customFormat="1" ht="18.95" customHeight="1" x14ac:dyDescent="0.2">
      <c r="A2086" s="348" t="str">
        <f t="shared" si="594"/>
        <v/>
      </c>
      <c r="B2086" s="290" t="str">
        <f t="shared" si="595"/>
        <v/>
      </c>
      <c r="C2086" s="290"/>
      <c r="D2086" s="608">
        <f t="shared" si="596"/>
        <v>0</v>
      </c>
      <c r="E2086" s="323"/>
      <c r="F2086" s="346">
        <f t="shared" si="597"/>
        <v>0</v>
      </c>
      <c r="G2086" s="347">
        <f t="shared" si="598"/>
        <v>0</v>
      </c>
    </row>
    <row r="2087" spans="1:7" ht="18.95" customHeight="1" x14ac:dyDescent="0.2">
      <c r="A2087" s="348" t="str">
        <f t="shared" si="594"/>
        <v/>
      </c>
      <c r="B2087" s="290" t="str">
        <f t="shared" si="595"/>
        <v/>
      </c>
      <c r="C2087" s="290"/>
      <c r="D2087" s="608">
        <f t="shared" si="596"/>
        <v>0</v>
      </c>
      <c r="E2087" s="293"/>
      <c r="F2087" s="346">
        <f t="shared" si="597"/>
        <v>0</v>
      </c>
      <c r="G2087" s="347">
        <f t="shared" si="598"/>
        <v>0</v>
      </c>
    </row>
    <row r="2088" spans="1:7" ht="18.95" customHeight="1" x14ac:dyDescent="0.2">
      <c r="A2088" s="348" t="str">
        <f t="shared" si="594"/>
        <v/>
      </c>
      <c r="B2088" s="290" t="str">
        <f t="shared" si="595"/>
        <v/>
      </c>
      <c r="C2088" s="290"/>
      <c r="D2088" s="608">
        <f t="shared" si="596"/>
        <v>0</v>
      </c>
      <c r="E2088" s="293"/>
      <c r="F2088" s="346">
        <f t="shared" si="597"/>
        <v>0</v>
      </c>
      <c r="G2088" s="347">
        <f t="shared" si="598"/>
        <v>0</v>
      </c>
    </row>
    <row r="2089" spans="1:7" ht="18.95" customHeight="1" x14ac:dyDescent="0.2">
      <c r="A2089" s="348" t="str">
        <f t="shared" si="594"/>
        <v/>
      </c>
      <c r="B2089" s="290" t="str">
        <f t="shared" si="595"/>
        <v/>
      </c>
      <c r="C2089" s="290"/>
      <c r="D2089" s="608">
        <f t="shared" si="596"/>
        <v>0</v>
      </c>
      <c r="E2089" s="293"/>
      <c r="F2089" s="346">
        <f t="shared" si="597"/>
        <v>0</v>
      </c>
      <c r="G2089" s="347">
        <f t="shared" si="598"/>
        <v>0</v>
      </c>
    </row>
    <row r="2090" spans="1:7" ht="18.95" customHeight="1" x14ac:dyDescent="0.2">
      <c r="A2090" s="348" t="str">
        <f t="shared" si="594"/>
        <v/>
      </c>
      <c r="B2090" s="290" t="str">
        <f t="shared" si="595"/>
        <v/>
      </c>
      <c r="C2090" s="290"/>
      <c r="D2090" s="608">
        <f t="shared" si="596"/>
        <v>0</v>
      </c>
      <c r="E2090" s="293"/>
      <c r="F2090" s="346">
        <f t="shared" si="597"/>
        <v>0</v>
      </c>
      <c r="G2090" s="347">
        <f t="shared" si="598"/>
        <v>0</v>
      </c>
    </row>
    <row r="2091" spans="1:7" ht="18.95" customHeight="1" x14ac:dyDescent="0.2">
      <c r="A2091" s="156"/>
      <c r="B2091" s="142"/>
      <c r="C2091" s="142"/>
      <c r="D2091" s="150"/>
      <c r="E2091" s="143"/>
      <c r="F2091" s="356" t="s">
        <v>31</v>
      </c>
      <c r="G2091" s="355">
        <f>SUBTOTAL(9,G2079:G2090)</f>
        <v>0</v>
      </c>
    </row>
    <row r="2092" spans="1:7" ht="18.95" customHeight="1" x14ac:dyDescent="0.2">
      <c r="A2092" s="156"/>
      <c r="B2092" s="142"/>
      <c r="C2092" s="157" t="s">
        <v>1048</v>
      </c>
      <c r="D2092" s="150"/>
      <c r="E2092" s="327"/>
      <c r="F2092" s="327"/>
      <c r="G2092" s="342"/>
    </row>
    <row r="2093" spans="1:7" ht="18.95" customHeight="1" x14ac:dyDescent="0.2">
      <c r="A2093" s="735" t="s">
        <v>582</v>
      </c>
      <c r="B2093" s="736"/>
      <c r="C2093" s="737" t="s">
        <v>0</v>
      </c>
      <c r="D2093" s="739" t="s">
        <v>1750</v>
      </c>
      <c r="E2093" s="741" t="s">
        <v>26</v>
      </c>
      <c r="F2093" s="741" t="s">
        <v>27</v>
      </c>
      <c r="G2093" s="733" t="s">
        <v>28</v>
      </c>
    </row>
    <row r="2094" spans="1:7" ht="18.95" customHeight="1" x14ac:dyDescent="0.2">
      <c r="A2094" s="154" t="s">
        <v>583</v>
      </c>
      <c r="B2094" s="155" t="s">
        <v>584</v>
      </c>
      <c r="C2094" s="738"/>
      <c r="D2094" s="740"/>
      <c r="E2094" s="742"/>
      <c r="F2094" s="742"/>
      <c r="G2094" s="734"/>
    </row>
    <row r="2095" spans="1:7" ht="18.95" customHeight="1" x14ac:dyDescent="0.2">
      <c r="A2095" s="348" t="str">
        <f>IFERROR(VLOOKUP(C2095,Tabla_Insumos,4,FALSE),"")</f>
        <v/>
      </c>
      <c r="B2095" s="290" t="s">
        <v>4</v>
      </c>
      <c r="C2095" s="290"/>
      <c r="D2095" s="293"/>
      <c r="E2095" s="322"/>
      <c r="F2095" s="324"/>
      <c r="G2095" s="347">
        <f t="shared" ref="G2095" si="599">ROUND(E2095*F2095,2)</f>
        <v>0</v>
      </c>
    </row>
    <row r="2096" spans="1:7" ht="18.95" customHeight="1" x14ac:dyDescent="0.2">
      <c r="A2096" s="156"/>
      <c r="B2096" s="142"/>
      <c r="C2096" s="142"/>
      <c r="D2096" s="150"/>
      <c r="E2096" s="143"/>
      <c r="F2096" s="356" t="s">
        <v>1049</v>
      </c>
      <c r="G2096" s="355">
        <f>SUBTOTAL(9,G2095:G2095)</f>
        <v>0</v>
      </c>
    </row>
    <row r="2097" spans="1:8" ht="18.95" customHeight="1" thickBot="1" x14ac:dyDescent="0.25">
      <c r="A2097" s="158"/>
      <c r="B2097" s="159"/>
      <c r="C2097" s="160"/>
      <c r="D2097" s="161"/>
      <c r="E2097" s="357"/>
      <c r="F2097" s="357"/>
      <c r="G2097" s="358"/>
    </row>
    <row r="2098" spans="1:8" ht="18.95" customHeight="1" x14ac:dyDescent="0.2">
      <c r="A2098" s="359">
        <f>B2037</f>
        <v>29</v>
      </c>
      <c r="B2098" s="360" t="str">
        <f>C2037</f>
        <v>RETIRO Y REUBICACIÓN DE INSTALACIONES DE SEMÁFOROS</v>
      </c>
      <c r="C2098" s="361"/>
      <c r="D2098" s="361"/>
      <c r="E2098" s="361" t="s">
        <v>1050</v>
      </c>
      <c r="F2098" s="362" t="str">
        <f>CONCATENATE("$/",G2037)</f>
        <v>$/Gl</v>
      </c>
      <c r="G2098" s="363">
        <f>SUBTOTAL(9,G2057:G2097)</f>
        <v>0</v>
      </c>
    </row>
    <row r="2099" spans="1:8" ht="18.95" customHeight="1" thickBot="1" x14ac:dyDescent="0.25">
      <c r="A2099" s="364"/>
      <c r="B2099" s="365"/>
      <c r="C2099" s="365"/>
      <c r="D2099" s="365"/>
      <c r="E2099" s="366" t="s">
        <v>1051</v>
      </c>
      <c r="F2099" s="367" t="str">
        <f>CONCATENATE("$/",G2037)</f>
        <v>$/Gl</v>
      </c>
      <c r="G2099" s="368" t="e">
        <f ca="1">PrecioUnitario(G2098,GG_Porcentaje,Beneficio,Ingresos_Brutos,IVA)</f>
        <v>#NAME?</v>
      </c>
    </row>
    <row r="2100" spans="1:8" ht="18.95" customHeight="1" thickTop="1" thickBot="1" x14ac:dyDescent="0.25">
      <c r="F2100" s="294"/>
      <c r="G2100" s="294"/>
    </row>
    <row r="2101" spans="1:8" ht="18.95" customHeight="1" thickTop="1" x14ac:dyDescent="0.2">
      <c r="A2101" s="194" t="s">
        <v>33</v>
      </c>
      <c r="B2101" s="195"/>
      <c r="C2101" s="195"/>
      <c r="D2101" s="195"/>
      <c r="E2101" s="195"/>
      <c r="F2101" s="195"/>
      <c r="G2101" s="196"/>
      <c r="H2101" s="143">
        <f>COUNTIF($A$1:A2107,"ANALISIS DE PRECIOS")</f>
        <v>31</v>
      </c>
    </row>
    <row r="2102" spans="1:8" ht="18.95" customHeight="1" x14ac:dyDescent="0.2">
      <c r="A2102" s="144" t="s">
        <v>720</v>
      </c>
      <c r="B2102" s="145" t="str">
        <f>Comitente</f>
        <v>DIRECCIÓN PROVINCIAL DE VIALIDAD</v>
      </c>
      <c r="C2102" s="139"/>
      <c r="D2102" s="146"/>
      <c r="E2102" s="325"/>
      <c r="F2102" s="325"/>
      <c r="G2102" s="326"/>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PAVIMENTACION Y ENSANCHE DE RUTA PROVINCIAL N°7 AV. JOAQUIN UÑAC</v>
      </c>
      <c r="C2104" s="140"/>
      <c r="D2104" s="140"/>
      <c r="E2104" s="143"/>
      <c r="F2104" s="145" t="s">
        <v>34</v>
      </c>
      <c r="G2104" s="147">
        <f>Fecha_Base</f>
        <v>43444</v>
      </c>
      <c r="H2104" s="143"/>
    </row>
    <row r="2105" spans="1:8" ht="18.95" customHeight="1" x14ac:dyDescent="0.2">
      <c r="A2105" s="148" t="s">
        <v>719</v>
      </c>
      <c r="B2105" s="141" t="str">
        <f>Ubicación</f>
        <v>DEPARTAMENTO POCITO</v>
      </c>
      <c r="C2105" s="141"/>
      <c r="D2105" s="150"/>
      <c r="E2105" s="143"/>
      <c r="F2105" s="327"/>
      <c r="G2105" s="328"/>
      <c r="H2105" s="143"/>
    </row>
    <row r="2106" spans="1:8" ht="18.95" customHeight="1" x14ac:dyDescent="0.2">
      <c r="A2106" s="148" t="s">
        <v>35</v>
      </c>
      <c r="B2106" s="151" t="str">
        <f>IFERROR(VALUE(LEFT(B2107,FIND("-",B2107)-1)),"")</f>
        <v/>
      </c>
      <c r="C2106" s="142" t="str">
        <f>IFERROR(VLOOKUP(B2106,Tabla_CyP,2,FALSE),"")</f>
        <v/>
      </c>
      <c r="D2106" s="150"/>
      <c r="E2106" s="143"/>
      <c r="F2106" s="327"/>
      <c r="G2106" s="328"/>
      <c r="H2106" s="143"/>
    </row>
    <row r="2107" spans="1:8" ht="18.95" customHeight="1" x14ac:dyDescent="0.2">
      <c r="A2107" s="148" t="s">
        <v>24</v>
      </c>
      <c r="B2107" s="152">
        <f>IFERROR(VLOOKUP(COUNTIF($A$1:A2107,"ANALISIS DE PRECIOS"),Tabla_NumeroItem,4,FALSE),"")</f>
        <v>30</v>
      </c>
      <c r="C2107" s="745" t="str">
        <f>IFERROR(VLOOKUP(B2107,Tabla_CyP,2,FALSE),"")</f>
        <v>RETIRO DE LÍNEA ELÉCTRICA Y POSTES DE ALUMBRADO PÚBLICO EXISTENTES</v>
      </c>
      <c r="D2107" s="745"/>
      <c r="E2107" s="745"/>
      <c r="F2107" s="141" t="s">
        <v>25</v>
      </c>
      <c r="G2107" s="153" t="str">
        <f>IFERROR(VLOOKUP(B2107,Tabla_CyP,4,FALSE),"")</f>
        <v>Gl</v>
      </c>
      <c r="H2107" s="143"/>
    </row>
    <row r="2108" spans="1:8" ht="18.95" customHeight="1" x14ac:dyDescent="0.2">
      <c r="A2108" s="148"/>
      <c r="B2108" s="141"/>
      <c r="C2108" s="142"/>
      <c r="D2108" s="150"/>
      <c r="E2108" s="142"/>
      <c r="F2108" s="142"/>
      <c r="G2108" s="329"/>
      <c r="H2108" s="143"/>
    </row>
    <row r="2109" spans="1:8" ht="18.95" customHeight="1" x14ac:dyDescent="0.2">
      <c r="A2109" s="330"/>
      <c r="B2109" s="331"/>
      <c r="C2109" s="332" t="s">
        <v>1032</v>
      </c>
      <c r="D2109" s="331"/>
      <c r="E2109" s="331"/>
      <c r="F2109" s="331"/>
      <c r="G2109" s="333"/>
      <c r="H2109" s="143"/>
    </row>
    <row r="2110" spans="1:8" ht="18.95" customHeight="1" x14ac:dyDescent="0.2">
      <c r="A2110" s="148"/>
      <c r="B2110" s="334"/>
      <c r="C2110" s="335" t="s">
        <v>1033</v>
      </c>
      <c r="D2110" s="336" t="s">
        <v>26</v>
      </c>
      <c r="E2110" s="336" t="s">
        <v>1034</v>
      </c>
      <c r="F2110" s="336" t="s">
        <v>1035</v>
      </c>
      <c r="G2110" s="337" t="s">
        <v>1036</v>
      </c>
      <c r="H2110" s="143"/>
    </row>
    <row r="2111" spans="1:8" ht="18.95" customHeight="1" x14ac:dyDescent="0.2">
      <c r="A2111" s="343"/>
      <c r="B2111" s="344"/>
      <c r="C2111" s="290"/>
      <c r="D2111" s="293"/>
      <c r="E2111" s="345"/>
      <c r="F2111" s="346"/>
      <c r="G2111" s="347">
        <f t="shared" ref="G2111:G2120" si="600">ROUND(D2111*F2111,2)</f>
        <v>0</v>
      </c>
    </row>
    <row r="2112" spans="1:8" ht="18.95" customHeight="1" x14ac:dyDescent="0.2">
      <c r="A2112" s="343"/>
      <c r="B2112" s="344"/>
      <c r="C2112" s="290"/>
      <c r="D2112" s="293"/>
      <c r="E2112" s="345"/>
      <c r="F2112" s="346"/>
      <c r="G2112" s="347">
        <f t="shared" si="600"/>
        <v>0</v>
      </c>
    </row>
    <row r="2113" spans="1:7" ht="18.95" customHeight="1" x14ac:dyDescent="0.2">
      <c r="A2113" s="343"/>
      <c r="B2113" s="344"/>
      <c r="C2113" s="290"/>
      <c r="D2113" s="293"/>
      <c r="E2113" s="345">
        <f t="shared" ref="E2113:E2120" si="601">IFERROR(VLOOKUP(C2113,T_Equipos,4,FALSE),0)</f>
        <v>0</v>
      </c>
      <c r="F2113" s="346">
        <f t="shared" ref="F2113:F2120" si="602">IFERROR(VLOOKUP(C2113,T_Equipos,11,FALSE),0)</f>
        <v>0</v>
      </c>
      <c r="G2113" s="347">
        <f t="shared" si="600"/>
        <v>0</v>
      </c>
    </row>
    <row r="2114" spans="1:7" ht="18.95" customHeight="1" x14ac:dyDescent="0.2">
      <c r="A2114" s="343"/>
      <c r="B2114" s="344"/>
      <c r="C2114" s="290"/>
      <c r="D2114" s="293"/>
      <c r="E2114" s="345">
        <f t="shared" si="601"/>
        <v>0</v>
      </c>
      <c r="F2114" s="346">
        <f t="shared" si="602"/>
        <v>0</v>
      </c>
      <c r="G2114" s="347">
        <f t="shared" si="600"/>
        <v>0</v>
      </c>
    </row>
    <row r="2115" spans="1:7" ht="18.95" customHeight="1" x14ac:dyDescent="0.2">
      <c r="A2115" s="343"/>
      <c r="B2115" s="344"/>
      <c r="C2115" s="290"/>
      <c r="D2115" s="293"/>
      <c r="E2115" s="345">
        <f t="shared" si="601"/>
        <v>0</v>
      </c>
      <c r="F2115" s="346">
        <f t="shared" si="602"/>
        <v>0</v>
      </c>
      <c r="G2115" s="347">
        <f t="shared" si="600"/>
        <v>0</v>
      </c>
    </row>
    <row r="2116" spans="1:7" ht="18.95" customHeight="1" x14ac:dyDescent="0.2">
      <c r="A2116" s="343"/>
      <c r="B2116" s="344"/>
      <c r="C2116" s="290"/>
      <c r="D2116" s="293"/>
      <c r="E2116" s="345">
        <f t="shared" si="601"/>
        <v>0</v>
      </c>
      <c r="F2116" s="346">
        <f t="shared" si="602"/>
        <v>0</v>
      </c>
      <c r="G2116" s="347">
        <f t="shared" si="600"/>
        <v>0</v>
      </c>
    </row>
    <row r="2117" spans="1:7" ht="18.95" customHeight="1" x14ac:dyDescent="0.2">
      <c r="A2117" s="343"/>
      <c r="B2117" s="344"/>
      <c r="C2117" s="290"/>
      <c r="D2117" s="293"/>
      <c r="E2117" s="345">
        <f t="shared" si="601"/>
        <v>0</v>
      </c>
      <c r="F2117" s="346">
        <f t="shared" si="602"/>
        <v>0</v>
      </c>
      <c r="G2117" s="347">
        <f t="shared" si="600"/>
        <v>0</v>
      </c>
    </row>
    <row r="2118" spans="1:7" ht="18.95" customHeight="1" x14ac:dyDescent="0.2">
      <c r="A2118" s="343"/>
      <c r="B2118" s="344"/>
      <c r="C2118" s="290"/>
      <c r="D2118" s="293"/>
      <c r="E2118" s="345">
        <f t="shared" si="601"/>
        <v>0</v>
      </c>
      <c r="F2118" s="346">
        <f t="shared" si="602"/>
        <v>0</v>
      </c>
      <c r="G2118" s="347">
        <f t="shared" si="600"/>
        <v>0</v>
      </c>
    </row>
    <row r="2119" spans="1:7" ht="18.95" customHeight="1" x14ac:dyDescent="0.2">
      <c r="A2119" s="343"/>
      <c r="B2119" s="344"/>
      <c r="C2119" s="290"/>
      <c r="D2119" s="293"/>
      <c r="E2119" s="345">
        <f t="shared" si="601"/>
        <v>0</v>
      </c>
      <c r="F2119" s="346">
        <f t="shared" si="602"/>
        <v>0</v>
      </c>
      <c r="G2119" s="347">
        <f t="shared" si="600"/>
        <v>0</v>
      </c>
    </row>
    <row r="2120" spans="1:7" ht="18.95" customHeight="1" thickBot="1" x14ac:dyDescent="0.25">
      <c r="A2120" s="343"/>
      <c r="B2120" s="344"/>
      <c r="C2120" s="290"/>
      <c r="D2120" s="293"/>
      <c r="E2120" s="345">
        <f t="shared" si="601"/>
        <v>0</v>
      </c>
      <c r="F2120" s="346">
        <f t="shared" si="602"/>
        <v>0</v>
      </c>
      <c r="G2120" s="347">
        <f t="shared" si="600"/>
        <v>0</v>
      </c>
    </row>
    <row r="2121" spans="1:7" ht="18.95" customHeight="1" thickBot="1" x14ac:dyDescent="0.25">
      <c r="A2121" s="148"/>
      <c r="B2121" s="334"/>
      <c r="C2121" s="143"/>
      <c r="D2121" s="146" t="s">
        <v>1037</v>
      </c>
      <c r="E2121" s="338">
        <f>SUMPRODUCT(D2111:D2120,E2111:E2120)</f>
        <v>0</v>
      </c>
      <c r="F2121" s="141" t="s">
        <v>1038</v>
      </c>
      <c r="G2121" s="339">
        <f>SUM(G2111:G2120)</f>
        <v>0</v>
      </c>
    </row>
    <row r="2122" spans="1:7" ht="18.95" customHeight="1" x14ac:dyDescent="0.2">
      <c r="A2122" s="148"/>
      <c r="B2122" s="334"/>
      <c r="C2122" s="141" t="s">
        <v>1039</v>
      </c>
      <c r="D2122" s="320"/>
      <c r="E2122" s="340" t="str">
        <f>CONCATENATE(G2107,"/día")</f>
        <v>Gl/día</v>
      </c>
      <c r="F2122" s="141"/>
      <c r="G2122" s="341"/>
    </row>
    <row r="2123" spans="1:7" ht="18.95" customHeight="1" x14ac:dyDescent="0.2">
      <c r="A2123" s="148"/>
      <c r="B2123" s="334"/>
      <c r="C2123" s="142"/>
      <c r="D2123" s="150"/>
      <c r="E2123" s="141"/>
      <c r="F2123" s="141"/>
      <c r="G2123" s="341"/>
    </row>
    <row r="2124" spans="1:7" ht="18.95" customHeight="1" x14ac:dyDescent="0.2">
      <c r="A2124" s="735" t="s">
        <v>582</v>
      </c>
      <c r="B2124" s="736"/>
      <c r="C2124" s="737" t="s">
        <v>0</v>
      </c>
      <c r="D2124" s="743" t="s">
        <v>1053</v>
      </c>
      <c r="E2124" s="743" t="s">
        <v>1706</v>
      </c>
      <c r="F2124" s="743" t="s">
        <v>1054</v>
      </c>
      <c r="G2124" s="743" t="s">
        <v>1055</v>
      </c>
    </row>
    <row r="2125" spans="1:7" ht="18.95" customHeight="1" x14ac:dyDescent="0.2">
      <c r="A2125" s="154" t="s">
        <v>583</v>
      </c>
      <c r="B2125" s="155" t="s">
        <v>584</v>
      </c>
      <c r="C2125" s="738"/>
      <c r="D2125" s="742"/>
      <c r="E2125" s="742"/>
      <c r="F2125" s="744"/>
      <c r="G2125" s="742"/>
    </row>
    <row r="2126" spans="1:7" ht="18.95" customHeight="1" x14ac:dyDescent="0.2">
      <c r="A2126" s="156"/>
      <c r="B2126" s="142"/>
      <c r="C2126" s="157" t="s">
        <v>1041</v>
      </c>
      <c r="D2126" s="150"/>
      <c r="E2126" s="142"/>
      <c r="F2126" s="142"/>
      <c r="G2126" s="342"/>
    </row>
    <row r="2127" spans="1:7" ht="18.95" customHeight="1" x14ac:dyDescent="0.2">
      <c r="A2127" s="348" t="str">
        <f t="shared" ref="A2127:A2134" si="603">IFERROR(VLOOKUP(C2127,Tabla_Insumos,4,FALSE),"")</f>
        <v/>
      </c>
      <c r="B2127" s="290" t="str">
        <f t="shared" ref="B2127:B2134" si="604">IFERROR(VLOOKUP(C2127,Tabla_Insumos,5,FALSE),"")</f>
        <v/>
      </c>
      <c r="C2127" s="290"/>
      <c r="D2127" s="607">
        <f t="shared" ref="D2127:D2134" si="605">IFERROR(VLOOKUP(C2127,Tabla_Insumos,3,FALSE),0)</f>
        <v>0</v>
      </c>
      <c r="E2127" s="349">
        <f>D2127*$G$21</f>
        <v>0</v>
      </c>
      <c r="F2127" s="350">
        <f>IF(C2127="",0,D2122)</f>
        <v>0</v>
      </c>
      <c r="G2127" s="347">
        <f>IFERROR(ROUND(E2127/F2127,2),0)</f>
        <v>0</v>
      </c>
    </row>
    <row r="2128" spans="1:7" ht="18.95" customHeight="1" x14ac:dyDescent="0.2">
      <c r="A2128" s="348" t="str">
        <f t="shared" si="603"/>
        <v/>
      </c>
      <c r="B2128" s="290" t="str">
        <f t="shared" si="604"/>
        <v/>
      </c>
      <c r="C2128" s="321"/>
      <c r="D2128" s="607">
        <f t="shared" si="605"/>
        <v>0</v>
      </c>
      <c r="E2128" s="349">
        <f t="shared" ref="E2128:E2129" si="606">D2128*$G$21</f>
        <v>0</v>
      </c>
      <c r="F2128" s="350">
        <f t="shared" ref="F2128:F2131" si="607">IF(C2128="",0,F2127)</f>
        <v>0</v>
      </c>
      <c r="G2128" s="347">
        <f t="shared" ref="G2128:G2134" si="608">IFERROR(ROUND(E2128/F2128,2),0)</f>
        <v>0</v>
      </c>
    </row>
    <row r="2129" spans="1:7" ht="18.95" customHeight="1" x14ac:dyDescent="0.2">
      <c r="A2129" s="348" t="str">
        <f t="shared" si="603"/>
        <v/>
      </c>
      <c r="B2129" s="290" t="str">
        <f t="shared" si="604"/>
        <v/>
      </c>
      <c r="C2129" s="321"/>
      <c r="D2129" s="607">
        <f t="shared" si="605"/>
        <v>0</v>
      </c>
      <c r="E2129" s="349">
        <f t="shared" si="606"/>
        <v>0</v>
      </c>
      <c r="F2129" s="350">
        <f t="shared" si="607"/>
        <v>0</v>
      </c>
      <c r="G2129" s="347">
        <f t="shared" si="608"/>
        <v>0</v>
      </c>
    </row>
    <row r="2130" spans="1:7" ht="18.95" customHeight="1" x14ac:dyDescent="0.2">
      <c r="A2130" s="348" t="str">
        <f t="shared" si="603"/>
        <v/>
      </c>
      <c r="B2130" s="290" t="str">
        <f t="shared" si="604"/>
        <v/>
      </c>
      <c r="C2130" s="321"/>
      <c r="D2130" s="607">
        <f t="shared" si="605"/>
        <v>0</v>
      </c>
      <c r="E2130" s="349">
        <f>D2130*$E$21</f>
        <v>0</v>
      </c>
      <c r="F2130" s="350">
        <f t="shared" si="607"/>
        <v>0</v>
      </c>
      <c r="G2130" s="347">
        <f t="shared" si="608"/>
        <v>0</v>
      </c>
    </row>
    <row r="2131" spans="1:7" ht="18.95" customHeight="1" x14ac:dyDescent="0.2">
      <c r="A2131" s="348" t="str">
        <f t="shared" si="603"/>
        <v/>
      </c>
      <c r="B2131" s="290" t="str">
        <f t="shared" si="604"/>
        <v/>
      </c>
      <c r="C2131" s="321"/>
      <c r="D2131" s="607">
        <f t="shared" si="605"/>
        <v>0</v>
      </c>
      <c r="E2131" s="349">
        <f>D2131*$E$21</f>
        <v>0</v>
      </c>
      <c r="F2131" s="350">
        <f t="shared" si="607"/>
        <v>0</v>
      </c>
      <c r="G2131" s="347">
        <f t="shared" si="608"/>
        <v>0</v>
      </c>
    </row>
    <row r="2132" spans="1:7" ht="18.95" customHeight="1" x14ac:dyDescent="0.2">
      <c r="A2132" s="348" t="str">
        <f t="shared" si="603"/>
        <v/>
      </c>
      <c r="B2132" s="290" t="str">
        <f t="shared" si="604"/>
        <v/>
      </c>
      <c r="C2132" s="321"/>
      <c r="D2132" s="607">
        <f t="shared" si="605"/>
        <v>0</v>
      </c>
      <c r="E2132" s="349"/>
      <c r="F2132" s="350">
        <f>IF(C2132="",0,F2131)</f>
        <v>0</v>
      </c>
      <c r="G2132" s="347">
        <f t="shared" si="608"/>
        <v>0</v>
      </c>
    </row>
    <row r="2133" spans="1:7" ht="18.95" customHeight="1" x14ac:dyDescent="0.2">
      <c r="A2133" s="348" t="str">
        <f t="shared" si="603"/>
        <v/>
      </c>
      <c r="B2133" s="290" t="str">
        <f t="shared" si="604"/>
        <v/>
      </c>
      <c r="C2133" s="321"/>
      <c r="D2133" s="607">
        <f t="shared" si="605"/>
        <v>0</v>
      </c>
      <c r="E2133" s="349"/>
      <c r="F2133" s="350">
        <f t="shared" ref="F2133:F2134" si="609">IF(C2133="",0,F2132)</f>
        <v>0</v>
      </c>
      <c r="G2133" s="347">
        <f t="shared" si="608"/>
        <v>0</v>
      </c>
    </row>
    <row r="2134" spans="1:7" ht="18.95" customHeight="1" x14ac:dyDescent="0.2">
      <c r="A2134" s="348" t="str">
        <f t="shared" si="603"/>
        <v/>
      </c>
      <c r="B2134" s="290" t="str">
        <f t="shared" si="604"/>
        <v/>
      </c>
      <c r="C2134" s="321"/>
      <c r="D2134" s="607">
        <f t="shared" si="605"/>
        <v>0</v>
      </c>
      <c r="E2134" s="349"/>
      <c r="F2134" s="350">
        <f t="shared" si="609"/>
        <v>0</v>
      </c>
      <c r="G2134" s="347">
        <f t="shared" si="608"/>
        <v>0</v>
      </c>
    </row>
    <row r="2135" spans="1:7" ht="18.95" customHeight="1" x14ac:dyDescent="0.2">
      <c r="A2135" s="353"/>
      <c r="B2135" s="149"/>
      <c r="C2135" s="142"/>
      <c r="D2135" s="150"/>
      <c r="E2135" s="143"/>
      <c r="F2135" s="354" t="s">
        <v>29</v>
      </c>
      <c r="G2135" s="355">
        <f>SUBTOTAL(9,G2127:G2134)</f>
        <v>0</v>
      </c>
    </row>
    <row r="2136" spans="1:7" ht="18.95" customHeight="1" x14ac:dyDescent="0.2">
      <c r="A2136" s="156"/>
      <c r="B2136" s="142"/>
      <c r="C2136" s="157" t="s">
        <v>722</v>
      </c>
      <c r="D2136" s="150"/>
      <c r="E2136" s="327"/>
      <c r="F2136" s="327"/>
      <c r="G2136" s="342"/>
    </row>
    <row r="2137" spans="1:7" ht="18.95" customHeight="1" x14ac:dyDescent="0.2">
      <c r="A2137" s="735" t="s">
        <v>582</v>
      </c>
      <c r="B2137" s="736"/>
      <c r="C2137" s="737" t="s">
        <v>0</v>
      </c>
      <c r="D2137" s="739" t="s">
        <v>26</v>
      </c>
      <c r="E2137" s="743" t="s">
        <v>1707</v>
      </c>
      <c r="F2137" s="741" t="s">
        <v>1040</v>
      </c>
      <c r="G2137" s="733" t="s">
        <v>28</v>
      </c>
    </row>
    <row r="2138" spans="1:7" ht="18.95" customHeight="1" x14ac:dyDescent="0.2">
      <c r="A2138" s="154" t="s">
        <v>583</v>
      </c>
      <c r="B2138" s="155" t="s">
        <v>584</v>
      </c>
      <c r="C2138" s="738"/>
      <c r="D2138" s="740"/>
      <c r="E2138" s="742"/>
      <c r="F2138" s="742"/>
      <c r="G2138" s="734"/>
    </row>
    <row r="2139" spans="1:7" ht="18.95" customHeight="1" x14ac:dyDescent="0.2">
      <c r="A2139" s="348" t="str">
        <f t="shared" ref="A2139:A2144" si="610">IFERROR(VLOOKUP(C2139,Tabla_Insumos,4,FALSE),"")</f>
        <v/>
      </c>
      <c r="B2139" s="290" t="str">
        <f t="shared" ref="B2139:B2144" si="611">IFERROR(VLOOKUP(C2139,Tabla_Insumos,5,FALSE),"")</f>
        <v/>
      </c>
      <c r="C2139" s="291"/>
      <c r="D2139" s="293"/>
      <c r="E2139" s="346">
        <f t="shared" ref="E2139:E2144" si="612">IFERROR(VLOOKUP(C2139,Tabla_Insumos,3,FALSE),0)</f>
        <v>0</v>
      </c>
      <c r="F2139" s="349">
        <f>IF(C2139="",0,D2122)</f>
        <v>0</v>
      </c>
      <c r="G2139" s="347">
        <f t="shared" ref="G2139:G2144" si="613">IFERROR(ROUND(D2139*E2139/F2139,2),0)</f>
        <v>0</v>
      </c>
    </row>
    <row r="2140" spans="1:7" ht="18.95" customHeight="1" x14ac:dyDescent="0.2">
      <c r="A2140" s="348" t="str">
        <f t="shared" si="610"/>
        <v/>
      </c>
      <c r="B2140" s="290" t="str">
        <f t="shared" si="611"/>
        <v/>
      </c>
      <c r="C2140" s="290"/>
      <c r="D2140" s="293"/>
      <c r="E2140" s="346">
        <f t="shared" si="612"/>
        <v>0</v>
      </c>
      <c r="F2140" s="349">
        <f>IF(C2140="",0,F2139)</f>
        <v>0</v>
      </c>
      <c r="G2140" s="347">
        <f t="shared" si="613"/>
        <v>0</v>
      </c>
    </row>
    <row r="2141" spans="1:7" ht="18.95" customHeight="1" x14ac:dyDescent="0.2">
      <c r="A2141" s="348" t="str">
        <f t="shared" si="610"/>
        <v/>
      </c>
      <c r="B2141" s="290" t="str">
        <f t="shared" si="611"/>
        <v/>
      </c>
      <c r="C2141" s="290"/>
      <c r="D2141" s="293"/>
      <c r="E2141" s="346">
        <f t="shared" si="612"/>
        <v>0</v>
      </c>
      <c r="F2141" s="349">
        <f>IF(C2141="",0,F2140)</f>
        <v>0</v>
      </c>
      <c r="G2141" s="347">
        <f t="shared" si="613"/>
        <v>0</v>
      </c>
    </row>
    <row r="2142" spans="1:7" ht="18.95" customHeight="1" x14ac:dyDescent="0.2">
      <c r="A2142" s="348" t="str">
        <f t="shared" si="610"/>
        <v/>
      </c>
      <c r="B2142" s="290" t="str">
        <f t="shared" si="611"/>
        <v/>
      </c>
      <c r="C2142" s="290"/>
      <c r="D2142" s="293"/>
      <c r="E2142" s="346">
        <f t="shared" si="612"/>
        <v>0</v>
      </c>
      <c r="F2142" s="349">
        <f>IF(C2142="",0,F2141)</f>
        <v>0</v>
      </c>
      <c r="G2142" s="347">
        <f t="shared" si="613"/>
        <v>0</v>
      </c>
    </row>
    <row r="2143" spans="1:7" ht="18.95" customHeight="1" x14ac:dyDescent="0.2">
      <c r="A2143" s="348" t="str">
        <f t="shared" si="610"/>
        <v/>
      </c>
      <c r="B2143" s="290" t="str">
        <f t="shared" si="611"/>
        <v/>
      </c>
      <c r="C2143" s="290"/>
      <c r="D2143" s="351"/>
      <c r="E2143" s="346">
        <f t="shared" si="612"/>
        <v>0</v>
      </c>
      <c r="F2143" s="349">
        <f>IF(C2143="",0,F2142)</f>
        <v>0</v>
      </c>
      <c r="G2143" s="347">
        <f t="shared" si="613"/>
        <v>0</v>
      </c>
    </row>
    <row r="2144" spans="1:7" ht="18.95" customHeight="1" x14ac:dyDescent="0.2">
      <c r="A2144" s="348" t="str">
        <f t="shared" si="610"/>
        <v/>
      </c>
      <c r="B2144" s="290" t="str">
        <f t="shared" si="611"/>
        <v/>
      </c>
      <c r="C2144" s="290"/>
      <c r="D2144" s="293"/>
      <c r="E2144" s="346">
        <f t="shared" si="612"/>
        <v>0</v>
      </c>
      <c r="F2144" s="349">
        <f>IF(C2144="",0,F2143)</f>
        <v>0</v>
      </c>
      <c r="G2144" s="347">
        <f t="shared" si="613"/>
        <v>0</v>
      </c>
    </row>
    <row r="2145" spans="1:7" ht="18.95" customHeight="1" x14ac:dyDescent="0.2">
      <c r="A2145" s="353"/>
      <c r="B2145" s="149"/>
      <c r="C2145" s="142"/>
      <c r="D2145" s="150"/>
      <c r="E2145" s="143"/>
      <c r="F2145" s="356" t="s">
        <v>30</v>
      </c>
      <c r="G2145" s="355">
        <f>SUBTOTAL(9,G2139:G2144)</f>
        <v>0</v>
      </c>
    </row>
    <row r="2146" spans="1:7" ht="18.95" customHeight="1" x14ac:dyDescent="0.2">
      <c r="A2146" s="156"/>
      <c r="B2146" s="142"/>
      <c r="C2146" s="157" t="s">
        <v>1047</v>
      </c>
      <c r="D2146" s="150"/>
      <c r="E2146" s="327"/>
      <c r="F2146" s="327"/>
      <c r="G2146" s="342"/>
    </row>
    <row r="2147" spans="1:7" ht="18.95" customHeight="1" x14ac:dyDescent="0.2">
      <c r="A2147" s="735" t="s">
        <v>582</v>
      </c>
      <c r="B2147" s="736"/>
      <c r="C2147" s="737" t="s">
        <v>0</v>
      </c>
      <c r="D2147" s="737" t="s">
        <v>1655</v>
      </c>
      <c r="E2147" s="737" t="s">
        <v>26</v>
      </c>
      <c r="F2147" s="737" t="s">
        <v>27</v>
      </c>
      <c r="G2147" s="733" t="s">
        <v>28</v>
      </c>
    </row>
    <row r="2148" spans="1:7" ht="18.95" customHeight="1" x14ac:dyDescent="0.2">
      <c r="A2148" s="154" t="s">
        <v>583</v>
      </c>
      <c r="B2148" s="155" t="s">
        <v>584</v>
      </c>
      <c r="C2148" s="738"/>
      <c r="D2148" s="738"/>
      <c r="E2148" s="738"/>
      <c r="F2148" s="738"/>
      <c r="G2148" s="734"/>
    </row>
    <row r="2149" spans="1:7" ht="18.95" customHeight="1" x14ac:dyDescent="0.2">
      <c r="A2149" s="348" t="str">
        <f t="shared" ref="A2149:A2160" si="614">IFERROR(VLOOKUP(C2149,Tabla_Insumos,4,FALSE),"")</f>
        <v/>
      </c>
      <c r="B2149" s="290" t="str">
        <f t="shared" ref="B2149:B2160" si="615">IFERROR(VLOOKUP(C2149,Tabla_Insumos,5,FALSE),"")</f>
        <v/>
      </c>
      <c r="C2149" s="290"/>
      <c r="D2149" s="608">
        <f t="shared" ref="D2149:D2160" si="616">IFERROR(VLOOKUP(C2149,Tabla_Insumos,2,FALSE),0)</f>
        <v>0</v>
      </c>
      <c r="E2149" s="293"/>
      <c r="F2149" s="346">
        <f t="shared" ref="F2149:F2160" si="617">IFERROR(VLOOKUP(C2149,Tabla_Insumos,3,FALSE),0)</f>
        <v>0</v>
      </c>
      <c r="G2149" s="347">
        <f t="shared" ref="G2149:G2160" si="618">ROUND(E2149*F2149,2)</f>
        <v>0</v>
      </c>
    </row>
    <row r="2150" spans="1:7" ht="18.95" customHeight="1" x14ac:dyDescent="0.2">
      <c r="A2150" s="348" t="str">
        <f t="shared" si="614"/>
        <v/>
      </c>
      <c r="B2150" s="290" t="str">
        <f t="shared" si="615"/>
        <v/>
      </c>
      <c r="C2150" s="126"/>
      <c r="D2150" s="608">
        <f t="shared" si="616"/>
        <v>0</v>
      </c>
      <c r="E2150" s="293"/>
      <c r="F2150" s="346">
        <f t="shared" si="617"/>
        <v>0</v>
      </c>
      <c r="G2150" s="347">
        <f t="shared" si="618"/>
        <v>0</v>
      </c>
    </row>
    <row r="2151" spans="1:7" ht="18.95" customHeight="1" x14ac:dyDescent="0.2">
      <c r="A2151" s="348" t="str">
        <f t="shared" si="614"/>
        <v/>
      </c>
      <c r="B2151" s="290" t="str">
        <f t="shared" si="615"/>
        <v/>
      </c>
      <c r="C2151" s="290"/>
      <c r="D2151" s="608">
        <f t="shared" si="616"/>
        <v>0</v>
      </c>
      <c r="E2151" s="293"/>
      <c r="F2151" s="346">
        <f t="shared" si="617"/>
        <v>0</v>
      </c>
      <c r="G2151" s="347">
        <f t="shared" si="618"/>
        <v>0</v>
      </c>
    </row>
    <row r="2152" spans="1:7" ht="18.95" customHeight="1" x14ac:dyDescent="0.2">
      <c r="A2152" s="348" t="str">
        <f t="shared" si="614"/>
        <v/>
      </c>
      <c r="B2152" s="290" t="str">
        <f t="shared" si="615"/>
        <v/>
      </c>
      <c r="C2152" s="290"/>
      <c r="D2152" s="608">
        <f t="shared" si="616"/>
        <v>0</v>
      </c>
      <c r="E2152" s="293"/>
      <c r="F2152" s="346">
        <f t="shared" si="617"/>
        <v>0</v>
      </c>
      <c r="G2152" s="347">
        <f t="shared" si="618"/>
        <v>0</v>
      </c>
    </row>
    <row r="2153" spans="1:7" ht="18.95" customHeight="1" x14ac:dyDescent="0.2">
      <c r="A2153" s="348" t="str">
        <f t="shared" si="614"/>
        <v/>
      </c>
      <c r="B2153" s="290" t="str">
        <f t="shared" si="615"/>
        <v/>
      </c>
      <c r="C2153" s="290"/>
      <c r="D2153" s="608">
        <f t="shared" si="616"/>
        <v>0</v>
      </c>
      <c r="E2153" s="293"/>
      <c r="F2153" s="346">
        <f t="shared" si="617"/>
        <v>0</v>
      </c>
      <c r="G2153" s="347">
        <f t="shared" si="618"/>
        <v>0</v>
      </c>
    </row>
    <row r="2154" spans="1:7" ht="18.95" customHeight="1" x14ac:dyDescent="0.2">
      <c r="A2154" s="348" t="str">
        <f t="shared" si="614"/>
        <v/>
      </c>
      <c r="B2154" s="290" t="str">
        <f t="shared" si="615"/>
        <v/>
      </c>
      <c r="C2154" s="290"/>
      <c r="D2154" s="608">
        <f t="shared" si="616"/>
        <v>0</v>
      </c>
      <c r="E2154" s="293"/>
      <c r="F2154" s="346">
        <f t="shared" si="617"/>
        <v>0</v>
      </c>
      <c r="G2154" s="347">
        <f t="shared" si="618"/>
        <v>0</v>
      </c>
    </row>
    <row r="2155" spans="1:7" ht="18.95" customHeight="1" x14ac:dyDescent="0.2">
      <c r="A2155" s="348" t="str">
        <f t="shared" si="614"/>
        <v/>
      </c>
      <c r="B2155" s="290" t="str">
        <f t="shared" si="615"/>
        <v/>
      </c>
      <c r="C2155" s="290"/>
      <c r="D2155" s="608">
        <f t="shared" si="616"/>
        <v>0</v>
      </c>
      <c r="E2155" s="293"/>
      <c r="F2155" s="346">
        <f t="shared" si="617"/>
        <v>0</v>
      </c>
      <c r="G2155" s="347">
        <f t="shared" si="618"/>
        <v>0</v>
      </c>
    </row>
    <row r="2156" spans="1:7" s="295" customFormat="1" ht="18.95" customHeight="1" x14ac:dyDescent="0.2">
      <c r="A2156" s="348" t="str">
        <f t="shared" si="614"/>
        <v/>
      </c>
      <c r="B2156" s="290" t="str">
        <f t="shared" si="615"/>
        <v/>
      </c>
      <c r="C2156" s="290"/>
      <c r="D2156" s="608">
        <f t="shared" si="616"/>
        <v>0</v>
      </c>
      <c r="E2156" s="323"/>
      <c r="F2156" s="346">
        <f t="shared" si="617"/>
        <v>0</v>
      </c>
      <c r="G2156" s="347">
        <f t="shared" si="618"/>
        <v>0</v>
      </c>
    </row>
    <row r="2157" spans="1:7" ht="18.95" customHeight="1" x14ac:dyDescent="0.2">
      <c r="A2157" s="348" t="str">
        <f t="shared" si="614"/>
        <v/>
      </c>
      <c r="B2157" s="290" t="str">
        <f t="shared" si="615"/>
        <v/>
      </c>
      <c r="C2157" s="290"/>
      <c r="D2157" s="608">
        <f t="shared" si="616"/>
        <v>0</v>
      </c>
      <c r="E2157" s="293"/>
      <c r="F2157" s="346">
        <f t="shared" si="617"/>
        <v>0</v>
      </c>
      <c r="G2157" s="347">
        <f t="shared" si="618"/>
        <v>0</v>
      </c>
    </row>
    <row r="2158" spans="1:7" ht="18.95" customHeight="1" x14ac:dyDescent="0.2">
      <c r="A2158" s="348" t="str">
        <f t="shared" si="614"/>
        <v/>
      </c>
      <c r="B2158" s="290" t="str">
        <f t="shared" si="615"/>
        <v/>
      </c>
      <c r="C2158" s="290"/>
      <c r="D2158" s="608">
        <f t="shared" si="616"/>
        <v>0</v>
      </c>
      <c r="E2158" s="293"/>
      <c r="F2158" s="346">
        <f t="shared" si="617"/>
        <v>0</v>
      </c>
      <c r="G2158" s="347">
        <f t="shared" si="618"/>
        <v>0</v>
      </c>
    </row>
    <row r="2159" spans="1:7" ht="18.95" customHeight="1" x14ac:dyDescent="0.2">
      <c r="A2159" s="348" t="str">
        <f t="shared" si="614"/>
        <v/>
      </c>
      <c r="B2159" s="290" t="str">
        <f t="shared" si="615"/>
        <v/>
      </c>
      <c r="C2159" s="290"/>
      <c r="D2159" s="608">
        <f t="shared" si="616"/>
        <v>0</v>
      </c>
      <c r="E2159" s="293"/>
      <c r="F2159" s="346">
        <f t="shared" si="617"/>
        <v>0</v>
      </c>
      <c r="G2159" s="347">
        <f t="shared" si="618"/>
        <v>0</v>
      </c>
    </row>
    <row r="2160" spans="1:7" ht="18.95" customHeight="1" x14ac:dyDescent="0.2">
      <c r="A2160" s="348" t="str">
        <f t="shared" si="614"/>
        <v/>
      </c>
      <c r="B2160" s="290" t="str">
        <f t="shared" si="615"/>
        <v/>
      </c>
      <c r="C2160" s="290"/>
      <c r="D2160" s="608">
        <f t="shared" si="616"/>
        <v>0</v>
      </c>
      <c r="E2160" s="293"/>
      <c r="F2160" s="346">
        <f t="shared" si="617"/>
        <v>0</v>
      </c>
      <c r="G2160" s="347">
        <f t="shared" si="618"/>
        <v>0</v>
      </c>
    </row>
    <row r="2161" spans="1:8" ht="18.95" customHeight="1" x14ac:dyDescent="0.2">
      <c r="A2161" s="156"/>
      <c r="B2161" s="142"/>
      <c r="C2161" s="142"/>
      <c r="D2161" s="150"/>
      <c r="E2161" s="143"/>
      <c r="F2161" s="356" t="s">
        <v>31</v>
      </c>
      <c r="G2161" s="355">
        <f>SUBTOTAL(9,G2149:G2160)</f>
        <v>0</v>
      </c>
    </row>
    <row r="2162" spans="1:8" ht="18.95" customHeight="1" x14ac:dyDescent="0.2">
      <c r="A2162" s="156"/>
      <c r="B2162" s="142"/>
      <c r="C2162" s="157" t="s">
        <v>1048</v>
      </c>
      <c r="D2162" s="150"/>
      <c r="E2162" s="327"/>
      <c r="F2162" s="327"/>
      <c r="G2162" s="342"/>
    </row>
    <row r="2163" spans="1:8" ht="18.95" customHeight="1" x14ac:dyDescent="0.2">
      <c r="A2163" s="735" t="s">
        <v>582</v>
      </c>
      <c r="B2163" s="736"/>
      <c r="C2163" s="737" t="s">
        <v>0</v>
      </c>
      <c r="D2163" s="739" t="s">
        <v>1750</v>
      </c>
      <c r="E2163" s="741" t="s">
        <v>26</v>
      </c>
      <c r="F2163" s="741" t="s">
        <v>27</v>
      </c>
      <c r="G2163" s="733" t="s">
        <v>28</v>
      </c>
    </row>
    <row r="2164" spans="1:8" ht="18.95" customHeight="1" x14ac:dyDescent="0.2">
      <c r="A2164" s="154" t="s">
        <v>583</v>
      </c>
      <c r="B2164" s="155" t="s">
        <v>584</v>
      </c>
      <c r="C2164" s="738"/>
      <c r="D2164" s="740"/>
      <c r="E2164" s="742"/>
      <c r="F2164" s="742"/>
      <c r="G2164" s="734"/>
    </row>
    <row r="2165" spans="1:8" ht="18.95" customHeight="1" x14ac:dyDescent="0.2">
      <c r="A2165" s="348" t="str">
        <f>IFERROR(VLOOKUP(C2165,Tabla_Insumos,4,FALSE),"")</f>
        <v/>
      </c>
      <c r="B2165" s="290" t="s">
        <v>4</v>
      </c>
      <c r="C2165" s="290"/>
      <c r="D2165" s="293"/>
      <c r="E2165" s="322"/>
      <c r="F2165" s="324"/>
      <c r="G2165" s="347">
        <f t="shared" ref="G2165" si="619">ROUND(E2165*F2165,2)</f>
        <v>0</v>
      </c>
    </row>
    <row r="2166" spans="1:8" ht="18.95" customHeight="1" x14ac:dyDescent="0.2">
      <c r="A2166" s="156"/>
      <c r="B2166" s="142"/>
      <c r="C2166" s="142"/>
      <c r="D2166" s="150"/>
      <c r="E2166" s="143"/>
      <c r="F2166" s="356" t="s">
        <v>1049</v>
      </c>
      <c r="G2166" s="355">
        <f>SUBTOTAL(9,G2165:G2165)</f>
        <v>0</v>
      </c>
    </row>
    <row r="2167" spans="1:8" ht="18.95" customHeight="1" thickBot="1" x14ac:dyDescent="0.25">
      <c r="A2167" s="158"/>
      <c r="B2167" s="159"/>
      <c r="C2167" s="160"/>
      <c r="D2167" s="161"/>
      <c r="E2167" s="357"/>
      <c r="F2167" s="357"/>
      <c r="G2167" s="358"/>
    </row>
    <row r="2168" spans="1:8" ht="18.95" customHeight="1" x14ac:dyDescent="0.2">
      <c r="A2168" s="359">
        <f>B2107</f>
        <v>30</v>
      </c>
      <c r="B2168" s="360" t="str">
        <f>C2107</f>
        <v>RETIRO DE LÍNEA ELÉCTRICA Y POSTES DE ALUMBRADO PÚBLICO EXISTENTES</v>
      </c>
      <c r="C2168" s="361"/>
      <c r="D2168" s="361"/>
      <c r="E2168" s="361" t="s">
        <v>1050</v>
      </c>
      <c r="F2168" s="362" t="str">
        <f>CONCATENATE("$/",G2107)</f>
        <v>$/Gl</v>
      </c>
      <c r="G2168" s="363">
        <f>SUBTOTAL(9,G2127:G2167)</f>
        <v>0</v>
      </c>
    </row>
    <row r="2169" spans="1:8" ht="18.95" customHeight="1" thickBot="1" x14ac:dyDescent="0.25">
      <c r="A2169" s="364"/>
      <c r="B2169" s="365"/>
      <c r="C2169" s="365"/>
      <c r="D2169" s="365"/>
      <c r="E2169" s="366" t="s">
        <v>1051</v>
      </c>
      <c r="F2169" s="367" t="str">
        <f>CONCATENATE("$/",G2107)</f>
        <v>$/Gl</v>
      </c>
      <c r="G2169" s="368" t="e">
        <f ca="1">PrecioUnitario(G2168,GG_Porcentaje,Beneficio,Ingresos_Brutos,IVA)</f>
        <v>#NAME?</v>
      </c>
    </row>
    <row r="2170" spans="1:8" ht="18.95" customHeight="1" thickTop="1" thickBot="1" x14ac:dyDescent="0.25">
      <c r="F2170" s="294"/>
      <c r="G2170" s="294"/>
    </row>
    <row r="2171" spans="1:8" ht="18.95" customHeight="1" thickTop="1" x14ac:dyDescent="0.2">
      <c r="A2171" s="194" t="s">
        <v>33</v>
      </c>
      <c r="B2171" s="195"/>
      <c r="C2171" s="195"/>
      <c r="D2171" s="195"/>
      <c r="E2171" s="195"/>
      <c r="F2171" s="195"/>
      <c r="G2171" s="196"/>
      <c r="H2171" s="143">
        <f>COUNTIF($A$1:A2177,"ANALISIS DE PRECIOS")</f>
        <v>32</v>
      </c>
    </row>
    <row r="2172" spans="1:8" ht="18.95" customHeight="1" x14ac:dyDescent="0.2">
      <c r="A2172" s="144" t="s">
        <v>720</v>
      </c>
      <c r="B2172" s="145" t="str">
        <f>Comitente</f>
        <v>DIRECCIÓN PROVINCIAL DE VIALIDAD</v>
      </c>
      <c r="C2172" s="139"/>
      <c r="D2172" s="146"/>
      <c r="E2172" s="325"/>
      <c r="F2172" s="325"/>
      <c r="G2172" s="326"/>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PAVIMENTACION Y ENSANCHE DE RUTA PROVINCIAL N°7 AV. JOAQUIN UÑAC</v>
      </c>
      <c r="C2174" s="140"/>
      <c r="D2174" s="140"/>
      <c r="E2174" s="143"/>
      <c r="F2174" s="145" t="s">
        <v>34</v>
      </c>
      <c r="G2174" s="147">
        <f>Fecha_Base</f>
        <v>43444</v>
      </c>
      <c r="H2174" s="143"/>
    </row>
    <row r="2175" spans="1:8" ht="18.95" customHeight="1" x14ac:dyDescent="0.2">
      <c r="A2175" s="148" t="s">
        <v>719</v>
      </c>
      <c r="B2175" s="141" t="str">
        <f>Ubicación</f>
        <v>DEPARTAMENTO POCITO</v>
      </c>
      <c r="C2175" s="141"/>
      <c r="D2175" s="150"/>
      <c r="E2175" s="143"/>
      <c r="F2175" s="327"/>
      <c r="G2175" s="328"/>
      <c r="H2175" s="143"/>
    </row>
    <row r="2176" spans="1:8" ht="18.95" customHeight="1" x14ac:dyDescent="0.2">
      <c r="A2176" s="148" t="s">
        <v>35</v>
      </c>
      <c r="B2176" s="151" t="str">
        <f>IFERROR(VALUE(LEFT(B2177,FIND("-",B2177)-1)),"")</f>
        <v/>
      </c>
      <c r="C2176" s="142" t="str">
        <f>IFERROR(VLOOKUP(B2176,Tabla_CyP,2,FALSE),"")</f>
        <v/>
      </c>
      <c r="D2176" s="150"/>
      <c r="E2176" s="143"/>
      <c r="F2176" s="327"/>
      <c r="G2176" s="328"/>
      <c r="H2176" s="143"/>
    </row>
    <row r="2177" spans="1:8" ht="18.95" customHeight="1" x14ac:dyDescent="0.2">
      <c r="A2177" s="148" t="s">
        <v>24</v>
      </c>
      <c r="B2177" s="152">
        <f>IFERROR(VLOOKUP(COUNTIF($A$1:A2177,"ANALISIS DE PRECIOS"),Tabla_NumeroItem,4,FALSE),"")</f>
        <v>31</v>
      </c>
      <c r="C2177" s="745" t="str">
        <f>IFERROR(VLOOKUP(B2177,Tabla_CyP,2,FALSE),"")</f>
        <v>TRASLADO Y/O REUBICACIÓN  DE LÍNEAS ELÉCTRICAS</v>
      </c>
      <c r="D2177" s="745"/>
      <c r="E2177" s="745"/>
      <c r="F2177" s="141" t="s">
        <v>25</v>
      </c>
      <c r="G2177" s="153" t="str">
        <f>IFERROR(VLOOKUP(B2177,Tabla_CyP,4,FALSE),"")</f>
        <v>Gl</v>
      </c>
      <c r="H2177" s="143"/>
    </row>
    <row r="2178" spans="1:8" ht="18.95" customHeight="1" x14ac:dyDescent="0.2">
      <c r="A2178" s="148"/>
      <c r="B2178" s="141"/>
      <c r="C2178" s="142"/>
      <c r="D2178" s="150"/>
      <c r="E2178" s="142"/>
      <c r="F2178" s="142"/>
      <c r="G2178" s="329"/>
      <c r="H2178" s="143"/>
    </row>
    <row r="2179" spans="1:8" ht="18.95" customHeight="1" x14ac:dyDescent="0.2">
      <c r="A2179" s="330"/>
      <c r="B2179" s="331"/>
      <c r="C2179" s="332" t="s">
        <v>1032</v>
      </c>
      <c r="D2179" s="331"/>
      <c r="E2179" s="331"/>
      <c r="F2179" s="331"/>
      <c r="G2179" s="333"/>
      <c r="H2179" s="143"/>
    </row>
    <row r="2180" spans="1:8" ht="18.95" customHeight="1" x14ac:dyDescent="0.2">
      <c r="A2180" s="148"/>
      <c r="B2180" s="334"/>
      <c r="C2180" s="335" t="s">
        <v>1033</v>
      </c>
      <c r="D2180" s="336" t="s">
        <v>26</v>
      </c>
      <c r="E2180" s="336" t="s">
        <v>1034</v>
      </c>
      <c r="F2180" s="336" t="s">
        <v>1035</v>
      </c>
      <c r="G2180" s="337" t="s">
        <v>1036</v>
      </c>
      <c r="H2180" s="143"/>
    </row>
    <row r="2181" spans="1:8" ht="18.95" customHeight="1" x14ac:dyDescent="0.2">
      <c r="A2181" s="343"/>
      <c r="B2181" s="344"/>
      <c r="C2181" s="290"/>
      <c r="D2181" s="293"/>
      <c r="E2181" s="345"/>
      <c r="F2181" s="346"/>
      <c r="G2181" s="347">
        <f t="shared" ref="G2181:G2190" si="620">ROUND(D2181*F2181,2)</f>
        <v>0</v>
      </c>
    </row>
    <row r="2182" spans="1:8" ht="18.95" customHeight="1" x14ac:dyDescent="0.2">
      <c r="A2182" s="343"/>
      <c r="B2182" s="344"/>
      <c r="C2182" s="290"/>
      <c r="D2182" s="293"/>
      <c r="E2182" s="345"/>
      <c r="F2182" s="346"/>
      <c r="G2182" s="347">
        <f t="shared" si="620"/>
        <v>0</v>
      </c>
    </row>
    <row r="2183" spans="1:8" ht="18.95" customHeight="1" x14ac:dyDescent="0.2">
      <c r="A2183" s="343"/>
      <c r="B2183" s="344"/>
      <c r="C2183" s="290"/>
      <c r="D2183" s="293"/>
      <c r="E2183" s="345">
        <f t="shared" ref="E2183:E2190" si="621">IFERROR(VLOOKUP(C2183,T_Equipos,4,FALSE),0)</f>
        <v>0</v>
      </c>
      <c r="F2183" s="346">
        <f t="shared" ref="F2183:F2190" si="622">IFERROR(VLOOKUP(C2183,T_Equipos,11,FALSE),0)</f>
        <v>0</v>
      </c>
      <c r="G2183" s="347">
        <f t="shared" si="620"/>
        <v>0</v>
      </c>
    </row>
    <row r="2184" spans="1:8" ht="18.95" customHeight="1" x14ac:dyDescent="0.2">
      <c r="A2184" s="343"/>
      <c r="B2184" s="344"/>
      <c r="C2184" s="290"/>
      <c r="D2184" s="293"/>
      <c r="E2184" s="345">
        <f t="shared" si="621"/>
        <v>0</v>
      </c>
      <c r="F2184" s="346">
        <f t="shared" si="622"/>
        <v>0</v>
      </c>
      <c r="G2184" s="347">
        <f t="shared" si="620"/>
        <v>0</v>
      </c>
    </row>
    <row r="2185" spans="1:8" ht="18.95" customHeight="1" x14ac:dyDescent="0.2">
      <c r="A2185" s="343"/>
      <c r="B2185" s="344"/>
      <c r="C2185" s="290"/>
      <c r="D2185" s="293"/>
      <c r="E2185" s="345">
        <f t="shared" si="621"/>
        <v>0</v>
      </c>
      <c r="F2185" s="346">
        <f t="shared" si="622"/>
        <v>0</v>
      </c>
      <c r="G2185" s="347">
        <f t="shared" si="620"/>
        <v>0</v>
      </c>
    </row>
    <row r="2186" spans="1:8" ht="18.95" customHeight="1" x14ac:dyDescent="0.2">
      <c r="A2186" s="343"/>
      <c r="B2186" s="344"/>
      <c r="C2186" s="290"/>
      <c r="D2186" s="293"/>
      <c r="E2186" s="345">
        <f t="shared" si="621"/>
        <v>0</v>
      </c>
      <c r="F2186" s="346">
        <f t="shared" si="622"/>
        <v>0</v>
      </c>
      <c r="G2186" s="347">
        <f t="shared" si="620"/>
        <v>0</v>
      </c>
    </row>
    <row r="2187" spans="1:8" ht="18.95" customHeight="1" x14ac:dyDescent="0.2">
      <c r="A2187" s="343"/>
      <c r="B2187" s="344"/>
      <c r="C2187" s="290"/>
      <c r="D2187" s="293"/>
      <c r="E2187" s="345">
        <f t="shared" si="621"/>
        <v>0</v>
      </c>
      <c r="F2187" s="346">
        <f t="shared" si="622"/>
        <v>0</v>
      </c>
      <c r="G2187" s="347">
        <f t="shared" si="620"/>
        <v>0</v>
      </c>
    </row>
    <row r="2188" spans="1:8" ht="18.95" customHeight="1" x14ac:dyDescent="0.2">
      <c r="A2188" s="343"/>
      <c r="B2188" s="344"/>
      <c r="C2188" s="290"/>
      <c r="D2188" s="293"/>
      <c r="E2188" s="345">
        <f t="shared" si="621"/>
        <v>0</v>
      </c>
      <c r="F2188" s="346">
        <f t="shared" si="622"/>
        <v>0</v>
      </c>
      <c r="G2188" s="347">
        <f t="shared" si="620"/>
        <v>0</v>
      </c>
    </row>
    <row r="2189" spans="1:8" ht="18.95" customHeight="1" x14ac:dyDescent="0.2">
      <c r="A2189" s="343"/>
      <c r="B2189" s="344"/>
      <c r="C2189" s="290"/>
      <c r="D2189" s="293"/>
      <c r="E2189" s="345">
        <f t="shared" si="621"/>
        <v>0</v>
      </c>
      <c r="F2189" s="346">
        <f t="shared" si="622"/>
        <v>0</v>
      </c>
      <c r="G2189" s="347">
        <f t="shared" si="620"/>
        <v>0</v>
      </c>
    </row>
    <row r="2190" spans="1:8" ht="18.95" customHeight="1" thickBot="1" x14ac:dyDescent="0.25">
      <c r="A2190" s="343"/>
      <c r="B2190" s="344"/>
      <c r="C2190" s="290"/>
      <c r="D2190" s="293"/>
      <c r="E2190" s="345">
        <f t="shared" si="621"/>
        <v>0</v>
      </c>
      <c r="F2190" s="346">
        <f t="shared" si="622"/>
        <v>0</v>
      </c>
      <c r="G2190" s="347">
        <f t="shared" si="620"/>
        <v>0</v>
      </c>
    </row>
    <row r="2191" spans="1:8" ht="18.95" customHeight="1" thickBot="1" x14ac:dyDescent="0.25">
      <c r="A2191" s="148"/>
      <c r="B2191" s="334"/>
      <c r="C2191" s="143"/>
      <c r="D2191" s="146" t="s">
        <v>1037</v>
      </c>
      <c r="E2191" s="338">
        <f>SUMPRODUCT(D2181:D2190,E2181:E2190)</f>
        <v>0</v>
      </c>
      <c r="F2191" s="141" t="s">
        <v>1038</v>
      </c>
      <c r="G2191" s="339">
        <f>SUM(G2181:G2190)</f>
        <v>0</v>
      </c>
    </row>
    <row r="2192" spans="1:8" ht="18.95" customHeight="1" x14ac:dyDescent="0.2">
      <c r="A2192" s="148"/>
      <c r="B2192" s="334"/>
      <c r="C2192" s="141" t="s">
        <v>1039</v>
      </c>
      <c r="D2192" s="320"/>
      <c r="E2192" s="340" t="str">
        <f>CONCATENATE(G2177,"/día")</f>
        <v>Gl/día</v>
      </c>
      <c r="F2192" s="141"/>
      <c r="G2192" s="341"/>
    </row>
    <row r="2193" spans="1:7" ht="18.95" customHeight="1" x14ac:dyDescent="0.2">
      <c r="A2193" s="148"/>
      <c r="B2193" s="334"/>
      <c r="C2193" s="142"/>
      <c r="D2193" s="150"/>
      <c r="E2193" s="141"/>
      <c r="F2193" s="141"/>
      <c r="G2193" s="341"/>
    </row>
    <row r="2194" spans="1:7" ht="18.95" customHeight="1" x14ac:dyDescent="0.2">
      <c r="A2194" s="735" t="s">
        <v>582</v>
      </c>
      <c r="B2194" s="736"/>
      <c r="C2194" s="737" t="s">
        <v>0</v>
      </c>
      <c r="D2194" s="743" t="s">
        <v>1053</v>
      </c>
      <c r="E2194" s="743" t="s">
        <v>1706</v>
      </c>
      <c r="F2194" s="743" t="s">
        <v>1054</v>
      </c>
      <c r="G2194" s="743" t="s">
        <v>1055</v>
      </c>
    </row>
    <row r="2195" spans="1:7" ht="18.95" customHeight="1" x14ac:dyDescent="0.2">
      <c r="A2195" s="154" t="s">
        <v>583</v>
      </c>
      <c r="B2195" s="155" t="s">
        <v>584</v>
      </c>
      <c r="C2195" s="738"/>
      <c r="D2195" s="742"/>
      <c r="E2195" s="742"/>
      <c r="F2195" s="744"/>
      <c r="G2195" s="742"/>
    </row>
    <row r="2196" spans="1:7" ht="18.95" customHeight="1" x14ac:dyDescent="0.2">
      <c r="A2196" s="156"/>
      <c r="B2196" s="142"/>
      <c r="C2196" s="157" t="s">
        <v>1041</v>
      </c>
      <c r="D2196" s="150"/>
      <c r="E2196" s="142"/>
      <c r="F2196" s="142"/>
      <c r="G2196" s="342"/>
    </row>
    <row r="2197" spans="1:7" ht="18.95" customHeight="1" x14ac:dyDescent="0.2">
      <c r="A2197" s="348" t="str">
        <f t="shared" ref="A2197:A2204" si="623">IFERROR(VLOOKUP(C2197,Tabla_Insumos,4,FALSE),"")</f>
        <v/>
      </c>
      <c r="B2197" s="290" t="str">
        <f t="shared" ref="B2197:B2204" si="624">IFERROR(VLOOKUP(C2197,Tabla_Insumos,5,FALSE),"")</f>
        <v/>
      </c>
      <c r="C2197" s="290"/>
      <c r="D2197" s="607">
        <f t="shared" ref="D2197:D2204" si="625">IFERROR(VLOOKUP(C2197,Tabla_Insumos,3,FALSE),0)</f>
        <v>0</v>
      </c>
      <c r="E2197" s="349">
        <f>D2197*$G$21</f>
        <v>0</v>
      </c>
      <c r="F2197" s="350">
        <f>IF(C2197="",0,D2192)</f>
        <v>0</v>
      </c>
      <c r="G2197" s="347">
        <f>IFERROR(ROUND(E2197/F2197,2),0)</f>
        <v>0</v>
      </c>
    </row>
    <row r="2198" spans="1:7" ht="18.95" customHeight="1" x14ac:dyDescent="0.2">
      <c r="A2198" s="348" t="str">
        <f t="shared" si="623"/>
        <v/>
      </c>
      <c r="B2198" s="290" t="str">
        <f t="shared" si="624"/>
        <v/>
      </c>
      <c r="C2198" s="321"/>
      <c r="D2198" s="607">
        <f t="shared" si="625"/>
        <v>0</v>
      </c>
      <c r="E2198" s="349">
        <f t="shared" ref="E2198:E2199" si="626">D2198*$G$21</f>
        <v>0</v>
      </c>
      <c r="F2198" s="350">
        <f t="shared" ref="F2198:F2201" si="627">IF(C2198="",0,F2197)</f>
        <v>0</v>
      </c>
      <c r="G2198" s="347">
        <f t="shared" ref="G2198:G2204" si="628">IFERROR(ROUND(E2198/F2198,2),0)</f>
        <v>0</v>
      </c>
    </row>
    <row r="2199" spans="1:7" ht="18.95" customHeight="1" x14ac:dyDescent="0.2">
      <c r="A2199" s="348" t="str">
        <f t="shared" si="623"/>
        <v/>
      </c>
      <c r="B2199" s="290" t="str">
        <f t="shared" si="624"/>
        <v/>
      </c>
      <c r="C2199" s="321"/>
      <c r="D2199" s="607">
        <f t="shared" si="625"/>
        <v>0</v>
      </c>
      <c r="E2199" s="349">
        <f t="shared" si="626"/>
        <v>0</v>
      </c>
      <c r="F2199" s="350">
        <f t="shared" si="627"/>
        <v>0</v>
      </c>
      <c r="G2199" s="347">
        <f t="shared" si="628"/>
        <v>0</v>
      </c>
    </row>
    <row r="2200" spans="1:7" ht="18.95" customHeight="1" x14ac:dyDescent="0.2">
      <c r="A2200" s="348" t="str">
        <f t="shared" si="623"/>
        <v/>
      </c>
      <c r="B2200" s="290" t="str">
        <f t="shared" si="624"/>
        <v/>
      </c>
      <c r="C2200" s="321"/>
      <c r="D2200" s="607">
        <f t="shared" si="625"/>
        <v>0</v>
      </c>
      <c r="E2200" s="349">
        <f>D2200*$E$21</f>
        <v>0</v>
      </c>
      <c r="F2200" s="350">
        <f t="shared" si="627"/>
        <v>0</v>
      </c>
      <c r="G2200" s="347">
        <f t="shared" si="628"/>
        <v>0</v>
      </c>
    </row>
    <row r="2201" spans="1:7" ht="18.95" customHeight="1" x14ac:dyDescent="0.2">
      <c r="A2201" s="348" t="str">
        <f t="shared" si="623"/>
        <v/>
      </c>
      <c r="B2201" s="290" t="str">
        <f t="shared" si="624"/>
        <v/>
      </c>
      <c r="C2201" s="321"/>
      <c r="D2201" s="607">
        <f t="shared" si="625"/>
        <v>0</v>
      </c>
      <c r="E2201" s="349">
        <f>D2201*$E$21</f>
        <v>0</v>
      </c>
      <c r="F2201" s="350">
        <f t="shared" si="627"/>
        <v>0</v>
      </c>
      <c r="G2201" s="347">
        <f t="shared" si="628"/>
        <v>0</v>
      </c>
    </row>
    <row r="2202" spans="1:7" ht="18.95" customHeight="1" x14ac:dyDescent="0.2">
      <c r="A2202" s="348" t="str">
        <f t="shared" si="623"/>
        <v/>
      </c>
      <c r="B2202" s="290" t="str">
        <f t="shared" si="624"/>
        <v/>
      </c>
      <c r="C2202" s="321"/>
      <c r="D2202" s="607">
        <f t="shared" si="625"/>
        <v>0</v>
      </c>
      <c r="E2202" s="349"/>
      <c r="F2202" s="350">
        <f>IF(C2202="",0,F2201)</f>
        <v>0</v>
      </c>
      <c r="G2202" s="347">
        <f t="shared" si="628"/>
        <v>0</v>
      </c>
    </row>
    <row r="2203" spans="1:7" ht="18.95" customHeight="1" x14ac:dyDescent="0.2">
      <c r="A2203" s="348" t="str">
        <f t="shared" si="623"/>
        <v/>
      </c>
      <c r="B2203" s="290" t="str">
        <f t="shared" si="624"/>
        <v/>
      </c>
      <c r="C2203" s="321"/>
      <c r="D2203" s="607">
        <f t="shared" si="625"/>
        <v>0</v>
      </c>
      <c r="E2203" s="349"/>
      <c r="F2203" s="350">
        <f t="shared" ref="F2203:F2204" si="629">IF(C2203="",0,F2202)</f>
        <v>0</v>
      </c>
      <c r="G2203" s="347">
        <f t="shared" si="628"/>
        <v>0</v>
      </c>
    </row>
    <row r="2204" spans="1:7" ht="18.95" customHeight="1" x14ac:dyDescent="0.2">
      <c r="A2204" s="348" t="str">
        <f t="shared" si="623"/>
        <v/>
      </c>
      <c r="B2204" s="290" t="str">
        <f t="shared" si="624"/>
        <v/>
      </c>
      <c r="C2204" s="321"/>
      <c r="D2204" s="607">
        <f t="shared" si="625"/>
        <v>0</v>
      </c>
      <c r="E2204" s="349"/>
      <c r="F2204" s="350">
        <f t="shared" si="629"/>
        <v>0</v>
      </c>
      <c r="G2204" s="347">
        <f t="shared" si="628"/>
        <v>0</v>
      </c>
    </row>
    <row r="2205" spans="1:7" ht="18.95" customHeight="1" x14ac:dyDescent="0.2">
      <c r="A2205" s="353"/>
      <c r="B2205" s="149"/>
      <c r="C2205" s="142"/>
      <c r="D2205" s="150"/>
      <c r="E2205" s="143"/>
      <c r="F2205" s="354" t="s">
        <v>29</v>
      </c>
      <c r="G2205" s="355">
        <f>SUBTOTAL(9,G2197:G2204)</f>
        <v>0</v>
      </c>
    </row>
    <row r="2206" spans="1:7" ht="18.95" customHeight="1" x14ac:dyDescent="0.2">
      <c r="A2206" s="156"/>
      <c r="B2206" s="142"/>
      <c r="C2206" s="157" t="s">
        <v>722</v>
      </c>
      <c r="D2206" s="150"/>
      <c r="E2206" s="327"/>
      <c r="F2206" s="327"/>
      <c r="G2206" s="342"/>
    </row>
    <row r="2207" spans="1:7" ht="18.95" customHeight="1" x14ac:dyDescent="0.2">
      <c r="A2207" s="735" t="s">
        <v>582</v>
      </c>
      <c r="B2207" s="736"/>
      <c r="C2207" s="737" t="s">
        <v>0</v>
      </c>
      <c r="D2207" s="739" t="s">
        <v>26</v>
      </c>
      <c r="E2207" s="743" t="s">
        <v>1707</v>
      </c>
      <c r="F2207" s="741" t="s">
        <v>1040</v>
      </c>
      <c r="G2207" s="733" t="s">
        <v>28</v>
      </c>
    </row>
    <row r="2208" spans="1:7" ht="18.95" customHeight="1" x14ac:dyDescent="0.2">
      <c r="A2208" s="154" t="s">
        <v>583</v>
      </c>
      <c r="B2208" s="155" t="s">
        <v>584</v>
      </c>
      <c r="C2208" s="738"/>
      <c r="D2208" s="740"/>
      <c r="E2208" s="742"/>
      <c r="F2208" s="742"/>
      <c r="G2208" s="734"/>
    </row>
    <row r="2209" spans="1:7" ht="18.95" customHeight="1" x14ac:dyDescent="0.2">
      <c r="A2209" s="348" t="str">
        <f t="shared" ref="A2209:A2214" si="630">IFERROR(VLOOKUP(C2209,Tabla_Insumos,4,FALSE),"")</f>
        <v/>
      </c>
      <c r="B2209" s="290" t="str">
        <f t="shared" ref="B2209:B2214" si="631">IFERROR(VLOOKUP(C2209,Tabla_Insumos,5,FALSE),"")</f>
        <v/>
      </c>
      <c r="C2209" s="291"/>
      <c r="D2209" s="293"/>
      <c r="E2209" s="346">
        <f t="shared" ref="E2209:E2214" si="632">IFERROR(VLOOKUP(C2209,Tabla_Insumos,3,FALSE),0)</f>
        <v>0</v>
      </c>
      <c r="F2209" s="349">
        <f>IF(C2209="",0,D2192)</f>
        <v>0</v>
      </c>
      <c r="G2209" s="347">
        <f t="shared" ref="G2209:G2214" si="633">IFERROR(ROUND(D2209*E2209/F2209,2),0)</f>
        <v>0</v>
      </c>
    </row>
    <row r="2210" spans="1:7" ht="18.95" customHeight="1" x14ac:dyDescent="0.2">
      <c r="A2210" s="348" t="str">
        <f t="shared" si="630"/>
        <v/>
      </c>
      <c r="B2210" s="290" t="str">
        <f t="shared" si="631"/>
        <v/>
      </c>
      <c r="C2210" s="290"/>
      <c r="D2210" s="293"/>
      <c r="E2210" s="346">
        <f t="shared" si="632"/>
        <v>0</v>
      </c>
      <c r="F2210" s="349">
        <f>IF(C2210="",0,F2209)</f>
        <v>0</v>
      </c>
      <c r="G2210" s="347">
        <f t="shared" si="633"/>
        <v>0</v>
      </c>
    </row>
    <row r="2211" spans="1:7" ht="18.95" customHeight="1" x14ac:dyDescent="0.2">
      <c r="A2211" s="348" t="str">
        <f t="shared" si="630"/>
        <v/>
      </c>
      <c r="B2211" s="290" t="str">
        <f t="shared" si="631"/>
        <v/>
      </c>
      <c r="C2211" s="290"/>
      <c r="D2211" s="293"/>
      <c r="E2211" s="346">
        <f t="shared" si="632"/>
        <v>0</v>
      </c>
      <c r="F2211" s="349">
        <f>IF(C2211="",0,F2210)</f>
        <v>0</v>
      </c>
      <c r="G2211" s="347">
        <f t="shared" si="633"/>
        <v>0</v>
      </c>
    </row>
    <row r="2212" spans="1:7" ht="18.95" customHeight="1" x14ac:dyDescent="0.2">
      <c r="A2212" s="348" t="str">
        <f t="shared" si="630"/>
        <v/>
      </c>
      <c r="B2212" s="290" t="str">
        <f t="shared" si="631"/>
        <v/>
      </c>
      <c r="C2212" s="290"/>
      <c r="D2212" s="293"/>
      <c r="E2212" s="346">
        <f t="shared" si="632"/>
        <v>0</v>
      </c>
      <c r="F2212" s="349">
        <f>IF(C2212="",0,F2211)</f>
        <v>0</v>
      </c>
      <c r="G2212" s="347">
        <f t="shared" si="633"/>
        <v>0</v>
      </c>
    </row>
    <row r="2213" spans="1:7" ht="18.95" customHeight="1" x14ac:dyDescent="0.2">
      <c r="A2213" s="348" t="str">
        <f t="shared" si="630"/>
        <v/>
      </c>
      <c r="B2213" s="290" t="str">
        <f t="shared" si="631"/>
        <v/>
      </c>
      <c r="C2213" s="290"/>
      <c r="D2213" s="351"/>
      <c r="E2213" s="346">
        <f t="shared" si="632"/>
        <v>0</v>
      </c>
      <c r="F2213" s="349">
        <f>IF(C2213="",0,F2212)</f>
        <v>0</v>
      </c>
      <c r="G2213" s="347">
        <f t="shared" si="633"/>
        <v>0</v>
      </c>
    </row>
    <row r="2214" spans="1:7" ht="18.95" customHeight="1" x14ac:dyDescent="0.2">
      <c r="A2214" s="348" t="str">
        <f t="shared" si="630"/>
        <v/>
      </c>
      <c r="B2214" s="290" t="str">
        <f t="shared" si="631"/>
        <v/>
      </c>
      <c r="C2214" s="290"/>
      <c r="D2214" s="293"/>
      <c r="E2214" s="346">
        <f t="shared" si="632"/>
        <v>0</v>
      </c>
      <c r="F2214" s="349">
        <f>IF(C2214="",0,F2213)</f>
        <v>0</v>
      </c>
      <c r="G2214" s="347">
        <f t="shared" si="633"/>
        <v>0</v>
      </c>
    </row>
    <row r="2215" spans="1:7" ht="18.95" customHeight="1" x14ac:dyDescent="0.2">
      <c r="A2215" s="353"/>
      <c r="B2215" s="149"/>
      <c r="C2215" s="142"/>
      <c r="D2215" s="150"/>
      <c r="E2215" s="143"/>
      <c r="F2215" s="356" t="s">
        <v>30</v>
      </c>
      <c r="G2215" s="355">
        <f>SUBTOTAL(9,G2209:G2214)</f>
        <v>0</v>
      </c>
    </row>
    <row r="2216" spans="1:7" ht="18.95" customHeight="1" x14ac:dyDescent="0.2">
      <c r="A2216" s="156"/>
      <c r="B2216" s="142"/>
      <c r="C2216" s="157" t="s">
        <v>1047</v>
      </c>
      <c r="D2216" s="150"/>
      <c r="E2216" s="327"/>
      <c r="F2216" s="327"/>
      <c r="G2216" s="342"/>
    </row>
    <row r="2217" spans="1:7" ht="18.95" customHeight="1" x14ac:dyDescent="0.2">
      <c r="A2217" s="735" t="s">
        <v>582</v>
      </c>
      <c r="B2217" s="736"/>
      <c r="C2217" s="737" t="s">
        <v>0</v>
      </c>
      <c r="D2217" s="737" t="s">
        <v>1655</v>
      </c>
      <c r="E2217" s="737" t="s">
        <v>26</v>
      </c>
      <c r="F2217" s="737" t="s">
        <v>27</v>
      </c>
      <c r="G2217" s="733" t="s">
        <v>28</v>
      </c>
    </row>
    <row r="2218" spans="1:7" ht="18.95" customHeight="1" x14ac:dyDescent="0.2">
      <c r="A2218" s="154" t="s">
        <v>583</v>
      </c>
      <c r="B2218" s="155" t="s">
        <v>584</v>
      </c>
      <c r="C2218" s="738"/>
      <c r="D2218" s="738"/>
      <c r="E2218" s="738"/>
      <c r="F2218" s="738"/>
      <c r="G2218" s="734"/>
    </row>
    <row r="2219" spans="1:7" ht="18.95" customHeight="1" x14ac:dyDescent="0.2">
      <c r="A2219" s="348" t="str">
        <f t="shared" ref="A2219:A2230" si="634">IFERROR(VLOOKUP(C2219,Tabla_Insumos,4,FALSE),"")</f>
        <v/>
      </c>
      <c r="B2219" s="290" t="str">
        <f t="shared" ref="B2219:B2230" si="635">IFERROR(VLOOKUP(C2219,Tabla_Insumos,5,FALSE),"")</f>
        <v/>
      </c>
      <c r="C2219" s="290"/>
      <c r="D2219" s="608">
        <f t="shared" ref="D2219:D2230" si="636">IFERROR(VLOOKUP(C2219,Tabla_Insumos,2,FALSE),0)</f>
        <v>0</v>
      </c>
      <c r="E2219" s="293"/>
      <c r="F2219" s="346">
        <f t="shared" ref="F2219:F2230" si="637">IFERROR(VLOOKUP(C2219,Tabla_Insumos,3,FALSE),0)</f>
        <v>0</v>
      </c>
      <c r="G2219" s="347">
        <f t="shared" ref="G2219:G2230" si="638">ROUND(E2219*F2219,2)</f>
        <v>0</v>
      </c>
    </row>
    <row r="2220" spans="1:7" ht="18.95" customHeight="1" x14ac:dyDescent="0.2">
      <c r="A2220" s="348" t="str">
        <f t="shared" si="634"/>
        <v/>
      </c>
      <c r="B2220" s="290" t="str">
        <f t="shared" si="635"/>
        <v/>
      </c>
      <c r="C2220" s="126"/>
      <c r="D2220" s="608">
        <f t="shared" si="636"/>
        <v>0</v>
      </c>
      <c r="E2220" s="293"/>
      <c r="F2220" s="346">
        <f t="shared" si="637"/>
        <v>0</v>
      </c>
      <c r="G2220" s="347">
        <f t="shared" si="638"/>
        <v>0</v>
      </c>
    </row>
    <row r="2221" spans="1:7" ht="18.95" customHeight="1" x14ac:dyDescent="0.2">
      <c r="A2221" s="348" t="str">
        <f t="shared" si="634"/>
        <v/>
      </c>
      <c r="B2221" s="290" t="str">
        <f t="shared" si="635"/>
        <v/>
      </c>
      <c r="C2221" s="290"/>
      <c r="D2221" s="608">
        <f t="shared" si="636"/>
        <v>0</v>
      </c>
      <c r="E2221" s="293"/>
      <c r="F2221" s="346">
        <f t="shared" si="637"/>
        <v>0</v>
      </c>
      <c r="G2221" s="347">
        <f t="shared" si="638"/>
        <v>0</v>
      </c>
    </row>
    <row r="2222" spans="1:7" ht="18.95" customHeight="1" x14ac:dyDescent="0.2">
      <c r="A2222" s="348" t="str">
        <f t="shared" si="634"/>
        <v/>
      </c>
      <c r="B2222" s="290" t="str">
        <f t="shared" si="635"/>
        <v/>
      </c>
      <c r="C2222" s="290"/>
      <c r="D2222" s="608">
        <f t="shared" si="636"/>
        <v>0</v>
      </c>
      <c r="E2222" s="293"/>
      <c r="F2222" s="346">
        <f t="shared" si="637"/>
        <v>0</v>
      </c>
      <c r="G2222" s="347">
        <f t="shared" si="638"/>
        <v>0</v>
      </c>
    </row>
    <row r="2223" spans="1:7" ht="18.95" customHeight="1" x14ac:dyDescent="0.2">
      <c r="A2223" s="348" t="str">
        <f t="shared" si="634"/>
        <v/>
      </c>
      <c r="B2223" s="290" t="str">
        <f t="shared" si="635"/>
        <v/>
      </c>
      <c r="C2223" s="290"/>
      <c r="D2223" s="608">
        <f t="shared" si="636"/>
        <v>0</v>
      </c>
      <c r="E2223" s="293"/>
      <c r="F2223" s="346">
        <f t="shared" si="637"/>
        <v>0</v>
      </c>
      <c r="G2223" s="347">
        <f t="shared" si="638"/>
        <v>0</v>
      </c>
    </row>
    <row r="2224" spans="1:7" ht="18.95" customHeight="1" x14ac:dyDescent="0.2">
      <c r="A2224" s="348" t="str">
        <f t="shared" si="634"/>
        <v/>
      </c>
      <c r="B2224" s="290" t="str">
        <f t="shared" si="635"/>
        <v/>
      </c>
      <c r="C2224" s="290"/>
      <c r="D2224" s="608">
        <f t="shared" si="636"/>
        <v>0</v>
      </c>
      <c r="E2224" s="293"/>
      <c r="F2224" s="346">
        <f t="shared" si="637"/>
        <v>0</v>
      </c>
      <c r="G2224" s="347">
        <f t="shared" si="638"/>
        <v>0</v>
      </c>
    </row>
    <row r="2225" spans="1:7" ht="18.95" customHeight="1" x14ac:dyDescent="0.2">
      <c r="A2225" s="348" t="str">
        <f t="shared" si="634"/>
        <v/>
      </c>
      <c r="B2225" s="290" t="str">
        <f t="shared" si="635"/>
        <v/>
      </c>
      <c r="C2225" s="290"/>
      <c r="D2225" s="608">
        <f t="shared" si="636"/>
        <v>0</v>
      </c>
      <c r="E2225" s="293"/>
      <c r="F2225" s="346">
        <f t="shared" si="637"/>
        <v>0</v>
      </c>
      <c r="G2225" s="347">
        <f t="shared" si="638"/>
        <v>0</v>
      </c>
    </row>
    <row r="2226" spans="1:7" s="295" customFormat="1" ht="18.95" customHeight="1" x14ac:dyDescent="0.2">
      <c r="A2226" s="348" t="str">
        <f t="shared" si="634"/>
        <v/>
      </c>
      <c r="B2226" s="290" t="str">
        <f t="shared" si="635"/>
        <v/>
      </c>
      <c r="C2226" s="290"/>
      <c r="D2226" s="608">
        <f t="shared" si="636"/>
        <v>0</v>
      </c>
      <c r="E2226" s="323"/>
      <c r="F2226" s="346">
        <f t="shared" si="637"/>
        <v>0</v>
      </c>
      <c r="G2226" s="347">
        <f t="shared" si="638"/>
        <v>0</v>
      </c>
    </row>
    <row r="2227" spans="1:7" ht="18.95" customHeight="1" x14ac:dyDescent="0.2">
      <c r="A2227" s="348" t="str">
        <f t="shared" si="634"/>
        <v/>
      </c>
      <c r="B2227" s="290" t="str">
        <f t="shared" si="635"/>
        <v/>
      </c>
      <c r="C2227" s="290"/>
      <c r="D2227" s="608">
        <f t="shared" si="636"/>
        <v>0</v>
      </c>
      <c r="E2227" s="293"/>
      <c r="F2227" s="346">
        <f t="shared" si="637"/>
        <v>0</v>
      </c>
      <c r="G2227" s="347">
        <f t="shared" si="638"/>
        <v>0</v>
      </c>
    </row>
    <row r="2228" spans="1:7" ht="18.95" customHeight="1" x14ac:dyDescent="0.2">
      <c r="A2228" s="348" t="str">
        <f t="shared" si="634"/>
        <v/>
      </c>
      <c r="B2228" s="290" t="str">
        <f t="shared" si="635"/>
        <v/>
      </c>
      <c r="C2228" s="290"/>
      <c r="D2228" s="608">
        <f t="shared" si="636"/>
        <v>0</v>
      </c>
      <c r="E2228" s="293"/>
      <c r="F2228" s="346">
        <f t="shared" si="637"/>
        <v>0</v>
      </c>
      <c r="G2228" s="347">
        <f t="shared" si="638"/>
        <v>0</v>
      </c>
    </row>
    <row r="2229" spans="1:7" ht="18.95" customHeight="1" x14ac:dyDescent="0.2">
      <c r="A2229" s="348" t="str">
        <f t="shared" si="634"/>
        <v/>
      </c>
      <c r="B2229" s="290" t="str">
        <f t="shared" si="635"/>
        <v/>
      </c>
      <c r="C2229" s="290"/>
      <c r="D2229" s="608">
        <f t="shared" si="636"/>
        <v>0</v>
      </c>
      <c r="E2229" s="293"/>
      <c r="F2229" s="346">
        <f t="shared" si="637"/>
        <v>0</v>
      </c>
      <c r="G2229" s="347">
        <f t="shared" si="638"/>
        <v>0</v>
      </c>
    </row>
    <row r="2230" spans="1:7" ht="18.95" customHeight="1" x14ac:dyDescent="0.2">
      <c r="A2230" s="348" t="str">
        <f t="shared" si="634"/>
        <v/>
      </c>
      <c r="B2230" s="290" t="str">
        <f t="shared" si="635"/>
        <v/>
      </c>
      <c r="C2230" s="290"/>
      <c r="D2230" s="608">
        <f t="shared" si="636"/>
        <v>0</v>
      </c>
      <c r="E2230" s="293"/>
      <c r="F2230" s="346">
        <f t="shared" si="637"/>
        <v>0</v>
      </c>
      <c r="G2230" s="347">
        <f t="shared" si="638"/>
        <v>0</v>
      </c>
    </row>
    <row r="2231" spans="1:7" ht="18.95" customHeight="1" x14ac:dyDescent="0.2">
      <c r="A2231" s="156"/>
      <c r="B2231" s="142"/>
      <c r="C2231" s="142"/>
      <c r="D2231" s="150"/>
      <c r="E2231" s="143"/>
      <c r="F2231" s="356" t="s">
        <v>31</v>
      </c>
      <c r="G2231" s="355">
        <f>SUBTOTAL(9,G2219:G2230)</f>
        <v>0</v>
      </c>
    </row>
    <row r="2232" spans="1:7" ht="18.95" customHeight="1" x14ac:dyDescent="0.2">
      <c r="A2232" s="156"/>
      <c r="B2232" s="142"/>
      <c r="C2232" s="157" t="s">
        <v>1048</v>
      </c>
      <c r="D2232" s="150"/>
      <c r="E2232" s="327"/>
      <c r="F2232" s="327"/>
      <c r="G2232" s="342"/>
    </row>
    <row r="2233" spans="1:7" ht="18.95" customHeight="1" x14ac:dyDescent="0.2">
      <c r="A2233" s="735" t="s">
        <v>582</v>
      </c>
      <c r="B2233" s="736"/>
      <c r="C2233" s="737" t="s">
        <v>0</v>
      </c>
      <c r="D2233" s="739" t="s">
        <v>1750</v>
      </c>
      <c r="E2233" s="741" t="s">
        <v>26</v>
      </c>
      <c r="F2233" s="741" t="s">
        <v>27</v>
      </c>
      <c r="G2233" s="733" t="s">
        <v>28</v>
      </c>
    </row>
    <row r="2234" spans="1:7" ht="18.95" customHeight="1" x14ac:dyDescent="0.2">
      <c r="A2234" s="154" t="s">
        <v>583</v>
      </c>
      <c r="B2234" s="155" t="s">
        <v>584</v>
      </c>
      <c r="C2234" s="738"/>
      <c r="D2234" s="740"/>
      <c r="E2234" s="742"/>
      <c r="F2234" s="742"/>
      <c r="G2234" s="734"/>
    </row>
    <row r="2235" spans="1:7" ht="18.95" customHeight="1" x14ac:dyDescent="0.2">
      <c r="A2235" s="348" t="str">
        <f>IFERROR(VLOOKUP(C2235,Tabla_Insumos,4,FALSE),"")</f>
        <v/>
      </c>
      <c r="B2235" s="290" t="s">
        <v>4</v>
      </c>
      <c r="C2235" s="290"/>
      <c r="D2235" s="293"/>
      <c r="E2235" s="322"/>
      <c r="F2235" s="324"/>
      <c r="G2235" s="347">
        <f t="shared" ref="G2235" si="639">ROUND(E2235*F2235,2)</f>
        <v>0</v>
      </c>
    </row>
    <row r="2236" spans="1:7" ht="18.95" customHeight="1" x14ac:dyDescent="0.2">
      <c r="A2236" s="156"/>
      <c r="B2236" s="142"/>
      <c r="C2236" s="142"/>
      <c r="D2236" s="150"/>
      <c r="E2236" s="143"/>
      <c r="F2236" s="356" t="s">
        <v>1049</v>
      </c>
      <c r="G2236" s="355">
        <f>SUBTOTAL(9,G2235:G2235)</f>
        <v>0</v>
      </c>
    </row>
    <row r="2237" spans="1:7" ht="18.95" customHeight="1" thickBot="1" x14ac:dyDescent="0.25">
      <c r="A2237" s="158"/>
      <c r="B2237" s="159"/>
      <c r="C2237" s="160"/>
      <c r="D2237" s="161"/>
      <c r="E2237" s="357"/>
      <c r="F2237" s="357"/>
      <c r="G2237" s="358"/>
    </row>
    <row r="2238" spans="1:7" ht="18.95" customHeight="1" x14ac:dyDescent="0.2">
      <c r="A2238" s="359">
        <f>B2177</f>
        <v>31</v>
      </c>
      <c r="B2238" s="360" t="str">
        <f>C2177</f>
        <v>TRASLADO Y/O REUBICACIÓN  DE LÍNEAS ELÉCTRICAS</v>
      </c>
      <c r="C2238" s="361"/>
      <c r="D2238" s="361"/>
      <c r="E2238" s="361" t="s">
        <v>1050</v>
      </c>
      <c r="F2238" s="362" t="str">
        <f>CONCATENATE("$/",G2177)</f>
        <v>$/Gl</v>
      </c>
      <c r="G2238" s="363">
        <f>SUBTOTAL(9,G2197:G2237)</f>
        <v>0</v>
      </c>
    </row>
    <row r="2239" spans="1:7" ht="18.95" customHeight="1" thickBot="1" x14ac:dyDescent="0.25">
      <c r="A2239" s="364"/>
      <c r="B2239" s="365"/>
      <c r="C2239" s="365"/>
      <c r="D2239" s="365"/>
      <c r="E2239" s="366" t="s">
        <v>1051</v>
      </c>
      <c r="F2239" s="367" t="str">
        <f>CONCATENATE("$/",G2177)</f>
        <v>$/Gl</v>
      </c>
      <c r="G2239" s="368" t="e">
        <f ca="1">PrecioUnitario(G2238,GG_Porcentaje,Beneficio,Ingresos_Brutos,IVA)</f>
        <v>#NAME?</v>
      </c>
    </row>
    <row r="2240" spans="1:7" ht="18.95" customHeight="1" thickTop="1" thickBot="1" x14ac:dyDescent="0.25">
      <c r="F2240" s="294"/>
      <c r="G2240" s="294"/>
    </row>
    <row r="2241" spans="1:8" ht="18.95" customHeight="1" thickTop="1" x14ac:dyDescent="0.2">
      <c r="A2241" s="194" t="s">
        <v>33</v>
      </c>
      <c r="B2241" s="195"/>
      <c r="C2241" s="195"/>
      <c r="D2241" s="195"/>
      <c r="E2241" s="195"/>
      <c r="F2241" s="195"/>
      <c r="G2241" s="196"/>
      <c r="H2241" s="143">
        <f>COUNTIF($A$1:A2247,"ANALISIS DE PRECIOS")</f>
        <v>33</v>
      </c>
    </row>
    <row r="2242" spans="1:8" ht="18.95" customHeight="1" x14ac:dyDescent="0.2">
      <c r="A2242" s="144" t="s">
        <v>720</v>
      </c>
      <c r="B2242" s="145" t="str">
        <f>Comitente</f>
        <v>DIRECCIÓN PROVINCIAL DE VIALIDAD</v>
      </c>
      <c r="C2242" s="139"/>
      <c r="D2242" s="146"/>
      <c r="E2242" s="325"/>
      <c r="F2242" s="325"/>
      <c r="G2242" s="326"/>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PAVIMENTACION Y ENSANCHE DE RUTA PROVINCIAL N°7 AV. JOAQUIN UÑAC</v>
      </c>
      <c r="C2244" s="140"/>
      <c r="D2244" s="140"/>
      <c r="E2244" s="143"/>
      <c r="F2244" s="145" t="s">
        <v>34</v>
      </c>
      <c r="G2244" s="147">
        <f>Fecha_Base</f>
        <v>43444</v>
      </c>
      <c r="H2244" s="143"/>
    </row>
    <row r="2245" spans="1:8" ht="18.95" customHeight="1" x14ac:dyDescent="0.2">
      <c r="A2245" s="148" t="s">
        <v>719</v>
      </c>
      <c r="B2245" s="141" t="str">
        <f>Ubicación</f>
        <v>DEPARTAMENTO POCITO</v>
      </c>
      <c r="C2245" s="141"/>
      <c r="D2245" s="150"/>
      <c r="E2245" s="143"/>
      <c r="F2245" s="327"/>
      <c r="G2245" s="328"/>
      <c r="H2245" s="143"/>
    </row>
    <row r="2246" spans="1:8" ht="18.95" customHeight="1" x14ac:dyDescent="0.2">
      <c r="A2246" s="148" t="s">
        <v>35</v>
      </c>
      <c r="B2246" s="151" t="str">
        <f>IFERROR(VALUE(LEFT(B2247,FIND("-",B2247)-1)),"")</f>
        <v/>
      </c>
      <c r="C2246" s="142" t="str">
        <f>IFERROR(VLOOKUP(B2246,Tabla_CyP,2,FALSE),"")</f>
        <v/>
      </c>
      <c r="D2246" s="150"/>
      <c r="E2246" s="143"/>
      <c r="F2246" s="327"/>
      <c r="G2246" s="328"/>
      <c r="H2246" s="143"/>
    </row>
    <row r="2247" spans="1:8" ht="18.95" customHeight="1" x14ac:dyDescent="0.2">
      <c r="A2247" s="148" t="s">
        <v>24</v>
      </c>
      <c r="B2247" s="152">
        <f>IFERROR(VLOOKUP(COUNTIF($A$1:A2247,"ANALISIS DE PRECIOS"),Tabla_NumeroItem,4,FALSE),"")</f>
        <v>32</v>
      </c>
      <c r="C2247" s="745" t="str">
        <f>IFERROR(VLOOKUP(B2247,Tabla_CyP,2,FALSE),"")</f>
        <v>PROYECTO Y CONSTRUCCIÓN DE CANAL IMPERMEABILIZADO DE HORMIGÓN</v>
      </c>
      <c r="D2247" s="745"/>
      <c r="E2247" s="745"/>
      <c r="F2247" s="141" t="s">
        <v>25</v>
      </c>
      <c r="G2247" s="153" t="str">
        <f>IFERROR(VLOOKUP(B2247,Tabla_CyP,4,FALSE),"")</f>
        <v>Gl</v>
      </c>
      <c r="H2247" s="143"/>
    </row>
    <row r="2248" spans="1:8" ht="18.95" customHeight="1" x14ac:dyDescent="0.2">
      <c r="A2248" s="148"/>
      <c r="B2248" s="141"/>
      <c r="C2248" s="142"/>
      <c r="D2248" s="150"/>
      <c r="E2248" s="142"/>
      <c r="F2248" s="142"/>
      <c r="G2248" s="329"/>
      <c r="H2248" s="143"/>
    </row>
    <row r="2249" spans="1:8" ht="18.95" customHeight="1" x14ac:dyDescent="0.2">
      <c r="A2249" s="330"/>
      <c r="B2249" s="331"/>
      <c r="C2249" s="332" t="s">
        <v>1032</v>
      </c>
      <c r="D2249" s="331"/>
      <c r="E2249" s="331"/>
      <c r="F2249" s="331"/>
      <c r="G2249" s="333"/>
      <c r="H2249" s="143"/>
    </row>
    <row r="2250" spans="1:8" ht="18.95" customHeight="1" x14ac:dyDescent="0.2">
      <c r="A2250" s="148"/>
      <c r="B2250" s="334"/>
      <c r="C2250" s="335" t="s">
        <v>1033</v>
      </c>
      <c r="D2250" s="336" t="s">
        <v>26</v>
      </c>
      <c r="E2250" s="336" t="s">
        <v>1034</v>
      </c>
      <c r="F2250" s="336" t="s">
        <v>1035</v>
      </c>
      <c r="G2250" s="337" t="s">
        <v>1036</v>
      </c>
      <c r="H2250" s="143"/>
    </row>
    <row r="2251" spans="1:8" ht="18.95" customHeight="1" x14ac:dyDescent="0.2">
      <c r="A2251" s="343"/>
      <c r="B2251" s="344"/>
      <c r="C2251" s="290"/>
      <c r="D2251" s="293"/>
      <c r="E2251" s="345"/>
      <c r="F2251" s="346"/>
      <c r="G2251" s="347">
        <f t="shared" ref="G2251:G2260" si="640">ROUND(D2251*F2251,2)</f>
        <v>0</v>
      </c>
    </row>
    <row r="2252" spans="1:8" ht="18.95" customHeight="1" x14ac:dyDescent="0.2">
      <c r="A2252" s="343"/>
      <c r="B2252" s="344"/>
      <c r="C2252" s="290"/>
      <c r="D2252" s="293"/>
      <c r="E2252" s="345"/>
      <c r="F2252" s="346"/>
      <c r="G2252" s="347">
        <f t="shared" si="640"/>
        <v>0</v>
      </c>
    </row>
    <row r="2253" spans="1:8" ht="18.95" customHeight="1" x14ac:dyDescent="0.2">
      <c r="A2253" s="343"/>
      <c r="B2253" s="344"/>
      <c r="C2253" s="290"/>
      <c r="D2253" s="293"/>
      <c r="E2253" s="345">
        <f t="shared" ref="E2253:E2260" si="641">IFERROR(VLOOKUP(C2253,T_Equipos,4,FALSE),0)</f>
        <v>0</v>
      </c>
      <c r="F2253" s="346">
        <f t="shared" ref="F2253:F2260" si="642">IFERROR(VLOOKUP(C2253,T_Equipos,11,FALSE),0)</f>
        <v>0</v>
      </c>
      <c r="G2253" s="347">
        <f t="shared" si="640"/>
        <v>0</v>
      </c>
    </row>
    <row r="2254" spans="1:8" ht="18.95" customHeight="1" x14ac:dyDescent="0.2">
      <c r="A2254" s="343"/>
      <c r="B2254" s="344"/>
      <c r="C2254" s="290"/>
      <c r="D2254" s="293"/>
      <c r="E2254" s="345">
        <f t="shared" si="641"/>
        <v>0</v>
      </c>
      <c r="F2254" s="346">
        <f t="shared" si="642"/>
        <v>0</v>
      </c>
      <c r="G2254" s="347">
        <f t="shared" si="640"/>
        <v>0</v>
      </c>
    </row>
    <row r="2255" spans="1:8" ht="18.95" customHeight="1" x14ac:dyDescent="0.2">
      <c r="A2255" s="343"/>
      <c r="B2255" s="344"/>
      <c r="C2255" s="290"/>
      <c r="D2255" s="293"/>
      <c r="E2255" s="345">
        <f t="shared" si="641"/>
        <v>0</v>
      </c>
      <c r="F2255" s="346">
        <f t="shared" si="642"/>
        <v>0</v>
      </c>
      <c r="G2255" s="347">
        <f t="shared" si="640"/>
        <v>0</v>
      </c>
    </row>
    <row r="2256" spans="1:8" ht="18.95" customHeight="1" x14ac:dyDescent="0.2">
      <c r="A2256" s="343"/>
      <c r="B2256" s="344"/>
      <c r="C2256" s="290"/>
      <c r="D2256" s="293"/>
      <c r="E2256" s="345">
        <f t="shared" si="641"/>
        <v>0</v>
      </c>
      <c r="F2256" s="346">
        <f t="shared" si="642"/>
        <v>0</v>
      </c>
      <c r="G2256" s="347">
        <f t="shared" si="640"/>
        <v>0</v>
      </c>
    </row>
    <row r="2257" spans="1:7" ht="18.95" customHeight="1" x14ac:dyDescent="0.2">
      <c r="A2257" s="343"/>
      <c r="B2257" s="344"/>
      <c r="C2257" s="290"/>
      <c r="D2257" s="293"/>
      <c r="E2257" s="345">
        <f t="shared" si="641"/>
        <v>0</v>
      </c>
      <c r="F2257" s="346">
        <f t="shared" si="642"/>
        <v>0</v>
      </c>
      <c r="G2257" s="347">
        <f t="shared" si="640"/>
        <v>0</v>
      </c>
    </row>
    <row r="2258" spans="1:7" ht="18.95" customHeight="1" x14ac:dyDescent="0.2">
      <c r="A2258" s="343"/>
      <c r="B2258" s="344"/>
      <c r="C2258" s="290"/>
      <c r="D2258" s="293"/>
      <c r="E2258" s="345">
        <f t="shared" si="641"/>
        <v>0</v>
      </c>
      <c r="F2258" s="346">
        <f t="shared" si="642"/>
        <v>0</v>
      </c>
      <c r="G2258" s="347">
        <f t="shared" si="640"/>
        <v>0</v>
      </c>
    </row>
    <row r="2259" spans="1:7" ht="18.95" customHeight="1" x14ac:dyDescent="0.2">
      <c r="A2259" s="343"/>
      <c r="B2259" s="344"/>
      <c r="C2259" s="290"/>
      <c r="D2259" s="293"/>
      <c r="E2259" s="345">
        <f t="shared" si="641"/>
        <v>0</v>
      </c>
      <c r="F2259" s="346">
        <f t="shared" si="642"/>
        <v>0</v>
      </c>
      <c r="G2259" s="347">
        <f t="shared" si="640"/>
        <v>0</v>
      </c>
    </row>
    <row r="2260" spans="1:7" ht="18.95" customHeight="1" thickBot="1" x14ac:dyDescent="0.25">
      <c r="A2260" s="343"/>
      <c r="B2260" s="344"/>
      <c r="C2260" s="290"/>
      <c r="D2260" s="293"/>
      <c r="E2260" s="345">
        <f t="shared" si="641"/>
        <v>0</v>
      </c>
      <c r="F2260" s="346">
        <f t="shared" si="642"/>
        <v>0</v>
      </c>
      <c r="G2260" s="347">
        <f t="shared" si="640"/>
        <v>0</v>
      </c>
    </row>
    <row r="2261" spans="1:7" ht="18.95" customHeight="1" thickBot="1" x14ac:dyDescent="0.25">
      <c r="A2261" s="148"/>
      <c r="B2261" s="334"/>
      <c r="C2261" s="143"/>
      <c r="D2261" s="146" t="s">
        <v>1037</v>
      </c>
      <c r="E2261" s="338">
        <f>SUMPRODUCT(D2251:D2260,E2251:E2260)</f>
        <v>0</v>
      </c>
      <c r="F2261" s="141" t="s">
        <v>1038</v>
      </c>
      <c r="G2261" s="339">
        <f>SUM(G2251:G2260)</f>
        <v>0</v>
      </c>
    </row>
    <row r="2262" spans="1:7" ht="18.95" customHeight="1" x14ac:dyDescent="0.2">
      <c r="A2262" s="148"/>
      <c r="B2262" s="334"/>
      <c r="C2262" s="141" t="s">
        <v>1039</v>
      </c>
      <c r="D2262" s="320"/>
      <c r="E2262" s="340" t="str">
        <f>CONCATENATE(G2247,"/día")</f>
        <v>Gl/día</v>
      </c>
      <c r="F2262" s="141"/>
      <c r="G2262" s="341"/>
    </row>
    <row r="2263" spans="1:7" ht="18.95" customHeight="1" x14ac:dyDescent="0.2">
      <c r="A2263" s="148"/>
      <c r="B2263" s="334"/>
      <c r="C2263" s="142"/>
      <c r="D2263" s="150"/>
      <c r="E2263" s="141"/>
      <c r="F2263" s="141"/>
      <c r="G2263" s="341"/>
    </row>
    <row r="2264" spans="1:7" ht="18.95" customHeight="1" x14ac:dyDescent="0.2">
      <c r="A2264" s="735" t="s">
        <v>582</v>
      </c>
      <c r="B2264" s="736"/>
      <c r="C2264" s="737" t="s">
        <v>0</v>
      </c>
      <c r="D2264" s="743" t="s">
        <v>1053</v>
      </c>
      <c r="E2264" s="743" t="s">
        <v>1706</v>
      </c>
      <c r="F2264" s="743" t="s">
        <v>1054</v>
      </c>
      <c r="G2264" s="743" t="s">
        <v>1055</v>
      </c>
    </row>
    <row r="2265" spans="1:7" ht="18.95" customHeight="1" x14ac:dyDescent="0.2">
      <c r="A2265" s="154" t="s">
        <v>583</v>
      </c>
      <c r="B2265" s="155" t="s">
        <v>584</v>
      </c>
      <c r="C2265" s="738"/>
      <c r="D2265" s="742"/>
      <c r="E2265" s="742"/>
      <c r="F2265" s="744"/>
      <c r="G2265" s="742"/>
    </row>
    <row r="2266" spans="1:7" ht="18.95" customHeight="1" x14ac:dyDescent="0.2">
      <c r="A2266" s="156"/>
      <c r="B2266" s="142"/>
      <c r="C2266" s="157" t="s">
        <v>1041</v>
      </c>
      <c r="D2266" s="150"/>
      <c r="E2266" s="142"/>
      <c r="F2266" s="142"/>
      <c r="G2266" s="342"/>
    </row>
    <row r="2267" spans="1:7" ht="18.95" customHeight="1" x14ac:dyDescent="0.2">
      <c r="A2267" s="348" t="str">
        <f t="shared" ref="A2267:A2274" si="643">IFERROR(VLOOKUP(C2267,Tabla_Insumos,4,FALSE),"")</f>
        <v/>
      </c>
      <c r="B2267" s="290" t="str">
        <f t="shared" ref="B2267:B2274" si="644">IFERROR(VLOOKUP(C2267,Tabla_Insumos,5,FALSE),"")</f>
        <v/>
      </c>
      <c r="C2267" s="290"/>
      <c r="D2267" s="607">
        <f t="shared" ref="D2267:D2274" si="645">IFERROR(VLOOKUP(C2267,Tabla_Insumos,3,FALSE),0)</f>
        <v>0</v>
      </c>
      <c r="E2267" s="349">
        <f>D2267*$G$21</f>
        <v>0</v>
      </c>
      <c r="F2267" s="350">
        <f>IF(C2267="",0,D2262)</f>
        <v>0</v>
      </c>
      <c r="G2267" s="347">
        <f>IFERROR(ROUND(E2267/F2267,2),0)</f>
        <v>0</v>
      </c>
    </row>
    <row r="2268" spans="1:7" ht="18.95" customHeight="1" x14ac:dyDescent="0.2">
      <c r="A2268" s="348" t="str">
        <f t="shared" si="643"/>
        <v/>
      </c>
      <c r="B2268" s="290" t="str">
        <f t="shared" si="644"/>
        <v/>
      </c>
      <c r="C2268" s="321"/>
      <c r="D2268" s="607">
        <f t="shared" si="645"/>
        <v>0</v>
      </c>
      <c r="E2268" s="349">
        <f t="shared" ref="E2268:E2269" si="646">D2268*$G$21</f>
        <v>0</v>
      </c>
      <c r="F2268" s="350">
        <f t="shared" ref="F2268:F2271" si="647">IF(C2268="",0,F2267)</f>
        <v>0</v>
      </c>
      <c r="G2268" s="347">
        <f t="shared" ref="G2268:G2274" si="648">IFERROR(ROUND(E2268/F2268,2),0)</f>
        <v>0</v>
      </c>
    </row>
    <row r="2269" spans="1:7" ht="18.95" customHeight="1" x14ac:dyDescent="0.2">
      <c r="A2269" s="348" t="str">
        <f t="shared" si="643"/>
        <v/>
      </c>
      <c r="B2269" s="290" t="str">
        <f t="shared" si="644"/>
        <v/>
      </c>
      <c r="C2269" s="321"/>
      <c r="D2269" s="607">
        <f t="shared" si="645"/>
        <v>0</v>
      </c>
      <c r="E2269" s="349">
        <f t="shared" si="646"/>
        <v>0</v>
      </c>
      <c r="F2269" s="350">
        <f t="shared" si="647"/>
        <v>0</v>
      </c>
      <c r="G2269" s="347">
        <f t="shared" si="648"/>
        <v>0</v>
      </c>
    </row>
    <row r="2270" spans="1:7" ht="18.95" customHeight="1" x14ac:dyDescent="0.2">
      <c r="A2270" s="348" t="str">
        <f t="shared" si="643"/>
        <v/>
      </c>
      <c r="B2270" s="290" t="str">
        <f t="shared" si="644"/>
        <v/>
      </c>
      <c r="C2270" s="321"/>
      <c r="D2270" s="607">
        <f t="shared" si="645"/>
        <v>0</v>
      </c>
      <c r="E2270" s="349">
        <f>D2270*$E$21</f>
        <v>0</v>
      </c>
      <c r="F2270" s="350">
        <f t="shared" si="647"/>
        <v>0</v>
      </c>
      <c r="G2270" s="347">
        <f t="shared" si="648"/>
        <v>0</v>
      </c>
    </row>
    <row r="2271" spans="1:7" ht="18.95" customHeight="1" x14ac:dyDescent="0.2">
      <c r="A2271" s="348" t="str">
        <f t="shared" si="643"/>
        <v/>
      </c>
      <c r="B2271" s="290" t="str">
        <f t="shared" si="644"/>
        <v/>
      </c>
      <c r="C2271" s="321"/>
      <c r="D2271" s="607">
        <f t="shared" si="645"/>
        <v>0</v>
      </c>
      <c r="E2271" s="349">
        <f>D2271*$E$21</f>
        <v>0</v>
      </c>
      <c r="F2271" s="350">
        <f t="shared" si="647"/>
        <v>0</v>
      </c>
      <c r="G2271" s="347">
        <f t="shared" si="648"/>
        <v>0</v>
      </c>
    </row>
    <row r="2272" spans="1:7" ht="18.95" customHeight="1" x14ac:dyDescent="0.2">
      <c r="A2272" s="348" t="str">
        <f t="shared" si="643"/>
        <v/>
      </c>
      <c r="B2272" s="290" t="str">
        <f t="shared" si="644"/>
        <v/>
      </c>
      <c r="C2272" s="321"/>
      <c r="D2272" s="607">
        <f t="shared" si="645"/>
        <v>0</v>
      </c>
      <c r="E2272" s="349"/>
      <c r="F2272" s="350">
        <f>IF(C2272="",0,F2271)</f>
        <v>0</v>
      </c>
      <c r="G2272" s="347">
        <f t="shared" si="648"/>
        <v>0</v>
      </c>
    </row>
    <row r="2273" spans="1:7" ht="18.95" customHeight="1" x14ac:dyDescent="0.2">
      <c r="A2273" s="348" t="str">
        <f t="shared" si="643"/>
        <v/>
      </c>
      <c r="B2273" s="290" t="str">
        <f t="shared" si="644"/>
        <v/>
      </c>
      <c r="C2273" s="321"/>
      <c r="D2273" s="607">
        <f t="shared" si="645"/>
        <v>0</v>
      </c>
      <c r="E2273" s="349"/>
      <c r="F2273" s="350">
        <f t="shared" ref="F2273:F2274" si="649">IF(C2273="",0,F2272)</f>
        <v>0</v>
      </c>
      <c r="G2273" s="347">
        <f t="shared" si="648"/>
        <v>0</v>
      </c>
    </row>
    <row r="2274" spans="1:7" ht="18.95" customHeight="1" x14ac:dyDescent="0.2">
      <c r="A2274" s="348" t="str">
        <f t="shared" si="643"/>
        <v/>
      </c>
      <c r="B2274" s="290" t="str">
        <f t="shared" si="644"/>
        <v/>
      </c>
      <c r="C2274" s="321"/>
      <c r="D2274" s="607">
        <f t="shared" si="645"/>
        <v>0</v>
      </c>
      <c r="E2274" s="349"/>
      <c r="F2274" s="350">
        <f t="shared" si="649"/>
        <v>0</v>
      </c>
      <c r="G2274" s="347">
        <f t="shared" si="648"/>
        <v>0</v>
      </c>
    </row>
    <row r="2275" spans="1:7" ht="18.95" customHeight="1" x14ac:dyDescent="0.2">
      <c r="A2275" s="353"/>
      <c r="B2275" s="149"/>
      <c r="C2275" s="142"/>
      <c r="D2275" s="150"/>
      <c r="E2275" s="143"/>
      <c r="F2275" s="354" t="s">
        <v>29</v>
      </c>
      <c r="G2275" s="355">
        <f>SUBTOTAL(9,G2267:G2274)</f>
        <v>0</v>
      </c>
    </row>
    <row r="2276" spans="1:7" ht="18.95" customHeight="1" x14ac:dyDescent="0.2">
      <c r="A2276" s="156"/>
      <c r="B2276" s="142"/>
      <c r="C2276" s="157" t="s">
        <v>722</v>
      </c>
      <c r="D2276" s="150"/>
      <c r="E2276" s="327"/>
      <c r="F2276" s="327"/>
      <c r="G2276" s="342"/>
    </row>
    <row r="2277" spans="1:7" ht="18.95" customHeight="1" x14ac:dyDescent="0.2">
      <c r="A2277" s="735" t="s">
        <v>582</v>
      </c>
      <c r="B2277" s="736"/>
      <c r="C2277" s="737" t="s">
        <v>0</v>
      </c>
      <c r="D2277" s="739" t="s">
        <v>26</v>
      </c>
      <c r="E2277" s="743" t="s">
        <v>1707</v>
      </c>
      <c r="F2277" s="741" t="s">
        <v>1040</v>
      </c>
      <c r="G2277" s="733" t="s">
        <v>28</v>
      </c>
    </row>
    <row r="2278" spans="1:7" ht="18.95" customHeight="1" x14ac:dyDescent="0.2">
      <c r="A2278" s="154" t="s">
        <v>583</v>
      </c>
      <c r="B2278" s="155" t="s">
        <v>584</v>
      </c>
      <c r="C2278" s="738"/>
      <c r="D2278" s="740"/>
      <c r="E2278" s="742"/>
      <c r="F2278" s="742"/>
      <c r="G2278" s="734"/>
    </row>
    <row r="2279" spans="1:7" ht="18.95" customHeight="1" x14ac:dyDescent="0.2">
      <c r="A2279" s="348" t="str">
        <f t="shared" ref="A2279:A2284" si="650">IFERROR(VLOOKUP(C2279,Tabla_Insumos,4,FALSE),"")</f>
        <v/>
      </c>
      <c r="B2279" s="290" t="str">
        <f t="shared" ref="B2279:B2284" si="651">IFERROR(VLOOKUP(C2279,Tabla_Insumos,5,FALSE),"")</f>
        <v/>
      </c>
      <c r="C2279" s="291"/>
      <c r="D2279" s="293"/>
      <c r="E2279" s="346">
        <f t="shared" ref="E2279:E2284" si="652">IFERROR(VLOOKUP(C2279,Tabla_Insumos,3,FALSE),0)</f>
        <v>0</v>
      </c>
      <c r="F2279" s="349">
        <f>IF(C2279="",0,D2262)</f>
        <v>0</v>
      </c>
      <c r="G2279" s="347">
        <f t="shared" ref="G2279:G2284" si="653">IFERROR(ROUND(D2279*E2279/F2279,2),0)</f>
        <v>0</v>
      </c>
    </row>
    <row r="2280" spans="1:7" ht="18.95" customHeight="1" x14ac:dyDescent="0.2">
      <c r="A2280" s="348" t="str">
        <f t="shared" si="650"/>
        <v/>
      </c>
      <c r="B2280" s="290" t="str">
        <f t="shared" si="651"/>
        <v/>
      </c>
      <c r="C2280" s="290"/>
      <c r="D2280" s="293"/>
      <c r="E2280" s="346">
        <f t="shared" si="652"/>
        <v>0</v>
      </c>
      <c r="F2280" s="349">
        <f>IF(C2280="",0,F2279)</f>
        <v>0</v>
      </c>
      <c r="G2280" s="347">
        <f t="shared" si="653"/>
        <v>0</v>
      </c>
    </row>
    <row r="2281" spans="1:7" ht="18.95" customHeight="1" x14ac:dyDescent="0.2">
      <c r="A2281" s="348" t="str">
        <f t="shared" si="650"/>
        <v/>
      </c>
      <c r="B2281" s="290" t="str">
        <f t="shared" si="651"/>
        <v/>
      </c>
      <c r="C2281" s="290"/>
      <c r="D2281" s="293"/>
      <c r="E2281" s="346">
        <f t="shared" si="652"/>
        <v>0</v>
      </c>
      <c r="F2281" s="349">
        <f>IF(C2281="",0,F2280)</f>
        <v>0</v>
      </c>
      <c r="G2281" s="347">
        <f t="shared" si="653"/>
        <v>0</v>
      </c>
    </row>
    <row r="2282" spans="1:7" ht="18.95" customHeight="1" x14ac:dyDescent="0.2">
      <c r="A2282" s="348" t="str">
        <f t="shared" si="650"/>
        <v/>
      </c>
      <c r="B2282" s="290" t="str">
        <f t="shared" si="651"/>
        <v/>
      </c>
      <c r="C2282" s="290"/>
      <c r="D2282" s="293"/>
      <c r="E2282" s="346">
        <f t="shared" si="652"/>
        <v>0</v>
      </c>
      <c r="F2282" s="349">
        <f>IF(C2282="",0,F2281)</f>
        <v>0</v>
      </c>
      <c r="G2282" s="347">
        <f t="shared" si="653"/>
        <v>0</v>
      </c>
    </row>
    <row r="2283" spans="1:7" ht="18.95" customHeight="1" x14ac:dyDescent="0.2">
      <c r="A2283" s="348" t="str">
        <f t="shared" si="650"/>
        <v/>
      </c>
      <c r="B2283" s="290" t="str">
        <f t="shared" si="651"/>
        <v/>
      </c>
      <c r="C2283" s="290"/>
      <c r="D2283" s="351"/>
      <c r="E2283" s="346">
        <f t="shared" si="652"/>
        <v>0</v>
      </c>
      <c r="F2283" s="349">
        <f>IF(C2283="",0,F2282)</f>
        <v>0</v>
      </c>
      <c r="G2283" s="347">
        <f t="shared" si="653"/>
        <v>0</v>
      </c>
    </row>
    <row r="2284" spans="1:7" ht="18.95" customHeight="1" x14ac:dyDescent="0.2">
      <c r="A2284" s="348" t="str">
        <f t="shared" si="650"/>
        <v/>
      </c>
      <c r="B2284" s="290" t="str">
        <f t="shared" si="651"/>
        <v/>
      </c>
      <c r="C2284" s="290"/>
      <c r="D2284" s="293"/>
      <c r="E2284" s="346">
        <f t="shared" si="652"/>
        <v>0</v>
      </c>
      <c r="F2284" s="349">
        <f>IF(C2284="",0,F2283)</f>
        <v>0</v>
      </c>
      <c r="G2284" s="347">
        <f t="shared" si="653"/>
        <v>0</v>
      </c>
    </row>
    <row r="2285" spans="1:7" ht="18.95" customHeight="1" x14ac:dyDescent="0.2">
      <c r="A2285" s="353"/>
      <c r="B2285" s="149"/>
      <c r="C2285" s="142"/>
      <c r="D2285" s="150"/>
      <c r="E2285" s="143"/>
      <c r="F2285" s="356" t="s">
        <v>30</v>
      </c>
      <c r="G2285" s="355">
        <f>SUBTOTAL(9,G2279:G2284)</f>
        <v>0</v>
      </c>
    </row>
    <row r="2286" spans="1:7" ht="18.95" customHeight="1" x14ac:dyDescent="0.2">
      <c r="A2286" s="156"/>
      <c r="B2286" s="142"/>
      <c r="C2286" s="157" t="s">
        <v>1047</v>
      </c>
      <c r="D2286" s="150"/>
      <c r="E2286" s="327"/>
      <c r="F2286" s="327"/>
      <c r="G2286" s="342"/>
    </row>
    <row r="2287" spans="1:7" ht="18.95" customHeight="1" x14ac:dyDescent="0.2">
      <c r="A2287" s="735" t="s">
        <v>582</v>
      </c>
      <c r="B2287" s="736"/>
      <c r="C2287" s="737" t="s">
        <v>0</v>
      </c>
      <c r="D2287" s="737" t="s">
        <v>1655</v>
      </c>
      <c r="E2287" s="737" t="s">
        <v>26</v>
      </c>
      <c r="F2287" s="737" t="s">
        <v>27</v>
      </c>
      <c r="G2287" s="733" t="s">
        <v>28</v>
      </c>
    </row>
    <row r="2288" spans="1:7" ht="18.95" customHeight="1" x14ac:dyDescent="0.2">
      <c r="A2288" s="154" t="s">
        <v>583</v>
      </c>
      <c r="B2288" s="155" t="s">
        <v>584</v>
      </c>
      <c r="C2288" s="738"/>
      <c r="D2288" s="738"/>
      <c r="E2288" s="738"/>
      <c r="F2288" s="738"/>
      <c r="G2288" s="734"/>
    </row>
    <row r="2289" spans="1:7" ht="18.95" customHeight="1" x14ac:dyDescent="0.2">
      <c r="A2289" s="348" t="str">
        <f t="shared" ref="A2289:A2300" si="654">IFERROR(VLOOKUP(C2289,Tabla_Insumos,4,FALSE),"")</f>
        <v/>
      </c>
      <c r="B2289" s="290" t="str">
        <f t="shared" ref="B2289:B2300" si="655">IFERROR(VLOOKUP(C2289,Tabla_Insumos,5,FALSE),"")</f>
        <v/>
      </c>
      <c r="C2289" s="290"/>
      <c r="D2289" s="608">
        <f t="shared" ref="D2289:D2300" si="656">IFERROR(VLOOKUP(C2289,Tabla_Insumos,2,FALSE),0)</f>
        <v>0</v>
      </c>
      <c r="E2289" s="293"/>
      <c r="F2289" s="346">
        <f t="shared" ref="F2289:F2300" si="657">IFERROR(VLOOKUP(C2289,Tabla_Insumos,3,FALSE),0)</f>
        <v>0</v>
      </c>
      <c r="G2289" s="347">
        <f t="shared" ref="G2289:G2300" si="658">ROUND(E2289*F2289,2)</f>
        <v>0</v>
      </c>
    </row>
    <row r="2290" spans="1:7" ht="18.95" customHeight="1" x14ac:dyDescent="0.2">
      <c r="A2290" s="348" t="str">
        <f t="shared" si="654"/>
        <v/>
      </c>
      <c r="B2290" s="290" t="str">
        <f t="shared" si="655"/>
        <v/>
      </c>
      <c r="C2290" s="126"/>
      <c r="D2290" s="608">
        <f t="shared" si="656"/>
        <v>0</v>
      </c>
      <c r="E2290" s="293"/>
      <c r="F2290" s="346">
        <f t="shared" si="657"/>
        <v>0</v>
      </c>
      <c r="G2290" s="347">
        <f t="shared" si="658"/>
        <v>0</v>
      </c>
    </row>
    <row r="2291" spans="1:7" ht="18.95" customHeight="1" x14ac:dyDescent="0.2">
      <c r="A2291" s="348" t="str">
        <f t="shared" si="654"/>
        <v/>
      </c>
      <c r="B2291" s="290" t="str">
        <f t="shared" si="655"/>
        <v/>
      </c>
      <c r="C2291" s="290"/>
      <c r="D2291" s="608">
        <f t="shared" si="656"/>
        <v>0</v>
      </c>
      <c r="E2291" s="293"/>
      <c r="F2291" s="346">
        <f t="shared" si="657"/>
        <v>0</v>
      </c>
      <c r="G2291" s="347">
        <f t="shared" si="658"/>
        <v>0</v>
      </c>
    </row>
    <row r="2292" spans="1:7" ht="18.95" customHeight="1" x14ac:dyDescent="0.2">
      <c r="A2292" s="348" t="str">
        <f t="shared" si="654"/>
        <v/>
      </c>
      <c r="B2292" s="290" t="str">
        <f t="shared" si="655"/>
        <v/>
      </c>
      <c r="C2292" s="290"/>
      <c r="D2292" s="608">
        <f t="shared" si="656"/>
        <v>0</v>
      </c>
      <c r="E2292" s="293"/>
      <c r="F2292" s="346">
        <f t="shared" si="657"/>
        <v>0</v>
      </c>
      <c r="G2292" s="347">
        <f t="shared" si="658"/>
        <v>0</v>
      </c>
    </row>
    <row r="2293" spans="1:7" ht="18.95" customHeight="1" x14ac:dyDescent="0.2">
      <c r="A2293" s="348" t="str">
        <f t="shared" si="654"/>
        <v/>
      </c>
      <c r="B2293" s="290" t="str">
        <f t="shared" si="655"/>
        <v/>
      </c>
      <c r="C2293" s="290"/>
      <c r="D2293" s="608">
        <f t="shared" si="656"/>
        <v>0</v>
      </c>
      <c r="E2293" s="293"/>
      <c r="F2293" s="346">
        <f t="shared" si="657"/>
        <v>0</v>
      </c>
      <c r="G2293" s="347">
        <f t="shared" si="658"/>
        <v>0</v>
      </c>
    </row>
    <row r="2294" spans="1:7" ht="18.95" customHeight="1" x14ac:dyDescent="0.2">
      <c r="A2294" s="348" t="str">
        <f t="shared" si="654"/>
        <v/>
      </c>
      <c r="B2294" s="290" t="str">
        <f t="shared" si="655"/>
        <v/>
      </c>
      <c r="C2294" s="290"/>
      <c r="D2294" s="608">
        <f t="shared" si="656"/>
        <v>0</v>
      </c>
      <c r="E2294" s="293"/>
      <c r="F2294" s="346">
        <f t="shared" si="657"/>
        <v>0</v>
      </c>
      <c r="G2294" s="347">
        <f t="shared" si="658"/>
        <v>0</v>
      </c>
    </row>
    <row r="2295" spans="1:7" ht="18.95" customHeight="1" x14ac:dyDescent="0.2">
      <c r="A2295" s="348" t="str">
        <f t="shared" si="654"/>
        <v/>
      </c>
      <c r="B2295" s="290" t="str">
        <f t="shared" si="655"/>
        <v/>
      </c>
      <c r="C2295" s="290"/>
      <c r="D2295" s="608">
        <f t="shared" si="656"/>
        <v>0</v>
      </c>
      <c r="E2295" s="293"/>
      <c r="F2295" s="346">
        <f t="shared" si="657"/>
        <v>0</v>
      </c>
      <c r="G2295" s="347">
        <f t="shared" si="658"/>
        <v>0</v>
      </c>
    </row>
    <row r="2296" spans="1:7" s="295" customFormat="1" ht="18.95" customHeight="1" x14ac:dyDescent="0.2">
      <c r="A2296" s="348" t="str">
        <f t="shared" si="654"/>
        <v/>
      </c>
      <c r="B2296" s="290" t="str">
        <f t="shared" si="655"/>
        <v/>
      </c>
      <c r="C2296" s="290"/>
      <c r="D2296" s="608">
        <f t="shared" si="656"/>
        <v>0</v>
      </c>
      <c r="E2296" s="323"/>
      <c r="F2296" s="346">
        <f t="shared" si="657"/>
        <v>0</v>
      </c>
      <c r="G2296" s="347">
        <f t="shared" si="658"/>
        <v>0</v>
      </c>
    </row>
    <row r="2297" spans="1:7" ht="18.95" customHeight="1" x14ac:dyDescent="0.2">
      <c r="A2297" s="348" t="str">
        <f t="shared" si="654"/>
        <v/>
      </c>
      <c r="B2297" s="290" t="str">
        <f t="shared" si="655"/>
        <v/>
      </c>
      <c r="C2297" s="290"/>
      <c r="D2297" s="608">
        <f t="shared" si="656"/>
        <v>0</v>
      </c>
      <c r="E2297" s="293"/>
      <c r="F2297" s="346">
        <f t="shared" si="657"/>
        <v>0</v>
      </c>
      <c r="G2297" s="347">
        <f t="shared" si="658"/>
        <v>0</v>
      </c>
    </row>
    <row r="2298" spans="1:7" ht="18.95" customHeight="1" x14ac:dyDescent="0.2">
      <c r="A2298" s="348" t="str">
        <f t="shared" si="654"/>
        <v/>
      </c>
      <c r="B2298" s="290" t="str">
        <f t="shared" si="655"/>
        <v/>
      </c>
      <c r="C2298" s="290"/>
      <c r="D2298" s="608">
        <f t="shared" si="656"/>
        <v>0</v>
      </c>
      <c r="E2298" s="293"/>
      <c r="F2298" s="346">
        <f t="shared" si="657"/>
        <v>0</v>
      </c>
      <c r="G2298" s="347">
        <f t="shared" si="658"/>
        <v>0</v>
      </c>
    </row>
    <row r="2299" spans="1:7" ht="18.95" customHeight="1" x14ac:dyDescent="0.2">
      <c r="A2299" s="348" t="str">
        <f t="shared" si="654"/>
        <v/>
      </c>
      <c r="B2299" s="290" t="str">
        <f t="shared" si="655"/>
        <v/>
      </c>
      <c r="C2299" s="290"/>
      <c r="D2299" s="608">
        <f t="shared" si="656"/>
        <v>0</v>
      </c>
      <c r="E2299" s="293"/>
      <c r="F2299" s="346">
        <f t="shared" si="657"/>
        <v>0</v>
      </c>
      <c r="G2299" s="347">
        <f t="shared" si="658"/>
        <v>0</v>
      </c>
    </row>
    <row r="2300" spans="1:7" ht="18.95" customHeight="1" x14ac:dyDescent="0.2">
      <c r="A2300" s="348" t="str">
        <f t="shared" si="654"/>
        <v/>
      </c>
      <c r="B2300" s="290" t="str">
        <f t="shared" si="655"/>
        <v/>
      </c>
      <c r="C2300" s="290"/>
      <c r="D2300" s="608">
        <f t="shared" si="656"/>
        <v>0</v>
      </c>
      <c r="E2300" s="293"/>
      <c r="F2300" s="346">
        <f t="shared" si="657"/>
        <v>0</v>
      </c>
      <c r="G2300" s="347">
        <f t="shared" si="658"/>
        <v>0</v>
      </c>
    </row>
    <row r="2301" spans="1:7" ht="18.95" customHeight="1" x14ac:dyDescent="0.2">
      <c r="A2301" s="156"/>
      <c r="B2301" s="142"/>
      <c r="C2301" s="142"/>
      <c r="D2301" s="150"/>
      <c r="E2301" s="143"/>
      <c r="F2301" s="356" t="s">
        <v>31</v>
      </c>
      <c r="G2301" s="355">
        <f>SUBTOTAL(9,G2289:G2300)</f>
        <v>0</v>
      </c>
    </row>
    <row r="2302" spans="1:7" ht="18.95" customHeight="1" x14ac:dyDescent="0.2">
      <c r="A2302" s="156"/>
      <c r="B2302" s="142"/>
      <c r="C2302" s="157" t="s">
        <v>1048</v>
      </c>
      <c r="D2302" s="150"/>
      <c r="E2302" s="327"/>
      <c r="F2302" s="327"/>
      <c r="G2302" s="342"/>
    </row>
    <row r="2303" spans="1:7" ht="18.95" customHeight="1" x14ac:dyDescent="0.2">
      <c r="A2303" s="735" t="s">
        <v>582</v>
      </c>
      <c r="B2303" s="736"/>
      <c r="C2303" s="737" t="s">
        <v>0</v>
      </c>
      <c r="D2303" s="739" t="s">
        <v>1750</v>
      </c>
      <c r="E2303" s="741" t="s">
        <v>26</v>
      </c>
      <c r="F2303" s="741" t="s">
        <v>27</v>
      </c>
      <c r="G2303" s="733" t="s">
        <v>28</v>
      </c>
    </row>
    <row r="2304" spans="1:7" ht="18.95" customHeight="1" x14ac:dyDescent="0.2">
      <c r="A2304" s="154" t="s">
        <v>583</v>
      </c>
      <c r="B2304" s="155" t="s">
        <v>584</v>
      </c>
      <c r="C2304" s="738"/>
      <c r="D2304" s="740"/>
      <c r="E2304" s="742"/>
      <c r="F2304" s="742"/>
      <c r="G2304" s="734"/>
    </row>
    <row r="2305" spans="1:8" ht="18.95" customHeight="1" x14ac:dyDescent="0.2">
      <c r="A2305" s="348" t="str">
        <f>IFERROR(VLOOKUP(C2305,Tabla_Insumos,4,FALSE),"")</f>
        <v/>
      </c>
      <c r="B2305" s="290" t="s">
        <v>4</v>
      </c>
      <c r="C2305" s="290"/>
      <c r="D2305" s="293"/>
      <c r="E2305" s="322"/>
      <c r="F2305" s="324"/>
      <c r="G2305" s="347">
        <f t="shared" ref="G2305" si="659">ROUND(E2305*F2305,2)</f>
        <v>0</v>
      </c>
    </row>
    <row r="2306" spans="1:8" ht="18.95" customHeight="1" x14ac:dyDescent="0.2">
      <c r="A2306" s="156"/>
      <c r="B2306" s="142"/>
      <c r="C2306" s="142"/>
      <c r="D2306" s="150"/>
      <c r="E2306" s="143"/>
      <c r="F2306" s="356" t="s">
        <v>1049</v>
      </c>
      <c r="G2306" s="355">
        <f>SUBTOTAL(9,G2305:G2305)</f>
        <v>0</v>
      </c>
    </row>
    <row r="2307" spans="1:8" ht="18.95" customHeight="1" thickBot="1" x14ac:dyDescent="0.25">
      <c r="A2307" s="158"/>
      <c r="B2307" s="159"/>
      <c r="C2307" s="160"/>
      <c r="D2307" s="161"/>
      <c r="E2307" s="357"/>
      <c r="F2307" s="357"/>
      <c r="G2307" s="358"/>
    </row>
    <row r="2308" spans="1:8" ht="18.95" customHeight="1" x14ac:dyDescent="0.2">
      <c r="A2308" s="359">
        <f>B2247</f>
        <v>32</v>
      </c>
      <c r="B2308" s="360" t="str">
        <f>C2247</f>
        <v>PROYECTO Y CONSTRUCCIÓN DE CANAL IMPERMEABILIZADO DE HORMIGÓN</v>
      </c>
      <c r="C2308" s="361"/>
      <c r="D2308" s="361"/>
      <c r="E2308" s="361" t="s">
        <v>1050</v>
      </c>
      <c r="F2308" s="362" t="str">
        <f>CONCATENATE("$/",G2247)</f>
        <v>$/Gl</v>
      </c>
      <c r="G2308" s="363">
        <f>SUBTOTAL(9,G2267:G2307)</f>
        <v>0</v>
      </c>
    </row>
    <row r="2309" spans="1:8" ht="18.95" customHeight="1" thickBot="1" x14ac:dyDescent="0.25">
      <c r="A2309" s="364"/>
      <c r="B2309" s="365"/>
      <c r="C2309" s="365"/>
      <c r="D2309" s="365"/>
      <c r="E2309" s="366" t="s">
        <v>1051</v>
      </c>
      <c r="F2309" s="367" t="str">
        <f>CONCATENATE("$/",G2247)</f>
        <v>$/Gl</v>
      </c>
      <c r="G2309" s="368" t="e">
        <f ca="1">PrecioUnitario(G2308,GG_Porcentaje,Beneficio,Ingresos_Brutos,IVA)</f>
        <v>#NAME?</v>
      </c>
    </row>
    <row r="2310" spans="1:8" ht="18.95" customHeight="1" thickTop="1" thickBot="1" x14ac:dyDescent="0.25">
      <c r="F2310" s="294"/>
      <c r="G2310" s="294"/>
    </row>
    <row r="2311" spans="1:8" ht="18.95" customHeight="1" thickTop="1" x14ac:dyDescent="0.2">
      <c r="A2311" s="194" t="s">
        <v>33</v>
      </c>
      <c r="B2311" s="195"/>
      <c r="C2311" s="195"/>
      <c r="D2311" s="195"/>
      <c r="E2311" s="195"/>
      <c r="F2311" s="195"/>
      <c r="G2311" s="196"/>
      <c r="H2311" s="143">
        <f>COUNTIF($A$1:A2317,"ANALISIS DE PRECIOS")</f>
        <v>34</v>
      </c>
    </row>
    <row r="2312" spans="1:8" ht="18.95" customHeight="1" x14ac:dyDescent="0.2">
      <c r="A2312" s="144" t="s">
        <v>720</v>
      </c>
      <c r="B2312" s="145" t="str">
        <f>Comitente</f>
        <v>DIRECCIÓN PROVINCIAL DE VIALIDAD</v>
      </c>
      <c r="C2312" s="139"/>
      <c r="D2312" s="146"/>
      <c r="E2312" s="325"/>
      <c r="F2312" s="325"/>
      <c r="G2312" s="326"/>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PAVIMENTACION Y ENSANCHE DE RUTA PROVINCIAL N°7 AV. JOAQUIN UÑAC</v>
      </c>
      <c r="C2314" s="140"/>
      <c r="D2314" s="140"/>
      <c r="E2314" s="143"/>
      <c r="F2314" s="145" t="s">
        <v>34</v>
      </c>
      <c r="G2314" s="147">
        <f>Fecha_Base</f>
        <v>43444</v>
      </c>
      <c r="H2314" s="143"/>
    </row>
    <row r="2315" spans="1:8" ht="18.95" customHeight="1" x14ac:dyDescent="0.2">
      <c r="A2315" s="148" t="s">
        <v>719</v>
      </c>
      <c r="B2315" s="141" t="str">
        <f>Ubicación</f>
        <v>DEPARTAMENTO POCITO</v>
      </c>
      <c r="C2315" s="141"/>
      <c r="D2315" s="150"/>
      <c r="E2315" s="143"/>
      <c r="F2315" s="327"/>
      <c r="G2315" s="328"/>
      <c r="H2315" s="143"/>
    </row>
    <row r="2316" spans="1:8" ht="18.95" customHeight="1" x14ac:dyDescent="0.2">
      <c r="A2316" s="148" t="s">
        <v>35</v>
      </c>
      <c r="B2316" s="151" t="str">
        <f>IFERROR(VALUE(LEFT(B2317,FIND("-",B2317)-1)),"")</f>
        <v/>
      </c>
      <c r="C2316" s="142" t="str">
        <f>IFERROR(VLOOKUP(B2316,Tabla_CyP,2,FALSE),"")</f>
        <v/>
      </c>
      <c r="D2316" s="150"/>
      <c r="E2316" s="143"/>
      <c r="F2316" s="327"/>
      <c r="G2316" s="328"/>
      <c r="H2316" s="143"/>
    </row>
    <row r="2317" spans="1:8" ht="18.95" customHeight="1" x14ac:dyDescent="0.2">
      <c r="A2317" s="148" t="s">
        <v>24</v>
      </c>
      <c r="B2317" s="152">
        <f>IFERROR(VLOOKUP(COUNTIF($A$1:A2317,"ANALISIS DE PRECIOS"),Tabla_NumeroItem,4,FALSE),"")</f>
        <v>33</v>
      </c>
      <c r="C2317" s="745" t="str">
        <f>IFERROR(VLOOKUP(B2317,Tabla_CyP,2,FALSE),"")</f>
        <v>AMPLIACIÓN Y MEJORAMIENTO DE RED DE AGUA POTABLE</v>
      </c>
      <c r="D2317" s="745"/>
      <c r="E2317" s="745"/>
      <c r="F2317" s="141" t="s">
        <v>25</v>
      </c>
      <c r="G2317" s="153" t="str">
        <f>IFERROR(VLOOKUP(B2317,Tabla_CyP,4,FALSE),"")</f>
        <v>Gl</v>
      </c>
      <c r="H2317" s="143"/>
    </row>
    <row r="2318" spans="1:8" ht="18.95" customHeight="1" x14ac:dyDescent="0.2">
      <c r="A2318" s="148"/>
      <c r="B2318" s="141"/>
      <c r="C2318" s="142"/>
      <c r="D2318" s="150"/>
      <c r="E2318" s="142"/>
      <c r="F2318" s="142"/>
      <c r="G2318" s="329"/>
      <c r="H2318" s="143"/>
    </row>
    <row r="2319" spans="1:8" ht="18.95" customHeight="1" x14ac:dyDescent="0.2">
      <c r="A2319" s="330"/>
      <c r="B2319" s="331"/>
      <c r="C2319" s="332" t="s">
        <v>1032</v>
      </c>
      <c r="D2319" s="331"/>
      <c r="E2319" s="331"/>
      <c r="F2319" s="331"/>
      <c r="G2319" s="333"/>
      <c r="H2319" s="143"/>
    </row>
    <row r="2320" spans="1:8" ht="18.95" customHeight="1" x14ac:dyDescent="0.2">
      <c r="A2320" s="148"/>
      <c r="B2320" s="334"/>
      <c r="C2320" s="335" t="s">
        <v>1033</v>
      </c>
      <c r="D2320" s="336" t="s">
        <v>26</v>
      </c>
      <c r="E2320" s="336" t="s">
        <v>1034</v>
      </c>
      <c r="F2320" s="336" t="s">
        <v>1035</v>
      </c>
      <c r="G2320" s="337" t="s">
        <v>1036</v>
      </c>
      <c r="H2320" s="143"/>
    </row>
    <row r="2321" spans="1:7" ht="18.95" customHeight="1" x14ac:dyDescent="0.2">
      <c r="A2321" s="343"/>
      <c r="B2321" s="344"/>
      <c r="C2321" s="290"/>
      <c r="D2321" s="293"/>
      <c r="E2321" s="345"/>
      <c r="F2321" s="346"/>
      <c r="G2321" s="347">
        <f t="shared" ref="G2321:G2330" si="660">ROUND(D2321*F2321,2)</f>
        <v>0</v>
      </c>
    </row>
    <row r="2322" spans="1:7" ht="18.95" customHeight="1" x14ac:dyDescent="0.2">
      <c r="A2322" s="343"/>
      <c r="B2322" s="344"/>
      <c r="C2322" s="290"/>
      <c r="D2322" s="293"/>
      <c r="E2322" s="345"/>
      <c r="F2322" s="346"/>
      <c r="G2322" s="347">
        <f t="shared" si="660"/>
        <v>0</v>
      </c>
    </row>
    <row r="2323" spans="1:7" ht="18.95" customHeight="1" x14ac:dyDescent="0.2">
      <c r="A2323" s="343"/>
      <c r="B2323" s="344"/>
      <c r="C2323" s="290"/>
      <c r="D2323" s="293"/>
      <c r="E2323" s="345">
        <f t="shared" ref="E2323:E2330" si="661">IFERROR(VLOOKUP(C2323,T_Equipos,4,FALSE),0)</f>
        <v>0</v>
      </c>
      <c r="F2323" s="346">
        <f t="shared" ref="F2323:F2330" si="662">IFERROR(VLOOKUP(C2323,T_Equipos,11,FALSE),0)</f>
        <v>0</v>
      </c>
      <c r="G2323" s="347">
        <f t="shared" si="660"/>
        <v>0</v>
      </c>
    </row>
    <row r="2324" spans="1:7" ht="18.95" customHeight="1" x14ac:dyDescent="0.2">
      <c r="A2324" s="343"/>
      <c r="B2324" s="344"/>
      <c r="C2324" s="290"/>
      <c r="D2324" s="293"/>
      <c r="E2324" s="345">
        <f t="shared" si="661"/>
        <v>0</v>
      </c>
      <c r="F2324" s="346">
        <f t="shared" si="662"/>
        <v>0</v>
      </c>
      <c r="G2324" s="347">
        <f t="shared" si="660"/>
        <v>0</v>
      </c>
    </row>
    <row r="2325" spans="1:7" ht="18.95" customHeight="1" x14ac:dyDescent="0.2">
      <c r="A2325" s="343"/>
      <c r="B2325" s="344"/>
      <c r="C2325" s="290"/>
      <c r="D2325" s="293"/>
      <c r="E2325" s="345">
        <f t="shared" si="661"/>
        <v>0</v>
      </c>
      <c r="F2325" s="346">
        <f t="shared" si="662"/>
        <v>0</v>
      </c>
      <c r="G2325" s="347">
        <f t="shared" si="660"/>
        <v>0</v>
      </c>
    </row>
    <row r="2326" spans="1:7" ht="18.95" customHeight="1" x14ac:dyDescent="0.2">
      <c r="A2326" s="343"/>
      <c r="B2326" s="344"/>
      <c r="C2326" s="290"/>
      <c r="D2326" s="293"/>
      <c r="E2326" s="345">
        <f t="shared" si="661"/>
        <v>0</v>
      </c>
      <c r="F2326" s="346">
        <f t="shared" si="662"/>
        <v>0</v>
      </c>
      <c r="G2326" s="347">
        <f t="shared" si="660"/>
        <v>0</v>
      </c>
    </row>
    <row r="2327" spans="1:7" ht="18.95" customHeight="1" x14ac:dyDescent="0.2">
      <c r="A2327" s="343"/>
      <c r="B2327" s="344"/>
      <c r="C2327" s="290"/>
      <c r="D2327" s="293"/>
      <c r="E2327" s="345">
        <f t="shared" si="661"/>
        <v>0</v>
      </c>
      <c r="F2327" s="346">
        <f t="shared" si="662"/>
        <v>0</v>
      </c>
      <c r="G2327" s="347">
        <f t="shared" si="660"/>
        <v>0</v>
      </c>
    </row>
    <row r="2328" spans="1:7" ht="18.95" customHeight="1" x14ac:dyDescent="0.2">
      <c r="A2328" s="343"/>
      <c r="B2328" s="344"/>
      <c r="C2328" s="290"/>
      <c r="D2328" s="293"/>
      <c r="E2328" s="345">
        <f t="shared" si="661"/>
        <v>0</v>
      </c>
      <c r="F2328" s="346">
        <f t="shared" si="662"/>
        <v>0</v>
      </c>
      <c r="G2328" s="347">
        <f t="shared" si="660"/>
        <v>0</v>
      </c>
    </row>
    <row r="2329" spans="1:7" ht="18.95" customHeight="1" x14ac:dyDescent="0.2">
      <c r="A2329" s="343"/>
      <c r="B2329" s="344"/>
      <c r="C2329" s="290"/>
      <c r="D2329" s="293"/>
      <c r="E2329" s="345">
        <f t="shared" si="661"/>
        <v>0</v>
      </c>
      <c r="F2329" s="346">
        <f t="shared" si="662"/>
        <v>0</v>
      </c>
      <c r="G2329" s="347">
        <f t="shared" si="660"/>
        <v>0</v>
      </c>
    </row>
    <row r="2330" spans="1:7" ht="18.95" customHeight="1" thickBot="1" x14ac:dyDescent="0.25">
      <c r="A2330" s="343"/>
      <c r="B2330" s="344"/>
      <c r="C2330" s="290"/>
      <c r="D2330" s="293"/>
      <c r="E2330" s="345">
        <f t="shared" si="661"/>
        <v>0</v>
      </c>
      <c r="F2330" s="346">
        <f t="shared" si="662"/>
        <v>0</v>
      </c>
      <c r="G2330" s="347">
        <f t="shared" si="660"/>
        <v>0</v>
      </c>
    </row>
    <row r="2331" spans="1:7" ht="18.95" customHeight="1" thickBot="1" x14ac:dyDescent="0.25">
      <c r="A2331" s="148"/>
      <c r="B2331" s="334"/>
      <c r="C2331" s="143"/>
      <c r="D2331" s="146" t="s">
        <v>1037</v>
      </c>
      <c r="E2331" s="338">
        <f>SUMPRODUCT(D2321:D2330,E2321:E2330)</f>
        <v>0</v>
      </c>
      <c r="F2331" s="141" t="s">
        <v>1038</v>
      </c>
      <c r="G2331" s="339">
        <f>SUM(G2321:G2330)</f>
        <v>0</v>
      </c>
    </row>
    <row r="2332" spans="1:7" ht="18.95" customHeight="1" x14ac:dyDescent="0.2">
      <c r="A2332" s="148"/>
      <c r="B2332" s="334"/>
      <c r="C2332" s="141" t="s">
        <v>1039</v>
      </c>
      <c r="D2332" s="320"/>
      <c r="E2332" s="340" t="str">
        <f>CONCATENATE(G2317,"/día")</f>
        <v>Gl/día</v>
      </c>
      <c r="F2332" s="141"/>
      <c r="G2332" s="341"/>
    </row>
    <row r="2333" spans="1:7" ht="18.95" customHeight="1" x14ac:dyDescent="0.2">
      <c r="A2333" s="148"/>
      <c r="B2333" s="334"/>
      <c r="C2333" s="142"/>
      <c r="D2333" s="150"/>
      <c r="E2333" s="141"/>
      <c r="F2333" s="141"/>
      <c r="G2333" s="341"/>
    </row>
    <row r="2334" spans="1:7" ht="18.95" customHeight="1" x14ac:dyDescent="0.2">
      <c r="A2334" s="735" t="s">
        <v>582</v>
      </c>
      <c r="B2334" s="736"/>
      <c r="C2334" s="737" t="s">
        <v>0</v>
      </c>
      <c r="D2334" s="743" t="s">
        <v>1053</v>
      </c>
      <c r="E2334" s="743" t="s">
        <v>1706</v>
      </c>
      <c r="F2334" s="743" t="s">
        <v>1054</v>
      </c>
      <c r="G2334" s="743" t="s">
        <v>1055</v>
      </c>
    </row>
    <row r="2335" spans="1:7" ht="18.95" customHeight="1" x14ac:dyDescent="0.2">
      <c r="A2335" s="154" t="s">
        <v>583</v>
      </c>
      <c r="B2335" s="155" t="s">
        <v>584</v>
      </c>
      <c r="C2335" s="738"/>
      <c r="D2335" s="742"/>
      <c r="E2335" s="742"/>
      <c r="F2335" s="744"/>
      <c r="G2335" s="742"/>
    </row>
    <row r="2336" spans="1:7" ht="18.95" customHeight="1" x14ac:dyDescent="0.2">
      <c r="A2336" s="156"/>
      <c r="B2336" s="142"/>
      <c r="C2336" s="157" t="s">
        <v>1041</v>
      </c>
      <c r="D2336" s="150"/>
      <c r="E2336" s="142"/>
      <c r="F2336" s="142"/>
      <c r="G2336" s="342"/>
    </row>
    <row r="2337" spans="1:7" ht="18.95" customHeight="1" x14ac:dyDescent="0.2">
      <c r="A2337" s="348" t="str">
        <f t="shared" ref="A2337:A2344" si="663">IFERROR(VLOOKUP(C2337,Tabla_Insumos,4,FALSE),"")</f>
        <v/>
      </c>
      <c r="B2337" s="290" t="str">
        <f t="shared" ref="B2337:B2344" si="664">IFERROR(VLOOKUP(C2337,Tabla_Insumos,5,FALSE),"")</f>
        <v/>
      </c>
      <c r="C2337" s="290"/>
      <c r="D2337" s="607">
        <f t="shared" ref="D2337:D2344" si="665">IFERROR(VLOOKUP(C2337,Tabla_Insumos,3,FALSE),0)</f>
        <v>0</v>
      </c>
      <c r="E2337" s="349">
        <f>D2337*$G$21</f>
        <v>0</v>
      </c>
      <c r="F2337" s="350">
        <f>IF(C2337="",0,D2332)</f>
        <v>0</v>
      </c>
      <c r="G2337" s="347">
        <f>IFERROR(ROUND(E2337/F2337,2),0)</f>
        <v>0</v>
      </c>
    </row>
    <row r="2338" spans="1:7" ht="18.95" customHeight="1" x14ac:dyDescent="0.2">
      <c r="A2338" s="348" t="str">
        <f t="shared" si="663"/>
        <v/>
      </c>
      <c r="B2338" s="290" t="str">
        <f t="shared" si="664"/>
        <v/>
      </c>
      <c r="C2338" s="321"/>
      <c r="D2338" s="607">
        <f t="shared" si="665"/>
        <v>0</v>
      </c>
      <c r="E2338" s="349">
        <f t="shared" ref="E2338:E2339" si="666">D2338*$G$21</f>
        <v>0</v>
      </c>
      <c r="F2338" s="350">
        <f t="shared" ref="F2338:F2341" si="667">IF(C2338="",0,F2337)</f>
        <v>0</v>
      </c>
      <c r="G2338" s="347">
        <f t="shared" ref="G2338:G2344" si="668">IFERROR(ROUND(E2338/F2338,2),0)</f>
        <v>0</v>
      </c>
    </row>
    <row r="2339" spans="1:7" ht="18.95" customHeight="1" x14ac:dyDescent="0.2">
      <c r="A2339" s="348" t="str">
        <f t="shared" si="663"/>
        <v/>
      </c>
      <c r="B2339" s="290" t="str">
        <f t="shared" si="664"/>
        <v/>
      </c>
      <c r="C2339" s="321"/>
      <c r="D2339" s="607">
        <f t="shared" si="665"/>
        <v>0</v>
      </c>
      <c r="E2339" s="349">
        <f t="shared" si="666"/>
        <v>0</v>
      </c>
      <c r="F2339" s="350">
        <f t="shared" si="667"/>
        <v>0</v>
      </c>
      <c r="G2339" s="347">
        <f t="shared" si="668"/>
        <v>0</v>
      </c>
    </row>
    <row r="2340" spans="1:7" ht="18.95" customHeight="1" x14ac:dyDescent="0.2">
      <c r="A2340" s="348" t="str">
        <f t="shared" si="663"/>
        <v/>
      </c>
      <c r="B2340" s="290" t="str">
        <f t="shared" si="664"/>
        <v/>
      </c>
      <c r="C2340" s="321"/>
      <c r="D2340" s="607">
        <f t="shared" si="665"/>
        <v>0</v>
      </c>
      <c r="E2340" s="349">
        <f>D2340*$E$21</f>
        <v>0</v>
      </c>
      <c r="F2340" s="350">
        <f t="shared" si="667"/>
        <v>0</v>
      </c>
      <c r="G2340" s="347">
        <f t="shared" si="668"/>
        <v>0</v>
      </c>
    </row>
    <row r="2341" spans="1:7" ht="18.95" customHeight="1" x14ac:dyDescent="0.2">
      <c r="A2341" s="348" t="str">
        <f t="shared" si="663"/>
        <v/>
      </c>
      <c r="B2341" s="290" t="str">
        <f t="shared" si="664"/>
        <v/>
      </c>
      <c r="C2341" s="321"/>
      <c r="D2341" s="607">
        <f t="shared" si="665"/>
        <v>0</v>
      </c>
      <c r="E2341" s="349">
        <f>D2341*$E$21</f>
        <v>0</v>
      </c>
      <c r="F2341" s="350">
        <f t="shared" si="667"/>
        <v>0</v>
      </c>
      <c r="G2341" s="347">
        <f t="shared" si="668"/>
        <v>0</v>
      </c>
    </row>
    <row r="2342" spans="1:7" ht="18.95" customHeight="1" x14ac:dyDescent="0.2">
      <c r="A2342" s="348" t="str">
        <f t="shared" si="663"/>
        <v/>
      </c>
      <c r="B2342" s="290" t="str">
        <f t="shared" si="664"/>
        <v/>
      </c>
      <c r="C2342" s="321"/>
      <c r="D2342" s="607">
        <f t="shared" si="665"/>
        <v>0</v>
      </c>
      <c r="E2342" s="349"/>
      <c r="F2342" s="350">
        <f>IF(C2342="",0,F2341)</f>
        <v>0</v>
      </c>
      <c r="G2342" s="347">
        <f t="shared" si="668"/>
        <v>0</v>
      </c>
    </row>
    <row r="2343" spans="1:7" ht="18.95" customHeight="1" x14ac:dyDescent="0.2">
      <c r="A2343" s="348" t="str">
        <f t="shared" si="663"/>
        <v/>
      </c>
      <c r="B2343" s="290" t="str">
        <f t="shared" si="664"/>
        <v/>
      </c>
      <c r="C2343" s="321"/>
      <c r="D2343" s="607">
        <f t="shared" si="665"/>
        <v>0</v>
      </c>
      <c r="E2343" s="349"/>
      <c r="F2343" s="350">
        <f t="shared" ref="F2343:F2344" si="669">IF(C2343="",0,F2342)</f>
        <v>0</v>
      </c>
      <c r="G2343" s="347">
        <f t="shared" si="668"/>
        <v>0</v>
      </c>
    </row>
    <row r="2344" spans="1:7" ht="18.95" customHeight="1" x14ac:dyDescent="0.2">
      <c r="A2344" s="348" t="str">
        <f t="shared" si="663"/>
        <v/>
      </c>
      <c r="B2344" s="290" t="str">
        <f t="shared" si="664"/>
        <v/>
      </c>
      <c r="C2344" s="321"/>
      <c r="D2344" s="607">
        <f t="shared" si="665"/>
        <v>0</v>
      </c>
      <c r="E2344" s="349"/>
      <c r="F2344" s="350">
        <f t="shared" si="669"/>
        <v>0</v>
      </c>
      <c r="G2344" s="347">
        <f t="shared" si="668"/>
        <v>0</v>
      </c>
    </row>
    <row r="2345" spans="1:7" ht="18.95" customHeight="1" x14ac:dyDescent="0.2">
      <c r="A2345" s="353"/>
      <c r="B2345" s="149"/>
      <c r="C2345" s="142"/>
      <c r="D2345" s="150"/>
      <c r="E2345" s="143"/>
      <c r="F2345" s="354" t="s">
        <v>29</v>
      </c>
      <c r="G2345" s="355">
        <f>SUBTOTAL(9,G2337:G2344)</f>
        <v>0</v>
      </c>
    </row>
    <row r="2346" spans="1:7" ht="18.95" customHeight="1" x14ac:dyDescent="0.2">
      <c r="A2346" s="156"/>
      <c r="B2346" s="142"/>
      <c r="C2346" s="157" t="s">
        <v>722</v>
      </c>
      <c r="D2346" s="150"/>
      <c r="E2346" s="327"/>
      <c r="F2346" s="327"/>
      <c r="G2346" s="342"/>
    </row>
    <row r="2347" spans="1:7" ht="18.95" customHeight="1" x14ac:dyDescent="0.2">
      <c r="A2347" s="735" t="s">
        <v>582</v>
      </c>
      <c r="B2347" s="736"/>
      <c r="C2347" s="737" t="s">
        <v>0</v>
      </c>
      <c r="D2347" s="739" t="s">
        <v>26</v>
      </c>
      <c r="E2347" s="743" t="s">
        <v>1707</v>
      </c>
      <c r="F2347" s="741" t="s">
        <v>1040</v>
      </c>
      <c r="G2347" s="733" t="s">
        <v>28</v>
      </c>
    </row>
    <row r="2348" spans="1:7" ht="18.95" customHeight="1" x14ac:dyDescent="0.2">
      <c r="A2348" s="154" t="s">
        <v>583</v>
      </c>
      <c r="B2348" s="155" t="s">
        <v>584</v>
      </c>
      <c r="C2348" s="738"/>
      <c r="D2348" s="740"/>
      <c r="E2348" s="742"/>
      <c r="F2348" s="742"/>
      <c r="G2348" s="734"/>
    </row>
    <row r="2349" spans="1:7" ht="18.95" customHeight="1" x14ac:dyDescent="0.2">
      <c r="A2349" s="348" t="str">
        <f t="shared" ref="A2349:A2354" si="670">IFERROR(VLOOKUP(C2349,Tabla_Insumos,4,FALSE),"")</f>
        <v/>
      </c>
      <c r="B2349" s="290" t="str">
        <f t="shared" ref="B2349:B2354" si="671">IFERROR(VLOOKUP(C2349,Tabla_Insumos,5,FALSE),"")</f>
        <v/>
      </c>
      <c r="C2349" s="291"/>
      <c r="D2349" s="293"/>
      <c r="E2349" s="346">
        <f t="shared" ref="E2349:E2354" si="672">IFERROR(VLOOKUP(C2349,Tabla_Insumos,3,FALSE),0)</f>
        <v>0</v>
      </c>
      <c r="F2349" s="349">
        <f>IF(C2349="",0,D2332)</f>
        <v>0</v>
      </c>
      <c r="G2349" s="347">
        <f t="shared" ref="G2349:G2354" si="673">IFERROR(ROUND(D2349*E2349/F2349,2),0)</f>
        <v>0</v>
      </c>
    </row>
    <row r="2350" spans="1:7" ht="18.95" customHeight="1" x14ac:dyDescent="0.2">
      <c r="A2350" s="348" t="str">
        <f t="shared" si="670"/>
        <v/>
      </c>
      <c r="B2350" s="290" t="str">
        <f t="shared" si="671"/>
        <v/>
      </c>
      <c r="C2350" s="290"/>
      <c r="D2350" s="293"/>
      <c r="E2350" s="346">
        <f t="shared" si="672"/>
        <v>0</v>
      </c>
      <c r="F2350" s="349">
        <f>IF(C2350="",0,F2349)</f>
        <v>0</v>
      </c>
      <c r="G2350" s="347">
        <f t="shared" si="673"/>
        <v>0</v>
      </c>
    </row>
    <row r="2351" spans="1:7" ht="18.95" customHeight="1" x14ac:dyDescent="0.2">
      <c r="A2351" s="348" t="str">
        <f t="shared" si="670"/>
        <v/>
      </c>
      <c r="B2351" s="290" t="str">
        <f t="shared" si="671"/>
        <v/>
      </c>
      <c r="C2351" s="290"/>
      <c r="D2351" s="293"/>
      <c r="E2351" s="346">
        <f t="shared" si="672"/>
        <v>0</v>
      </c>
      <c r="F2351" s="349">
        <f>IF(C2351="",0,F2350)</f>
        <v>0</v>
      </c>
      <c r="G2351" s="347">
        <f t="shared" si="673"/>
        <v>0</v>
      </c>
    </row>
    <row r="2352" spans="1:7" ht="18.95" customHeight="1" x14ac:dyDescent="0.2">
      <c r="A2352" s="348" t="str">
        <f t="shared" si="670"/>
        <v/>
      </c>
      <c r="B2352" s="290" t="str">
        <f t="shared" si="671"/>
        <v/>
      </c>
      <c r="C2352" s="290"/>
      <c r="D2352" s="293"/>
      <c r="E2352" s="346">
        <f t="shared" si="672"/>
        <v>0</v>
      </c>
      <c r="F2352" s="349">
        <f>IF(C2352="",0,F2351)</f>
        <v>0</v>
      </c>
      <c r="G2352" s="347">
        <f t="shared" si="673"/>
        <v>0</v>
      </c>
    </row>
    <row r="2353" spans="1:7" ht="18.95" customHeight="1" x14ac:dyDescent="0.2">
      <c r="A2353" s="348" t="str">
        <f t="shared" si="670"/>
        <v/>
      </c>
      <c r="B2353" s="290" t="str">
        <f t="shared" si="671"/>
        <v/>
      </c>
      <c r="C2353" s="290"/>
      <c r="D2353" s="351"/>
      <c r="E2353" s="346">
        <f t="shared" si="672"/>
        <v>0</v>
      </c>
      <c r="F2353" s="349">
        <f>IF(C2353="",0,F2352)</f>
        <v>0</v>
      </c>
      <c r="G2353" s="347">
        <f t="shared" si="673"/>
        <v>0</v>
      </c>
    </row>
    <row r="2354" spans="1:7" ht="18.95" customHeight="1" x14ac:dyDescent="0.2">
      <c r="A2354" s="348" t="str">
        <f t="shared" si="670"/>
        <v/>
      </c>
      <c r="B2354" s="290" t="str">
        <f t="shared" si="671"/>
        <v/>
      </c>
      <c r="C2354" s="290"/>
      <c r="D2354" s="293"/>
      <c r="E2354" s="346">
        <f t="shared" si="672"/>
        <v>0</v>
      </c>
      <c r="F2354" s="349">
        <f>IF(C2354="",0,F2353)</f>
        <v>0</v>
      </c>
      <c r="G2354" s="347">
        <f t="shared" si="673"/>
        <v>0</v>
      </c>
    </row>
    <row r="2355" spans="1:7" ht="18.95" customHeight="1" x14ac:dyDescent="0.2">
      <c r="A2355" s="353"/>
      <c r="B2355" s="149"/>
      <c r="C2355" s="142"/>
      <c r="D2355" s="150"/>
      <c r="E2355" s="143"/>
      <c r="F2355" s="356" t="s">
        <v>30</v>
      </c>
      <c r="G2355" s="355">
        <f>SUBTOTAL(9,G2349:G2354)</f>
        <v>0</v>
      </c>
    </row>
    <row r="2356" spans="1:7" ht="18.95" customHeight="1" x14ac:dyDescent="0.2">
      <c r="A2356" s="156"/>
      <c r="B2356" s="142"/>
      <c r="C2356" s="157" t="s">
        <v>1047</v>
      </c>
      <c r="D2356" s="150"/>
      <c r="E2356" s="327"/>
      <c r="F2356" s="327"/>
      <c r="G2356" s="342"/>
    </row>
    <row r="2357" spans="1:7" ht="18.95" customHeight="1" x14ac:dyDescent="0.2">
      <c r="A2357" s="735" t="s">
        <v>582</v>
      </c>
      <c r="B2357" s="736"/>
      <c r="C2357" s="737" t="s">
        <v>0</v>
      </c>
      <c r="D2357" s="737" t="s">
        <v>1655</v>
      </c>
      <c r="E2357" s="737" t="s">
        <v>26</v>
      </c>
      <c r="F2357" s="737" t="s">
        <v>27</v>
      </c>
      <c r="G2357" s="733" t="s">
        <v>28</v>
      </c>
    </row>
    <row r="2358" spans="1:7" ht="18.95" customHeight="1" x14ac:dyDescent="0.2">
      <c r="A2358" s="154" t="s">
        <v>583</v>
      </c>
      <c r="B2358" s="155" t="s">
        <v>584</v>
      </c>
      <c r="C2358" s="738"/>
      <c r="D2358" s="738"/>
      <c r="E2358" s="738"/>
      <c r="F2358" s="738"/>
      <c r="G2358" s="734"/>
    </row>
    <row r="2359" spans="1:7" ht="18.95" customHeight="1" x14ac:dyDescent="0.2">
      <c r="A2359" s="348" t="str">
        <f t="shared" ref="A2359:A2370" si="674">IFERROR(VLOOKUP(C2359,Tabla_Insumos,4,FALSE),"")</f>
        <v/>
      </c>
      <c r="B2359" s="290" t="str">
        <f t="shared" ref="B2359:B2370" si="675">IFERROR(VLOOKUP(C2359,Tabla_Insumos,5,FALSE),"")</f>
        <v/>
      </c>
      <c r="C2359" s="290"/>
      <c r="D2359" s="608">
        <f t="shared" ref="D2359:D2370" si="676">IFERROR(VLOOKUP(C2359,Tabla_Insumos,2,FALSE),0)</f>
        <v>0</v>
      </c>
      <c r="E2359" s="293"/>
      <c r="F2359" s="346">
        <f t="shared" ref="F2359:F2370" si="677">IFERROR(VLOOKUP(C2359,Tabla_Insumos,3,FALSE),0)</f>
        <v>0</v>
      </c>
      <c r="G2359" s="347">
        <f t="shared" ref="G2359:G2370" si="678">ROUND(E2359*F2359,2)</f>
        <v>0</v>
      </c>
    </row>
    <row r="2360" spans="1:7" ht="18.95" customHeight="1" x14ac:dyDescent="0.2">
      <c r="A2360" s="348" t="str">
        <f t="shared" si="674"/>
        <v/>
      </c>
      <c r="B2360" s="290" t="str">
        <f t="shared" si="675"/>
        <v/>
      </c>
      <c r="C2360" s="126"/>
      <c r="D2360" s="608">
        <f t="shared" si="676"/>
        <v>0</v>
      </c>
      <c r="E2360" s="293"/>
      <c r="F2360" s="346">
        <f t="shared" si="677"/>
        <v>0</v>
      </c>
      <c r="G2360" s="347">
        <f t="shared" si="678"/>
        <v>0</v>
      </c>
    </row>
    <row r="2361" spans="1:7" ht="18.95" customHeight="1" x14ac:dyDescent="0.2">
      <c r="A2361" s="348" t="str">
        <f t="shared" si="674"/>
        <v/>
      </c>
      <c r="B2361" s="290" t="str">
        <f t="shared" si="675"/>
        <v/>
      </c>
      <c r="C2361" s="290"/>
      <c r="D2361" s="608">
        <f t="shared" si="676"/>
        <v>0</v>
      </c>
      <c r="E2361" s="293"/>
      <c r="F2361" s="346">
        <f t="shared" si="677"/>
        <v>0</v>
      </c>
      <c r="G2361" s="347">
        <f t="shared" si="678"/>
        <v>0</v>
      </c>
    </row>
    <row r="2362" spans="1:7" ht="18.95" customHeight="1" x14ac:dyDescent="0.2">
      <c r="A2362" s="348" t="str">
        <f t="shared" si="674"/>
        <v/>
      </c>
      <c r="B2362" s="290" t="str">
        <f t="shared" si="675"/>
        <v/>
      </c>
      <c r="C2362" s="290"/>
      <c r="D2362" s="608">
        <f t="shared" si="676"/>
        <v>0</v>
      </c>
      <c r="E2362" s="293"/>
      <c r="F2362" s="346">
        <f t="shared" si="677"/>
        <v>0</v>
      </c>
      <c r="G2362" s="347">
        <f t="shared" si="678"/>
        <v>0</v>
      </c>
    </row>
    <row r="2363" spans="1:7" ht="18.95" customHeight="1" x14ac:dyDescent="0.2">
      <c r="A2363" s="348" t="str">
        <f t="shared" si="674"/>
        <v/>
      </c>
      <c r="B2363" s="290" t="str">
        <f t="shared" si="675"/>
        <v/>
      </c>
      <c r="C2363" s="290"/>
      <c r="D2363" s="608">
        <f t="shared" si="676"/>
        <v>0</v>
      </c>
      <c r="E2363" s="293"/>
      <c r="F2363" s="346">
        <f t="shared" si="677"/>
        <v>0</v>
      </c>
      <c r="G2363" s="347">
        <f t="shared" si="678"/>
        <v>0</v>
      </c>
    </row>
    <row r="2364" spans="1:7" ht="18.95" customHeight="1" x14ac:dyDescent="0.2">
      <c r="A2364" s="348" t="str">
        <f t="shared" si="674"/>
        <v/>
      </c>
      <c r="B2364" s="290" t="str">
        <f t="shared" si="675"/>
        <v/>
      </c>
      <c r="C2364" s="290"/>
      <c r="D2364" s="608">
        <f t="shared" si="676"/>
        <v>0</v>
      </c>
      <c r="E2364" s="293"/>
      <c r="F2364" s="346">
        <f t="shared" si="677"/>
        <v>0</v>
      </c>
      <c r="G2364" s="347">
        <f t="shared" si="678"/>
        <v>0</v>
      </c>
    </row>
    <row r="2365" spans="1:7" ht="18.95" customHeight="1" x14ac:dyDescent="0.2">
      <c r="A2365" s="348" t="str">
        <f t="shared" si="674"/>
        <v/>
      </c>
      <c r="B2365" s="290" t="str">
        <f t="shared" si="675"/>
        <v/>
      </c>
      <c r="C2365" s="290"/>
      <c r="D2365" s="608">
        <f t="shared" si="676"/>
        <v>0</v>
      </c>
      <c r="E2365" s="293"/>
      <c r="F2365" s="346">
        <f t="shared" si="677"/>
        <v>0</v>
      </c>
      <c r="G2365" s="347">
        <f t="shared" si="678"/>
        <v>0</v>
      </c>
    </row>
    <row r="2366" spans="1:7" s="295" customFormat="1" ht="18.95" customHeight="1" x14ac:dyDescent="0.2">
      <c r="A2366" s="348" t="str">
        <f t="shared" si="674"/>
        <v/>
      </c>
      <c r="B2366" s="290" t="str">
        <f t="shared" si="675"/>
        <v/>
      </c>
      <c r="C2366" s="290"/>
      <c r="D2366" s="608">
        <f t="shared" si="676"/>
        <v>0</v>
      </c>
      <c r="E2366" s="323"/>
      <c r="F2366" s="346">
        <f t="shared" si="677"/>
        <v>0</v>
      </c>
      <c r="G2366" s="347">
        <f t="shared" si="678"/>
        <v>0</v>
      </c>
    </row>
    <row r="2367" spans="1:7" ht="18.95" customHeight="1" x14ac:dyDescent="0.2">
      <c r="A2367" s="348" t="str">
        <f t="shared" si="674"/>
        <v/>
      </c>
      <c r="B2367" s="290" t="str">
        <f t="shared" si="675"/>
        <v/>
      </c>
      <c r="C2367" s="290"/>
      <c r="D2367" s="608">
        <f t="shared" si="676"/>
        <v>0</v>
      </c>
      <c r="E2367" s="293"/>
      <c r="F2367" s="346">
        <f t="shared" si="677"/>
        <v>0</v>
      </c>
      <c r="G2367" s="347">
        <f t="shared" si="678"/>
        <v>0</v>
      </c>
    </row>
    <row r="2368" spans="1:7" ht="18.95" customHeight="1" x14ac:dyDescent="0.2">
      <c r="A2368" s="348" t="str">
        <f t="shared" si="674"/>
        <v/>
      </c>
      <c r="B2368" s="290" t="str">
        <f t="shared" si="675"/>
        <v/>
      </c>
      <c r="C2368" s="290"/>
      <c r="D2368" s="608">
        <f t="shared" si="676"/>
        <v>0</v>
      </c>
      <c r="E2368" s="293"/>
      <c r="F2368" s="346">
        <f t="shared" si="677"/>
        <v>0</v>
      </c>
      <c r="G2368" s="347">
        <f t="shared" si="678"/>
        <v>0</v>
      </c>
    </row>
    <row r="2369" spans="1:8" ht="18.95" customHeight="1" x14ac:dyDescent="0.2">
      <c r="A2369" s="348" t="str">
        <f t="shared" si="674"/>
        <v/>
      </c>
      <c r="B2369" s="290" t="str">
        <f t="shared" si="675"/>
        <v/>
      </c>
      <c r="C2369" s="290"/>
      <c r="D2369" s="608">
        <f t="shared" si="676"/>
        <v>0</v>
      </c>
      <c r="E2369" s="293"/>
      <c r="F2369" s="346">
        <f t="shared" si="677"/>
        <v>0</v>
      </c>
      <c r="G2369" s="347">
        <f t="shared" si="678"/>
        <v>0</v>
      </c>
    </row>
    <row r="2370" spans="1:8" ht="18.95" customHeight="1" x14ac:dyDescent="0.2">
      <c r="A2370" s="348" t="str">
        <f t="shared" si="674"/>
        <v/>
      </c>
      <c r="B2370" s="290" t="str">
        <f t="shared" si="675"/>
        <v/>
      </c>
      <c r="C2370" s="290"/>
      <c r="D2370" s="608">
        <f t="shared" si="676"/>
        <v>0</v>
      </c>
      <c r="E2370" s="293"/>
      <c r="F2370" s="346">
        <f t="shared" si="677"/>
        <v>0</v>
      </c>
      <c r="G2370" s="347">
        <f t="shared" si="678"/>
        <v>0</v>
      </c>
    </row>
    <row r="2371" spans="1:8" ht="18.95" customHeight="1" x14ac:dyDescent="0.2">
      <c r="A2371" s="156"/>
      <c r="B2371" s="142"/>
      <c r="C2371" s="142"/>
      <c r="D2371" s="150"/>
      <c r="E2371" s="143"/>
      <c r="F2371" s="356" t="s">
        <v>31</v>
      </c>
      <c r="G2371" s="355">
        <f>SUBTOTAL(9,G2359:G2370)</f>
        <v>0</v>
      </c>
    </row>
    <row r="2372" spans="1:8" ht="18.95" customHeight="1" x14ac:dyDescent="0.2">
      <c r="A2372" s="156"/>
      <c r="B2372" s="142"/>
      <c r="C2372" s="157" t="s">
        <v>1048</v>
      </c>
      <c r="D2372" s="150"/>
      <c r="E2372" s="327"/>
      <c r="F2372" s="327"/>
      <c r="G2372" s="342"/>
    </row>
    <row r="2373" spans="1:8" ht="18.95" customHeight="1" x14ac:dyDescent="0.2">
      <c r="A2373" s="735" t="s">
        <v>582</v>
      </c>
      <c r="B2373" s="736"/>
      <c r="C2373" s="737" t="s">
        <v>0</v>
      </c>
      <c r="D2373" s="739" t="s">
        <v>1750</v>
      </c>
      <c r="E2373" s="741" t="s">
        <v>26</v>
      </c>
      <c r="F2373" s="741" t="s">
        <v>27</v>
      </c>
      <c r="G2373" s="733" t="s">
        <v>28</v>
      </c>
    </row>
    <row r="2374" spans="1:8" ht="18.95" customHeight="1" x14ac:dyDescent="0.2">
      <c r="A2374" s="154" t="s">
        <v>583</v>
      </c>
      <c r="B2374" s="155" t="s">
        <v>584</v>
      </c>
      <c r="C2374" s="738"/>
      <c r="D2374" s="740"/>
      <c r="E2374" s="742"/>
      <c r="F2374" s="742"/>
      <c r="G2374" s="734"/>
    </row>
    <row r="2375" spans="1:8" ht="18.95" customHeight="1" x14ac:dyDescent="0.2">
      <c r="A2375" s="348" t="str">
        <f>IFERROR(VLOOKUP(C2375,Tabla_Insumos,4,FALSE),"")</f>
        <v/>
      </c>
      <c r="B2375" s="290" t="s">
        <v>4</v>
      </c>
      <c r="C2375" s="290"/>
      <c r="D2375" s="293"/>
      <c r="E2375" s="322"/>
      <c r="F2375" s="324"/>
      <c r="G2375" s="347">
        <f t="shared" ref="G2375" si="679">ROUND(E2375*F2375,2)</f>
        <v>0</v>
      </c>
    </row>
    <row r="2376" spans="1:8" ht="18.95" customHeight="1" x14ac:dyDescent="0.2">
      <c r="A2376" s="156"/>
      <c r="B2376" s="142"/>
      <c r="C2376" s="142"/>
      <c r="D2376" s="150"/>
      <c r="E2376" s="143"/>
      <c r="F2376" s="356" t="s">
        <v>1049</v>
      </c>
      <c r="G2376" s="355">
        <f>SUBTOTAL(9,G2375:G2375)</f>
        <v>0</v>
      </c>
    </row>
    <row r="2377" spans="1:8" ht="18.95" customHeight="1" thickBot="1" x14ac:dyDescent="0.25">
      <c r="A2377" s="158"/>
      <c r="B2377" s="159"/>
      <c r="C2377" s="160"/>
      <c r="D2377" s="161"/>
      <c r="E2377" s="357"/>
      <c r="F2377" s="357"/>
      <c r="G2377" s="358"/>
    </row>
    <row r="2378" spans="1:8" ht="18.95" customHeight="1" x14ac:dyDescent="0.2">
      <c r="A2378" s="359">
        <f>B2317</f>
        <v>33</v>
      </c>
      <c r="B2378" s="360" t="str">
        <f>C2317</f>
        <v>AMPLIACIÓN Y MEJORAMIENTO DE RED DE AGUA POTABLE</v>
      </c>
      <c r="C2378" s="361"/>
      <c r="D2378" s="361"/>
      <c r="E2378" s="361" t="s">
        <v>1050</v>
      </c>
      <c r="F2378" s="362" t="str">
        <f>CONCATENATE("$/",G2317)</f>
        <v>$/Gl</v>
      </c>
      <c r="G2378" s="363">
        <f>SUBTOTAL(9,G2337:G2377)</f>
        <v>0</v>
      </c>
    </row>
    <row r="2379" spans="1:8" ht="18.95" customHeight="1" thickBot="1" x14ac:dyDescent="0.25">
      <c r="A2379" s="364"/>
      <c r="B2379" s="365"/>
      <c r="C2379" s="365"/>
      <c r="D2379" s="365"/>
      <c r="E2379" s="366" t="s">
        <v>1051</v>
      </c>
      <c r="F2379" s="367" t="str">
        <f>CONCATENATE("$/",G2317)</f>
        <v>$/Gl</v>
      </c>
      <c r="G2379" s="368" t="e">
        <f ca="1">PrecioUnitario(G2378,GG_Porcentaje,Beneficio,Ingresos_Brutos,IVA)</f>
        <v>#NAME?</v>
      </c>
    </row>
    <row r="2380" spans="1:8" ht="18.95" customHeight="1" thickTop="1" thickBot="1" x14ac:dyDescent="0.25">
      <c r="F2380" s="294"/>
      <c r="G2380" s="294"/>
    </row>
    <row r="2381" spans="1:8" ht="18.95" customHeight="1" thickTop="1" x14ac:dyDescent="0.2">
      <c r="A2381" s="194" t="s">
        <v>33</v>
      </c>
      <c r="B2381" s="195"/>
      <c r="C2381" s="195"/>
      <c r="D2381" s="195"/>
      <c r="E2381" s="195"/>
      <c r="F2381" s="195"/>
      <c r="G2381" s="196"/>
      <c r="H2381" s="143">
        <f>COUNTIF($A$1:A2387,"ANALISIS DE PRECIOS")</f>
        <v>35</v>
      </c>
    </row>
    <row r="2382" spans="1:8" ht="18.95" customHeight="1" x14ac:dyDescent="0.2">
      <c r="A2382" s="144" t="s">
        <v>720</v>
      </c>
      <c r="B2382" s="145" t="str">
        <f>Comitente</f>
        <v>DIRECCIÓN PROVINCIAL DE VIALIDAD</v>
      </c>
      <c r="C2382" s="139"/>
      <c r="D2382" s="146"/>
      <c r="E2382" s="325"/>
      <c r="F2382" s="325"/>
      <c r="G2382" s="326"/>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PAVIMENTACION Y ENSANCHE DE RUTA PROVINCIAL N°7 AV. JOAQUIN UÑAC</v>
      </c>
      <c r="C2384" s="140"/>
      <c r="D2384" s="140"/>
      <c r="E2384" s="143"/>
      <c r="F2384" s="145" t="s">
        <v>34</v>
      </c>
      <c r="G2384" s="147">
        <f>Fecha_Base</f>
        <v>43444</v>
      </c>
      <c r="H2384" s="143"/>
    </row>
    <row r="2385" spans="1:8" ht="18.95" customHeight="1" x14ac:dyDescent="0.2">
      <c r="A2385" s="148" t="s">
        <v>719</v>
      </c>
      <c r="B2385" s="141" t="str">
        <f>Ubicación</f>
        <v>DEPARTAMENTO POCITO</v>
      </c>
      <c r="C2385" s="141"/>
      <c r="D2385" s="150"/>
      <c r="E2385" s="143"/>
      <c r="F2385" s="327"/>
      <c r="G2385" s="328"/>
      <c r="H2385" s="143"/>
    </row>
    <row r="2386" spans="1:8" ht="18.95" customHeight="1" x14ac:dyDescent="0.2">
      <c r="A2386" s="148" t="s">
        <v>35</v>
      </c>
      <c r="B2386" s="151" t="str">
        <f>IFERROR(VALUE(LEFT(B2387,FIND("-",B2387)-1)),"")</f>
        <v/>
      </c>
      <c r="C2386" s="142" t="str">
        <f>IFERROR(VLOOKUP(B2386,Tabla_CyP,2,FALSE),"")</f>
        <v/>
      </c>
      <c r="D2386" s="150"/>
      <c r="E2386" s="143"/>
      <c r="F2386" s="327"/>
      <c r="G2386" s="328"/>
      <c r="H2386" s="143"/>
    </row>
    <row r="2387" spans="1:8" ht="18.95" customHeight="1" x14ac:dyDescent="0.2">
      <c r="A2387" s="148" t="s">
        <v>24</v>
      </c>
      <c r="B2387" s="152">
        <f>IFERROR(VLOOKUP(COUNTIF($A$1:A2387,"ANALISIS DE PRECIOS"),Tabla_NumeroItem,4,FALSE),"")</f>
        <v>34</v>
      </c>
      <c r="C2387" s="745" t="str">
        <f>IFERROR(VLOOKUP(B2387,Tabla_CyP,2,FALSE),"")</f>
        <v>PROYECYO Y CONSTRUCCIÓN DE OBRAS DE ILUMINACIÓN</v>
      </c>
      <c r="D2387" s="745"/>
      <c r="E2387" s="745"/>
      <c r="F2387" s="141" t="s">
        <v>25</v>
      </c>
      <c r="G2387" s="153" t="str">
        <f>IFERROR(VLOOKUP(B2387,Tabla_CyP,4,FALSE),"")</f>
        <v>Gl</v>
      </c>
      <c r="H2387" s="143"/>
    </row>
    <row r="2388" spans="1:8" ht="18.95" customHeight="1" x14ac:dyDescent="0.2">
      <c r="A2388" s="148"/>
      <c r="B2388" s="141"/>
      <c r="C2388" s="142"/>
      <c r="D2388" s="150"/>
      <c r="E2388" s="142"/>
      <c r="F2388" s="142"/>
      <c r="G2388" s="329"/>
      <c r="H2388" s="143"/>
    </row>
    <row r="2389" spans="1:8" ht="18.95" customHeight="1" x14ac:dyDescent="0.2">
      <c r="A2389" s="330"/>
      <c r="B2389" s="331"/>
      <c r="C2389" s="332" t="s">
        <v>1032</v>
      </c>
      <c r="D2389" s="331"/>
      <c r="E2389" s="331"/>
      <c r="F2389" s="331"/>
      <c r="G2389" s="333"/>
      <c r="H2389" s="143"/>
    </row>
    <row r="2390" spans="1:8" ht="18.95" customHeight="1" x14ac:dyDescent="0.2">
      <c r="A2390" s="148"/>
      <c r="B2390" s="334"/>
      <c r="C2390" s="335" t="s">
        <v>1033</v>
      </c>
      <c r="D2390" s="336" t="s">
        <v>26</v>
      </c>
      <c r="E2390" s="336" t="s">
        <v>1034</v>
      </c>
      <c r="F2390" s="336" t="s">
        <v>1035</v>
      </c>
      <c r="G2390" s="337" t="s">
        <v>1036</v>
      </c>
      <c r="H2390" s="143"/>
    </row>
    <row r="2391" spans="1:8" ht="18.95" customHeight="1" x14ac:dyDescent="0.2">
      <c r="A2391" s="343"/>
      <c r="B2391" s="344"/>
      <c r="C2391" s="290"/>
      <c r="D2391" s="293"/>
      <c r="E2391" s="345"/>
      <c r="F2391" s="346"/>
      <c r="G2391" s="347">
        <f t="shared" ref="G2391:G2400" si="680">ROUND(D2391*F2391,2)</f>
        <v>0</v>
      </c>
    </row>
    <row r="2392" spans="1:8" ht="18.95" customHeight="1" x14ac:dyDescent="0.2">
      <c r="A2392" s="343"/>
      <c r="B2392" s="344"/>
      <c r="C2392" s="290"/>
      <c r="D2392" s="293"/>
      <c r="E2392" s="345"/>
      <c r="F2392" s="346"/>
      <c r="G2392" s="347">
        <f t="shared" si="680"/>
        <v>0</v>
      </c>
    </row>
    <row r="2393" spans="1:8" ht="18.95" customHeight="1" x14ac:dyDescent="0.2">
      <c r="A2393" s="343"/>
      <c r="B2393" s="344"/>
      <c r="C2393" s="290"/>
      <c r="D2393" s="293"/>
      <c r="E2393" s="345">
        <f t="shared" ref="E2393:E2400" si="681">IFERROR(VLOOKUP(C2393,T_Equipos,4,FALSE),0)</f>
        <v>0</v>
      </c>
      <c r="F2393" s="346">
        <f t="shared" ref="F2393:F2400" si="682">IFERROR(VLOOKUP(C2393,T_Equipos,11,FALSE),0)</f>
        <v>0</v>
      </c>
      <c r="G2393" s="347">
        <f t="shared" si="680"/>
        <v>0</v>
      </c>
    </row>
    <row r="2394" spans="1:8" ht="18.95" customHeight="1" x14ac:dyDescent="0.2">
      <c r="A2394" s="343"/>
      <c r="B2394" s="344"/>
      <c r="C2394" s="290"/>
      <c r="D2394" s="293"/>
      <c r="E2394" s="345">
        <f t="shared" si="681"/>
        <v>0</v>
      </c>
      <c r="F2394" s="346">
        <f t="shared" si="682"/>
        <v>0</v>
      </c>
      <c r="G2394" s="347">
        <f t="shared" si="680"/>
        <v>0</v>
      </c>
    </row>
    <row r="2395" spans="1:8" ht="18.95" customHeight="1" x14ac:dyDescent="0.2">
      <c r="A2395" s="343"/>
      <c r="B2395" s="344"/>
      <c r="C2395" s="290"/>
      <c r="D2395" s="293"/>
      <c r="E2395" s="345">
        <f t="shared" si="681"/>
        <v>0</v>
      </c>
      <c r="F2395" s="346">
        <f t="shared" si="682"/>
        <v>0</v>
      </c>
      <c r="G2395" s="347">
        <f t="shared" si="680"/>
        <v>0</v>
      </c>
    </row>
    <row r="2396" spans="1:8" ht="18.95" customHeight="1" x14ac:dyDescent="0.2">
      <c r="A2396" s="343"/>
      <c r="B2396" s="344"/>
      <c r="C2396" s="290"/>
      <c r="D2396" s="293"/>
      <c r="E2396" s="345">
        <f t="shared" si="681"/>
        <v>0</v>
      </c>
      <c r="F2396" s="346">
        <f t="shared" si="682"/>
        <v>0</v>
      </c>
      <c r="G2396" s="347">
        <f t="shared" si="680"/>
        <v>0</v>
      </c>
    </row>
    <row r="2397" spans="1:8" ht="18.95" customHeight="1" x14ac:dyDescent="0.2">
      <c r="A2397" s="343"/>
      <c r="B2397" s="344"/>
      <c r="C2397" s="290"/>
      <c r="D2397" s="293"/>
      <c r="E2397" s="345">
        <f t="shared" si="681"/>
        <v>0</v>
      </c>
      <c r="F2397" s="346">
        <f t="shared" si="682"/>
        <v>0</v>
      </c>
      <c r="G2397" s="347">
        <f t="shared" si="680"/>
        <v>0</v>
      </c>
    </row>
    <row r="2398" spans="1:8" ht="18.95" customHeight="1" x14ac:dyDescent="0.2">
      <c r="A2398" s="343"/>
      <c r="B2398" s="344"/>
      <c r="C2398" s="290"/>
      <c r="D2398" s="293"/>
      <c r="E2398" s="345">
        <f t="shared" si="681"/>
        <v>0</v>
      </c>
      <c r="F2398" s="346">
        <f t="shared" si="682"/>
        <v>0</v>
      </c>
      <c r="G2398" s="347">
        <f t="shared" si="680"/>
        <v>0</v>
      </c>
    </row>
    <row r="2399" spans="1:8" ht="18.95" customHeight="1" x14ac:dyDescent="0.2">
      <c r="A2399" s="343"/>
      <c r="B2399" s="344"/>
      <c r="C2399" s="290"/>
      <c r="D2399" s="293"/>
      <c r="E2399" s="345">
        <f t="shared" si="681"/>
        <v>0</v>
      </c>
      <c r="F2399" s="346">
        <f t="shared" si="682"/>
        <v>0</v>
      </c>
      <c r="G2399" s="347">
        <f t="shared" si="680"/>
        <v>0</v>
      </c>
    </row>
    <row r="2400" spans="1:8" ht="18.95" customHeight="1" thickBot="1" x14ac:dyDescent="0.25">
      <c r="A2400" s="343"/>
      <c r="B2400" s="344"/>
      <c r="C2400" s="290"/>
      <c r="D2400" s="293"/>
      <c r="E2400" s="345">
        <f t="shared" si="681"/>
        <v>0</v>
      </c>
      <c r="F2400" s="346">
        <f t="shared" si="682"/>
        <v>0</v>
      </c>
      <c r="G2400" s="347">
        <f t="shared" si="680"/>
        <v>0</v>
      </c>
    </row>
    <row r="2401" spans="1:7" ht="18.95" customHeight="1" thickBot="1" x14ac:dyDescent="0.25">
      <c r="A2401" s="148"/>
      <c r="B2401" s="334"/>
      <c r="C2401" s="143"/>
      <c r="D2401" s="146" t="s">
        <v>1037</v>
      </c>
      <c r="E2401" s="338">
        <f>SUMPRODUCT(D2391:D2400,E2391:E2400)</f>
        <v>0</v>
      </c>
      <c r="F2401" s="141" t="s">
        <v>1038</v>
      </c>
      <c r="G2401" s="339">
        <f>SUM(G2391:G2400)</f>
        <v>0</v>
      </c>
    </row>
    <row r="2402" spans="1:7" ht="18.95" customHeight="1" x14ac:dyDescent="0.2">
      <c r="A2402" s="148"/>
      <c r="B2402" s="334"/>
      <c r="C2402" s="141" t="s">
        <v>1039</v>
      </c>
      <c r="D2402" s="320"/>
      <c r="E2402" s="340" t="str">
        <f>CONCATENATE(G2387,"/día")</f>
        <v>Gl/día</v>
      </c>
      <c r="F2402" s="141"/>
      <c r="G2402" s="341"/>
    </row>
    <row r="2403" spans="1:7" ht="18.95" customHeight="1" x14ac:dyDescent="0.2">
      <c r="A2403" s="148"/>
      <c r="B2403" s="334"/>
      <c r="C2403" s="142"/>
      <c r="D2403" s="150"/>
      <c r="E2403" s="141"/>
      <c r="F2403" s="141"/>
      <c r="G2403" s="341"/>
    </row>
    <row r="2404" spans="1:7" ht="18.95" customHeight="1" x14ac:dyDescent="0.2">
      <c r="A2404" s="735" t="s">
        <v>582</v>
      </c>
      <c r="B2404" s="736"/>
      <c r="C2404" s="737" t="s">
        <v>0</v>
      </c>
      <c r="D2404" s="743" t="s">
        <v>1053</v>
      </c>
      <c r="E2404" s="743" t="s">
        <v>1706</v>
      </c>
      <c r="F2404" s="743" t="s">
        <v>1054</v>
      </c>
      <c r="G2404" s="743" t="s">
        <v>1055</v>
      </c>
    </row>
    <row r="2405" spans="1:7" ht="18.95" customHeight="1" x14ac:dyDescent="0.2">
      <c r="A2405" s="154" t="s">
        <v>583</v>
      </c>
      <c r="B2405" s="155" t="s">
        <v>584</v>
      </c>
      <c r="C2405" s="738"/>
      <c r="D2405" s="742"/>
      <c r="E2405" s="742"/>
      <c r="F2405" s="744"/>
      <c r="G2405" s="742"/>
    </row>
    <row r="2406" spans="1:7" ht="18.95" customHeight="1" x14ac:dyDescent="0.2">
      <c r="A2406" s="156"/>
      <c r="B2406" s="142"/>
      <c r="C2406" s="157" t="s">
        <v>1041</v>
      </c>
      <c r="D2406" s="150"/>
      <c r="E2406" s="142"/>
      <c r="F2406" s="142"/>
      <c r="G2406" s="342"/>
    </row>
    <row r="2407" spans="1:7" ht="18.95" customHeight="1" x14ac:dyDescent="0.2">
      <c r="A2407" s="348" t="str">
        <f t="shared" ref="A2407:A2414" si="683">IFERROR(VLOOKUP(C2407,Tabla_Insumos,4,FALSE),"")</f>
        <v/>
      </c>
      <c r="B2407" s="290" t="str">
        <f t="shared" ref="B2407:B2414" si="684">IFERROR(VLOOKUP(C2407,Tabla_Insumos,5,FALSE),"")</f>
        <v/>
      </c>
      <c r="C2407" s="290"/>
      <c r="D2407" s="607">
        <f t="shared" ref="D2407:D2414" si="685">IFERROR(VLOOKUP(C2407,Tabla_Insumos,3,FALSE),0)</f>
        <v>0</v>
      </c>
      <c r="E2407" s="349">
        <f>D2407*$G$21</f>
        <v>0</v>
      </c>
      <c r="F2407" s="350">
        <f>IF(C2407="",0,D2402)</f>
        <v>0</v>
      </c>
      <c r="G2407" s="347">
        <f>IFERROR(ROUND(E2407/F2407,2),0)</f>
        <v>0</v>
      </c>
    </row>
    <row r="2408" spans="1:7" ht="18.95" customHeight="1" x14ac:dyDescent="0.2">
      <c r="A2408" s="348" t="str">
        <f t="shared" si="683"/>
        <v/>
      </c>
      <c r="B2408" s="290" t="str">
        <f t="shared" si="684"/>
        <v/>
      </c>
      <c r="C2408" s="321"/>
      <c r="D2408" s="607">
        <f t="shared" si="685"/>
        <v>0</v>
      </c>
      <c r="E2408" s="349">
        <f t="shared" ref="E2408:E2409" si="686">D2408*$G$21</f>
        <v>0</v>
      </c>
      <c r="F2408" s="350">
        <f t="shared" ref="F2408:F2411" si="687">IF(C2408="",0,F2407)</f>
        <v>0</v>
      </c>
      <c r="G2408" s="347">
        <f t="shared" ref="G2408:G2414" si="688">IFERROR(ROUND(E2408/F2408,2),0)</f>
        <v>0</v>
      </c>
    </row>
    <row r="2409" spans="1:7" ht="18.95" customHeight="1" x14ac:dyDescent="0.2">
      <c r="A2409" s="348" t="str">
        <f t="shared" si="683"/>
        <v/>
      </c>
      <c r="B2409" s="290" t="str">
        <f t="shared" si="684"/>
        <v/>
      </c>
      <c r="C2409" s="321"/>
      <c r="D2409" s="607">
        <f t="shared" si="685"/>
        <v>0</v>
      </c>
      <c r="E2409" s="349">
        <f t="shared" si="686"/>
        <v>0</v>
      </c>
      <c r="F2409" s="350">
        <f t="shared" si="687"/>
        <v>0</v>
      </c>
      <c r="G2409" s="347">
        <f t="shared" si="688"/>
        <v>0</v>
      </c>
    </row>
    <row r="2410" spans="1:7" ht="18.95" customHeight="1" x14ac:dyDescent="0.2">
      <c r="A2410" s="348" t="str">
        <f t="shared" si="683"/>
        <v/>
      </c>
      <c r="B2410" s="290" t="str">
        <f t="shared" si="684"/>
        <v/>
      </c>
      <c r="C2410" s="321"/>
      <c r="D2410" s="607">
        <f t="shared" si="685"/>
        <v>0</v>
      </c>
      <c r="E2410" s="349">
        <f>D2410*$E$21</f>
        <v>0</v>
      </c>
      <c r="F2410" s="350">
        <f t="shared" si="687"/>
        <v>0</v>
      </c>
      <c r="G2410" s="347">
        <f t="shared" si="688"/>
        <v>0</v>
      </c>
    </row>
    <row r="2411" spans="1:7" ht="18.95" customHeight="1" x14ac:dyDescent="0.2">
      <c r="A2411" s="348" t="str">
        <f t="shared" si="683"/>
        <v/>
      </c>
      <c r="B2411" s="290" t="str">
        <f t="shared" si="684"/>
        <v/>
      </c>
      <c r="C2411" s="321"/>
      <c r="D2411" s="607">
        <f t="shared" si="685"/>
        <v>0</v>
      </c>
      <c r="E2411" s="349">
        <f>D2411*$E$21</f>
        <v>0</v>
      </c>
      <c r="F2411" s="350">
        <f t="shared" si="687"/>
        <v>0</v>
      </c>
      <c r="G2411" s="347">
        <f t="shared" si="688"/>
        <v>0</v>
      </c>
    </row>
    <row r="2412" spans="1:7" ht="18.95" customHeight="1" x14ac:dyDescent="0.2">
      <c r="A2412" s="348" t="str">
        <f t="shared" si="683"/>
        <v/>
      </c>
      <c r="B2412" s="290" t="str">
        <f t="shared" si="684"/>
        <v/>
      </c>
      <c r="C2412" s="321"/>
      <c r="D2412" s="607">
        <f t="shared" si="685"/>
        <v>0</v>
      </c>
      <c r="E2412" s="349"/>
      <c r="F2412" s="350">
        <f>IF(C2412="",0,F2411)</f>
        <v>0</v>
      </c>
      <c r="G2412" s="347">
        <f t="shared" si="688"/>
        <v>0</v>
      </c>
    </row>
    <row r="2413" spans="1:7" ht="18.95" customHeight="1" x14ac:dyDescent="0.2">
      <c r="A2413" s="348" t="str">
        <f t="shared" si="683"/>
        <v/>
      </c>
      <c r="B2413" s="290" t="str">
        <f t="shared" si="684"/>
        <v/>
      </c>
      <c r="C2413" s="321"/>
      <c r="D2413" s="607">
        <f t="shared" si="685"/>
        <v>0</v>
      </c>
      <c r="E2413" s="349"/>
      <c r="F2413" s="350">
        <f t="shared" ref="F2413:F2414" si="689">IF(C2413="",0,F2412)</f>
        <v>0</v>
      </c>
      <c r="G2413" s="347">
        <f t="shared" si="688"/>
        <v>0</v>
      </c>
    </row>
    <row r="2414" spans="1:7" ht="18.95" customHeight="1" x14ac:dyDescent="0.2">
      <c r="A2414" s="348" t="str">
        <f t="shared" si="683"/>
        <v/>
      </c>
      <c r="B2414" s="290" t="str">
        <f t="shared" si="684"/>
        <v/>
      </c>
      <c r="C2414" s="321"/>
      <c r="D2414" s="607">
        <f t="shared" si="685"/>
        <v>0</v>
      </c>
      <c r="E2414" s="349"/>
      <c r="F2414" s="350">
        <f t="shared" si="689"/>
        <v>0</v>
      </c>
      <c r="G2414" s="347">
        <f t="shared" si="688"/>
        <v>0</v>
      </c>
    </row>
    <row r="2415" spans="1:7" ht="18.95" customHeight="1" x14ac:dyDescent="0.2">
      <c r="A2415" s="353"/>
      <c r="B2415" s="149"/>
      <c r="C2415" s="142"/>
      <c r="D2415" s="150"/>
      <c r="E2415" s="143"/>
      <c r="F2415" s="354" t="s">
        <v>29</v>
      </c>
      <c r="G2415" s="355">
        <f>SUBTOTAL(9,G2407:G2414)</f>
        <v>0</v>
      </c>
    </row>
    <row r="2416" spans="1:7" ht="18.95" customHeight="1" x14ac:dyDescent="0.2">
      <c r="A2416" s="156"/>
      <c r="B2416" s="142"/>
      <c r="C2416" s="157" t="s">
        <v>722</v>
      </c>
      <c r="D2416" s="150"/>
      <c r="E2416" s="327"/>
      <c r="F2416" s="327"/>
      <c r="G2416" s="342"/>
    </row>
    <row r="2417" spans="1:7" ht="18.95" customHeight="1" x14ac:dyDescent="0.2">
      <c r="A2417" s="735" t="s">
        <v>582</v>
      </c>
      <c r="B2417" s="736"/>
      <c r="C2417" s="737" t="s">
        <v>0</v>
      </c>
      <c r="D2417" s="739" t="s">
        <v>26</v>
      </c>
      <c r="E2417" s="743" t="s">
        <v>1707</v>
      </c>
      <c r="F2417" s="741" t="s">
        <v>1040</v>
      </c>
      <c r="G2417" s="733" t="s">
        <v>28</v>
      </c>
    </row>
    <row r="2418" spans="1:7" ht="18.95" customHeight="1" x14ac:dyDescent="0.2">
      <c r="A2418" s="154" t="s">
        <v>583</v>
      </c>
      <c r="B2418" s="155" t="s">
        <v>584</v>
      </c>
      <c r="C2418" s="738"/>
      <c r="D2418" s="740"/>
      <c r="E2418" s="742"/>
      <c r="F2418" s="742"/>
      <c r="G2418" s="734"/>
    </row>
    <row r="2419" spans="1:7" ht="18.95" customHeight="1" x14ac:dyDescent="0.2">
      <c r="A2419" s="348" t="str">
        <f t="shared" ref="A2419:A2424" si="690">IFERROR(VLOOKUP(C2419,Tabla_Insumos,4,FALSE),"")</f>
        <v/>
      </c>
      <c r="B2419" s="290" t="str">
        <f t="shared" ref="B2419:B2424" si="691">IFERROR(VLOOKUP(C2419,Tabla_Insumos,5,FALSE),"")</f>
        <v/>
      </c>
      <c r="C2419" s="291"/>
      <c r="D2419" s="293"/>
      <c r="E2419" s="346">
        <f t="shared" ref="E2419:E2424" si="692">IFERROR(VLOOKUP(C2419,Tabla_Insumos,3,FALSE),0)</f>
        <v>0</v>
      </c>
      <c r="F2419" s="349">
        <f>IF(C2419="",0,D2402)</f>
        <v>0</v>
      </c>
      <c r="G2419" s="347">
        <f t="shared" ref="G2419:G2424" si="693">IFERROR(ROUND(D2419*E2419/F2419,2),0)</f>
        <v>0</v>
      </c>
    </row>
    <row r="2420" spans="1:7" ht="18.95" customHeight="1" x14ac:dyDescent="0.2">
      <c r="A2420" s="348" t="str">
        <f t="shared" si="690"/>
        <v/>
      </c>
      <c r="B2420" s="290" t="str">
        <f t="shared" si="691"/>
        <v/>
      </c>
      <c r="C2420" s="290"/>
      <c r="D2420" s="293"/>
      <c r="E2420" s="346">
        <f t="shared" si="692"/>
        <v>0</v>
      </c>
      <c r="F2420" s="349">
        <f>IF(C2420="",0,F2419)</f>
        <v>0</v>
      </c>
      <c r="G2420" s="347">
        <f t="shared" si="693"/>
        <v>0</v>
      </c>
    </row>
    <row r="2421" spans="1:7" ht="18.95" customHeight="1" x14ac:dyDescent="0.2">
      <c r="A2421" s="348" t="str">
        <f t="shared" si="690"/>
        <v/>
      </c>
      <c r="B2421" s="290" t="str">
        <f t="shared" si="691"/>
        <v/>
      </c>
      <c r="C2421" s="290"/>
      <c r="D2421" s="293"/>
      <c r="E2421" s="346">
        <f t="shared" si="692"/>
        <v>0</v>
      </c>
      <c r="F2421" s="349">
        <f>IF(C2421="",0,F2420)</f>
        <v>0</v>
      </c>
      <c r="G2421" s="347">
        <f t="shared" si="693"/>
        <v>0</v>
      </c>
    </row>
    <row r="2422" spans="1:7" ht="18.95" customHeight="1" x14ac:dyDescent="0.2">
      <c r="A2422" s="348" t="str">
        <f t="shared" si="690"/>
        <v/>
      </c>
      <c r="B2422" s="290" t="str">
        <f t="shared" si="691"/>
        <v/>
      </c>
      <c r="C2422" s="290"/>
      <c r="D2422" s="293"/>
      <c r="E2422" s="346">
        <f t="shared" si="692"/>
        <v>0</v>
      </c>
      <c r="F2422" s="349">
        <f>IF(C2422="",0,F2421)</f>
        <v>0</v>
      </c>
      <c r="G2422" s="347">
        <f t="shared" si="693"/>
        <v>0</v>
      </c>
    </row>
    <row r="2423" spans="1:7" ht="18.95" customHeight="1" x14ac:dyDescent="0.2">
      <c r="A2423" s="348" t="str">
        <f t="shared" si="690"/>
        <v/>
      </c>
      <c r="B2423" s="290" t="str">
        <f t="shared" si="691"/>
        <v/>
      </c>
      <c r="C2423" s="290"/>
      <c r="D2423" s="351"/>
      <c r="E2423" s="346">
        <f t="shared" si="692"/>
        <v>0</v>
      </c>
      <c r="F2423" s="349">
        <f>IF(C2423="",0,F2422)</f>
        <v>0</v>
      </c>
      <c r="G2423" s="347">
        <f t="shared" si="693"/>
        <v>0</v>
      </c>
    </row>
    <row r="2424" spans="1:7" ht="18.95" customHeight="1" x14ac:dyDescent="0.2">
      <c r="A2424" s="348" t="str">
        <f t="shared" si="690"/>
        <v/>
      </c>
      <c r="B2424" s="290" t="str">
        <f t="shared" si="691"/>
        <v/>
      </c>
      <c r="C2424" s="290"/>
      <c r="D2424" s="293"/>
      <c r="E2424" s="346">
        <f t="shared" si="692"/>
        <v>0</v>
      </c>
      <c r="F2424" s="349">
        <f>IF(C2424="",0,F2423)</f>
        <v>0</v>
      </c>
      <c r="G2424" s="347">
        <f t="shared" si="693"/>
        <v>0</v>
      </c>
    </row>
    <row r="2425" spans="1:7" ht="18.95" customHeight="1" x14ac:dyDescent="0.2">
      <c r="A2425" s="353"/>
      <c r="B2425" s="149"/>
      <c r="C2425" s="142"/>
      <c r="D2425" s="150"/>
      <c r="E2425" s="143"/>
      <c r="F2425" s="356" t="s">
        <v>30</v>
      </c>
      <c r="G2425" s="355">
        <f>SUBTOTAL(9,G2419:G2424)</f>
        <v>0</v>
      </c>
    </row>
    <row r="2426" spans="1:7" ht="18.95" customHeight="1" x14ac:dyDescent="0.2">
      <c r="A2426" s="156"/>
      <c r="B2426" s="142"/>
      <c r="C2426" s="157" t="s">
        <v>1047</v>
      </c>
      <c r="D2426" s="150"/>
      <c r="E2426" s="327"/>
      <c r="F2426" s="327"/>
      <c r="G2426" s="342"/>
    </row>
    <row r="2427" spans="1:7" ht="18.95" customHeight="1" x14ac:dyDescent="0.2">
      <c r="A2427" s="735" t="s">
        <v>582</v>
      </c>
      <c r="B2427" s="736"/>
      <c r="C2427" s="737" t="s">
        <v>0</v>
      </c>
      <c r="D2427" s="737" t="s">
        <v>1655</v>
      </c>
      <c r="E2427" s="737" t="s">
        <v>26</v>
      </c>
      <c r="F2427" s="737" t="s">
        <v>27</v>
      </c>
      <c r="G2427" s="733" t="s">
        <v>28</v>
      </c>
    </row>
    <row r="2428" spans="1:7" ht="18.95" customHeight="1" x14ac:dyDescent="0.2">
      <c r="A2428" s="154" t="s">
        <v>583</v>
      </c>
      <c r="B2428" s="155" t="s">
        <v>584</v>
      </c>
      <c r="C2428" s="738"/>
      <c r="D2428" s="738"/>
      <c r="E2428" s="738"/>
      <c r="F2428" s="738"/>
      <c r="G2428" s="734"/>
    </row>
    <row r="2429" spans="1:7" ht="18.95" customHeight="1" x14ac:dyDescent="0.2">
      <c r="A2429" s="348" t="str">
        <f t="shared" ref="A2429:A2440" si="694">IFERROR(VLOOKUP(C2429,Tabla_Insumos,4,FALSE),"")</f>
        <v/>
      </c>
      <c r="B2429" s="290" t="str">
        <f t="shared" ref="B2429:B2440" si="695">IFERROR(VLOOKUP(C2429,Tabla_Insumos,5,FALSE),"")</f>
        <v/>
      </c>
      <c r="C2429" s="290"/>
      <c r="D2429" s="608">
        <f t="shared" ref="D2429:D2440" si="696">IFERROR(VLOOKUP(C2429,Tabla_Insumos,2,FALSE),0)</f>
        <v>0</v>
      </c>
      <c r="E2429" s="293"/>
      <c r="F2429" s="346">
        <f t="shared" ref="F2429:F2440" si="697">IFERROR(VLOOKUP(C2429,Tabla_Insumos,3,FALSE),0)</f>
        <v>0</v>
      </c>
      <c r="G2429" s="347">
        <f t="shared" ref="G2429:G2440" si="698">ROUND(E2429*F2429,2)</f>
        <v>0</v>
      </c>
    </row>
    <row r="2430" spans="1:7" ht="18.95" customHeight="1" x14ac:dyDescent="0.2">
      <c r="A2430" s="348" t="str">
        <f t="shared" si="694"/>
        <v/>
      </c>
      <c r="B2430" s="290" t="str">
        <f t="shared" si="695"/>
        <v/>
      </c>
      <c r="C2430" s="126"/>
      <c r="D2430" s="608">
        <f t="shared" si="696"/>
        <v>0</v>
      </c>
      <c r="E2430" s="293"/>
      <c r="F2430" s="346">
        <f t="shared" si="697"/>
        <v>0</v>
      </c>
      <c r="G2430" s="347">
        <f t="shared" si="698"/>
        <v>0</v>
      </c>
    </row>
    <row r="2431" spans="1:7" ht="18.95" customHeight="1" x14ac:dyDescent="0.2">
      <c r="A2431" s="348" t="str">
        <f t="shared" si="694"/>
        <v/>
      </c>
      <c r="B2431" s="290" t="str">
        <f t="shared" si="695"/>
        <v/>
      </c>
      <c r="C2431" s="290"/>
      <c r="D2431" s="608">
        <f t="shared" si="696"/>
        <v>0</v>
      </c>
      <c r="E2431" s="293"/>
      <c r="F2431" s="346">
        <f t="shared" si="697"/>
        <v>0</v>
      </c>
      <c r="G2431" s="347">
        <f t="shared" si="698"/>
        <v>0</v>
      </c>
    </row>
    <row r="2432" spans="1:7" ht="18.95" customHeight="1" x14ac:dyDescent="0.2">
      <c r="A2432" s="348" t="str">
        <f t="shared" si="694"/>
        <v/>
      </c>
      <c r="B2432" s="290" t="str">
        <f t="shared" si="695"/>
        <v/>
      </c>
      <c r="C2432" s="290"/>
      <c r="D2432" s="608">
        <f t="shared" si="696"/>
        <v>0</v>
      </c>
      <c r="E2432" s="293"/>
      <c r="F2432" s="346">
        <f t="shared" si="697"/>
        <v>0</v>
      </c>
      <c r="G2432" s="347">
        <f t="shared" si="698"/>
        <v>0</v>
      </c>
    </row>
    <row r="2433" spans="1:7" ht="18.95" customHeight="1" x14ac:dyDescent="0.2">
      <c r="A2433" s="348" t="str">
        <f t="shared" si="694"/>
        <v/>
      </c>
      <c r="B2433" s="290" t="str">
        <f t="shared" si="695"/>
        <v/>
      </c>
      <c r="C2433" s="290"/>
      <c r="D2433" s="608">
        <f t="shared" si="696"/>
        <v>0</v>
      </c>
      <c r="E2433" s="293"/>
      <c r="F2433" s="346">
        <f t="shared" si="697"/>
        <v>0</v>
      </c>
      <c r="G2433" s="347">
        <f t="shared" si="698"/>
        <v>0</v>
      </c>
    </row>
    <row r="2434" spans="1:7" ht="18.95" customHeight="1" x14ac:dyDescent="0.2">
      <c r="A2434" s="348" t="str">
        <f t="shared" si="694"/>
        <v/>
      </c>
      <c r="B2434" s="290" t="str">
        <f t="shared" si="695"/>
        <v/>
      </c>
      <c r="C2434" s="290"/>
      <c r="D2434" s="608">
        <f t="shared" si="696"/>
        <v>0</v>
      </c>
      <c r="E2434" s="293"/>
      <c r="F2434" s="346">
        <f t="shared" si="697"/>
        <v>0</v>
      </c>
      <c r="G2434" s="347">
        <f t="shared" si="698"/>
        <v>0</v>
      </c>
    </row>
    <row r="2435" spans="1:7" ht="18.95" customHeight="1" x14ac:dyDescent="0.2">
      <c r="A2435" s="348" t="str">
        <f t="shared" si="694"/>
        <v/>
      </c>
      <c r="B2435" s="290" t="str">
        <f t="shared" si="695"/>
        <v/>
      </c>
      <c r="C2435" s="290"/>
      <c r="D2435" s="608">
        <f t="shared" si="696"/>
        <v>0</v>
      </c>
      <c r="E2435" s="293"/>
      <c r="F2435" s="346">
        <f t="shared" si="697"/>
        <v>0</v>
      </c>
      <c r="G2435" s="347">
        <f t="shared" si="698"/>
        <v>0</v>
      </c>
    </row>
    <row r="2436" spans="1:7" s="295" customFormat="1" ht="18.95" customHeight="1" x14ac:dyDescent="0.2">
      <c r="A2436" s="348" t="str">
        <f t="shared" si="694"/>
        <v/>
      </c>
      <c r="B2436" s="290" t="str">
        <f t="shared" si="695"/>
        <v/>
      </c>
      <c r="C2436" s="290"/>
      <c r="D2436" s="608">
        <f t="shared" si="696"/>
        <v>0</v>
      </c>
      <c r="E2436" s="323"/>
      <c r="F2436" s="346">
        <f t="shared" si="697"/>
        <v>0</v>
      </c>
      <c r="G2436" s="347">
        <f t="shared" si="698"/>
        <v>0</v>
      </c>
    </row>
    <row r="2437" spans="1:7" ht="18.95" customHeight="1" x14ac:dyDescent="0.2">
      <c r="A2437" s="348" t="str">
        <f t="shared" si="694"/>
        <v/>
      </c>
      <c r="B2437" s="290" t="str">
        <f t="shared" si="695"/>
        <v/>
      </c>
      <c r="C2437" s="290"/>
      <c r="D2437" s="608">
        <f t="shared" si="696"/>
        <v>0</v>
      </c>
      <c r="E2437" s="293"/>
      <c r="F2437" s="346">
        <f t="shared" si="697"/>
        <v>0</v>
      </c>
      <c r="G2437" s="347">
        <f t="shared" si="698"/>
        <v>0</v>
      </c>
    </row>
    <row r="2438" spans="1:7" ht="18.95" customHeight="1" x14ac:dyDescent="0.2">
      <c r="A2438" s="348" t="str">
        <f t="shared" si="694"/>
        <v/>
      </c>
      <c r="B2438" s="290" t="str">
        <f t="shared" si="695"/>
        <v/>
      </c>
      <c r="C2438" s="290"/>
      <c r="D2438" s="608">
        <f t="shared" si="696"/>
        <v>0</v>
      </c>
      <c r="E2438" s="293"/>
      <c r="F2438" s="346">
        <f t="shared" si="697"/>
        <v>0</v>
      </c>
      <c r="G2438" s="347">
        <f t="shared" si="698"/>
        <v>0</v>
      </c>
    </row>
    <row r="2439" spans="1:7" ht="18.95" customHeight="1" x14ac:dyDescent="0.2">
      <c r="A2439" s="348" t="str">
        <f t="shared" si="694"/>
        <v/>
      </c>
      <c r="B2439" s="290" t="str">
        <f t="shared" si="695"/>
        <v/>
      </c>
      <c r="C2439" s="290"/>
      <c r="D2439" s="608">
        <f t="shared" si="696"/>
        <v>0</v>
      </c>
      <c r="E2439" s="293"/>
      <c r="F2439" s="346">
        <f t="shared" si="697"/>
        <v>0</v>
      </c>
      <c r="G2439" s="347">
        <f t="shared" si="698"/>
        <v>0</v>
      </c>
    </row>
    <row r="2440" spans="1:7" ht="18.95" customHeight="1" x14ac:dyDescent="0.2">
      <c r="A2440" s="348" t="str">
        <f t="shared" si="694"/>
        <v/>
      </c>
      <c r="B2440" s="290" t="str">
        <f t="shared" si="695"/>
        <v/>
      </c>
      <c r="C2440" s="290"/>
      <c r="D2440" s="608">
        <f t="shared" si="696"/>
        <v>0</v>
      </c>
      <c r="E2440" s="293"/>
      <c r="F2440" s="346">
        <f t="shared" si="697"/>
        <v>0</v>
      </c>
      <c r="G2440" s="347">
        <f t="shared" si="698"/>
        <v>0</v>
      </c>
    </row>
    <row r="2441" spans="1:7" ht="18.95" customHeight="1" x14ac:dyDescent="0.2">
      <c r="A2441" s="156"/>
      <c r="B2441" s="142"/>
      <c r="C2441" s="142"/>
      <c r="D2441" s="150"/>
      <c r="E2441" s="143"/>
      <c r="F2441" s="356" t="s">
        <v>31</v>
      </c>
      <c r="G2441" s="355">
        <f>SUBTOTAL(9,G2429:G2440)</f>
        <v>0</v>
      </c>
    </row>
    <row r="2442" spans="1:7" ht="18.95" customHeight="1" x14ac:dyDescent="0.2">
      <c r="A2442" s="156"/>
      <c r="B2442" s="142"/>
      <c r="C2442" s="157" t="s">
        <v>1048</v>
      </c>
      <c r="D2442" s="150"/>
      <c r="E2442" s="327"/>
      <c r="F2442" s="327"/>
      <c r="G2442" s="342"/>
    </row>
    <row r="2443" spans="1:7" ht="18.95" customHeight="1" x14ac:dyDescent="0.2">
      <c r="A2443" s="735" t="s">
        <v>582</v>
      </c>
      <c r="B2443" s="736"/>
      <c r="C2443" s="737" t="s">
        <v>0</v>
      </c>
      <c r="D2443" s="739" t="s">
        <v>1750</v>
      </c>
      <c r="E2443" s="741" t="s">
        <v>26</v>
      </c>
      <c r="F2443" s="741" t="s">
        <v>27</v>
      </c>
      <c r="G2443" s="733" t="s">
        <v>28</v>
      </c>
    </row>
    <row r="2444" spans="1:7" ht="18.95" customHeight="1" x14ac:dyDescent="0.2">
      <c r="A2444" s="154" t="s">
        <v>583</v>
      </c>
      <c r="B2444" s="155" t="s">
        <v>584</v>
      </c>
      <c r="C2444" s="738"/>
      <c r="D2444" s="740"/>
      <c r="E2444" s="742"/>
      <c r="F2444" s="742"/>
      <c r="G2444" s="734"/>
    </row>
    <row r="2445" spans="1:7" ht="18.95" customHeight="1" x14ac:dyDescent="0.2">
      <c r="A2445" s="348" t="str">
        <f>IFERROR(VLOOKUP(C2445,Tabla_Insumos,4,FALSE),"")</f>
        <v/>
      </c>
      <c r="B2445" s="290" t="s">
        <v>4</v>
      </c>
      <c r="C2445" s="290"/>
      <c r="D2445" s="293"/>
      <c r="E2445" s="322"/>
      <c r="F2445" s="324"/>
      <c r="G2445" s="347">
        <f t="shared" ref="G2445" si="699">ROUND(E2445*F2445,2)</f>
        <v>0</v>
      </c>
    </row>
    <row r="2446" spans="1:7" ht="18.95" customHeight="1" x14ac:dyDescent="0.2">
      <c r="A2446" s="156"/>
      <c r="B2446" s="142"/>
      <c r="C2446" s="142"/>
      <c r="D2446" s="150"/>
      <c r="E2446" s="143"/>
      <c r="F2446" s="356" t="s">
        <v>1049</v>
      </c>
      <c r="G2446" s="355">
        <f>SUBTOTAL(9,G2445:G2445)</f>
        <v>0</v>
      </c>
    </row>
    <row r="2447" spans="1:7" ht="18.95" customHeight="1" thickBot="1" x14ac:dyDescent="0.25">
      <c r="A2447" s="158"/>
      <c r="B2447" s="159"/>
      <c r="C2447" s="160"/>
      <c r="D2447" s="161"/>
      <c r="E2447" s="357"/>
      <c r="F2447" s="357"/>
      <c r="G2447" s="358"/>
    </row>
    <row r="2448" spans="1:7" ht="18.95" customHeight="1" x14ac:dyDescent="0.2">
      <c r="A2448" s="359">
        <f>B2387</f>
        <v>34</v>
      </c>
      <c r="B2448" s="360" t="str">
        <f>C2387</f>
        <v>PROYECYO Y CONSTRUCCIÓN DE OBRAS DE ILUMINACIÓN</v>
      </c>
      <c r="C2448" s="361"/>
      <c r="D2448" s="361"/>
      <c r="E2448" s="361" t="s">
        <v>1050</v>
      </c>
      <c r="F2448" s="362" t="str">
        <f>CONCATENATE("$/",G2387)</f>
        <v>$/Gl</v>
      </c>
      <c r="G2448" s="363">
        <f>SUBTOTAL(9,G2407:G2447)</f>
        <v>0</v>
      </c>
    </row>
    <row r="2449" spans="1:8" ht="18.95" customHeight="1" thickBot="1" x14ac:dyDescent="0.25">
      <c r="A2449" s="364"/>
      <c r="B2449" s="365"/>
      <c r="C2449" s="365"/>
      <c r="D2449" s="365"/>
      <c r="E2449" s="366" t="s">
        <v>1051</v>
      </c>
      <c r="F2449" s="367" t="str">
        <f>CONCATENATE("$/",G2387)</f>
        <v>$/Gl</v>
      </c>
      <c r="G2449" s="368" t="e">
        <f ca="1">PrecioUnitario(G2448,GG_Porcentaje,Beneficio,Ingresos_Brutos,IVA)</f>
        <v>#NAME?</v>
      </c>
    </row>
    <row r="2450" spans="1:8" ht="18.95" customHeight="1" thickTop="1" thickBot="1" x14ac:dyDescent="0.25">
      <c r="F2450" s="294"/>
      <c r="G2450" s="294"/>
    </row>
    <row r="2451" spans="1:8" ht="18.95" customHeight="1" thickTop="1" x14ac:dyDescent="0.2">
      <c r="A2451" s="194" t="s">
        <v>33</v>
      </c>
      <c r="B2451" s="195"/>
      <c r="C2451" s="195"/>
      <c r="D2451" s="195"/>
      <c r="E2451" s="195"/>
      <c r="F2451" s="195"/>
      <c r="G2451" s="196"/>
      <c r="H2451" s="143">
        <f>COUNTIF($A$1:A2457,"ANALISIS DE PRECIOS")</f>
        <v>36</v>
      </c>
    </row>
    <row r="2452" spans="1:8" ht="18.95" customHeight="1" x14ac:dyDescent="0.2">
      <c r="A2452" s="144" t="s">
        <v>720</v>
      </c>
      <c r="B2452" s="145" t="str">
        <f>Comitente</f>
        <v>DIRECCIÓN PROVINCIAL DE VIALIDAD</v>
      </c>
      <c r="C2452" s="139"/>
      <c r="D2452" s="146"/>
      <c r="E2452" s="325"/>
      <c r="F2452" s="325"/>
      <c r="G2452" s="326"/>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PAVIMENTACION Y ENSANCHE DE RUTA PROVINCIAL N°7 AV. JOAQUIN UÑAC</v>
      </c>
      <c r="C2454" s="140"/>
      <c r="D2454" s="140"/>
      <c r="E2454" s="143"/>
      <c r="F2454" s="145" t="s">
        <v>34</v>
      </c>
      <c r="G2454" s="147">
        <f>Fecha_Base</f>
        <v>43444</v>
      </c>
      <c r="H2454" s="143"/>
    </row>
    <row r="2455" spans="1:8" ht="18.95" customHeight="1" x14ac:dyDescent="0.2">
      <c r="A2455" s="148" t="s">
        <v>719</v>
      </c>
      <c r="B2455" s="141" t="str">
        <f>Ubicación</f>
        <v>DEPARTAMENTO POCITO</v>
      </c>
      <c r="C2455" s="141"/>
      <c r="D2455" s="150"/>
      <c r="E2455" s="143"/>
      <c r="F2455" s="327"/>
      <c r="G2455" s="328"/>
      <c r="H2455" s="143"/>
    </row>
    <row r="2456" spans="1:8" ht="18.95" customHeight="1" x14ac:dyDescent="0.2">
      <c r="A2456" s="148" t="s">
        <v>35</v>
      </c>
      <c r="B2456" s="151" t="str">
        <f>IFERROR(VALUE(LEFT(B2457,FIND("-",B2457)-1)),"")</f>
        <v/>
      </c>
      <c r="C2456" s="142" t="str">
        <f>IFERROR(VLOOKUP(B2456,Tabla_CyP,2,FALSE),"")</f>
        <v/>
      </c>
      <c r="D2456" s="150"/>
      <c r="E2456" s="143"/>
      <c r="F2456" s="327"/>
      <c r="G2456" s="328"/>
      <c r="H2456" s="143"/>
    </row>
    <row r="2457" spans="1:8" ht="18.95" customHeight="1" x14ac:dyDescent="0.2">
      <c r="A2457" s="148" t="s">
        <v>24</v>
      </c>
      <c r="B2457" s="152">
        <f>IFERROR(VLOOKUP(COUNTIF($A$1:A2457,"ANALISIS DE PRECIOS"),Tabla_NumeroItem,4,FALSE),"")</f>
        <v>35</v>
      </c>
      <c r="C2457" s="745" t="str">
        <f>IFERROR(VLOOKUP(B2457,Tabla_CyP,2,FALSE),"")</f>
        <v>CUMPLIMIENTO MANEJO AMBIENTAL</v>
      </c>
      <c r="D2457" s="745"/>
      <c r="E2457" s="745"/>
      <c r="F2457" s="141" t="s">
        <v>25</v>
      </c>
      <c r="G2457" s="153" t="str">
        <f>IFERROR(VLOOKUP(B2457,Tabla_CyP,4,FALSE),"")</f>
        <v>Mes</v>
      </c>
      <c r="H2457" s="143"/>
    </row>
    <row r="2458" spans="1:8" ht="18.95" customHeight="1" x14ac:dyDescent="0.2">
      <c r="A2458" s="148"/>
      <c r="B2458" s="141"/>
      <c r="C2458" s="142"/>
      <c r="D2458" s="150"/>
      <c r="E2458" s="142"/>
      <c r="F2458" s="142"/>
      <c r="G2458" s="329"/>
      <c r="H2458" s="143"/>
    </row>
    <row r="2459" spans="1:8" ht="18.95" customHeight="1" x14ac:dyDescent="0.2">
      <c r="A2459" s="330"/>
      <c r="B2459" s="331"/>
      <c r="C2459" s="332" t="s">
        <v>1032</v>
      </c>
      <c r="D2459" s="331"/>
      <c r="E2459" s="331"/>
      <c r="F2459" s="331"/>
      <c r="G2459" s="333"/>
      <c r="H2459" s="143"/>
    </row>
    <row r="2460" spans="1:8" ht="18.95" customHeight="1" x14ac:dyDescent="0.2">
      <c r="A2460" s="148"/>
      <c r="B2460" s="334"/>
      <c r="C2460" s="335" t="s">
        <v>1033</v>
      </c>
      <c r="D2460" s="336" t="s">
        <v>26</v>
      </c>
      <c r="E2460" s="336" t="s">
        <v>1034</v>
      </c>
      <c r="F2460" s="336" t="s">
        <v>1035</v>
      </c>
      <c r="G2460" s="337" t="s">
        <v>1036</v>
      </c>
      <c r="H2460" s="143"/>
    </row>
    <row r="2461" spans="1:8" ht="18.95" customHeight="1" x14ac:dyDescent="0.2">
      <c r="A2461" s="343"/>
      <c r="B2461" s="344"/>
      <c r="C2461" s="290"/>
      <c r="D2461" s="293"/>
      <c r="E2461" s="345"/>
      <c r="F2461" s="346"/>
      <c r="G2461" s="347">
        <f t="shared" ref="G2461:G2470" si="700">ROUND(D2461*F2461,2)</f>
        <v>0</v>
      </c>
    </row>
    <row r="2462" spans="1:8" ht="18.95" customHeight="1" x14ac:dyDescent="0.2">
      <c r="A2462" s="343"/>
      <c r="B2462" s="344"/>
      <c r="C2462" s="290"/>
      <c r="D2462" s="293"/>
      <c r="E2462" s="345"/>
      <c r="F2462" s="346"/>
      <c r="G2462" s="347">
        <f t="shared" si="700"/>
        <v>0</v>
      </c>
    </row>
    <row r="2463" spans="1:8" ht="18.95" customHeight="1" x14ac:dyDescent="0.2">
      <c r="A2463" s="343"/>
      <c r="B2463" s="344"/>
      <c r="C2463" s="290"/>
      <c r="D2463" s="293"/>
      <c r="E2463" s="345">
        <f t="shared" ref="E2463:E2470" si="701">IFERROR(VLOOKUP(C2463,T_Equipos,4,FALSE),0)</f>
        <v>0</v>
      </c>
      <c r="F2463" s="346">
        <f t="shared" ref="F2463:F2470" si="702">IFERROR(VLOOKUP(C2463,T_Equipos,11,FALSE),0)</f>
        <v>0</v>
      </c>
      <c r="G2463" s="347">
        <f t="shared" si="700"/>
        <v>0</v>
      </c>
    </row>
    <row r="2464" spans="1:8" ht="18.95" customHeight="1" x14ac:dyDescent="0.2">
      <c r="A2464" s="343"/>
      <c r="B2464" s="344"/>
      <c r="C2464" s="290"/>
      <c r="D2464" s="293"/>
      <c r="E2464" s="345">
        <f t="shared" si="701"/>
        <v>0</v>
      </c>
      <c r="F2464" s="346">
        <f t="shared" si="702"/>
        <v>0</v>
      </c>
      <c r="G2464" s="347">
        <f t="shared" si="700"/>
        <v>0</v>
      </c>
    </row>
    <row r="2465" spans="1:7" ht="18.95" customHeight="1" x14ac:dyDescent="0.2">
      <c r="A2465" s="343"/>
      <c r="B2465" s="344"/>
      <c r="C2465" s="290"/>
      <c r="D2465" s="293"/>
      <c r="E2465" s="345">
        <f t="shared" si="701"/>
        <v>0</v>
      </c>
      <c r="F2465" s="346">
        <f t="shared" si="702"/>
        <v>0</v>
      </c>
      <c r="G2465" s="347">
        <f t="shared" si="700"/>
        <v>0</v>
      </c>
    </row>
    <row r="2466" spans="1:7" ht="18.95" customHeight="1" x14ac:dyDescent="0.2">
      <c r="A2466" s="343"/>
      <c r="B2466" s="344"/>
      <c r="C2466" s="290"/>
      <c r="D2466" s="293"/>
      <c r="E2466" s="345">
        <f t="shared" si="701"/>
        <v>0</v>
      </c>
      <c r="F2466" s="346">
        <f t="shared" si="702"/>
        <v>0</v>
      </c>
      <c r="G2466" s="347">
        <f t="shared" si="700"/>
        <v>0</v>
      </c>
    </row>
    <row r="2467" spans="1:7" ht="18.95" customHeight="1" x14ac:dyDescent="0.2">
      <c r="A2467" s="343"/>
      <c r="B2467" s="344"/>
      <c r="C2467" s="290"/>
      <c r="D2467" s="293"/>
      <c r="E2467" s="345">
        <f t="shared" si="701"/>
        <v>0</v>
      </c>
      <c r="F2467" s="346">
        <f t="shared" si="702"/>
        <v>0</v>
      </c>
      <c r="G2467" s="347">
        <f t="shared" si="700"/>
        <v>0</v>
      </c>
    </row>
    <row r="2468" spans="1:7" ht="18.95" customHeight="1" x14ac:dyDescent="0.2">
      <c r="A2468" s="343"/>
      <c r="B2468" s="344"/>
      <c r="C2468" s="290"/>
      <c r="D2468" s="293"/>
      <c r="E2468" s="345">
        <f t="shared" si="701"/>
        <v>0</v>
      </c>
      <c r="F2468" s="346">
        <f t="shared" si="702"/>
        <v>0</v>
      </c>
      <c r="G2468" s="347">
        <f t="shared" si="700"/>
        <v>0</v>
      </c>
    </row>
    <row r="2469" spans="1:7" ht="18.95" customHeight="1" x14ac:dyDescent="0.2">
      <c r="A2469" s="343"/>
      <c r="B2469" s="344"/>
      <c r="C2469" s="290"/>
      <c r="D2469" s="293"/>
      <c r="E2469" s="345">
        <f t="shared" si="701"/>
        <v>0</v>
      </c>
      <c r="F2469" s="346">
        <f t="shared" si="702"/>
        <v>0</v>
      </c>
      <c r="G2469" s="347">
        <f t="shared" si="700"/>
        <v>0</v>
      </c>
    </row>
    <row r="2470" spans="1:7" ht="18.95" customHeight="1" thickBot="1" x14ac:dyDescent="0.25">
      <c r="A2470" s="343"/>
      <c r="B2470" s="344"/>
      <c r="C2470" s="290"/>
      <c r="D2470" s="293"/>
      <c r="E2470" s="345">
        <f t="shared" si="701"/>
        <v>0</v>
      </c>
      <c r="F2470" s="346">
        <f t="shared" si="702"/>
        <v>0</v>
      </c>
      <c r="G2470" s="347">
        <f t="shared" si="700"/>
        <v>0</v>
      </c>
    </row>
    <row r="2471" spans="1:7" ht="18.95" customHeight="1" thickBot="1" x14ac:dyDescent="0.25">
      <c r="A2471" s="148"/>
      <c r="B2471" s="334"/>
      <c r="C2471" s="143"/>
      <c r="D2471" s="146" t="s">
        <v>1037</v>
      </c>
      <c r="E2471" s="338">
        <f>SUMPRODUCT(D2461:D2470,E2461:E2470)</f>
        <v>0</v>
      </c>
      <c r="F2471" s="141" t="s">
        <v>1038</v>
      </c>
      <c r="G2471" s="339">
        <f>SUM(G2461:G2470)</f>
        <v>0</v>
      </c>
    </row>
    <row r="2472" spans="1:7" ht="18.95" customHeight="1" x14ac:dyDescent="0.2">
      <c r="A2472" s="148"/>
      <c r="B2472" s="334"/>
      <c r="C2472" s="141" t="s">
        <v>1039</v>
      </c>
      <c r="D2472" s="320"/>
      <c r="E2472" s="340" t="str">
        <f>CONCATENATE(G2457,"/día")</f>
        <v>Mes/día</v>
      </c>
      <c r="F2472" s="141"/>
      <c r="G2472" s="341"/>
    </row>
    <row r="2473" spans="1:7" ht="18.95" customHeight="1" x14ac:dyDescent="0.2">
      <c r="A2473" s="148"/>
      <c r="B2473" s="334"/>
      <c r="C2473" s="142"/>
      <c r="D2473" s="150"/>
      <c r="E2473" s="141"/>
      <c r="F2473" s="141"/>
      <c r="G2473" s="341"/>
    </row>
    <row r="2474" spans="1:7" ht="18.95" customHeight="1" x14ac:dyDescent="0.2">
      <c r="A2474" s="735" t="s">
        <v>582</v>
      </c>
      <c r="B2474" s="736"/>
      <c r="C2474" s="737" t="s">
        <v>0</v>
      </c>
      <c r="D2474" s="743" t="s">
        <v>1053</v>
      </c>
      <c r="E2474" s="743" t="s">
        <v>1706</v>
      </c>
      <c r="F2474" s="743" t="s">
        <v>1054</v>
      </c>
      <c r="G2474" s="743" t="s">
        <v>1055</v>
      </c>
    </row>
    <row r="2475" spans="1:7" ht="18.95" customHeight="1" x14ac:dyDescent="0.2">
      <c r="A2475" s="154" t="s">
        <v>583</v>
      </c>
      <c r="B2475" s="155" t="s">
        <v>584</v>
      </c>
      <c r="C2475" s="738"/>
      <c r="D2475" s="742"/>
      <c r="E2475" s="742"/>
      <c r="F2475" s="744"/>
      <c r="G2475" s="742"/>
    </row>
    <row r="2476" spans="1:7" ht="18.95" customHeight="1" x14ac:dyDescent="0.2">
      <c r="A2476" s="156"/>
      <c r="B2476" s="142"/>
      <c r="C2476" s="157" t="s">
        <v>1041</v>
      </c>
      <c r="D2476" s="150"/>
      <c r="E2476" s="142"/>
      <c r="F2476" s="142"/>
      <c r="G2476" s="342"/>
    </row>
    <row r="2477" spans="1:7" ht="18.95" customHeight="1" x14ac:dyDescent="0.2">
      <c r="A2477" s="348" t="str">
        <f t="shared" ref="A2477:A2484" si="703">IFERROR(VLOOKUP(C2477,Tabla_Insumos,4,FALSE),"")</f>
        <v/>
      </c>
      <c r="B2477" s="290" t="str">
        <f t="shared" ref="B2477:B2484" si="704">IFERROR(VLOOKUP(C2477,Tabla_Insumos,5,FALSE),"")</f>
        <v/>
      </c>
      <c r="C2477" s="290"/>
      <c r="D2477" s="607">
        <f t="shared" ref="D2477:D2484" si="705">IFERROR(VLOOKUP(C2477,Tabla_Insumos,3,FALSE),0)</f>
        <v>0</v>
      </c>
      <c r="E2477" s="349">
        <f>D2477*$G$21</f>
        <v>0</v>
      </c>
      <c r="F2477" s="350">
        <f>IF(C2477="",0,D2472)</f>
        <v>0</v>
      </c>
      <c r="G2477" s="347">
        <f>IFERROR(ROUND(E2477/F2477,2),0)</f>
        <v>0</v>
      </c>
    </row>
    <row r="2478" spans="1:7" ht="18.95" customHeight="1" x14ac:dyDescent="0.2">
      <c r="A2478" s="348" t="str">
        <f t="shared" si="703"/>
        <v/>
      </c>
      <c r="B2478" s="290" t="str">
        <f t="shared" si="704"/>
        <v/>
      </c>
      <c r="C2478" s="321"/>
      <c r="D2478" s="607">
        <f t="shared" si="705"/>
        <v>0</v>
      </c>
      <c r="E2478" s="349">
        <f t="shared" ref="E2478:E2479" si="706">D2478*$G$21</f>
        <v>0</v>
      </c>
      <c r="F2478" s="350">
        <f t="shared" ref="F2478:F2481" si="707">IF(C2478="",0,F2477)</f>
        <v>0</v>
      </c>
      <c r="G2478" s="347">
        <f t="shared" ref="G2478:G2484" si="708">IFERROR(ROUND(E2478/F2478,2),0)</f>
        <v>0</v>
      </c>
    </row>
    <row r="2479" spans="1:7" ht="18.95" customHeight="1" x14ac:dyDescent="0.2">
      <c r="A2479" s="348" t="str">
        <f t="shared" si="703"/>
        <v/>
      </c>
      <c r="B2479" s="290" t="str">
        <f t="shared" si="704"/>
        <v/>
      </c>
      <c r="C2479" s="321"/>
      <c r="D2479" s="607">
        <f t="shared" si="705"/>
        <v>0</v>
      </c>
      <c r="E2479" s="349">
        <f t="shared" si="706"/>
        <v>0</v>
      </c>
      <c r="F2479" s="350">
        <f t="shared" si="707"/>
        <v>0</v>
      </c>
      <c r="G2479" s="347">
        <f t="shared" si="708"/>
        <v>0</v>
      </c>
    </row>
    <row r="2480" spans="1:7" ht="18.95" customHeight="1" x14ac:dyDescent="0.2">
      <c r="A2480" s="348" t="str">
        <f t="shared" si="703"/>
        <v/>
      </c>
      <c r="B2480" s="290" t="str">
        <f t="shared" si="704"/>
        <v/>
      </c>
      <c r="C2480" s="321"/>
      <c r="D2480" s="607">
        <f t="shared" si="705"/>
        <v>0</v>
      </c>
      <c r="E2480" s="349">
        <f>D2480*$E$21</f>
        <v>0</v>
      </c>
      <c r="F2480" s="350">
        <f t="shared" si="707"/>
        <v>0</v>
      </c>
      <c r="G2480" s="347">
        <f t="shared" si="708"/>
        <v>0</v>
      </c>
    </row>
    <row r="2481" spans="1:7" ht="18.95" customHeight="1" x14ac:dyDescent="0.2">
      <c r="A2481" s="348" t="str">
        <f t="shared" si="703"/>
        <v/>
      </c>
      <c r="B2481" s="290" t="str">
        <f t="shared" si="704"/>
        <v/>
      </c>
      <c r="C2481" s="321"/>
      <c r="D2481" s="607">
        <f t="shared" si="705"/>
        <v>0</v>
      </c>
      <c r="E2481" s="349">
        <f>D2481*$E$21</f>
        <v>0</v>
      </c>
      <c r="F2481" s="350">
        <f t="shared" si="707"/>
        <v>0</v>
      </c>
      <c r="G2481" s="347">
        <f t="shared" si="708"/>
        <v>0</v>
      </c>
    </row>
    <row r="2482" spans="1:7" ht="18.95" customHeight="1" x14ac:dyDescent="0.2">
      <c r="A2482" s="348" t="str">
        <f t="shared" si="703"/>
        <v/>
      </c>
      <c r="B2482" s="290" t="str">
        <f t="shared" si="704"/>
        <v/>
      </c>
      <c r="C2482" s="321"/>
      <c r="D2482" s="607">
        <f t="shared" si="705"/>
        <v>0</v>
      </c>
      <c r="E2482" s="349"/>
      <c r="F2482" s="350">
        <f>IF(C2482="",0,F2481)</f>
        <v>0</v>
      </c>
      <c r="G2482" s="347">
        <f t="shared" si="708"/>
        <v>0</v>
      </c>
    </row>
    <row r="2483" spans="1:7" ht="18.95" customHeight="1" x14ac:dyDescent="0.2">
      <c r="A2483" s="348" t="str">
        <f t="shared" si="703"/>
        <v/>
      </c>
      <c r="B2483" s="290" t="str">
        <f t="shared" si="704"/>
        <v/>
      </c>
      <c r="C2483" s="321"/>
      <c r="D2483" s="607">
        <f t="shared" si="705"/>
        <v>0</v>
      </c>
      <c r="E2483" s="349"/>
      <c r="F2483" s="350">
        <f t="shared" ref="F2483:F2484" si="709">IF(C2483="",0,F2482)</f>
        <v>0</v>
      </c>
      <c r="G2483" s="347">
        <f t="shared" si="708"/>
        <v>0</v>
      </c>
    </row>
    <row r="2484" spans="1:7" ht="18.95" customHeight="1" x14ac:dyDescent="0.2">
      <c r="A2484" s="348" t="str">
        <f t="shared" si="703"/>
        <v/>
      </c>
      <c r="B2484" s="290" t="str">
        <f t="shared" si="704"/>
        <v/>
      </c>
      <c r="C2484" s="321"/>
      <c r="D2484" s="607">
        <f t="shared" si="705"/>
        <v>0</v>
      </c>
      <c r="E2484" s="349"/>
      <c r="F2484" s="350">
        <f t="shared" si="709"/>
        <v>0</v>
      </c>
      <c r="G2484" s="347">
        <f t="shared" si="708"/>
        <v>0</v>
      </c>
    </row>
    <row r="2485" spans="1:7" ht="18.95" customHeight="1" x14ac:dyDescent="0.2">
      <c r="A2485" s="353"/>
      <c r="B2485" s="149"/>
      <c r="C2485" s="142"/>
      <c r="D2485" s="150"/>
      <c r="E2485" s="143"/>
      <c r="F2485" s="354" t="s">
        <v>29</v>
      </c>
      <c r="G2485" s="355">
        <f>SUBTOTAL(9,G2477:G2484)</f>
        <v>0</v>
      </c>
    </row>
    <row r="2486" spans="1:7" ht="18.95" customHeight="1" x14ac:dyDescent="0.2">
      <c r="A2486" s="156"/>
      <c r="B2486" s="142"/>
      <c r="C2486" s="157" t="s">
        <v>722</v>
      </c>
      <c r="D2486" s="150"/>
      <c r="E2486" s="327"/>
      <c r="F2486" s="327"/>
      <c r="G2486" s="342"/>
    </row>
    <row r="2487" spans="1:7" ht="18.95" customHeight="1" x14ac:dyDescent="0.2">
      <c r="A2487" s="735" t="s">
        <v>582</v>
      </c>
      <c r="B2487" s="736"/>
      <c r="C2487" s="737" t="s">
        <v>0</v>
      </c>
      <c r="D2487" s="739" t="s">
        <v>26</v>
      </c>
      <c r="E2487" s="743" t="s">
        <v>1707</v>
      </c>
      <c r="F2487" s="741" t="s">
        <v>1040</v>
      </c>
      <c r="G2487" s="733" t="s">
        <v>28</v>
      </c>
    </row>
    <row r="2488" spans="1:7" ht="18.95" customHeight="1" x14ac:dyDescent="0.2">
      <c r="A2488" s="154" t="s">
        <v>583</v>
      </c>
      <c r="B2488" s="155" t="s">
        <v>584</v>
      </c>
      <c r="C2488" s="738"/>
      <c r="D2488" s="740"/>
      <c r="E2488" s="742"/>
      <c r="F2488" s="742"/>
      <c r="G2488" s="734"/>
    </row>
    <row r="2489" spans="1:7" ht="18.95" customHeight="1" x14ac:dyDescent="0.2">
      <c r="A2489" s="348" t="str">
        <f t="shared" ref="A2489:A2494" si="710">IFERROR(VLOOKUP(C2489,Tabla_Insumos,4,FALSE),"")</f>
        <v/>
      </c>
      <c r="B2489" s="290" t="str">
        <f t="shared" ref="B2489:B2494" si="711">IFERROR(VLOOKUP(C2489,Tabla_Insumos,5,FALSE),"")</f>
        <v/>
      </c>
      <c r="C2489" s="291"/>
      <c r="D2489" s="293"/>
      <c r="E2489" s="346">
        <f t="shared" ref="E2489:E2494" si="712">IFERROR(VLOOKUP(C2489,Tabla_Insumos,3,FALSE),0)</f>
        <v>0</v>
      </c>
      <c r="F2489" s="349">
        <f>IF(C2489="",0,D2472)</f>
        <v>0</v>
      </c>
      <c r="G2489" s="347">
        <f t="shared" ref="G2489:G2494" si="713">IFERROR(ROUND(D2489*E2489/F2489,2),0)</f>
        <v>0</v>
      </c>
    </row>
    <row r="2490" spans="1:7" ht="18.95" customHeight="1" x14ac:dyDescent="0.2">
      <c r="A2490" s="348" t="str">
        <f t="shared" si="710"/>
        <v/>
      </c>
      <c r="B2490" s="290" t="str">
        <f t="shared" si="711"/>
        <v/>
      </c>
      <c r="C2490" s="290"/>
      <c r="D2490" s="293"/>
      <c r="E2490" s="346">
        <f t="shared" si="712"/>
        <v>0</v>
      </c>
      <c r="F2490" s="349">
        <f>IF(C2490="",0,F2489)</f>
        <v>0</v>
      </c>
      <c r="G2490" s="347">
        <f t="shared" si="713"/>
        <v>0</v>
      </c>
    </row>
    <row r="2491" spans="1:7" ht="18.95" customHeight="1" x14ac:dyDescent="0.2">
      <c r="A2491" s="348" t="str">
        <f t="shared" si="710"/>
        <v/>
      </c>
      <c r="B2491" s="290" t="str">
        <f t="shared" si="711"/>
        <v/>
      </c>
      <c r="C2491" s="290"/>
      <c r="D2491" s="293"/>
      <c r="E2491" s="346">
        <f t="shared" si="712"/>
        <v>0</v>
      </c>
      <c r="F2491" s="349">
        <f>IF(C2491="",0,F2490)</f>
        <v>0</v>
      </c>
      <c r="G2491" s="347">
        <f t="shared" si="713"/>
        <v>0</v>
      </c>
    </row>
    <row r="2492" spans="1:7" ht="18.95" customHeight="1" x14ac:dyDescent="0.2">
      <c r="A2492" s="348" t="str">
        <f t="shared" si="710"/>
        <v/>
      </c>
      <c r="B2492" s="290" t="str">
        <f t="shared" si="711"/>
        <v/>
      </c>
      <c r="C2492" s="290"/>
      <c r="D2492" s="293"/>
      <c r="E2492" s="346">
        <f t="shared" si="712"/>
        <v>0</v>
      </c>
      <c r="F2492" s="349">
        <f>IF(C2492="",0,F2491)</f>
        <v>0</v>
      </c>
      <c r="G2492" s="347">
        <f t="shared" si="713"/>
        <v>0</v>
      </c>
    </row>
    <row r="2493" spans="1:7" ht="18.95" customHeight="1" x14ac:dyDescent="0.2">
      <c r="A2493" s="348" t="str">
        <f t="shared" si="710"/>
        <v/>
      </c>
      <c r="B2493" s="290" t="str">
        <f t="shared" si="711"/>
        <v/>
      </c>
      <c r="C2493" s="290"/>
      <c r="D2493" s="351"/>
      <c r="E2493" s="346">
        <f t="shared" si="712"/>
        <v>0</v>
      </c>
      <c r="F2493" s="349">
        <f>IF(C2493="",0,F2492)</f>
        <v>0</v>
      </c>
      <c r="G2493" s="347">
        <f t="shared" si="713"/>
        <v>0</v>
      </c>
    </row>
    <row r="2494" spans="1:7" ht="18.95" customHeight="1" x14ac:dyDescent="0.2">
      <c r="A2494" s="348" t="str">
        <f t="shared" si="710"/>
        <v/>
      </c>
      <c r="B2494" s="290" t="str">
        <f t="shared" si="711"/>
        <v/>
      </c>
      <c r="C2494" s="290"/>
      <c r="D2494" s="293"/>
      <c r="E2494" s="346">
        <f t="shared" si="712"/>
        <v>0</v>
      </c>
      <c r="F2494" s="349">
        <f>IF(C2494="",0,F2493)</f>
        <v>0</v>
      </c>
      <c r="G2494" s="347">
        <f t="shared" si="713"/>
        <v>0</v>
      </c>
    </row>
    <row r="2495" spans="1:7" ht="18.95" customHeight="1" x14ac:dyDescent="0.2">
      <c r="A2495" s="353"/>
      <c r="B2495" s="149"/>
      <c r="C2495" s="142"/>
      <c r="D2495" s="150"/>
      <c r="E2495" s="143"/>
      <c r="F2495" s="356" t="s">
        <v>30</v>
      </c>
      <c r="G2495" s="355">
        <f>SUBTOTAL(9,G2489:G2494)</f>
        <v>0</v>
      </c>
    </row>
    <row r="2496" spans="1:7" ht="18.95" customHeight="1" x14ac:dyDescent="0.2">
      <c r="A2496" s="156"/>
      <c r="B2496" s="142"/>
      <c r="C2496" s="157" t="s">
        <v>1047</v>
      </c>
      <c r="D2496" s="150"/>
      <c r="E2496" s="327"/>
      <c r="F2496" s="327"/>
      <c r="G2496" s="342"/>
    </row>
    <row r="2497" spans="1:7" ht="18.95" customHeight="1" x14ac:dyDescent="0.2">
      <c r="A2497" s="735" t="s">
        <v>582</v>
      </c>
      <c r="B2497" s="736"/>
      <c r="C2497" s="737" t="s">
        <v>0</v>
      </c>
      <c r="D2497" s="737" t="s">
        <v>1655</v>
      </c>
      <c r="E2497" s="737" t="s">
        <v>26</v>
      </c>
      <c r="F2497" s="737" t="s">
        <v>27</v>
      </c>
      <c r="G2497" s="733" t="s">
        <v>28</v>
      </c>
    </row>
    <row r="2498" spans="1:7" ht="18.95" customHeight="1" x14ac:dyDescent="0.2">
      <c r="A2498" s="154" t="s">
        <v>583</v>
      </c>
      <c r="B2498" s="155" t="s">
        <v>584</v>
      </c>
      <c r="C2498" s="738"/>
      <c r="D2498" s="738"/>
      <c r="E2498" s="738"/>
      <c r="F2498" s="738"/>
      <c r="G2498" s="734"/>
    </row>
    <row r="2499" spans="1:7" ht="18.95" customHeight="1" x14ac:dyDescent="0.2">
      <c r="A2499" s="348" t="str">
        <f t="shared" ref="A2499:A2510" si="714">IFERROR(VLOOKUP(C2499,Tabla_Insumos,4,FALSE),"")</f>
        <v/>
      </c>
      <c r="B2499" s="290" t="str">
        <f t="shared" ref="B2499:B2510" si="715">IFERROR(VLOOKUP(C2499,Tabla_Insumos,5,FALSE),"")</f>
        <v/>
      </c>
      <c r="C2499" s="290"/>
      <c r="D2499" s="608">
        <f t="shared" ref="D2499:D2510" si="716">IFERROR(VLOOKUP(C2499,Tabla_Insumos,2,FALSE),0)</f>
        <v>0</v>
      </c>
      <c r="E2499" s="293"/>
      <c r="F2499" s="346">
        <f t="shared" ref="F2499:F2510" si="717">IFERROR(VLOOKUP(C2499,Tabla_Insumos,3,FALSE),0)</f>
        <v>0</v>
      </c>
      <c r="G2499" s="347">
        <f t="shared" ref="G2499:G2510" si="718">ROUND(E2499*F2499,2)</f>
        <v>0</v>
      </c>
    </row>
    <row r="2500" spans="1:7" ht="18.95" customHeight="1" x14ac:dyDescent="0.2">
      <c r="A2500" s="348" t="str">
        <f t="shared" si="714"/>
        <v/>
      </c>
      <c r="B2500" s="290" t="str">
        <f t="shared" si="715"/>
        <v/>
      </c>
      <c r="C2500" s="126"/>
      <c r="D2500" s="608">
        <f t="shared" si="716"/>
        <v>0</v>
      </c>
      <c r="E2500" s="293"/>
      <c r="F2500" s="346">
        <f t="shared" si="717"/>
        <v>0</v>
      </c>
      <c r="G2500" s="347">
        <f t="shared" si="718"/>
        <v>0</v>
      </c>
    </row>
    <row r="2501" spans="1:7" ht="18.95" customHeight="1" x14ac:dyDescent="0.2">
      <c r="A2501" s="348" t="str">
        <f t="shared" si="714"/>
        <v/>
      </c>
      <c r="B2501" s="290" t="str">
        <f t="shared" si="715"/>
        <v/>
      </c>
      <c r="C2501" s="290"/>
      <c r="D2501" s="608">
        <f t="shared" si="716"/>
        <v>0</v>
      </c>
      <c r="E2501" s="293"/>
      <c r="F2501" s="346">
        <f t="shared" si="717"/>
        <v>0</v>
      </c>
      <c r="G2501" s="347">
        <f t="shared" si="718"/>
        <v>0</v>
      </c>
    </row>
    <row r="2502" spans="1:7" ht="18.95" customHeight="1" x14ac:dyDescent="0.2">
      <c r="A2502" s="348" t="str">
        <f t="shared" si="714"/>
        <v/>
      </c>
      <c r="B2502" s="290" t="str">
        <f t="shared" si="715"/>
        <v/>
      </c>
      <c r="C2502" s="290"/>
      <c r="D2502" s="608">
        <f t="shared" si="716"/>
        <v>0</v>
      </c>
      <c r="E2502" s="293"/>
      <c r="F2502" s="346">
        <f t="shared" si="717"/>
        <v>0</v>
      </c>
      <c r="G2502" s="347">
        <f t="shared" si="718"/>
        <v>0</v>
      </c>
    </row>
    <row r="2503" spans="1:7" ht="18.95" customHeight="1" x14ac:dyDescent="0.2">
      <c r="A2503" s="348" t="str">
        <f t="shared" si="714"/>
        <v/>
      </c>
      <c r="B2503" s="290" t="str">
        <f t="shared" si="715"/>
        <v/>
      </c>
      <c r="C2503" s="290"/>
      <c r="D2503" s="608">
        <f t="shared" si="716"/>
        <v>0</v>
      </c>
      <c r="E2503" s="293"/>
      <c r="F2503" s="346">
        <f t="shared" si="717"/>
        <v>0</v>
      </c>
      <c r="G2503" s="347">
        <f t="shared" si="718"/>
        <v>0</v>
      </c>
    </row>
    <row r="2504" spans="1:7" ht="18.95" customHeight="1" x14ac:dyDescent="0.2">
      <c r="A2504" s="348" t="str">
        <f t="shared" si="714"/>
        <v/>
      </c>
      <c r="B2504" s="290" t="str">
        <f t="shared" si="715"/>
        <v/>
      </c>
      <c r="C2504" s="290"/>
      <c r="D2504" s="608">
        <f t="shared" si="716"/>
        <v>0</v>
      </c>
      <c r="E2504" s="293"/>
      <c r="F2504" s="346">
        <f t="shared" si="717"/>
        <v>0</v>
      </c>
      <c r="G2504" s="347">
        <f t="shared" si="718"/>
        <v>0</v>
      </c>
    </row>
    <row r="2505" spans="1:7" ht="18.95" customHeight="1" x14ac:dyDescent="0.2">
      <c r="A2505" s="348" t="str">
        <f t="shared" si="714"/>
        <v/>
      </c>
      <c r="B2505" s="290" t="str">
        <f t="shared" si="715"/>
        <v/>
      </c>
      <c r="C2505" s="290"/>
      <c r="D2505" s="608">
        <f t="shared" si="716"/>
        <v>0</v>
      </c>
      <c r="E2505" s="293"/>
      <c r="F2505" s="346">
        <f t="shared" si="717"/>
        <v>0</v>
      </c>
      <c r="G2505" s="347">
        <f t="shared" si="718"/>
        <v>0</v>
      </c>
    </row>
    <row r="2506" spans="1:7" s="295" customFormat="1" ht="18.95" customHeight="1" x14ac:dyDescent="0.2">
      <c r="A2506" s="348" t="str">
        <f t="shared" si="714"/>
        <v/>
      </c>
      <c r="B2506" s="290" t="str">
        <f t="shared" si="715"/>
        <v/>
      </c>
      <c r="C2506" s="290"/>
      <c r="D2506" s="608">
        <f t="shared" si="716"/>
        <v>0</v>
      </c>
      <c r="E2506" s="323"/>
      <c r="F2506" s="346">
        <f t="shared" si="717"/>
        <v>0</v>
      </c>
      <c r="G2506" s="347">
        <f t="shared" si="718"/>
        <v>0</v>
      </c>
    </row>
    <row r="2507" spans="1:7" ht="18.95" customHeight="1" x14ac:dyDescent="0.2">
      <c r="A2507" s="348" t="str">
        <f t="shared" si="714"/>
        <v/>
      </c>
      <c r="B2507" s="290" t="str">
        <f t="shared" si="715"/>
        <v/>
      </c>
      <c r="C2507" s="290"/>
      <c r="D2507" s="608">
        <f t="shared" si="716"/>
        <v>0</v>
      </c>
      <c r="E2507" s="293"/>
      <c r="F2507" s="346">
        <f t="shared" si="717"/>
        <v>0</v>
      </c>
      <c r="G2507" s="347">
        <f t="shared" si="718"/>
        <v>0</v>
      </c>
    </row>
    <row r="2508" spans="1:7" ht="18.95" customHeight="1" x14ac:dyDescent="0.2">
      <c r="A2508" s="348" t="str">
        <f t="shared" si="714"/>
        <v/>
      </c>
      <c r="B2508" s="290" t="str">
        <f t="shared" si="715"/>
        <v/>
      </c>
      <c r="C2508" s="290"/>
      <c r="D2508" s="608">
        <f t="shared" si="716"/>
        <v>0</v>
      </c>
      <c r="E2508" s="293"/>
      <c r="F2508" s="346">
        <f t="shared" si="717"/>
        <v>0</v>
      </c>
      <c r="G2508" s="347">
        <f t="shared" si="718"/>
        <v>0</v>
      </c>
    </row>
    <row r="2509" spans="1:7" ht="18.95" customHeight="1" x14ac:dyDescent="0.2">
      <c r="A2509" s="348" t="str">
        <f t="shared" si="714"/>
        <v/>
      </c>
      <c r="B2509" s="290" t="str">
        <f t="shared" si="715"/>
        <v/>
      </c>
      <c r="C2509" s="290"/>
      <c r="D2509" s="608">
        <f t="shared" si="716"/>
        <v>0</v>
      </c>
      <c r="E2509" s="293"/>
      <c r="F2509" s="346">
        <f t="shared" si="717"/>
        <v>0</v>
      </c>
      <c r="G2509" s="347">
        <f t="shared" si="718"/>
        <v>0</v>
      </c>
    </row>
    <row r="2510" spans="1:7" ht="18.95" customHeight="1" x14ac:dyDescent="0.2">
      <c r="A2510" s="348" t="str">
        <f t="shared" si="714"/>
        <v/>
      </c>
      <c r="B2510" s="290" t="str">
        <f t="shared" si="715"/>
        <v/>
      </c>
      <c r="C2510" s="290"/>
      <c r="D2510" s="608">
        <f t="shared" si="716"/>
        <v>0</v>
      </c>
      <c r="E2510" s="293"/>
      <c r="F2510" s="346">
        <f t="shared" si="717"/>
        <v>0</v>
      </c>
      <c r="G2510" s="347">
        <f t="shared" si="718"/>
        <v>0</v>
      </c>
    </row>
    <row r="2511" spans="1:7" ht="18.95" customHeight="1" x14ac:dyDescent="0.2">
      <c r="A2511" s="156"/>
      <c r="B2511" s="142"/>
      <c r="C2511" s="142"/>
      <c r="D2511" s="150"/>
      <c r="E2511" s="143"/>
      <c r="F2511" s="356" t="s">
        <v>31</v>
      </c>
      <c r="G2511" s="355">
        <f>SUBTOTAL(9,G2499:G2510)</f>
        <v>0</v>
      </c>
    </row>
    <row r="2512" spans="1:7" ht="18.95" customHeight="1" x14ac:dyDescent="0.2">
      <c r="A2512" s="156"/>
      <c r="B2512" s="142"/>
      <c r="C2512" s="157" t="s">
        <v>1048</v>
      </c>
      <c r="D2512" s="150"/>
      <c r="E2512" s="327"/>
      <c r="F2512" s="327"/>
      <c r="G2512" s="342"/>
    </row>
    <row r="2513" spans="1:8" ht="18.95" customHeight="1" x14ac:dyDescent="0.2">
      <c r="A2513" s="735" t="s">
        <v>582</v>
      </c>
      <c r="B2513" s="736"/>
      <c r="C2513" s="737" t="s">
        <v>0</v>
      </c>
      <c r="D2513" s="739" t="s">
        <v>1750</v>
      </c>
      <c r="E2513" s="741" t="s">
        <v>26</v>
      </c>
      <c r="F2513" s="741" t="s">
        <v>27</v>
      </c>
      <c r="G2513" s="733" t="s">
        <v>28</v>
      </c>
    </row>
    <row r="2514" spans="1:8" ht="18.95" customHeight="1" x14ac:dyDescent="0.2">
      <c r="A2514" s="154" t="s">
        <v>583</v>
      </c>
      <c r="B2514" s="155" t="s">
        <v>584</v>
      </c>
      <c r="C2514" s="738"/>
      <c r="D2514" s="740"/>
      <c r="E2514" s="742"/>
      <c r="F2514" s="742"/>
      <c r="G2514" s="734"/>
    </row>
    <row r="2515" spans="1:8" ht="18.95" customHeight="1" x14ac:dyDescent="0.2">
      <c r="A2515" s="348" t="str">
        <f>IFERROR(VLOOKUP(C2515,Tabla_Insumos,4,FALSE),"")</f>
        <v/>
      </c>
      <c r="B2515" s="290" t="s">
        <v>4</v>
      </c>
      <c r="C2515" s="290"/>
      <c r="D2515" s="293"/>
      <c r="E2515" s="322"/>
      <c r="F2515" s="324"/>
      <c r="G2515" s="347">
        <f t="shared" ref="G2515" si="719">ROUND(E2515*F2515,2)</f>
        <v>0</v>
      </c>
    </row>
    <row r="2516" spans="1:8" ht="18.95" customHeight="1" x14ac:dyDescent="0.2">
      <c r="A2516" s="156"/>
      <c r="B2516" s="142"/>
      <c r="C2516" s="142"/>
      <c r="D2516" s="150"/>
      <c r="E2516" s="143"/>
      <c r="F2516" s="356" t="s">
        <v>1049</v>
      </c>
      <c r="G2516" s="355">
        <f>SUBTOTAL(9,G2515:G2515)</f>
        <v>0</v>
      </c>
    </row>
    <row r="2517" spans="1:8" ht="18.95" customHeight="1" thickBot="1" x14ac:dyDescent="0.25">
      <c r="A2517" s="158"/>
      <c r="B2517" s="159"/>
      <c r="C2517" s="160"/>
      <c r="D2517" s="161"/>
      <c r="E2517" s="357"/>
      <c r="F2517" s="357"/>
      <c r="G2517" s="358"/>
    </row>
    <row r="2518" spans="1:8" ht="18.95" customHeight="1" x14ac:dyDescent="0.2">
      <c r="A2518" s="359">
        <f>B2457</f>
        <v>35</v>
      </c>
      <c r="B2518" s="360" t="str">
        <f>C2457</f>
        <v>CUMPLIMIENTO MANEJO AMBIENTAL</v>
      </c>
      <c r="C2518" s="361"/>
      <c r="D2518" s="361"/>
      <c r="E2518" s="361" t="s">
        <v>1050</v>
      </c>
      <c r="F2518" s="362" t="str">
        <f>CONCATENATE("$/",G2457)</f>
        <v>$/Mes</v>
      </c>
      <c r="G2518" s="363">
        <f>SUBTOTAL(9,G2477:G2517)</f>
        <v>0</v>
      </c>
    </row>
    <row r="2519" spans="1:8" ht="18.95" customHeight="1" thickBot="1" x14ac:dyDescent="0.25">
      <c r="A2519" s="364"/>
      <c r="B2519" s="365"/>
      <c r="C2519" s="365"/>
      <c r="D2519" s="365"/>
      <c r="E2519" s="366" t="s">
        <v>1051</v>
      </c>
      <c r="F2519" s="367" t="str">
        <f>CONCATENATE("$/",G2457)</f>
        <v>$/Mes</v>
      </c>
      <c r="G2519" s="368" t="e">
        <f ca="1">PrecioUnitario(G2518,GG_Porcentaje,Beneficio,Ingresos_Brutos,IVA)</f>
        <v>#NAME?</v>
      </c>
    </row>
    <row r="2520" spans="1:8" ht="18.95" customHeight="1" thickTop="1" thickBot="1" x14ac:dyDescent="0.25">
      <c r="F2520" s="294"/>
      <c r="G2520" s="294"/>
    </row>
    <row r="2521" spans="1:8" ht="18.95" customHeight="1" thickTop="1" x14ac:dyDescent="0.2">
      <c r="A2521" s="194" t="s">
        <v>33</v>
      </c>
      <c r="B2521" s="195"/>
      <c r="C2521" s="195"/>
      <c r="D2521" s="195"/>
      <c r="E2521" s="195"/>
      <c r="F2521" s="195"/>
      <c r="G2521" s="196"/>
      <c r="H2521" s="143">
        <f>COUNTIF($A$1:A2527,"ANALISIS DE PRECIOS")</f>
        <v>37</v>
      </c>
    </row>
    <row r="2522" spans="1:8" ht="18.95" customHeight="1" x14ac:dyDescent="0.2">
      <c r="A2522" s="144" t="s">
        <v>720</v>
      </c>
      <c r="B2522" s="145" t="str">
        <f>Comitente</f>
        <v>DIRECCIÓN PROVINCIAL DE VIALIDAD</v>
      </c>
      <c r="C2522" s="139"/>
      <c r="D2522" s="146"/>
      <c r="E2522" s="325"/>
      <c r="F2522" s="325"/>
      <c r="G2522" s="326"/>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PAVIMENTACION Y ENSANCHE DE RUTA PROVINCIAL N°7 AV. JOAQUIN UÑAC</v>
      </c>
      <c r="C2524" s="140"/>
      <c r="D2524" s="140"/>
      <c r="E2524" s="143"/>
      <c r="F2524" s="145" t="s">
        <v>34</v>
      </c>
      <c r="G2524" s="147">
        <f>Fecha_Base</f>
        <v>43444</v>
      </c>
      <c r="H2524" s="143"/>
    </row>
    <row r="2525" spans="1:8" ht="18.95" customHeight="1" x14ac:dyDescent="0.2">
      <c r="A2525" s="148" t="s">
        <v>719</v>
      </c>
      <c r="B2525" s="141" t="str">
        <f>Ubicación</f>
        <v>DEPARTAMENTO POCITO</v>
      </c>
      <c r="C2525" s="141"/>
      <c r="D2525" s="150"/>
      <c r="E2525" s="143"/>
      <c r="F2525" s="327"/>
      <c r="G2525" s="328"/>
      <c r="H2525" s="143"/>
    </row>
    <row r="2526" spans="1:8" ht="18.95" customHeight="1" x14ac:dyDescent="0.2">
      <c r="A2526" s="148" t="s">
        <v>35</v>
      </c>
      <c r="B2526" s="151" t="str">
        <f>IFERROR(VALUE(LEFT(B2527,FIND("-",B2527)-1)),"")</f>
        <v/>
      </c>
      <c r="C2526" s="142" t="str">
        <f>IFERROR(VLOOKUP(B2526,Tabla_CyP,2,FALSE),"")</f>
        <v/>
      </c>
      <c r="D2526" s="150"/>
      <c r="E2526" s="143"/>
      <c r="F2526" s="327"/>
      <c r="G2526" s="328"/>
      <c r="H2526" s="143"/>
    </row>
    <row r="2527" spans="1:8" ht="18.95" customHeight="1" x14ac:dyDescent="0.2">
      <c r="A2527" s="148" t="s">
        <v>24</v>
      </c>
      <c r="B2527" s="152" t="str">
        <f>IFERROR(VLOOKUP(COUNTIF($A$1:A2527,"ANALISIS DE PRECIOS"),Tabla_NumeroItem,4,FALSE),"")</f>
        <v>36.a</v>
      </c>
      <c r="C2527" s="745" t="str">
        <f>IFERROR(VLOOKUP(B2527,Tabla_CyP,2,FALSE),"")</f>
        <v>Cuota Mensual</v>
      </c>
      <c r="D2527" s="745"/>
      <c r="E2527" s="745"/>
      <c r="F2527" s="141" t="s">
        <v>25</v>
      </c>
      <c r="G2527" s="153" t="str">
        <f>IFERROR(VLOOKUP(B2527,Tabla_CyP,4,FALSE),"")</f>
        <v>Mes</v>
      </c>
      <c r="H2527" s="143"/>
    </row>
    <row r="2528" spans="1:8" ht="18.95" customHeight="1" x14ac:dyDescent="0.2">
      <c r="A2528" s="148"/>
      <c r="B2528" s="141"/>
      <c r="C2528" s="142"/>
      <c r="D2528" s="150"/>
      <c r="E2528" s="142"/>
      <c r="F2528" s="142"/>
      <c r="G2528" s="329"/>
      <c r="H2528" s="143"/>
    </row>
    <row r="2529" spans="1:8" ht="18.95" customHeight="1" x14ac:dyDescent="0.2">
      <c r="A2529" s="330"/>
      <c r="B2529" s="331"/>
      <c r="C2529" s="332" t="s">
        <v>1032</v>
      </c>
      <c r="D2529" s="331"/>
      <c r="E2529" s="331"/>
      <c r="F2529" s="331"/>
      <c r="G2529" s="333"/>
      <c r="H2529" s="143"/>
    </row>
    <row r="2530" spans="1:8" ht="18.95" customHeight="1" x14ac:dyDescent="0.2">
      <c r="A2530" s="148"/>
      <c r="B2530" s="334"/>
      <c r="C2530" s="335" t="s">
        <v>1033</v>
      </c>
      <c r="D2530" s="336" t="s">
        <v>26</v>
      </c>
      <c r="E2530" s="336" t="s">
        <v>1034</v>
      </c>
      <c r="F2530" s="336" t="s">
        <v>1035</v>
      </c>
      <c r="G2530" s="337" t="s">
        <v>1036</v>
      </c>
      <c r="H2530" s="143"/>
    </row>
    <row r="2531" spans="1:8" ht="18.95" customHeight="1" x14ac:dyDescent="0.2">
      <c r="A2531" s="343"/>
      <c r="B2531" s="344"/>
      <c r="C2531" s="290"/>
      <c r="D2531" s="293"/>
      <c r="E2531" s="345"/>
      <c r="F2531" s="346"/>
      <c r="G2531" s="347">
        <f t="shared" ref="G2531:G2540" si="720">ROUND(D2531*F2531,2)</f>
        <v>0</v>
      </c>
    </row>
    <row r="2532" spans="1:8" ht="18.95" customHeight="1" x14ac:dyDescent="0.2">
      <c r="A2532" s="343"/>
      <c r="B2532" s="344"/>
      <c r="C2532" s="290"/>
      <c r="D2532" s="293"/>
      <c r="E2532" s="345"/>
      <c r="F2532" s="346"/>
      <c r="G2532" s="347">
        <f t="shared" si="720"/>
        <v>0</v>
      </c>
    </row>
    <row r="2533" spans="1:8" ht="18.95" customHeight="1" x14ac:dyDescent="0.2">
      <c r="A2533" s="343"/>
      <c r="B2533" s="344"/>
      <c r="C2533" s="290"/>
      <c r="D2533" s="293"/>
      <c r="E2533" s="345">
        <f t="shared" ref="E2533:E2540" si="721">IFERROR(VLOOKUP(C2533,T_Equipos,4,FALSE),0)</f>
        <v>0</v>
      </c>
      <c r="F2533" s="346">
        <f t="shared" ref="F2533:F2540" si="722">IFERROR(VLOOKUP(C2533,T_Equipos,11,FALSE),0)</f>
        <v>0</v>
      </c>
      <c r="G2533" s="347">
        <f t="shared" si="720"/>
        <v>0</v>
      </c>
    </row>
    <row r="2534" spans="1:8" ht="18.95" customHeight="1" x14ac:dyDescent="0.2">
      <c r="A2534" s="343"/>
      <c r="B2534" s="344"/>
      <c r="C2534" s="290"/>
      <c r="D2534" s="293"/>
      <c r="E2534" s="345">
        <f t="shared" si="721"/>
        <v>0</v>
      </c>
      <c r="F2534" s="346">
        <f t="shared" si="722"/>
        <v>0</v>
      </c>
      <c r="G2534" s="347">
        <f t="shared" si="720"/>
        <v>0</v>
      </c>
    </row>
    <row r="2535" spans="1:8" ht="18.95" customHeight="1" x14ac:dyDescent="0.2">
      <c r="A2535" s="343"/>
      <c r="B2535" s="344"/>
      <c r="C2535" s="290"/>
      <c r="D2535" s="293"/>
      <c r="E2535" s="345">
        <f t="shared" si="721"/>
        <v>0</v>
      </c>
      <c r="F2535" s="346">
        <f t="shared" si="722"/>
        <v>0</v>
      </c>
      <c r="G2535" s="347">
        <f t="shared" si="720"/>
        <v>0</v>
      </c>
    </row>
    <row r="2536" spans="1:8" ht="18.95" customHeight="1" x14ac:dyDescent="0.2">
      <c r="A2536" s="343"/>
      <c r="B2536" s="344"/>
      <c r="C2536" s="290"/>
      <c r="D2536" s="293"/>
      <c r="E2536" s="345">
        <f t="shared" si="721"/>
        <v>0</v>
      </c>
      <c r="F2536" s="346">
        <f t="shared" si="722"/>
        <v>0</v>
      </c>
      <c r="G2536" s="347">
        <f t="shared" si="720"/>
        <v>0</v>
      </c>
    </row>
    <row r="2537" spans="1:8" ht="18.95" customHeight="1" x14ac:dyDescent="0.2">
      <c r="A2537" s="343"/>
      <c r="B2537" s="344"/>
      <c r="C2537" s="290"/>
      <c r="D2537" s="293"/>
      <c r="E2537" s="345">
        <f t="shared" si="721"/>
        <v>0</v>
      </c>
      <c r="F2537" s="346">
        <f t="shared" si="722"/>
        <v>0</v>
      </c>
      <c r="G2537" s="347">
        <f t="shared" si="720"/>
        <v>0</v>
      </c>
    </row>
    <row r="2538" spans="1:8" ht="18.95" customHeight="1" x14ac:dyDescent="0.2">
      <c r="A2538" s="343"/>
      <c r="B2538" s="344"/>
      <c r="C2538" s="290"/>
      <c r="D2538" s="293"/>
      <c r="E2538" s="345">
        <f t="shared" si="721"/>
        <v>0</v>
      </c>
      <c r="F2538" s="346">
        <f t="shared" si="722"/>
        <v>0</v>
      </c>
      <c r="G2538" s="347">
        <f t="shared" si="720"/>
        <v>0</v>
      </c>
    </row>
    <row r="2539" spans="1:8" ht="18.95" customHeight="1" x14ac:dyDescent="0.2">
      <c r="A2539" s="343"/>
      <c r="B2539" s="344"/>
      <c r="C2539" s="290"/>
      <c r="D2539" s="293"/>
      <c r="E2539" s="345">
        <f t="shared" si="721"/>
        <v>0</v>
      </c>
      <c r="F2539" s="346">
        <f t="shared" si="722"/>
        <v>0</v>
      </c>
      <c r="G2539" s="347">
        <f t="shared" si="720"/>
        <v>0</v>
      </c>
    </row>
    <row r="2540" spans="1:8" ht="18.95" customHeight="1" thickBot="1" x14ac:dyDescent="0.25">
      <c r="A2540" s="343"/>
      <c r="B2540" s="344"/>
      <c r="C2540" s="290"/>
      <c r="D2540" s="293"/>
      <c r="E2540" s="345">
        <f t="shared" si="721"/>
        <v>0</v>
      </c>
      <c r="F2540" s="346">
        <f t="shared" si="722"/>
        <v>0</v>
      </c>
      <c r="G2540" s="347">
        <f t="shared" si="720"/>
        <v>0</v>
      </c>
    </row>
    <row r="2541" spans="1:8" ht="18.95" customHeight="1" thickBot="1" x14ac:dyDescent="0.25">
      <c r="A2541" s="148"/>
      <c r="B2541" s="334"/>
      <c r="C2541" s="143"/>
      <c r="D2541" s="146" t="s">
        <v>1037</v>
      </c>
      <c r="E2541" s="338">
        <f>SUMPRODUCT(D2531:D2540,E2531:E2540)</f>
        <v>0</v>
      </c>
      <c r="F2541" s="141" t="s">
        <v>1038</v>
      </c>
      <c r="G2541" s="339">
        <f>SUM(G2531:G2540)</f>
        <v>0</v>
      </c>
    </row>
    <row r="2542" spans="1:8" ht="18.95" customHeight="1" x14ac:dyDescent="0.2">
      <c r="A2542" s="148"/>
      <c r="B2542" s="334"/>
      <c r="C2542" s="141" t="s">
        <v>1039</v>
      </c>
      <c r="D2542" s="320"/>
      <c r="E2542" s="340" t="str">
        <f>CONCATENATE(G2527,"/día")</f>
        <v>Mes/día</v>
      </c>
      <c r="F2542" s="141"/>
      <c r="G2542" s="341"/>
    </row>
    <row r="2543" spans="1:8" ht="18.95" customHeight="1" x14ac:dyDescent="0.2">
      <c r="A2543" s="148"/>
      <c r="B2543" s="334"/>
      <c r="C2543" s="142"/>
      <c r="D2543" s="150"/>
      <c r="E2543" s="141"/>
      <c r="F2543" s="141"/>
      <c r="G2543" s="341"/>
    </row>
    <row r="2544" spans="1:8" ht="18.95" customHeight="1" x14ac:dyDescent="0.2">
      <c r="A2544" s="735" t="s">
        <v>582</v>
      </c>
      <c r="B2544" s="736"/>
      <c r="C2544" s="737" t="s">
        <v>0</v>
      </c>
      <c r="D2544" s="743" t="s">
        <v>1053</v>
      </c>
      <c r="E2544" s="743" t="s">
        <v>1706</v>
      </c>
      <c r="F2544" s="743" t="s">
        <v>1054</v>
      </c>
      <c r="G2544" s="743" t="s">
        <v>1055</v>
      </c>
    </row>
    <row r="2545" spans="1:7" ht="18.95" customHeight="1" x14ac:dyDescent="0.2">
      <c r="A2545" s="154" t="s">
        <v>583</v>
      </c>
      <c r="B2545" s="155" t="s">
        <v>584</v>
      </c>
      <c r="C2545" s="738"/>
      <c r="D2545" s="742"/>
      <c r="E2545" s="742"/>
      <c r="F2545" s="744"/>
      <c r="G2545" s="742"/>
    </row>
    <row r="2546" spans="1:7" ht="18.95" customHeight="1" x14ac:dyDescent="0.2">
      <c r="A2546" s="156"/>
      <c r="B2546" s="142"/>
      <c r="C2546" s="157" t="s">
        <v>1041</v>
      </c>
      <c r="D2546" s="150"/>
      <c r="E2546" s="142"/>
      <c r="F2546" s="142"/>
      <c r="G2546" s="342"/>
    </row>
    <row r="2547" spans="1:7" ht="18.95" customHeight="1" x14ac:dyDescent="0.2">
      <c r="A2547" s="348" t="str">
        <f t="shared" ref="A2547:A2554" si="723">IFERROR(VLOOKUP(C2547,Tabla_Insumos,4,FALSE),"")</f>
        <v/>
      </c>
      <c r="B2547" s="290" t="str">
        <f t="shared" ref="B2547:B2554" si="724">IFERROR(VLOOKUP(C2547,Tabla_Insumos,5,FALSE),"")</f>
        <v/>
      </c>
      <c r="C2547" s="290"/>
      <c r="D2547" s="607">
        <f t="shared" ref="D2547:D2554" si="725">IFERROR(VLOOKUP(C2547,Tabla_Insumos,3,FALSE),0)</f>
        <v>0</v>
      </c>
      <c r="E2547" s="349">
        <f>D2547*$G$21</f>
        <v>0</v>
      </c>
      <c r="F2547" s="350">
        <f>IF(C2547="",0,D2542)</f>
        <v>0</v>
      </c>
      <c r="G2547" s="347">
        <f>IFERROR(ROUND(E2547/F2547,2),0)</f>
        <v>0</v>
      </c>
    </row>
    <row r="2548" spans="1:7" ht="18.95" customHeight="1" x14ac:dyDescent="0.2">
      <c r="A2548" s="348" t="str">
        <f t="shared" si="723"/>
        <v/>
      </c>
      <c r="B2548" s="290" t="str">
        <f t="shared" si="724"/>
        <v/>
      </c>
      <c r="C2548" s="321"/>
      <c r="D2548" s="607">
        <f t="shared" si="725"/>
        <v>0</v>
      </c>
      <c r="E2548" s="349">
        <f t="shared" ref="E2548:E2549" si="726">D2548*$G$21</f>
        <v>0</v>
      </c>
      <c r="F2548" s="350">
        <f t="shared" ref="F2548:F2551" si="727">IF(C2548="",0,F2547)</f>
        <v>0</v>
      </c>
      <c r="G2548" s="347">
        <f t="shared" ref="G2548:G2554" si="728">IFERROR(ROUND(E2548/F2548,2),0)</f>
        <v>0</v>
      </c>
    </row>
    <row r="2549" spans="1:7" ht="18.95" customHeight="1" x14ac:dyDescent="0.2">
      <c r="A2549" s="348" t="str">
        <f t="shared" si="723"/>
        <v/>
      </c>
      <c r="B2549" s="290" t="str">
        <f t="shared" si="724"/>
        <v/>
      </c>
      <c r="C2549" s="321"/>
      <c r="D2549" s="607">
        <f t="shared" si="725"/>
        <v>0</v>
      </c>
      <c r="E2549" s="349">
        <f t="shared" si="726"/>
        <v>0</v>
      </c>
      <c r="F2549" s="350">
        <f t="shared" si="727"/>
        <v>0</v>
      </c>
      <c r="G2549" s="347">
        <f t="shared" si="728"/>
        <v>0</v>
      </c>
    </row>
    <row r="2550" spans="1:7" ht="18.95" customHeight="1" x14ac:dyDescent="0.2">
      <c r="A2550" s="348" t="str">
        <f t="shared" si="723"/>
        <v/>
      </c>
      <c r="B2550" s="290" t="str">
        <f t="shared" si="724"/>
        <v/>
      </c>
      <c r="C2550" s="321"/>
      <c r="D2550" s="607">
        <f t="shared" si="725"/>
        <v>0</v>
      </c>
      <c r="E2550" s="349">
        <f>D2550*$E$21</f>
        <v>0</v>
      </c>
      <c r="F2550" s="350">
        <f t="shared" si="727"/>
        <v>0</v>
      </c>
      <c r="G2550" s="347">
        <f t="shared" si="728"/>
        <v>0</v>
      </c>
    </row>
    <row r="2551" spans="1:7" ht="18.95" customHeight="1" x14ac:dyDescent="0.2">
      <c r="A2551" s="348" t="str">
        <f t="shared" si="723"/>
        <v/>
      </c>
      <c r="B2551" s="290" t="str">
        <f t="shared" si="724"/>
        <v/>
      </c>
      <c r="C2551" s="321"/>
      <c r="D2551" s="607">
        <f t="shared" si="725"/>
        <v>0</v>
      </c>
      <c r="E2551" s="349">
        <f>D2551*$E$21</f>
        <v>0</v>
      </c>
      <c r="F2551" s="350">
        <f t="shared" si="727"/>
        <v>0</v>
      </c>
      <c r="G2551" s="347">
        <f t="shared" si="728"/>
        <v>0</v>
      </c>
    </row>
    <row r="2552" spans="1:7" ht="18.95" customHeight="1" x14ac:dyDescent="0.2">
      <c r="A2552" s="348" t="str">
        <f t="shared" si="723"/>
        <v/>
      </c>
      <c r="B2552" s="290" t="str">
        <f t="shared" si="724"/>
        <v/>
      </c>
      <c r="C2552" s="321"/>
      <c r="D2552" s="607">
        <f t="shared" si="725"/>
        <v>0</v>
      </c>
      <c r="E2552" s="349"/>
      <c r="F2552" s="350">
        <f>IF(C2552="",0,F2551)</f>
        <v>0</v>
      </c>
      <c r="G2552" s="347">
        <f t="shared" si="728"/>
        <v>0</v>
      </c>
    </row>
    <row r="2553" spans="1:7" ht="18.95" customHeight="1" x14ac:dyDescent="0.2">
      <c r="A2553" s="348" t="str">
        <f t="shared" si="723"/>
        <v/>
      </c>
      <c r="B2553" s="290" t="str">
        <f t="shared" si="724"/>
        <v/>
      </c>
      <c r="C2553" s="321"/>
      <c r="D2553" s="607">
        <f t="shared" si="725"/>
        <v>0</v>
      </c>
      <c r="E2553" s="349"/>
      <c r="F2553" s="350">
        <f t="shared" ref="F2553:F2554" si="729">IF(C2553="",0,F2552)</f>
        <v>0</v>
      </c>
      <c r="G2553" s="347">
        <f t="shared" si="728"/>
        <v>0</v>
      </c>
    </row>
    <row r="2554" spans="1:7" ht="18.95" customHeight="1" x14ac:dyDescent="0.2">
      <c r="A2554" s="348" t="str">
        <f t="shared" si="723"/>
        <v/>
      </c>
      <c r="B2554" s="290" t="str">
        <f t="shared" si="724"/>
        <v/>
      </c>
      <c r="C2554" s="321"/>
      <c r="D2554" s="607">
        <f t="shared" si="725"/>
        <v>0</v>
      </c>
      <c r="E2554" s="349"/>
      <c r="F2554" s="350">
        <f t="shared" si="729"/>
        <v>0</v>
      </c>
      <c r="G2554" s="347">
        <f t="shared" si="728"/>
        <v>0</v>
      </c>
    </row>
    <row r="2555" spans="1:7" ht="18.95" customHeight="1" x14ac:dyDescent="0.2">
      <c r="A2555" s="353"/>
      <c r="B2555" s="149"/>
      <c r="C2555" s="142"/>
      <c r="D2555" s="150"/>
      <c r="E2555" s="143"/>
      <c r="F2555" s="354" t="s">
        <v>29</v>
      </c>
      <c r="G2555" s="355">
        <f>SUBTOTAL(9,G2547:G2554)</f>
        <v>0</v>
      </c>
    </row>
    <row r="2556" spans="1:7" ht="18.95" customHeight="1" x14ac:dyDescent="0.2">
      <c r="A2556" s="156"/>
      <c r="B2556" s="142"/>
      <c r="C2556" s="157" t="s">
        <v>722</v>
      </c>
      <c r="D2556" s="150"/>
      <c r="E2556" s="327"/>
      <c r="F2556" s="327"/>
      <c r="G2556" s="342"/>
    </row>
    <row r="2557" spans="1:7" ht="18.95" customHeight="1" x14ac:dyDescent="0.2">
      <c r="A2557" s="735" t="s">
        <v>582</v>
      </c>
      <c r="B2557" s="736"/>
      <c r="C2557" s="737" t="s">
        <v>0</v>
      </c>
      <c r="D2557" s="739" t="s">
        <v>26</v>
      </c>
      <c r="E2557" s="743" t="s">
        <v>1707</v>
      </c>
      <c r="F2557" s="741" t="s">
        <v>1040</v>
      </c>
      <c r="G2557" s="733" t="s">
        <v>28</v>
      </c>
    </row>
    <row r="2558" spans="1:7" ht="18.95" customHeight="1" x14ac:dyDescent="0.2">
      <c r="A2558" s="154" t="s">
        <v>583</v>
      </c>
      <c r="B2558" s="155" t="s">
        <v>584</v>
      </c>
      <c r="C2558" s="738"/>
      <c r="D2558" s="740"/>
      <c r="E2558" s="742"/>
      <c r="F2558" s="742"/>
      <c r="G2558" s="734"/>
    </row>
    <row r="2559" spans="1:7" ht="18.95" customHeight="1" x14ac:dyDescent="0.2">
      <c r="A2559" s="348" t="str">
        <f t="shared" ref="A2559:A2564" si="730">IFERROR(VLOOKUP(C2559,Tabla_Insumos,4,FALSE),"")</f>
        <v/>
      </c>
      <c r="B2559" s="290" t="str">
        <f t="shared" ref="B2559:B2564" si="731">IFERROR(VLOOKUP(C2559,Tabla_Insumos,5,FALSE),"")</f>
        <v/>
      </c>
      <c r="C2559" s="291"/>
      <c r="D2559" s="293"/>
      <c r="E2559" s="346">
        <f t="shared" ref="E2559:E2564" si="732">IFERROR(VLOOKUP(C2559,Tabla_Insumos,3,FALSE),0)</f>
        <v>0</v>
      </c>
      <c r="F2559" s="349">
        <f>IF(C2559="",0,D2542)</f>
        <v>0</v>
      </c>
      <c r="G2559" s="347">
        <f t="shared" ref="G2559:G2564" si="733">IFERROR(ROUND(D2559*E2559/F2559,2),0)</f>
        <v>0</v>
      </c>
    </row>
    <row r="2560" spans="1:7" ht="18.95" customHeight="1" x14ac:dyDescent="0.2">
      <c r="A2560" s="348" t="str">
        <f t="shared" si="730"/>
        <v/>
      </c>
      <c r="B2560" s="290" t="str">
        <f t="shared" si="731"/>
        <v/>
      </c>
      <c r="C2560" s="290"/>
      <c r="D2560" s="293"/>
      <c r="E2560" s="346">
        <f t="shared" si="732"/>
        <v>0</v>
      </c>
      <c r="F2560" s="349">
        <f>IF(C2560="",0,F2559)</f>
        <v>0</v>
      </c>
      <c r="G2560" s="347">
        <f t="shared" si="733"/>
        <v>0</v>
      </c>
    </row>
    <row r="2561" spans="1:7" ht="18.95" customHeight="1" x14ac:dyDescent="0.2">
      <c r="A2561" s="348" t="str">
        <f t="shared" si="730"/>
        <v/>
      </c>
      <c r="B2561" s="290" t="str">
        <f t="shared" si="731"/>
        <v/>
      </c>
      <c r="C2561" s="290"/>
      <c r="D2561" s="293"/>
      <c r="E2561" s="346">
        <f t="shared" si="732"/>
        <v>0</v>
      </c>
      <c r="F2561" s="349">
        <f>IF(C2561="",0,F2560)</f>
        <v>0</v>
      </c>
      <c r="G2561" s="347">
        <f t="shared" si="733"/>
        <v>0</v>
      </c>
    </row>
    <row r="2562" spans="1:7" ht="18.95" customHeight="1" x14ac:dyDescent="0.2">
      <c r="A2562" s="348" t="str">
        <f t="shared" si="730"/>
        <v/>
      </c>
      <c r="B2562" s="290" t="str">
        <f t="shared" si="731"/>
        <v/>
      </c>
      <c r="C2562" s="290"/>
      <c r="D2562" s="293"/>
      <c r="E2562" s="346">
        <f t="shared" si="732"/>
        <v>0</v>
      </c>
      <c r="F2562" s="349">
        <f>IF(C2562="",0,F2561)</f>
        <v>0</v>
      </c>
      <c r="G2562" s="347">
        <f t="shared" si="733"/>
        <v>0</v>
      </c>
    </row>
    <row r="2563" spans="1:7" ht="18.95" customHeight="1" x14ac:dyDescent="0.2">
      <c r="A2563" s="348" t="str">
        <f t="shared" si="730"/>
        <v/>
      </c>
      <c r="B2563" s="290" t="str">
        <f t="shared" si="731"/>
        <v/>
      </c>
      <c r="C2563" s="290"/>
      <c r="D2563" s="351"/>
      <c r="E2563" s="346">
        <f t="shared" si="732"/>
        <v>0</v>
      </c>
      <c r="F2563" s="349">
        <f>IF(C2563="",0,F2562)</f>
        <v>0</v>
      </c>
      <c r="G2563" s="347">
        <f t="shared" si="733"/>
        <v>0</v>
      </c>
    </row>
    <row r="2564" spans="1:7" ht="18.95" customHeight="1" x14ac:dyDescent="0.2">
      <c r="A2564" s="348" t="str">
        <f t="shared" si="730"/>
        <v/>
      </c>
      <c r="B2564" s="290" t="str">
        <f t="shared" si="731"/>
        <v/>
      </c>
      <c r="C2564" s="290"/>
      <c r="D2564" s="293"/>
      <c r="E2564" s="346">
        <f t="shared" si="732"/>
        <v>0</v>
      </c>
      <c r="F2564" s="349">
        <f>IF(C2564="",0,F2563)</f>
        <v>0</v>
      </c>
      <c r="G2564" s="347">
        <f t="shared" si="733"/>
        <v>0</v>
      </c>
    </row>
    <row r="2565" spans="1:7" ht="18.95" customHeight="1" x14ac:dyDescent="0.2">
      <c r="A2565" s="353"/>
      <c r="B2565" s="149"/>
      <c r="C2565" s="142"/>
      <c r="D2565" s="150"/>
      <c r="E2565" s="143"/>
      <c r="F2565" s="356" t="s">
        <v>30</v>
      </c>
      <c r="G2565" s="355">
        <f>SUBTOTAL(9,G2559:G2564)</f>
        <v>0</v>
      </c>
    </row>
    <row r="2566" spans="1:7" ht="18.95" customHeight="1" x14ac:dyDescent="0.2">
      <c r="A2566" s="156"/>
      <c r="B2566" s="142"/>
      <c r="C2566" s="157" t="s">
        <v>1047</v>
      </c>
      <c r="D2566" s="150"/>
      <c r="E2566" s="327"/>
      <c r="F2566" s="327"/>
      <c r="G2566" s="342"/>
    </row>
    <row r="2567" spans="1:7" ht="18.95" customHeight="1" x14ac:dyDescent="0.2">
      <c r="A2567" s="735" t="s">
        <v>582</v>
      </c>
      <c r="B2567" s="736"/>
      <c r="C2567" s="737" t="s">
        <v>0</v>
      </c>
      <c r="D2567" s="737" t="s">
        <v>1655</v>
      </c>
      <c r="E2567" s="737" t="s">
        <v>26</v>
      </c>
      <c r="F2567" s="737" t="s">
        <v>27</v>
      </c>
      <c r="G2567" s="733" t="s">
        <v>28</v>
      </c>
    </row>
    <row r="2568" spans="1:7" ht="18.95" customHeight="1" x14ac:dyDescent="0.2">
      <c r="A2568" s="154" t="s">
        <v>583</v>
      </c>
      <c r="B2568" s="155" t="s">
        <v>584</v>
      </c>
      <c r="C2568" s="738"/>
      <c r="D2568" s="738"/>
      <c r="E2568" s="738"/>
      <c r="F2568" s="738"/>
      <c r="G2568" s="734"/>
    </row>
    <row r="2569" spans="1:7" ht="18.95" customHeight="1" x14ac:dyDescent="0.2">
      <c r="A2569" s="348" t="str">
        <f t="shared" ref="A2569:A2580" si="734">IFERROR(VLOOKUP(C2569,Tabla_Insumos,4,FALSE),"")</f>
        <v/>
      </c>
      <c r="B2569" s="290" t="str">
        <f t="shared" ref="B2569:B2580" si="735">IFERROR(VLOOKUP(C2569,Tabla_Insumos,5,FALSE),"")</f>
        <v/>
      </c>
      <c r="C2569" s="290"/>
      <c r="D2569" s="608">
        <f t="shared" ref="D2569:D2580" si="736">IFERROR(VLOOKUP(C2569,Tabla_Insumos,2,FALSE),0)</f>
        <v>0</v>
      </c>
      <c r="E2569" s="293"/>
      <c r="F2569" s="346">
        <f t="shared" ref="F2569:F2580" si="737">IFERROR(VLOOKUP(C2569,Tabla_Insumos,3,FALSE),0)</f>
        <v>0</v>
      </c>
      <c r="G2569" s="347">
        <f t="shared" ref="G2569:G2580" si="738">ROUND(E2569*F2569,2)</f>
        <v>0</v>
      </c>
    </row>
    <row r="2570" spans="1:7" ht="18.95" customHeight="1" x14ac:dyDescent="0.2">
      <c r="A2570" s="348" t="str">
        <f t="shared" si="734"/>
        <v/>
      </c>
      <c r="B2570" s="290" t="str">
        <f t="shared" si="735"/>
        <v/>
      </c>
      <c r="C2570" s="126"/>
      <c r="D2570" s="608">
        <f t="shared" si="736"/>
        <v>0</v>
      </c>
      <c r="E2570" s="293"/>
      <c r="F2570" s="346">
        <f t="shared" si="737"/>
        <v>0</v>
      </c>
      <c r="G2570" s="347">
        <f t="shared" si="738"/>
        <v>0</v>
      </c>
    </row>
    <row r="2571" spans="1:7" ht="18.95" customHeight="1" x14ac:dyDescent="0.2">
      <c r="A2571" s="348" t="str">
        <f t="shared" si="734"/>
        <v/>
      </c>
      <c r="B2571" s="290" t="str">
        <f t="shared" si="735"/>
        <v/>
      </c>
      <c r="C2571" s="290"/>
      <c r="D2571" s="608">
        <f t="shared" si="736"/>
        <v>0</v>
      </c>
      <c r="E2571" s="293"/>
      <c r="F2571" s="346">
        <f t="shared" si="737"/>
        <v>0</v>
      </c>
      <c r="G2571" s="347">
        <f t="shared" si="738"/>
        <v>0</v>
      </c>
    </row>
    <row r="2572" spans="1:7" ht="18.95" customHeight="1" x14ac:dyDescent="0.2">
      <c r="A2572" s="348" t="str">
        <f t="shared" si="734"/>
        <v/>
      </c>
      <c r="B2572" s="290" t="str">
        <f t="shared" si="735"/>
        <v/>
      </c>
      <c r="C2572" s="290"/>
      <c r="D2572" s="608">
        <f t="shared" si="736"/>
        <v>0</v>
      </c>
      <c r="E2572" s="293"/>
      <c r="F2572" s="346">
        <f t="shared" si="737"/>
        <v>0</v>
      </c>
      <c r="G2572" s="347">
        <f t="shared" si="738"/>
        <v>0</v>
      </c>
    </row>
    <row r="2573" spans="1:7" ht="18.95" customHeight="1" x14ac:dyDescent="0.2">
      <c r="A2573" s="348" t="str">
        <f t="shared" si="734"/>
        <v/>
      </c>
      <c r="B2573" s="290" t="str">
        <f t="shared" si="735"/>
        <v/>
      </c>
      <c r="C2573" s="290"/>
      <c r="D2573" s="608">
        <f t="shared" si="736"/>
        <v>0</v>
      </c>
      <c r="E2573" s="293"/>
      <c r="F2573" s="346">
        <f t="shared" si="737"/>
        <v>0</v>
      </c>
      <c r="G2573" s="347">
        <f t="shared" si="738"/>
        <v>0</v>
      </c>
    </row>
    <row r="2574" spans="1:7" ht="18.95" customHeight="1" x14ac:dyDescent="0.2">
      <c r="A2574" s="348" t="str">
        <f t="shared" si="734"/>
        <v/>
      </c>
      <c r="B2574" s="290" t="str">
        <f t="shared" si="735"/>
        <v/>
      </c>
      <c r="C2574" s="290"/>
      <c r="D2574" s="608">
        <f t="shared" si="736"/>
        <v>0</v>
      </c>
      <c r="E2574" s="293"/>
      <c r="F2574" s="346">
        <f t="shared" si="737"/>
        <v>0</v>
      </c>
      <c r="G2574" s="347">
        <f t="shared" si="738"/>
        <v>0</v>
      </c>
    </row>
    <row r="2575" spans="1:7" ht="18.95" customHeight="1" x14ac:dyDescent="0.2">
      <c r="A2575" s="348" t="str">
        <f t="shared" si="734"/>
        <v/>
      </c>
      <c r="B2575" s="290" t="str">
        <f t="shared" si="735"/>
        <v/>
      </c>
      <c r="C2575" s="290"/>
      <c r="D2575" s="608">
        <f t="shared" si="736"/>
        <v>0</v>
      </c>
      <c r="E2575" s="293"/>
      <c r="F2575" s="346">
        <f t="shared" si="737"/>
        <v>0</v>
      </c>
      <c r="G2575" s="347">
        <f t="shared" si="738"/>
        <v>0</v>
      </c>
    </row>
    <row r="2576" spans="1:7" s="295" customFormat="1" ht="18.95" customHeight="1" x14ac:dyDescent="0.2">
      <c r="A2576" s="348" t="str">
        <f t="shared" si="734"/>
        <v/>
      </c>
      <c r="B2576" s="290" t="str">
        <f t="shared" si="735"/>
        <v/>
      </c>
      <c r="C2576" s="290"/>
      <c r="D2576" s="608">
        <f t="shared" si="736"/>
        <v>0</v>
      </c>
      <c r="E2576" s="323"/>
      <c r="F2576" s="346">
        <f t="shared" si="737"/>
        <v>0</v>
      </c>
      <c r="G2576" s="347">
        <f t="shared" si="738"/>
        <v>0</v>
      </c>
    </row>
    <row r="2577" spans="1:8" ht="18.95" customHeight="1" x14ac:dyDescent="0.2">
      <c r="A2577" s="348" t="str">
        <f t="shared" si="734"/>
        <v/>
      </c>
      <c r="B2577" s="290" t="str">
        <f t="shared" si="735"/>
        <v/>
      </c>
      <c r="C2577" s="290"/>
      <c r="D2577" s="608">
        <f t="shared" si="736"/>
        <v>0</v>
      </c>
      <c r="E2577" s="293"/>
      <c r="F2577" s="346">
        <f t="shared" si="737"/>
        <v>0</v>
      </c>
      <c r="G2577" s="347">
        <f t="shared" si="738"/>
        <v>0</v>
      </c>
    </row>
    <row r="2578" spans="1:8" ht="18.95" customHeight="1" x14ac:dyDescent="0.2">
      <c r="A2578" s="348" t="str">
        <f t="shared" si="734"/>
        <v/>
      </c>
      <c r="B2578" s="290" t="str">
        <f t="shared" si="735"/>
        <v/>
      </c>
      <c r="C2578" s="290"/>
      <c r="D2578" s="608">
        <f t="shared" si="736"/>
        <v>0</v>
      </c>
      <c r="E2578" s="293"/>
      <c r="F2578" s="346">
        <f t="shared" si="737"/>
        <v>0</v>
      </c>
      <c r="G2578" s="347">
        <f t="shared" si="738"/>
        <v>0</v>
      </c>
    </row>
    <row r="2579" spans="1:8" ht="18.95" customHeight="1" x14ac:dyDescent="0.2">
      <c r="A2579" s="348" t="str">
        <f t="shared" si="734"/>
        <v/>
      </c>
      <c r="B2579" s="290" t="str">
        <f t="shared" si="735"/>
        <v/>
      </c>
      <c r="C2579" s="290"/>
      <c r="D2579" s="608">
        <f t="shared" si="736"/>
        <v>0</v>
      </c>
      <c r="E2579" s="293"/>
      <c r="F2579" s="346">
        <f t="shared" si="737"/>
        <v>0</v>
      </c>
      <c r="G2579" s="347">
        <f t="shared" si="738"/>
        <v>0</v>
      </c>
    </row>
    <row r="2580" spans="1:8" ht="18.95" customHeight="1" x14ac:dyDescent="0.2">
      <c r="A2580" s="348" t="str">
        <f t="shared" si="734"/>
        <v/>
      </c>
      <c r="B2580" s="290" t="str">
        <f t="shared" si="735"/>
        <v/>
      </c>
      <c r="C2580" s="290"/>
      <c r="D2580" s="608">
        <f t="shared" si="736"/>
        <v>0</v>
      </c>
      <c r="E2580" s="293"/>
      <c r="F2580" s="346">
        <f t="shared" si="737"/>
        <v>0</v>
      </c>
      <c r="G2580" s="347">
        <f t="shared" si="738"/>
        <v>0</v>
      </c>
    </row>
    <row r="2581" spans="1:8" ht="18.95" customHeight="1" x14ac:dyDescent="0.2">
      <c r="A2581" s="156"/>
      <c r="B2581" s="142"/>
      <c r="C2581" s="142"/>
      <c r="D2581" s="150"/>
      <c r="E2581" s="143"/>
      <c r="F2581" s="356" t="s">
        <v>31</v>
      </c>
      <c r="G2581" s="355">
        <f>SUBTOTAL(9,G2569:G2580)</f>
        <v>0</v>
      </c>
    </row>
    <row r="2582" spans="1:8" ht="18.95" customHeight="1" x14ac:dyDescent="0.2">
      <c r="A2582" s="156"/>
      <c r="B2582" s="142"/>
      <c r="C2582" s="157" t="s">
        <v>1048</v>
      </c>
      <c r="D2582" s="150"/>
      <c r="E2582" s="327"/>
      <c r="F2582" s="327"/>
      <c r="G2582" s="342"/>
    </row>
    <row r="2583" spans="1:8" ht="18.95" customHeight="1" x14ac:dyDescent="0.2">
      <c r="A2583" s="735" t="s">
        <v>582</v>
      </c>
      <c r="B2583" s="736"/>
      <c r="C2583" s="737" t="s">
        <v>0</v>
      </c>
      <c r="D2583" s="739" t="s">
        <v>1750</v>
      </c>
      <c r="E2583" s="741" t="s">
        <v>26</v>
      </c>
      <c r="F2583" s="741" t="s">
        <v>27</v>
      </c>
      <c r="G2583" s="733" t="s">
        <v>28</v>
      </c>
    </row>
    <row r="2584" spans="1:8" ht="18.95" customHeight="1" x14ac:dyDescent="0.2">
      <c r="A2584" s="154" t="s">
        <v>583</v>
      </c>
      <c r="B2584" s="155" t="s">
        <v>584</v>
      </c>
      <c r="C2584" s="738"/>
      <c r="D2584" s="740"/>
      <c r="E2584" s="742"/>
      <c r="F2584" s="742"/>
      <c r="G2584" s="734"/>
    </row>
    <row r="2585" spans="1:8" ht="18.95" customHeight="1" x14ac:dyDescent="0.2">
      <c r="A2585" s="348" t="str">
        <f>IFERROR(VLOOKUP(C2585,Tabla_Insumos,4,FALSE),"")</f>
        <v/>
      </c>
      <c r="B2585" s="290" t="s">
        <v>4</v>
      </c>
      <c r="C2585" s="290"/>
      <c r="D2585" s="293"/>
      <c r="E2585" s="322"/>
      <c r="F2585" s="324"/>
      <c r="G2585" s="347">
        <f t="shared" ref="G2585" si="739">ROUND(E2585*F2585,2)</f>
        <v>0</v>
      </c>
    </row>
    <row r="2586" spans="1:8" ht="18.95" customHeight="1" x14ac:dyDescent="0.2">
      <c r="A2586" s="156"/>
      <c r="B2586" s="142"/>
      <c r="C2586" s="142"/>
      <c r="D2586" s="150"/>
      <c r="E2586" s="143"/>
      <c r="F2586" s="356" t="s">
        <v>1049</v>
      </c>
      <c r="G2586" s="355">
        <f>SUBTOTAL(9,G2585:G2585)</f>
        <v>0</v>
      </c>
    </row>
    <row r="2587" spans="1:8" ht="18.95" customHeight="1" thickBot="1" x14ac:dyDescent="0.25">
      <c r="A2587" s="158"/>
      <c r="B2587" s="159"/>
      <c r="C2587" s="160"/>
      <c r="D2587" s="161"/>
      <c r="E2587" s="357"/>
      <c r="F2587" s="357"/>
      <c r="G2587" s="358"/>
    </row>
    <row r="2588" spans="1:8" ht="18.95" customHeight="1" x14ac:dyDescent="0.2">
      <c r="A2588" s="359" t="str">
        <f>B2527</f>
        <v>36.a</v>
      </c>
      <c r="B2588" s="360" t="str">
        <f>C2527</f>
        <v>Cuota Mensual</v>
      </c>
      <c r="C2588" s="361"/>
      <c r="D2588" s="361"/>
      <c r="E2588" s="361" t="s">
        <v>1050</v>
      </c>
      <c r="F2588" s="362" t="str">
        <f>CONCATENATE("$/",G2527)</f>
        <v>$/Mes</v>
      </c>
      <c r="G2588" s="363">
        <f>SUBTOTAL(9,G2547:G2587)</f>
        <v>0</v>
      </c>
    </row>
    <row r="2589" spans="1:8" ht="18.95" customHeight="1" thickBot="1" x14ac:dyDescent="0.25">
      <c r="A2589" s="364"/>
      <c r="B2589" s="365"/>
      <c r="C2589" s="365"/>
      <c r="D2589" s="365"/>
      <c r="E2589" s="366" t="s">
        <v>1051</v>
      </c>
      <c r="F2589" s="367" t="str">
        <f>CONCATENATE("$/",G2527)</f>
        <v>$/Mes</v>
      </c>
      <c r="G2589" s="368" t="e">
        <f ca="1">PrecioUnitario(G2588,GG_Porcentaje,Beneficio,Ingresos_Brutos,IVA)</f>
        <v>#NAME?</v>
      </c>
    </row>
    <row r="2590" spans="1:8" ht="18.95" customHeight="1" thickTop="1" thickBot="1" x14ac:dyDescent="0.25">
      <c r="F2590" s="294"/>
      <c r="G2590" s="294"/>
    </row>
    <row r="2591" spans="1:8" ht="18.95" customHeight="1" thickTop="1" x14ac:dyDescent="0.2">
      <c r="A2591" s="194" t="s">
        <v>33</v>
      </c>
      <c r="B2591" s="195"/>
      <c r="C2591" s="195"/>
      <c r="D2591" s="195"/>
      <c r="E2591" s="195"/>
      <c r="F2591" s="195"/>
      <c r="G2591" s="196"/>
      <c r="H2591" s="143">
        <f>COUNTIF($A$1:A2597,"ANALISIS DE PRECIOS")</f>
        <v>38</v>
      </c>
    </row>
    <row r="2592" spans="1:8" ht="18.95" customHeight="1" x14ac:dyDescent="0.2">
      <c r="A2592" s="144" t="s">
        <v>720</v>
      </c>
      <c r="B2592" s="145" t="str">
        <f>Comitente</f>
        <v>DIRECCIÓN PROVINCIAL DE VIALIDAD</v>
      </c>
      <c r="C2592" s="139"/>
      <c r="D2592" s="146"/>
      <c r="E2592" s="325"/>
      <c r="F2592" s="325"/>
      <c r="G2592" s="326"/>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PAVIMENTACION Y ENSANCHE DE RUTA PROVINCIAL N°7 AV. JOAQUIN UÑAC</v>
      </c>
      <c r="C2594" s="140"/>
      <c r="D2594" s="140"/>
      <c r="E2594" s="143"/>
      <c r="F2594" s="145" t="s">
        <v>34</v>
      </c>
      <c r="G2594" s="147">
        <f>Fecha_Base</f>
        <v>43444</v>
      </c>
      <c r="H2594" s="143"/>
    </row>
    <row r="2595" spans="1:8" ht="18.95" customHeight="1" x14ac:dyDescent="0.2">
      <c r="A2595" s="148" t="s">
        <v>719</v>
      </c>
      <c r="B2595" s="141" t="str">
        <f>Ubicación</f>
        <v>DEPARTAMENTO POCITO</v>
      </c>
      <c r="C2595" s="141"/>
      <c r="D2595" s="150"/>
      <c r="E2595" s="143"/>
      <c r="F2595" s="327"/>
      <c r="G2595" s="328"/>
      <c r="H2595" s="143"/>
    </row>
    <row r="2596" spans="1:8" ht="18.95" customHeight="1" x14ac:dyDescent="0.2">
      <c r="A2596" s="148" t="s">
        <v>35</v>
      </c>
      <c r="B2596" s="151" t="str">
        <f>IFERROR(VALUE(LEFT(B2597,FIND("-",B2597)-1)),"")</f>
        <v/>
      </c>
      <c r="C2596" s="142" t="str">
        <f>IFERROR(VLOOKUP(B2596,Tabla_CyP,2,FALSE),"")</f>
        <v/>
      </c>
      <c r="D2596" s="150"/>
      <c r="E2596" s="143"/>
      <c r="F2596" s="327"/>
      <c r="G2596" s="328"/>
      <c r="H2596" s="143"/>
    </row>
    <row r="2597" spans="1:8" ht="18.95" customHeight="1" x14ac:dyDescent="0.2">
      <c r="A2597" s="148" t="s">
        <v>24</v>
      </c>
      <c r="B2597" s="152" t="str">
        <f>IFERROR(VLOOKUP(COUNTIF($A$1:A2597,"ANALISIS DE PRECIOS"),Tabla_NumeroItem,4,FALSE),"")</f>
        <v>36.b</v>
      </c>
      <c r="C2597" s="745" t="str">
        <f>IFERROR(VLOOKUP(B2597,Tabla_CyP,2,FALSE),"")</f>
        <v>Adicional por Kilómetro</v>
      </c>
      <c r="D2597" s="745"/>
      <c r="E2597" s="745"/>
      <c r="F2597" s="141" t="s">
        <v>25</v>
      </c>
      <c r="G2597" s="153" t="str">
        <f>IFERROR(VLOOKUP(B2597,Tabla_CyP,4,FALSE),"")</f>
        <v>km</v>
      </c>
      <c r="H2597" s="143"/>
    </row>
    <row r="2598" spans="1:8" ht="18.95" customHeight="1" x14ac:dyDescent="0.2">
      <c r="A2598" s="148"/>
      <c r="B2598" s="141"/>
      <c r="C2598" s="142"/>
      <c r="D2598" s="150"/>
      <c r="E2598" s="142"/>
      <c r="F2598" s="142"/>
      <c r="G2598" s="329"/>
      <c r="H2598" s="143"/>
    </row>
    <row r="2599" spans="1:8" ht="18.95" customHeight="1" x14ac:dyDescent="0.2">
      <c r="A2599" s="330"/>
      <c r="B2599" s="331"/>
      <c r="C2599" s="332" t="s">
        <v>1032</v>
      </c>
      <c r="D2599" s="331"/>
      <c r="E2599" s="331"/>
      <c r="F2599" s="331"/>
      <c r="G2599" s="333"/>
      <c r="H2599" s="143"/>
    </row>
    <row r="2600" spans="1:8" ht="18.95" customHeight="1" x14ac:dyDescent="0.2">
      <c r="A2600" s="148"/>
      <c r="B2600" s="334"/>
      <c r="C2600" s="335" t="s">
        <v>1033</v>
      </c>
      <c r="D2600" s="336" t="s">
        <v>26</v>
      </c>
      <c r="E2600" s="336" t="s">
        <v>1034</v>
      </c>
      <c r="F2600" s="336" t="s">
        <v>1035</v>
      </c>
      <c r="G2600" s="337" t="s">
        <v>1036</v>
      </c>
      <c r="H2600" s="143"/>
    </row>
    <row r="2601" spans="1:8" ht="18.95" customHeight="1" x14ac:dyDescent="0.2">
      <c r="A2601" s="343"/>
      <c r="B2601" s="344"/>
      <c r="C2601" s="290"/>
      <c r="D2601" s="293"/>
      <c r="E2601" s="345"/>
      <c r="F2601" s="346"/>
      <c r="G2601" s="347">
        <f t="shared" ref="G2601:G2610" si="740">ROUND(D2601*F2601,2)</f>
        <v>0</v>
      </c>
    </row>
    <row r="2602" spans="1:8" ht="18.95" customHeight="1" x14ac:dyDescent="0.2">
      <c r="A2602" s="343"/>
      <c r="B2602" s="344"/>
      <c r="C2602" s="290"/>
      <c r="D2602" s="293"/>
      <c r="E2602" s="345"/>
      <c r="F2602" s="346"/>
      <c r="G2602" s="347">
        <f t="shared" si="740"/>
        <v>0</v>
      </c>
    </row>
    <row r="2603" spans="1:8" ht="18.95" customHeight="1" x14ac:dyDescent="0.2">
      <c r="A2603" s="343"/>
      <c r="B2603" s="344"/>
      <c r="C2603" s="290"/>
      <c r="D2603" s="293"/>
      <c r="E2603" s="345">
        <f t="shared" ref="E2603:E2610" si="741">IFERROR(VLOOKUP(C2603,T_Equipos,4,FALSE),0)</f>
        <v>0</v>
      </c>
      <c r="F2603" s="346">
        <f t="shared" ref="F2603:F2610" si="742">IFERROR(VLOOKUP(C2603,T_Equipos,11,FALSE),0)</f>
        <v>0</v>
      </c>
      <c r="G2603" s="347">
        <f t="shared" si="740"/>
        <v>0</v>
      </c>
    </row>
    <row r="2604" spans="1:8" ht="18.95" customHeight="1" x14ac:dyDescent="0.2">
      <c r="A2604" s="343"/>
      <c r="B2604" s="344"/>
      <c r="C2604" s="290"/>
      <c r="D2604" s="293"/>
      <c r="E2604" s="345">
        <f t="shared" si="741"/>
        <v>0</v>
      </c>
      <c r="F2604" s="346">
        <f t="shared" si="742"/>
        <v>0</v>
      </c>
      <c r="G2604" s="347">
        <f t="shared" si="740"/>
        <v>0</v>
      </c>
    </row>
    <row r="2605" spans="1:8" ht="18.95" customHeight="1" x14ac:dyDescent="0.2">
      <c r="A2605" s="343"/>
      <c r="B2605" s="344"/>
      <c r="C2605" s="290"/>
      <c r="D2605" s="293"/>
      <c r="E2605" s="345">
        <f t="shared" si="741"/>
        <v>0</v>
      </c>
      <c r="F2605" s="346">
        <f t="shared" si="742"/>
        <v>0</v>
      </c>
      <c r="G2605" s="347">
        <f t="shared" si="740"/>
        <v>0</v>
      </c>
    </row>
    <row r="2606" spans="1:8" ht="18.95" customHeight="1" x14ac:dyDescent="0.2">
      <c r="A2606" s="343"/>
      <c r="B2606" s="344"/>
      <c r="C2606" s="290"/>
      <c r="D2606" s="293"/>
      <c r="E2606" s="345">
        <f t="shared" si="741"/>
        <v>0</v>
      </c>
      <c r="F2606" s="346">
        <f t="shared" si="742"/>
        <v>0</v>
      </c>
      <c r="G2606" s="347">
        <f t="shared" si="740"/>
        <v>0</v>
      </c>
    </row>
    <row r="2607" spans="1:8" ht="18.95" customHeight="1" x14ac:dyDescent="0.2">
      <c r="A2607" s="343"/>
      <c r="B2607" s="344"/>
      <c r="C2607" s="290"/>
      <c r="D2607" s="293"/>
      <c r="E2607" s="345">
        <f t="shared" si="741"/>
        <v>0</v>
      </c>
      <c r="F2607" s="346">
        <f t="shared" si="742"/>
        <v>0</v>
      </c>
      <c r="G2607" s="347">
        <f t="shared" si="740"/>
        <v>0</v>
      </c>
    </row>
    <row r="2608" spans="1:8" ht="18.95" customHeight="1" x14ac:dyDescent="0.2">
      <c r="A2608" s="343"/>
      <c r="B2608" s="344"/>
      <c r="C2608" s="290"/>
      <c r="D2608" s="293"/>
      <c r="E2608" s="345">
        <f t="shared" si="741"/>
        <v>0</v>
      </c>
      <c r="F2608" s="346">
        <f t="shared" si="742"/>
        <v>0</v>
      </c>
      <c r="G2608" s="347">
        <f t="shared" si="740"/>
        <v>0</v>
      </c>
    </row>
    <row r="2609" spans="1:7" ht="18.95" customHeight="1" x14ac:dyDescent="0.2">
      <c r="A2609" s="343"/>
      <c r="B2609" s="344"/>
      <c r="C2609" s="290"/>
      <c r="D2609" s="293"/>
      <c r="E2609" s="345">
        <f t="shared" si="741"/>
        <v>0</v>
      </c>
      <c r="F2609" s="346">
        <f t="shared" si="742"/>
        <v>0</v>
      </c>
      <c r="G2609" s="347">
        <f t="shared" si="740"/>
        <v>0</v>
      </c>
    </row>
    <row r="2610" spans="1:7" ht="18.95" customHeight="1" thickBot="1" x14ac:dyDescent="0.25">
      <c r="A2610" s="343"/>
      <c r="B2610" s="344"/>
      <c r="C2610" s="290"/>
      <c r="D2610" s="293"/>
      <c r="E2610" s="345">
        <f t="shared" si="741"/>
        <v>0</v>
      </c>
      <c r="F2610" s="346">
        <f t="shared" si="742"/>
        <v>0</v>
      </c>
      <c r="G2610" s="347">
        <f t="shared" si="740"/>
        <v>0</v>
      </c>
    </row>
    <row r="2611" spans="1:7" ht="18.95" customHeight="1" thickBot="1" x14ac:dyDescent="0.25">
      <c r="A2611" s="148"/>
      <c r="B2611" s="334"/>
      <c r="C2611" s="143"/>
      <c r="D2611" s="146" t="s">
        <v>1037</v>
      </c>
      <c r="E2611" s="338">
        <f>SUMPRODUCT(D2601:D2610,E2601:E2610)</f>
        <v>0</v>
      </c>
      <c r="F2611" s="141" t="s">
        <v>1038</v>
      </c>
      <c r="G2611" s="339">
        <f>SUM(G2601:G2610)</f>
        <v>0</v>
      </c>
    </row>
    <row r="2612" spans="1:7" ht="18.95" customHeight="1" x14ac:dyDescent="0.2">
      <c r="A2612" s="148"/>
      <c r="B2612" s="334"/>
      <c r="C2612" s="141" t="s">
        <v>1039</v>
      </c>
      <c r="D2612" s="320"/>
      <c r="E2612" s="340" t="str">
        <f>CONCATENATE(G2597,"/día")</f>
        <v>km/día</v>
      </c>
      <c r="F2612" s="141"/>
      <c r="G2612" s="341"/>
    </row>
    <row r="2613" spans="1:7" ht="18.95" customHeight="1" x14ac:dyDescent="0.2">
      <c r="A2613" s="148"/>
      <c r="B2613" s="334"/>
      <c r="C2613" s="142"/>
      <c r="D2613" s="150"/>
      <c r="E2613" s="141"/>
      <c r="F2613" s="141"/>
      <c r="G2613" s="341"/>
    </row>
    <row r="2614" spans="1:7" ht="18.95" customHeight="1" x14ac:dyDescent="0.2">
      <c r="A2614" s="735" t="s">
        <v>582</v>
      </c>
      <c r="B2614" s="736"/>
      <c r="C2614" s="737" t="s">
        <v>0</v>
      </c>
      <c r="D2614" s="743" t="s">
        <v>1053</v>
      </c>
      <c r="E2614" s="743" t="s">
        <v>1706</v>
      </c>
      <c r="F2614" s="743" t="s">
        <v>1054</v>
      </c>
      <c r="G2614" s="743" t="s">
        <v>1055</v>
      </c>
    </row>
    <row r="2615" spans="1:7" ht="18.95" customHeight="1" x14ac:dyDescent="0.2">
      <c r="A2615" s="154" t="s">
        <v>583</v>
      </c>
      <c r="B2615" s="155" t="s">
        <v>584</v>
      </c>
      <c r="C2615" s="738"/>
      <c r="D2615" s="742"/>
      <c r="E2615" s="742"/>
      <c r="F2615" s="744"/>
      <c r="G2615" s="742"/>
    </row>
    <row r="2616" spans="1:7" ht="18.95" customHeight="1" x14ac:dyDescent="0.2">
      <c r="A2616" s="156"/>
      <c r="B2616" s="142"/>
      <c r="C2616" s="157" t="s">
        <v>1041</v>
      </c>
      <c r="D2616" s="150"/>
      <c r="E2616" s="142"/>
      <c r="F2616" s="142"/>
      <c r="G2616" s="342"/>
    </row>
    <row r="2617" spans="1:7" ht="18.95" customHeight="1" x14ac:dyDescent="0.2">
      <c r="A2617" s="348" t="str">
        <f t="shared" ref="A2617:A2624" si="743">IFERROR(VLOOKUP(C2617,Tabla_Insumos,4,FALSE),"")</f>
        <v/>
      </c>
      <c r="B2617" s="290" t="str">
        <f t="shared" ref="B2617:B2624" si="744">IFERROR(VLOOKUP(C2617,Tabla_Insumos,5,FALSE),"")</f>
        <v/>
      </c>
      <c r="C2617" s="290"/>
      <c r="D2617" s="607">
        <f t="shared" ref="D2617:D2624" si="745">IFERROR(VLOOKUP(C2617,Tabla_Insumos,3,FALSE),0)</f>
        <v>0</v>
      </c>
      <c r="E2617" s="349">
        <f>D2617*$G$21</f>
        <v>0</v>
      </c>
      <c r="F2617" s="350">
        <f>IF(C2617="",0,D2612)</f>
        <v>0</v>
      </c>
      <c r="G2617" s="347">
        <f>IFERROR(ROUND(E2617/F2617,2),0)</f>
        <v>0</v>
      </c>
    </row>
    <row r="2618" spans="1:7" ht="18.95" customHeight="1" x14ac:dyDescent="0.2">
      <c r="A2618" s="348" t="str">
        <f t="shared" si="743"/>
        <v/>
      </c>
      <c r="B2618" s="290" t="str">
        <f t="shared" si="744"/>
        <v/>
      </c>
      <c r="C2618" s="321"/>
      <c r="D2618" s="607">
        <f t="shared" si="745"/>
        <v>0</v>
      </c>
      <c r="E2618" s="349">
        <f t="shared" ref="E2618:E2619" si="746">D2618*$G$21</f>
        <v>0</v>
      </c>
      <c r="F2618" s="350">
        <f t="shared" ref="F2618:F2621" si="747">IF(C2618="",0,F2617)</f>
        <v>0</v>
      </c>
      <c r="G2618" s="347">
        <f t="shared" ref="G2618:G2624" si="748">IFERROR(ROUND(E2618/F2618,2),0)</f>
        <v>0</v>
      </c>
    </row>
    <row r="2619" spans="1:7" ht="18.95" customHeight="1" x14ac:dyDescent="0.2">
      <c r="A2619" s="348" t="str">
        <f t="shared" si="743"/>
        <v/>
      </c>
      <c r="B2619" s="290" t="str">
        <f t="shared" si="744"/>
        <v/>
      </c>
      <c r="C2619" s="321"/>
      <c r="D2619" s="607">
        <f t="shared" si="745"/>
        <v>0</v>
      </c>
      <c r="E2619" s="349">
        <f t="shared" si="746"/>
        <v>0</v>
      </c>
      <c r="F2619" s="350">
        <f t="shared" si="747"/>
        <v>0</v>
      </c>
      <c r="G2619" s="347">
        <f t="shared" si="748"/>
        <v>0</v>
      </c>
    </row>
    <row r="2620" spans="1:7" ht="18.95" customHeight="1" x14ac:dyDescent="0.2">
      <c r="A2620" s="348" t="str">
        <f t="shared" si="743"/>
        <v/>
      </c>
      <c r="B2620" s="290" t="str">
        <f t="shared" si="744"/>
        <v/>
      </c>
      <c r="C2620" s="321"/>
      <c r="D2620" s="607">
        <f t="shared" si="745"/>
        <v>0</v>
      </c>
      <c r="E2620" s="349">
        <f>D2620*$E$21</f>
        <v>0</v>
      </c>
      <c r="F2620" s="350">
        <f t="shared" si="747"/>
        <v>0</v>
      </c>
      <c r="G2620" s="347">
        <f t="shared" si="748"/>
        <v>0</v>
      </c>
    </row>
    <row r="2621" spans="1:7" ht="18.95" customHeight="1" x14ac:dyDescent="0.2">
      <c r="A2621" s="348" t="str">
        <f t="shared" si="743"/>
        <v/>
      </c>
      <c r="B2621" s="290" t="str">
        <f t="shared" si="744"/>
        <v/>
      </c>
      <c r="C2621" s="321"/>
      <c r="D2621" s="607">
        <f t="shared" si="745"/>
        <v>0</v>
      </c>
      <c r="E2621" s="349">
        <f>D2621*$E$21</f>
        <v>0</v>
      </c>
      <c r="F2621" s="350">
        <f t="shared" si="747"/>
        <v>0</v>
      </c>
      <c r="G2621" s="347">
        <f t="shared" si="748"/>
        <v>0</v>
      </c>
    </row>
    <row r="2622" spans="1:7" ht="18.95" customHeight="1" x14ac:dyDescent="0.2">
      <c r="A2622" s="348" t="str">
        <f t="shared" si="743"/>
        <v/>
      </c>
      <c r="B2622" s="290" t="str">
        <f t="shared" si="744"/>
        <v/>
      </c>
      <c r="C2622" s="321"/>
      <c r="D2622" s="607">
        <f t="shared" si="745"/>
        <v>0</v>
      </c>
      <c r="E2622" s="349"/>
      <c r="F2622" s="350">
        <f>IF(C2622="",0,F2621)</f>
        <v>0</v>
      </c>
      <c r="G2622" s="347">
        <f t="shared" si="748"/>
        <v>0</v>
      </c>
    </row>
    <row r="2623" spans="1:7" ht="18.95" customHeight="1" x14ac:dyDescent="0.2">
      <c r="A2623" s="348" t="str">
        <f t="shared" si="743"/>
        <v/>
      </c>
      <c r="B2623" s="290" t="str">
        <f t="shared" si="744"/>
        <v/>
      </c>
      <c r="C2623" s="321"/>
      <c r="D2623" s="607">
        <f t="shared" si="745"/>
        <v>0</v>
      </c>
      <c r="E2623" s="349"/>
      <c r="F2623" s="350">
        <f t="shared" ref="F2623:F2624" si="749">IF(C2623="",0,F2622)</f>
        <v>0</v>
      </c>
      <c r="G2623" s="347">
        <f t="shared" si="748"/>
        <v>0</v>
      </c>
    </row>
    <row r="2624" spans="1:7" ht="18.95" customHeight="1" x14ac:dyDescent="0.2">
      <c r="A2624" s="348" t="str">
        <f t="shared" si="743"/>
        <v/>
      </c>
      <c r="B2624" s="290" t="str">
        <f t="shared" si="744"/>
        <v/>
      </c>
      <c r="C2624" s="321"/>
      <c r="D2624" s="607">
        <f t="shared" si="745"/>
        <v>0</v>
      </c>
      <c r="E2624" s="349"/>
      <c r="F2624" s="350">
        <f t="shared" si="749"/>
        <v>0</v>
      </c>
      <c r="G2624" s="347">
        <f t="shared" si="748"/>
        <v>0</v>
      </c>
    </row>
    <row r="2625" spans="1:7" ht="18.95" customHeight="1" x14ac:dyDescent="0.2">
      <c r="A2625" s="353"/>
      <c r="B2625" s="149"/>
      <c r="C2625" s="142"/>
      <c r="D2625" s="150"/>
      <c r="E2625" s="143"/>
      <c r="F2625" s="354" t="s">
        <v>29</v>
      </c>
      <c r="G2625" s="355">
        <f>SUBTOTAL(9,G2617:G2624)</f>
        <v>0</v>
      </c>
    </row>
    <row r="2626" spans="1:7" ht="18.95" customHeight="1" x14ac:dyDescent="0.2">
      <c r="A2626" s="156"/>
      <c r="B2626" s="142"/>
      <c r="C2626" s="157" t="s">
        <v>722</v>
      </c>
      <c r="D2626" s="150"/>
      <c r="E2626" s="327"/>
      <c r="F2626" s="327"/>
      <c r="G2626" s="342"/>
    </row>
    <row r="2627" spans="1:7" ht="18.95" customHeight="1" x14ac:dyDescent="0.2">
      <c r="A2627" s="735" t="s">
        <v>582</v>
      </c>
      <c r="B2627" s="736"/>
      <c r="C2627" s="737" t="s">
        <v>0</v>
      </c>
      <c r="D2627" s="739" t="s">
        <v>26</v>
      </c>
      <c r="E2627" s="743" t="s">
        <v>1707</v>
      </c>
      <c r="F2627" s="741" t="s">
        <v>1040</v>
      </c>
      <c r="G2627" s="733" t="s">
        <v>28</v>
      </c>
    </row>
    <row r="2628" spans="1:7" ht="18.95" customHeight="1" x14ac:dyDescent="0.2">
      <c r="A2628" s="154" t="s">
        <v>583</v>
      </c>
      <c r="B2628" s="155" t="s">
        <v>584</v>
      </c>
      <c r="C2628" s="738"/>
      <c r="D2628" s="740"/>
      <c r="E2628" s="742"/>
      <c r="F2628" s="742"/>
      <c r="G2628" s="734"/>
    </row>
    <row r="2629" spans="1:7" ht="18.95" customHeight="1" x14ac:dyDescent="0.2">
      <c r="A2629" s="348" t="str">
        <f t="shared" ref="A2629:A2634" si="750">IFERROR(VLOOKUP(C2629,Tabla_Insumos,4,FALSE),"")</f>
        <v/>
      </c>
      <c r="B2629" s="290" t="str">
        <f t="shared" ref="B2629:B2634" si="751">IFERROR(VLOOKUP(C2629,Tabla_Insumos,5,FALSE),"")</f>
        <v/>
      </c>
      <c r="C2629" s="291"/>
      <c r="D2629" s="293"/>
      <c r="E2629" s="346">
        <f t="shared" ref="E2629:E2634" si="752">IFERROR(VLOOKUP(C2629,Tabla_Insumos,3,FALSE),0)</f>
        <v>0</v>
      </c>
      <c r="F2629" s="349">
        <f>IF(C2629="",0,D2612)</f>
        <v>0</v>
      </c>
      <c r="G2629" s="347">
        <f t="shared" ref="G2629:G2634" si="753">IFERROR(ROUND(D2629*E2629/F2629,2),0)</f>
        <v>0</v>
      </c>
    </row>
    <row r="2630" spans="1:7" ht="18.95" customHeight="1" x14ac:dyDescent="0.2">
      <c r="A2630" s="348" t="str">
        <f t="shared" si="750"/>
        <v/>
      </c>
      <c r="B2630" s="290" t="str">
        <f t="shared" si="751"/>
        <v/>
      </c>
      <c r="C2630" s="290"/>
      <c r="D2630" s="293"/>
      <c r="E2630" s="346">
        <f t="shared" si="752"/>
        <v>0</v>
      </c>
      <c r="F2630" s="349">
        <f>IF(C2630="",0,F2629)</f>
        <v>0</v>
      </c>
      <c r="G2630" s="347">
        <f t="shared" si="753"/>
        <v>0</v>
      </c>
    </row>
    <row r="2631" spans="1:7" ht="18.95" customHeight="1" x14ac:dyDescent="0.2">
      <c r="A2631" s="348" t="str">
        <f t="shared" si="750"/>
        <v/>
      </c>
      <c r="B2631" s="290" t="str">
        <f t="shared" si="751"/>
        <v/>
      </c>
      <c r="C2631" s="290"/>
      <c r="D2631" s="293"/>
      <c r="E2631" s="346">
        <f t="shared" si="752"/>
        <v>0</v>
      </c>
      <c r="F2631" s="349">
        <f>IF(C2631="",0,F2630)</f>
        <v>0</v>
      </c>
      <c r="G2631" s="347">
        <f t="shared" si="753"/>
        <v>0</v>
      </c>
    </row>
    <row r="2632" spans="1:7" ht="18.95" customHeight="1" x14ac:dyDescent="0.2">
      <c r="A2632" s="348" t="str">
        <f t="shared" si="750"/>
        <v/>
      </c>
      <c r="B2632" s="290" t="str">
        <f t="shared" si="751"/>
        <v/>
      </c>
      <c r="C2632" s="290"/>
      <c r="D2632" s="293"/>
      <c r="E2632" s="346">
        <f t="shared" si="752"/>
        <v>0</v>
      </c>
      <c r="F2632" s="349">
        <f>IF(C2632="",0,F2631)</f>
        <v>0</v>
      </c>
      <c r="G2632" s="347">
        <f t="shared" si="753"/>
        <v>0</v>
      </c>
    </row>
    <row r="2633" spans="1:7" ht="18.95" customHeight="1" x14ac:dyDescent="0.2">
      <c r="A2633" s="348" t="str">
        <f t="shared" si="750"/>
        <v/>
      </c>
      <c r="B2633" s="290" t="str">
        <f t="shared" si="751"/>
        <v/>
      </c>
      <c r="C2633" s="290"/>
      <c r="D2633" s="351"/>
      <c r="E2633" s="346">
        <f t="shared" si="752"/>
        <v>0</v>
      </c>
      <c r="F2633" s="349">
        <f>IF(C2633="",0,F2632)</f>
        <v>0</v>
      </c>
      <c r="G2633" s="347">
        <f t="shared" si="753"/>
        <v>0</v>
      </c>
    </row>
    <row r="2634" spans="1:7" ht="18.95" customHeight="1" x14ac:dyDescent="0.2">
      <c r="A2634" s="348" t="str">
        <f t="shared" si="750"/>
        <v/>
      </c>
      <c r="B2634" s="290" t="str">
        <f t="shared" si="751"/>
        <v/>
      </c>
      <c r="C2634" s="290"/>
      <c r="D2634" s="293"/>
      <c r="E2634" s="346">
        <f t="shared" si="752"/>
        <v>0</v>
      </c>
      <c r="F2634" s="349">
        <f>IF(C2634="",0,F2633)</f>
        <v>0</v>
      </c>
      <c r="G2634" s="347">
        <f t="shared" si="753"/>
        <v>0</v>
      </c>
    </row>
    <row r="2635" spans="1:7" ht="18.95" customHeight="1" x14ac:dyDescent="0.2">
      <c r="A2635" s="353"/>
      <c r="B2635" s="149"/>
      <c r="C2635" s="142"/>
      <c r="D2635" s="150"/>
      <c r="E2635" s="143"/>
      <c r="F2635" s="356" t="s">
        <v>30</v>
      </c>
      <c r="G2635" s="355">
        <f>SUBTOTAL(9,G2629:G2634)</f>
        <v>0</v>
      </c>
    </row>
    <row r="2636" spans="1:7" ht="18.95" customHeight="1" x14ac:dyDescent="0.2">
      <c r="A2636" s="156"/>
      <c r="B2636" s="142"/>
      <c r="C2636" s="157" t="s">
        <v>1047</v>
      </c>
      <c r="D2636" s="150"/>
      <c r="E2636" s="327"/>
      <c r="F2636" s="327"/>
      <c r="G2636" s="342"/>
    </row>
    <row r="2637" spans="1:7" ht="18.95" customHeight="1" x14ac:dyDescent="0.2">
      <c r="A2637" s="735" t="s">
        <v>582</v>
      </c>
      <c r="B2637" s="736"/>
      <c r="C2637" s="737" t="s">
        <v>0</v>
      </c>
      <c r="D2637" s="737" t="s">
        <v>1655</v>
      </c>
      <c r="E2637" s="737" t="s">
        <v>26</v>
      </c>
      <c r="F2637" s="737" t="s">
        <v>27</v>
      </c>
      <c r="G2637" s="733" t="s">
        <v>28</v>
      </c>
    </row>
    <row r="2638" spans="1:7" ht="18.95" customHeight="1" x14ac:dyDescent="0.2">
      <c r="A2638" s="154" t="s">
        <v>583</v>
      </c>
      <c r="B2638" s="155" t="s">
        <v>584</v>
      </c>
      <c r="C2638" s="738"/>
      <c r="D2638" s="738"/>
      <c r="E2638" s="738"/>
      <c r="F2638" s="738"/>
      <c r="G2638" s="734"/>
    </row>
    <row r="2639" spans="1:7" ht="18.95" customHeight="1" x14ac:dyDescent="0.2">
      <c r="A2639" s="348" t="str">
        <f t="shared" ref="A2639:A2650" si="754">IFERROR(VLOOKUP(C2639,Tabla_Insumos,4,FALSE),"")</f>
        <v/>
      </c>
      <c r="B2639" s="290" t="str">
        <f t="shared" ref="B2639:B2650" si="755">IFERROR(VLOOKUP(C2639,Tabla_Insumos,5,FALSE),"")</f>
        <v/>
      </c>
      <c r="C2639" s="290"/>
      <c r="D2639" s="608">
        <f t="shared" ref="D2639:D2650" si="756">IFERROR(VLOOKUP(C2639,Tabla_Insumos,2,FALSE),0)</f>
        <v>0</v>
      </c>
      <c r="E2639" s="293"/>
      <c r="F2639" s="346">
        <f t="shared" ref="F2639:F2650" si="757">IFERROR(VLOOKUP(C2639,Tabla_Insumos,3,FALSE),0)</f>
        <v>0</v>
      </c>
      <c r="G2639" s="347">
        <f t="shared" ref="G2639:G2650" si="758">ROUND(E2639*F2639,2)</f>
        <v>0</v>
      </c>
    </row>
    <row r="2640" spans="1:7" ht="18.95" customHeight="1" x14ac:dyDescent="0.2">
      <c r="A2640" s="348" t="str">
        <f t="shared" si="754"/>
        <v/>
      </c>
      <c r="B2640" s="290" t="str">
        <f t="shared" si="755"/>
        <v/>
      </c>
      <c r="C2640" s="126"/>
      <c r="D2640" s="608">
        <f t="shared" si="756"/>
        <v>0</v>
      </c>
      <c r="E2640" s="293"/>
      <c r="F2640" s="346">
        <f t="shared" si="757"/>
        <v>0</v>
      </c>
      <c r="G2640" s="347">
        <f t="shared" si="758"/>
        <v>0</v>
      </c>
    </row>
    <row r="2641" spans="1:7" ht="18.95" customHeight="1" x14ac:dyDescent="0.2">
      <c r="A2641" s="348" t="str">
        <f t="shared" si="754"/>
        <v/>
      </c>
      <c r="B2641" s="290" t="str">
        <f t="shared" si="755"/>
        <v/>
      </c>
      <c r="C2641" s="290"/>
      <c r="D2641" s="608">
        <f t="shared" si="756"/>
        <v>0</v>
      </c>
      <c r="E2641" s="293"/>
      <c r="F2641" s="346">
        <f t="shared" si="757"/>
        <v>0</v>
      </c>
      <c r="G2641" s="347">
        <f t="shared" si="758"/>
        <v>0</v>
      </c>
    </row>
    <row r="2642" spans="1:7" ht="18.95" customHeight="1" x14ac:dyDescent="0.2">
      <c r="A2642" s="348" t="str">
        <f t="shared" si="754"/>
        <v/>
      </c>
      <c r="B2642" s="290" t="str">
        <f t="shared" si="755"/>
        <v/>
      </c>
      <c r="C2642" s="290"/>
      <c r="D2642" s="608">
        <f t="shared" si="756"/>
        <v>0</v>
      </c>
      <c r="E2642" s="293"/>
      <c r="F2642" s="346">
        <f t="shared" si="757"/>
        <v>0</v>
      </c>
      <c r="G2642" s="347">
        <f t="shared" si="758"/>
        <v>0</v>
      </c>
    </row>
    <row r="2643" spans="1:7" ht="18.95" customHeight="1" x14ac:dyDescent="0.2">
      <c r="A2643" s="348" t="str">
        <f t="shared" si="754"/>
        <v/>
      </c>
      <c r="B2643" s="290" t="str">
        <f t="shared" si="755"/>
        <v/>
      </c>
      <c r="C2643" s="290"/>
      <c r="D2643" s="608">
        <f t="shared" si="756"/>
        <v>0</v>
      </c>
      <c r="E2643" s="293"/>
      <c r="F2643" s="346">
        <f t="shared" si="757"/>
        <v>0</v>
      </c>
      <c r="G2643" s="347">
        <f t="shared" si="758"/>
        <v>0</v>
      </c>
    </row>
    <row r="2644" spans="1:7" ht="18.95" customHeight="1" x14ac:dyDescent="0.2">
      <c r="A2644" s="348" t="str">
        <f t="shared" si="754"/>
        <v/>
      </c>
      <c r="B2644" s="290" t="str">
        <f t="shared" si="755"/>
        <v/>
      </c>
      <c r="C2644" s="290"/>
      <c r="D2644" s="608">
        <f t="shared" si="756"/>
        <v>0</v>
      </c>
      <c r="E2644" s="293"/>
      <c r="F2644" s="346">
        <f t="shared" si="757"/>
        <v>0</v>
      </c>
      <c r="G2644" s="347">
        <f t="shared" si="758"/>
        <v>0</v>
      </c>
    </row>
    <row r="2645" spans="1:7" ht="18.95" customHeight="1" x14ac:dyDescent="0.2">
      <c r="A2645" s="348" t="str">
        <f t="shared" si="754"/>
        <v/>
      </c>
      <c r="B2645" s="290" t="str">
        <f t="shared" si="755"/>
        <v/>
      </c>
      <c r="C2645" s="290"/>
      <c r="D2645" s="608">
        <f t="shared" si="756"/>
        <v>0</v>
      </c>
      <c r="E2645" s="293"/>
      <c r="F2645" s="346">
        <f t="shared" si="757"/>
        <v>0</v>
      </c>
      <c r="G2645" s="347">
        <f t="shared" si="758"/>
        <v>0</v>
      </c>
    </row>
    <row r="2646" spans="1:7" s="295" customFormat="1" ht="18.95" customHeight="1" x14ac:dyDescent="0.2">
      <c r="A2646" s="348" t="str">
        <f t="shared" si="754"/>
        <v/>
      </c>
      <c r="B2646" s="290" t="str">
        <f t="shared" si="755"/>
        <v/>
      </c>
      <c r="C2646" s="290"/>
      <c r="D2646" s="608">
        <f t="shared" si="756"/>
        <v>0</v>
      </c>
      <c r="E2646" s="323"/>
      <c r="F2646" s="346">
        <f t="shared" si="757"/>
        <v>0</v>
      </c>
      <c r="G2646" s="347">
        <f t="shared" si="758"/>
        <v>0</v>
      </c>
    </row>
    <row r="2647" spans="1:7" ht="18.95" customHeight="1" x14ac:dyDescent="0.2">
      <c r="A2647" s="348" t="str">
        <f t="shared" si="754"/>
        <v/>
      </c>
      <c r="B2647" s="290" t="str">
        <f t="shared" si="755"/>
        <v/>
      </c>
      <c r="C2647" s="290"/>
      <c r="D2647" s="608">
        <f t="shared" si="756"/>
        <v>0</v>
      </c>
      <c r="E2647" s="293"/>
      <c r="F2647" s="346">
        <f t="shared" si="757"/>
        <v>0</v>
      </c>
      <c r="G2647" s="347">
        <f t="shared" si="758"/>
        <v>0</v>
      </c>
    </row>
    <row r="2648" spans="1:7" ht="18.95" customHeight="1" x14ac:dyDescent="0.2">
      <c r="A2648" s="348" t="str">
        <f t="shared" si="754"/>
        <v/>
      </c>
      <c r="B2648" s="290" t="str">
        <f t="shared" si="755"/>
        <v/>
      </c>
      <c r="C2648" s="290"/>
      <c r="D2648" s="608">
        <f t="shared" si="756"/>
        <v>0</v>
      </c>
      <c r="E2648" s="293"/>
      <c r="F2648" s="346">
        <f t="shared" si="757"/>
        <v>0</v>
      </c>
      <c r="G2648" s="347">
        <f t="shared" si="758"/>
        <v>0</v>
      </c>
    </row>
    <row r="2649" spans="1:7" ht="18.95" customHeight="1" x14ac:dyDescent="0.2">
      <c r="A2649" s="348" t="str">
        <f t="shared" si="754"/>
        <v/>
      </c>
      <c r="B2649" s="290" t="str">
        <f t="shared" si="755"/>
        <v/>
      </c>
      <c r="C2649" s="290"/>
      <c r="D2649" s="608">
        <f t="shared" si="756"/>
        <v>0</v>
      </c>
      <c r="E2649" s="293"/>
      <c r="F2649" s="346">
        <f t="shared" si="757"/>
        <v>0</v>
      </c>
      <c r="G2649" s="347">
        <f t="shared" si="758"/>
        <v>0</v>
      </c>
    </row>
    <row r="2650" spans="1:7" ht="18.95" customHeight="1" x14ac:dyDescent="0.2">
      <c r="A2650" s="348" t="str">
        <f t="shared" si="754"/>
        <v/>
      </c>
      <c r="B2650" s="290" t="str">
        <f t="shared" si="755"/>
        <v/>
      </c>
      <c r="C2650" s="290"/>
      <c r="D2650" s="608">
        <f t="shared" si="756"/>
        <v>0</v>
      </c>
      <c r="E2650" s="293"/>
      <c r="F2650" s="346">
        <f t="shared" si="757"/>
        <v>0</v>
      </c>
      <c r="G2650" s="347">
        <f t="shared" si="758"/>
        <v>0</v>
      </c>
    </row>
    <row r="2651" spans="1:7" ht="18.95" customHeight="1" x14ac:dyDescent="0.2">
      <c r="A2651" s="156"/>
      <c r="B2651" s="142"/>
      <c r="C2651" s="142"/>
      <c r="D2651" s="150"/>
      <c r="E2651" s="143"/>
      <c r="F2651" s="356" t="s">
        <v>31</v>
      </c>
      <c r="G2651" s="355">
        <f>SUBTOTAL(9,G2639:G2650)</f>
        <v>0</v>
      </c>
    </row>
    <row r="2652" spans="1:7" ht="18.95" customHeight="1" x14ac:dyDescent="0.2">
      <c r="A2652" s="156"/>
      <c r="B2652" s="142"/>
      <c r="C2652" s="157" t="s">
        <v>1048</v>
      </c>
      <c r="D2652" s="150"/>
      <c r="E2652" s="327"/>
      <c r="F2652" s="327"/>
      <c r="G2652" s="342"/>
    </row>
    <row r="2653" spans="1:7" ht="18.95" customHeight="1" x14ac:dyDescent="0.2">
      <c r="A2653" s="735" t="s">
        <v>582</v>
      </c>
      <c r="B2653" s="736"/>
      <c r="C2653" s="737" t="s">
        <v>0</v>
      </c>
      <c r="D2653" s="739" t="s">
        <v>1750</v>
      </c>
      <c r="E2653" s="741" t="s">
        <v>26</v>
      </c>
      <c r="F2653" s="741" t="s">
        <v>27</v>
      </c>
      <c r="G2653" s="733" t="s">
        <v>28</v>
      </c>
    </row>
    <row r="2654" spans="1:7" ht="18.95" customHeight="1" x14ac:dyDescent="0.2">
      <c r="A2654" s="154" t="s">
        <v>583</v>
      </c>
      <c r="B2654" s="155" t="s">
        <v>584</v>
      </c>
      <c r="C2654" s="738"/>
      <c r="D2654" s="740"/>
      <c r="E2654" s="742"/>
      <c r="F2654" s="742"/>
      <c r="G2654" s="734"/>
    </row>
    <row r="2655" spans="1:7" ht="18.95" customHeight="1" x14ac:dyDescent="0.2">
      <c r="A2655" s="348" t="str">
        <f>IFERROR(VLOOKUP(C2655,Tabla_Insumos,4,FALSE),"")</f>
        <v/>
      </c>
      <c r="B2655" s="290" t="s">
        <v>4</v>
      </c>
      <c r="C2655" s="290"/>
      <c r="D2655" s="293"/>
      <c r="E2655" s="322"/>
      <c r="F2655" s="324"/>
      <c r="G2655" s="347">
        <f t="shared" ref="G2655" si="759">ROUND(E2655*F2655,2)</f>
        <v>0</v>
      </c>
    </row>
    <row r="2656" spans="1:7" ht="18.95" customHeight="1" x14ac:dyDescent="0.2">
      <c r="A2656" s="156"/>
      <c r="B2656" s="142"/>
      <c r="C2656" s="142"/>
      <c r="D2656" s="150"/>
      <c r="E2656" s="143"/>
      <c r="F2656" s="356" t="s">
        <v>1049</v>
      </c>
      <c r="G2656" s="355">
        <f>SUBTOTAL(9,G2655:G2655)</f>
        <v>0</v>
      </c>
    </row>
    <row r="2657" spans="1:8" ht="18.95" customHeight="1" thickBot="1" x14ac:dyDescent="0.25">
      <c r="A2657" s="158"/>
      <c r="B2657" s="159"/>
      <c r="C2657" s="160"/>
      <c r="D2657" s="161"/>
      <c r="E2657" s="357"/>
      <c r="F2657" s="357"/>
      <c r="G2657" s="358"/>
    </row>
    <row r="2658" spans="1:8" ht="18.95" customHeight="1" x14ac:dyDescent="0.2">
      <c r="A2658" s="359" t="str">
        <f>B2597</f>
        <v>36.b</v>
      </c>
      <c r="B2658" s="360" t="str">
        <f>C2597</f>
        <v>Adicional por Kilómetro</v>
      </c>
      <c r="C2658" s="361"/>
      <c r="D2658" s="361"/>
      <c r="E2658" s="361" t="s">
        <v>1050</v>
      </c>
      <c r="F2658" s="362" t="str">
        <f>CONCATENATE("$/",G2597)</f>
        <v>$/km</v>
      </c>
      <c r="G2658" s="363">
        <f>SUBTOTAL(9,G2617:G2657)</f>
        <v>0</v>
      </c>
    </row>
    <row r="2659" spans="1:8" ht="18.95" customHeight="1" thickBot="1" x14ac:dyDescent="0.25">
      <c r="A2659" s="364"/>
      <c r="B2659" s="365"/>
      <c r="C2659" s="365"/>
      <c r="D2659" s="365"/>
      <c r="E2659" s="366" t="s">
        <v>1051</v>
      </c>
      <c r="F2659" s="367" t="str">
        <f>CONCATENATE("$/",G2597)</f>
        <v>$/km</v>
      </c>
      <c r="G2659" s="368" t="e">
        <f ca="1">PrecioUnitario(G2658,GG_Porcentaje,Beneficio,Ingresos_Brutos,IVA)</f>
        <v>#NAME?</v>
      </c>
    </row>
    <row r="2660" spans="1:8" ht="18.95" customHeight="1" thickTop="1" thickBot="1" x14ac:dyDescent="0.25">
      <c r="F2660" s="294"/>
      <c r="G2660" s="294"/>
    </row>
    <row r="2661" spans="1:8" ht="18.95" customHeight="1" thickTop="1" x14ac:dyDescent="0.2">
      <c r="A2661" s="194" t="s">
        <v>33</v>
      </c>
      <c r="B2661" s="195"/>
      <c r="C2661" s="195"/>
      <c r="D2661" s="195"/>
      <c r="E2661" s="195"/>
      <c r="F2661" s="195"/>
      <c r="G2661" s="196"/>
      <c r="H2661" s="143">
        <f>COUNTIF($A$1:A2667,"ANALISIS DE PRECIOS")</f>
        <v>39</v>
      </c>
    </row>
    <row r="2662" spans="1:8" ht="18.95" customHeight="1" x14ac:dyDescent="0.2">
      <c r="A2662" s="144" t="s">
        <v>720</v>
      </c>
      <c r="B2662" s="145" t="str">
        <f>Comitente</f>
        <v>DIRECCIÓN PROVINCIAL DE VIALIDAD</v>
      </c>
      <c r="C2662" s="139"/>
      <c r="D2662" s="146"/>
      <c r="E2662" s="325"/>
      <c r="F2662" s="325"/>
      <c r="G2662" s="326"/>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PAVIMENTACION Y ENSANCHE DE RUTA PROVINCIAL N°7 AV. JOAQUIN UÑAC</v>
      </c>
      <c r="C2664" s="140"/>
      <c r="D2664" s="140"/>
      <c r="E2664" s="143"/>
      <c r="F2664" s="145" t="s">
        <v>34</v>
      </c>
      <c r="G2664" s="147">
        <f>Fecha_Base</f>
        <v>43444</v>
      </c>
      <c r="H2664" s="143"/>
    </row>
    <row r="2665" spans="1:8" ht="18.95" customHeight="1" x14ac:dyDescent="0.2">
      <c r="A2665" s="148" t="s">
        <v>719</v>
      </c>
      <c r="B2665" s="141" t="str">
        <f>Ubicación</f>
        <v>DEPARTAMENTO POCITO</v>
      </c>
      <c r="C2665" s="141"/>
      <c r="D2665" s="150"/>
      <c r="E2665" s="143"/>
      <c r="F2665" s="327"/>
      <c r="G2665" s="328"/>
      <c r="H2665" s="143"/>
    </row>
    <row r="2666" spans="1:8" ht="18.95" customHeight="1" x14ac:dyDescent="0.2">
      <c r="A2666" s="148" t="s">
        <v>35</v>
      </c>
      <c r="B2666" s="151" t="str">
        <f>IFERROR(VALUE(LEFT(B2667,FIND("-",B2667)-1)),"")</f>
        <v/>
      </c>
      <c r="C2666" s="142" t="str">
        <f>IFERROR(VLOOKUP(B2666,Tabla_CyP,2,FALSE),"")</f>
        <v/>
      </c>
      <c r="D2666" s="150"/>
      <c r="E2666" s="143"/>
      <c r="F2666" s="327"/>
      <c r="G2666" s="328"/>
      <c r="H2666" s="143"/>
    </row>
    <row r="2667" spans="1:8" ht="18.95" customHeight="1" x14ac:dyDescent="0.2">
      <c r="A2667" s="148" t="s">
        <v>24</v>
      </c>
      <c r="B2667" s="152">
        <f>IFERROR(VLOOKUP(COUNTIF($A$1:A2667,"ANALISIS DE PRECIOS"),Tabla_NumeroItem,4,FALSE),"")</f>
        <v>37</v>
      </c>
      <c r="C2667" s="745" t="str">
        <f>IFERROR(VLOOKUP(B2667,Tabla_CyP,2,FALSE),"")</f>
        <v>MOVILIZACIÓN DE OBRA</v>
      </c>
      <c r="D2667" s="745"/>
      <c r="E2667" s="745"/>
      <c r="F2667" s="141" t="s">
        <v>25</v>
      </c>
      <c r="G2667" s="153" t="str">
        <f>IFERROR(VLOOKUP(B2667,Tabla_CyP,4,FALSE),"")</f>
        <v>Gl</v>
      </c>
      <c r="H2667" s="143"/>
    </row>
    <row r="2668" spans="1:8" ht="18.95" customHeight="1" x14ac:dyDescent="0.2">
      <c r="A2668" s="148"/>
      <c r="B2668" s="141"/>
      <c r="C2668" s="142"/>
      <c r="D2668" s="150"/>
      <c r="E2668" s="142"/>
      <c r="F2668" s="142"/>
      <c r="G2668" s="329"/>
      <c r="H2668" s="143"/>
    </row>
    <row r="2669" spans="1:8" ht="18.95" customHeight="1" x14ac:dyDescent="0.2">
      <c r="A2669" s="330"/>
      <c r="B2669" s="331"/>
      <c r="C2669" s="332" t="s">
        <v>1032</v>
      </c>
      <c r="D2669" s="331"/>
      <c r="E2669" s="331"/>
      <c r="F2669" s="331"/>
      <c r="G2669" s="333"/>
      <c r="H2669" s="143"/>
    </row>
    <row r="2670" spans="1:8" ht="18.95" customHeight="1" x14ac:dyDescent="0.2">
      <c r="A2670" s="148"/>
      <c r="B2670" s="334"/>
      <c r="C2670" s="335" t="s">
        <v>1033</v>
      </c>
      <c r="D2670" s="336" t="s">
        <v>26</v>
      </c>
      <c r="E2670" s="336" t="s">
        <v>1034</v>
      </c>
      <c r="F2670" s="336" t="s">
        <v>1035</v>
      </c>
      <c r="G2670" s="337" t="s">
        <v>1036</v>
      </c>
      <c r="H2670" s="143"/>
    </row>
    <row r="2671" spans="1:8" ht="18.95" customHeight="1" x14ac:dyDescent="0.2">
      <c r="A2671" s="343"/>
      <c r="B2671" s="344"/>
      <c r="C2671" s="290"/>
      <c r="D2671" s="293"/>
      <c r="E2671" s="345"/>
      <c r="F2671" s="346"/>
      <c r="G2671" s="347">
        <f t="shared" ref="G2671:G2680" si="760">ROUND(D2671*F2671,2)</f>
        <v>0</v>
      </c>
    </row>
    <row r="2672" spans="1:8" ht="18.95" customHeight="1" x14ac:dyDescent="0.2">
      <c r="A2672" s="343"/>
      <c r="B2672" s="344"/>
      <c r="C2672" s="290"/>
      <c r="D2672" s="293"/>
      <c r="E2672" s="345"/>
      <c r="F2672" s="346"/>
      <c r="G2672" s="347">
        <f t="shared" si="760"/>
        <v>0</v>
      </c>
    </row>
    <row r="2673" spans="1:7" ht="18.95" customHeight="1" x14ac:dyDescent="0.2">
      <c r="A2673" s="343"/>
      <c r="B2673" s="344"/>
      <c r="C2673" s="290"/>
      <c r="D2673" s="293"/>
      <c r="E2673" s="345">
        <f t="shared" ref="E2673:E2680" si="761">IFERROR(VLOOKUP(C2673,T_Equipos,4,FALSE),0)</f>
        <v>0</v>
      </c>
      <c r="F2673" s="346">
        <f t="shared" ref="F2673:F2680" si="762">IFERROR(VLOOKUP(C2673,T_Equipos,11,FALSE),0)</f>
        <v>0</v>
      </c>
      <c r="G2673" s="347">
        <f t="shared" si="760"/>
        <v>0</v>
      </c>
    </row>
    <row r="2674" spans="1:7" ht="18.95" customHeight="1" x14ac:dyDescent="0.2">
      <c r="A2674" s="343"/>
      <c r="B2674" s="344"/>
      <c r="C2674" s="290"/>
      <c r="D2674" s="293"/>
      <c r="E2674" s="345">
        <f t="shared" si="761"/>
        <v>0</v>
      </c>
      <c r="F2674" s="346">
        <f t="shared" si="762"/>
        <v>0</v>
      </c>
      <c r="G2674" s="347">
        <f t="shared" si="760"/>
        <v>0</v>
      </c>
    </row>
    <row r="2675" spans="1:7" ht="18.95" customHeight="1" x14ac:dyDescent="0.2">
      <c r="A2675" s="343"/>
      <c r="B2675" s="344"/>
      <c r="C2675" s="290"/>
      <c r="D2675" s="293"/>
      <c r="E2675" s="345">
        <f t="shared" si="761"/>
        <v>0</v>
      </c>
      <c r="F2675" s="346">
        <f t="shared" si="762"/>
        <v>0</v>
      </c>
      <c r="G2675" s="347">
        <f t="shared" si="760"/>
        <v>0</v>
      </c>
    </row>
    <row r="2676" spans="1:7" ht="18.95" customHeight="1" x14ac:dyDescent="0.2">
      <c r="A2676" s="343"/>
      <c r="B2676" s="344"/>
      <c r="C2676" s="290"/>
      <c r="D2676" s="293"/>
      <c r="E2676" s="345">
        <f t="shared" si="761"/>
        <v>0</v>
      </c>
      <c r="F2676" s="346">
        <f t="shared" si="762"/>
        <v>0</v>
      </c>
      <c r="G2676" s="347">
        <f t="shared" si="760"/>
        <v>0</v>
      </c>
    </row>
    <row r="2677" spans="1:7" ht="18.95" customHeight="1" x14ac:dyDescent="0.2">
      <c r="A2677" s="343"/>
      <c r="B2677" s="344"/>
      <c r="C2677" s="290"/>
      <c r="D2677" s="293"/>
      <c r="E2677" s="345">
        <f t="shared" si="761"/>
        <v>0</v>
      </c>
      <c r="F2677" s="346">
        <f t="shared" si="762"/>
        <v>0</v>
      </c>
      <c r="G2677" s="347">
        <f t="shared" si="760"/>
        <v>0</v>
      </c>
    </row>
    <row r="2678" spans="1:7" ht="18.95" customHeight="1" x14ac:dyDescent="0.2">
      <c r="A2678" s="343"/>
      <c r="B2678" s="344"/>
      <c r="C2678" s="290"/>
      <c r="D2678" s="293"/>
      <c r="E2678" s="345">
        <f t="shared" si="761"/>
        <v>0</v>
      </c>
      <c r="F2678" s="346">
        <f t="shared" si="762"/>
        <v>0</v>
      </c>
      <c r="G2678" s="347">
        <f t="shared" si="760"/>
        <v>0</v>
      </c>
    </row>
    <row r="2679" spans="1:7" ht="18.95" customHeight="1" x14ac:dyDescent="0.2">
      <c r="A2679" s="343"/>
      <c r="B2679" s="344"/>
      <c r="C2679" s="290"/>
      <c r="D2679" s="293"/>
      <c r="E2679" s="345">
        <f t="shared" si="761"/>
        <v>0</v>
      </c>
      <c r="F2679" s="346">
        <f t="shared" si="762"/>
        <v>0</v>
      </c>
      <c r="G2679" s="347">
        <f t="shared" si="760"/>
        <v>0</v>
      </c>
    </row>
    <row r="2680" spans="1:7" ht="18.95" customHeight="1" thickBot="1" x14ac:dyDescent="0.25">
      <c r="A2680" s="343"/>
      <c r="B2680" s="344"/>
      <c r="C2680" s="290"/>
      <c r="D2680" s="293"/>
      <c r="E2680" s="345">
        <f t="shared" si="761"/>
        <v>0</v>
      </c>
      <c r="F2680" s="346">
        <f t="shared" si="762"/>
        <v>0</v>
      </c>
      <c r="G2680" s="347">
        <f t="shared" si="760"/>
        <v>0</v>
      </c>
    </row>
    <row r="2681" spans="1:7" ht="18.95" customHeight="1" thickBot="1" x14ac:dyDescent="0.25">
      <c r="A2681" s="148"/>
      <c r="B2681" s="334"/>
      <c r="C2681" s="143"/>
      <c r="D2681" s="146" t="s">
        <v>1037</v>
      </c>
      <c r="E2681" s="338">
        <f>SUMPRODUCT(D2671:D2680,E2671:E2680)</f>
        <v>0</v>
      </c>
      <c r="F2681" s="141" t="s">
        <v>1038</v>
      </c>
      <c r="G2681" s="339">
        <f>SUM(G2671:G2680)</f>
        <v>0</v>
      </c>
    </row>
    <row r="2682" spans="1:7" ht="18.95" customHeight="1" x14ac:dyDescent="0.2">
      <c r="A2682" s="148"/>
      <c r="B2682" s="334"/>
      <c r="C2682" s="141" t="s">
        <v>1039</v>
      </c>
      <c r="D2682" s="320"/>
      <c r="E2682" s="340" t="str">
        <f>CONCATENATE(G2667,"/día")</f>
        <v>Gl/día</v>
      </c>
      <c r="F2682" s="141"/>
      <c r="G2682" s="341"/>
    </row>
    <row r="2683" spans="1:7" ht="18.95" customHeight="1" x14ac:dyDescent="0.2">
      <c r="A2683" s="148"/>
      <c r="B2683" s="334"/>
      <c r="C2683" s="142"/>
      <c r="D2683" s="150"/>
      <c r="E2683" s="141"/>
      <c r="F2683" s="141"/>
      <c r="G2683" s="341"/>
    </row>
    <row r="2684" spans="1:7" ht="18.95" customHeight="1" x14ac:dyDescent="0.2">
      <c r="A2684" s="735" t="s">
        <v>582</v>
      </c>
      <c r="B2684" s="736"/>
      <c r="C2684" s="737" t="s">
        <v>0</v>
      </c>
      <c r="D2684" s="743" t="s">
        <v>1053</v>
      </c>
      <c r="E2684" s="743" t="s">
        <v>1706</v>
      </c>
      <c r="F2684" s="743" t="s">
        <v>1054</v>
      </c>
      <c r="G2684" s="743" t="s">
        <v>1055</v>
      </c>
    </row>
    <row r="2685" spans="1:7" ht="18.95" customHeight="1" x14ac:dyDescent="0.2">
      <c r="A2685" s="154" t="s">
        <v>583</v>
      </c>
      <c r="B2685" s="155" t="s">
        <v>584</v>
      </c>
      <c r="C2685" s="738"/>
      <c r="D2685" s="742"/>
      <c r="E2685" s="742"/>
      <c r="F2685" s="744"/>
      <c r="G2685" s="742"/>
    </row>
    <row r="2686" spans="1:7" ht="18.95" customHeight="1" x14ac:dyDescent="0.2">
      <c r="A2686" s="156"/>
      <c r="B2686" s="142"/>
      <c r="C2686" s="157" t="s">
        <v>1041</v>
      </c>
      <c r="D2686" s="150"/>
      <c r="E2686" s="142"/>
      <c r="F2686" s="142"/>
      <c r="G2686" s="342"/>
    </row>
    <row r="2687" spans="1:7" ht="18.95" customHeight="1" x14ac:dyDescent="0.2">
      <c r="A2687" s="348" t="str">
        <f t="shared" ref="A2687:A2694" si="763">IFERROR(VLOOKUP(C2687,Tabla_Insumos,4,FALSE),"")</f>
        <v/>
      </c>
      <c r="B2687" s="290" t="str">
        <f t="shared" ref="B2687:B2694" si="764">IFERROR(VLOOKUP(C2687,Tabla_Insumos,5,FALSE),"")</f>
        <v/>
      </c>
      <c r="C2687" s="290"/>
      <c r="D2687" s="607">
        <f t="shared" ref="D2687:D2694" si="765">IFERROR(VLOOKUP(C2687,Tabla_Insumos,3,FALSE),0)</f>
        <v>0</v>
      </c>
      <c r="E2687" s="349">
        <f>D2687*$G$21</f>
        <v>0</v>
      </c>
      <c r="F2687" s="350">
        <f>IF(C2687="",0,D2682)</f>
        <v>0</v>
      </c>
      <c r="G2687" s="347">
        <f>IFERROR(ROUND(E2687/F2687,2),0)</f>
        <v>0</v>
      </c>
    </row>
    <row r="2688" spans="1:7" ht="18.95" customHeight="1" x14ac:dyDescent="0.2">
      <c r="A2688" s="348" t="str">
        <f t="shared" si="763"/>
        <v/>
      </c>
      <c r="B2688" s="290" t="str">
        <f t="shared" si="764"/>
        <v/>
      </c>
      <c r="C2688" s="321"/>
      <c r="D2688" s="607">
        <f t="shared" si="765"/>
        <v>0</v>
      </c>
      <c r="E2688" s="349">
        <f t="shared" ref="E2688:E2689" si="766">D2688*$G$21</f>
        <v>0</v>
      </c>
      <c r="F2688" s="350">
        <f t="shared" ref="F2688:F2691" si="767">IF(C2688="",0,F2687)</f>
        <v>0</v>
      </c>
      <c r="G2688" s="347">
        <f t="shared" ref="G2688:G2694" si="768">IFERROR(ROUND(E2688/F2688,2),0)</f>
        <v>0</v>
      </c>
    </row>
    <row r="2689" spans="1:7" ht="18.95" customHeight="1" x14ac:dyDescent="0.2">
      <c r="A2689" s="348" t="str">
        <f t="shared" si="763"/>
        <v/>
      </c>
      <c r="B2689" s="290" t="str">
        <f t="shared" si="764"/>
        <v/>
      </c>
      <c r="C2689" s="321"/>
      <c r="D2689" s="607">
        <f t="shared" si="765"/>
        <v>0</v>
      </c>
      <c r="E2689" s="349">
        <f t="shared" si="766"/>
        <v>0</v>
      </c>
      <c r="F2689" s="350">
        <f t="shared" si="767"/>
        <v>0</v>
      </c>
      <c r="G2689" s="347">
        <f t="shared" si="768"/>
        <v>0</v>
      </c>
    </row>
    <row r="2690" spans="1:7" ht="18.95" customHeight="1" x14ac:dyDescent="0.2">
      <c r="A2690" s="348" t="str">
        <f t="shared" si="763"/>
        <v/>
      </c>
      <c r="B2690" s="290" t="str">
        <f t="shared" si="764"/>
        <v/>
      </c>
      <c r="C2690" s="321"/>
      <c r="D2690" s="607">
        <f t="shared" si="765"/>
        <v>0</v>
      </c>
      <c r="E2690" s="349">
        <f>D2690*$E$21</f>
        <v>0</v>
      </c>
      <c r="F2690" s="350">
        <f t="shared" si="767"/>
        <v>0</v>
      </c>
      <c r="G2690" s="347">
        <f t="shared" si="768"/>
        <v>0</v>
      </c>
    </row>
    <row r="2691" spans="1:7" ht="18.95" customHeight="1" x14ac:dyDescent="0.2">
      <c r="A2691" s="348" t="str">
        <f t="shared" si="763"/>
        <v/>
      </c>
      <c r="B2691" s="290" t="str">
        <f t="shared" si="764"/>
        <v/>
      </c>
      <c r="C2691" s="321"/>
      <c r="D2691" s="607">
        <f t="shared" si="765"/>
        <v>0</v>
      </c>
      <c r="E2691" s="349">
        <f>D2691*$E$21</f>
        <v>0</v>
      </c>
      <c r="F2691" s="350">
        <f t="shared" si="767"/>
        <v>0</v>
      </c>
      <c r="G2691" s="347">
        <f t="shared" si="768"/>
        <v>0</v>
      </c>
    </row>
    <row r="2692" spans="1:7" ht="18.95" customHeight="1" x14ac:dyDescent="0.2">
      <c r="A2692" s="348" t="str">
        <f t="shared" si="763"/>
        <v/>
      </c>
      <c r="B2692" s="290" t="str">
        <f t="shared" si="764"/>
        <v/>
      </c>
      <c r="C2692" s="321"/>
      <c r="D2692" s="607">
        <f t="shared" si="765"/>
        <v>0</v>
      </c>
      <c r="E2692" s="349"/>
      <c r="F2692" s="350">
        <f>IF(C2692="",0,F2691)</f>
        <v>0</v>
      </c>
      <c r="G2692" s="347">
        <f t="shared" si="768"/>
        <v>0</v>
      </c>
    </row>
    <row r="2693" spans="1:7" ht="18.95" customHeight="1" x14ac:dyDescent="0.2">
      <c r="A2693" s="348" t="str">
        <f t="shared" si="763"/>
        <v/>
      </c>
      <c r="B2693" s="290" t="str">
        <f t="shared" si="764"/>
        <v/>
      </c>
      <c r="C2693" s="321"/>
      <c r="D2693" s="607">
        <f t="shared" si="765"/>
        <v>0</v>
      </c>
      <c r="E2693" s="349"/>
      <c r="F2693" s="350">
        <f t="shared" ref="F2693:F2694" si="769">IF(C2693="",0,F2692)</f>
        <v>0</v>
      </c>
      <c r="G2693" s="347">
        <f t="shared" si="768"/>
        <v>0</v>
      </c>
    </row>
    <row r="2694" spans="1:7" ht="18.95" customHeight="1" x14ac:dyDescent="0.2">
      <c r="A2694" s="348" t="str">
        <f t="shared" si="763"/>
        <v/>
      </c>
      <c r="B2694" s="290" t="str">
        <f t="shared" si="764"/>
        <v/>
      </c>
      <c r="C2694" s="321"/>
      <c r="D2694" s="607">
        <f t="shared" si="765"/>
        <v>0</v>
      </c>
      <c r="E2694" s="349"/>
      <c r="F2694" s="350">
        <f t="shared" si="769"/>
        <v>0</v>
      </c>
      <c r="G2694" s="347">
        <f t="shared" si="768"/>
        <v>0</v>
      </c>
    </row>
    <row r="2695" spans="1:7" ht="18.95" customHeight="1" x14ac:dyDescent="0.2">
      <c r="A2695" s="353"/>
      <c r="B2695" s="149"/>
      <c r="C2695" s="142"/>
      <c r="D2695" s="150"/>
      <c r="E2695" s="143"/>
      <c r="F2695" s="354" t="s">
        <v>29</v>
      </c>
      <c r="G2695" s="355">
        <f>SUBTOTAL(9,G2687:G2694)</f>
        <v>0</v>
      </c>
    </row>
    <row r="2696" spans="1:7" ht="18.95" customHeight="1" x14ac:dyDescent="0.2">
      <c r="A2696" s="156"/>
      <c r="B2696" s="142"/>
      <c r="C2696" s="157" t="s">
        <v>722</v>
      </c>
      <c r="D2696" s="150"/>
      <c r="E2696" s="327"/>
      <c r="F2696" s="327"/>
      <c r="G2696" s="342"/>
    </row>
    <row r="2697" spans="1:7" ht="18.95" customHeight="1" x14ac:dyDescent="0.2">
      <c r="A2697" s="735" t="s">
        <v>582</v>
      </c>
      <c r="B2697" s="736"/>
      <c r="C2697" s="737" t="s">
        <v>0</v>
      </c>
      <c r="D2697" s="739" t="s">
        <v>26</v>
      </c>
      <c r="E2697" s="743" t="s">
        <v>1707</v>
      </c>
      <c r="F2697" s="741" t="s">
        <v>1040</v>
      </c>
      <c r="G2697" s="733" t="s">
        <v>28</v>
      </c>
    </row>
    <row r="2698" spans="1:7" ht="18.95" customHeight="1" x14ac:dyDescent="0.2">
      <c r="A2698" s="154" t="s">
        <v>583</v>
      </c>
      <c r="B2698" s="155" t="s">
        <v>584</v>
      </c>
      <c r="C2698" s="738"/>
      <c r="D2698" s="740"/>
      <c r="E2698" s="742"/>
      <c r="F2698" s="742"/>
      <c r="G2698" s="734"/>
    </row>
    <row r="2699" spans="1:7" ht="18.95" customHeight="1" x14ac:dyDescent="0.2">
      <c r="A2699" s="348" t="str">
        <f t="shared" ref="A2699:A2704" si="770">IFERROR(VLOOKUP(C2699,Tabla_Insumos,4,FALSE),"")</f>
        <v/>
      </c>
      <c r="B2699" s="290" t="str">
        <f t="shared" ref="B2699:B2704" si="771">IFERROR(VLOOKUP(C2699,Tabla_Insumos,5,FALSE),"")</f>
        <v/>
      </c>
      <c r="C2699" s="291"/>
      <c r="D2699" s="293"/>
      <c r="E2699" s="346">
        <f t="shared" ref="E2699:E2704" si="772">IFERROR(VLOOKUP(C2699,Tabla_Insumos,3,FALSE),0)</f>
        <v>0</v>
      </c>
      <c r="F2699" s="349">
        <f>IF(C2699="",0,D2682)</f>
        <v>0</v>
      </c>
      <c r="G2699" s="347">
        <f t="shared" ref="G2699:G2704" si="773">IFERROR(ROUND(D2699*E2699/F2699,2),0)</f>
        <v>0</v>
      </c>
    </row>
    <row r="2700" spans="1:7" ht="18.95" customHeight="1" x14ac:dyDescent="0.2">
      <c r="A2700" s="348" t="str">
        <f t="shared" si="770"/>
        <v/>
      </c>
      <c r="B2700" s="290" t="str">
        <f t="shared" si="771"/>
        <v/>
      </c>
      <c r="C2700" s="290"/>
      <c r="D2700" s="293"/>
      <c r="E2700" s="346">
        <f t="shared" si="772"/>
        <v>0</v>
      </c>
      <c r="F2700" s="349">
        <f>IF(C2700="",0,F2699)</f>
        <v>0</v>
      </c>
      <c r="G2700" s="347">
        <f t="shared" si="773"/>
        <v>0</v>
      </c>
    </row>
    <row r="2701" spans="1:7" ht="18.95" customHeight="1" x14ac:dyDescent="0.2">
      <c r="A2701" s="348" t="str">
        <f t="shared" si="770"/>
        <v/>
      </c>
      <c r="B2701" s="290" t="str">
        <f t="shared" si="771"/>
        <v/>
      </c>
      <c r="C2701" s="290"/>
      <c r="D2701" s="293"/>
      <c r="E2701" s="346">
        <f t="shared" si="772"/>
        <v>0</v>
      </c>
      <c r="F2701" s="349">
        <f>IF(C2701="",0,F2700)</f>
        <v>0</v>
      </c>
      <c r="G2701" s="347">
        <f t="shared" si="773"/>
        <v>0</v>
      </c>
    </row>
    <row r="2702" spans="1:7" ht="18.95" customHeight="1" x14ac:dyDescent="0.2">
      <c r="A2702" s="348" t="str">
        <f t="shared" si="770"/>
        <v/>
      </c>
      <c r="B2702" s="290" t="str">
        <f t="shared" si="771"/>
        <v/>
      </c>
      <c r="C2702" s="290"/>
      <c r="D2702" s="293"/>
      <c r="E2702" s="346">
        <f t="shared" si="772"/>
        <v>0</v>
      </c>
      <c r="F2702" s="349">
        <f>IF(C2702="",0,F2701)</f>
        <v>0</v>
      </c>
      <c r="G2702" s="347">
        <f t="shared" si="773"/>
        <v>0</v>
      </c>
    </row>
    <row r="2703" spans="1:7" ht="18.95" customHeight="1" x14ac:dyDescent="0.2">
      <c r="A2703" s="348" t="str">
        <f t="shared" si="770"/>
        <v/>
      </c>
      <c r="B2703" s="290" t="str">
        <f t="shared" si="771"/>
        <v/>
      </c>
      <c r="C2703" s="290"/>
      <c r="D2703" s="351"/>
      <c r="E2703" s="346">
        <f t="shared" si="772"/>
        <v>0</v>
      </c>
      <c r="F2703" s="349">
        <f>IF(C2703="",0,F2702)</f>
        <v>0</v>
      </c>
      <c r="G2703" s="347">
        <f t="shared" si="773"/>
        <v>0</v>
      </c>
    </row>
    <row r="2704" spans="1:7" ht="18.95" customHeight="1" x14ac:dyDescent="0.2">
      <c r="A2704" s="348" t="str">
        <f t="shared" si="770"/>
        <v/>
      </c>
      <c r="B2704" s="290" t="str">
        <f t="shared" si="771"/>
        <v/>
      </c>
      <c r="C2704" s="290"/>
      <c r="D2704" s="293"/>
      <c r="E2704" s="346">
        <f t="shared" si="772"/>
        <v>0</v>
      </c>
      <c r="F2704" s="349">
        <f>IF(C2704="",0,F2703)</f>
        <v>0</v>
      </c>
      <c r="G2704" s="347">
        <f t="shared" si="773"/>
        <v>0</v>
      </c>
    </row>
    <row r="2705" spans="1:7" ht="18.95" customHeight="1" x14ac:dyDescent="0.2">
      <c r="A2705" s="353"/>
      <c r="B2705" s="149"/>
      <c r="C2705" s="142"/>
      <c r="D2705" s="150"/>
      <c r="E2705" s="143"/>
      <c r="F2705" s="356" t="s">
        <v>30</v>
      </c>
      <c r="G2705" s="355">
        <f>SUBTOTAL(9,G2699:G2704)</f>
        <v>0</v>
      </c>
    </row>
    <row r="2706" spans="1:7" ht="18.95" customHeight="1" x14ac:dyDescent="0.2">
      <c r="A2706" s="156"/>
      <c r="B2706" s="142"/>
      <c r="C2706" s="157" t="s">
        <v>1047</v>
      </c>
      <c r="D2706" s="150"/>
      <c r="E2706" s="327"/>
      <c r="F2706" s="327"/>
      <c r="G2706" s="342"/>
    </row>
    <row r="2707" spans="1:7" ht="18.95" customHeight="1" x14ac:dyDescent="0.2">
      <c r="A2707" s="735" t="s">
        <v>582</v>
      </c>
      <c r="B2707" s="736"/>
      <c r="C2707" s="737" t="s">
        <v>0</v>
      </c>
      <c r="D2707" s="737" t="s">
        <v>1655</v>
      </c>
      <c r="E2707" s="737" t="s">
        <v>26</v>
      </c>
      <c r="F2707" s="737" t="s">
        <v>27</v>
      </c>
      <c r="G2707" s="733" t="s">
        <v>28</v>
      </c>
    </row>
    <row r="2708" spans="1:7" ht="18.95" customHeight="1" x14ac:dyDescent="0.2">
      <c r="A2708" s="154" t="s">
        <v>583</v>
      </c>
      <c r="B2708" s="155" t="s">
        <v>584</v>
      </c>
      <c r="C2708" s="738"/>
      <c r="D2708" s="738"/>
      <c r="E2708" s="738"/>
      <c r="F2708" s="738"/>
      <c r="G2708" s="734"/>
    </row>
    <row r="2709" spans="1:7" ht="18.95" customHeight="1" x14ac:dyDescent="0.2">
      <c r="A2709" s="348" t="str">
        <f t="shared" ref="A2709:A2720" si="774">IFERROR(VLOOKUP(C2709,Tabla_Insumos,4,FALSE),"")</f>
        <v/>
      </c>
      <c r="B2709" s="290" t="str">
        <f t="shared" ref="B2709:B2720" si="775">IFERROR(VLOOKUP(C2709,Tabla_Insumos,5,FALSE),"")</f>
        <v/>
      </c>
      <c r="C2709" s="290"/>
      <c r="D2709" s="608">
        <f t="shared" ref="D2709:D2720" si="776">IFERROR(VLOOKUP(C2709,Tabla_Insumos,2,FALSE),0)</f>
        <v>0</v>
      </c>
      <c r="E2709" s="293"/>
      <c r="F2709" s="346">
        <f t="shared" ref="F2709:F2720" si="777">IFERROR(VLOOKUP(C2709,Tabla_Insumos,3,FALSE),0)</f>
        <v>0</v>
      </c>
      <c r="G2709" s="347">
        <f t="shared" ref="G2709:G2720" si="778">ROUND(E2709*F2709,2)</f>
        <v>0</v>
      </c>
    </row>
    <row r="2710" spans="1:7" ht="18.95" customHeight="1" x14ac:dyDescent="0.2">
      <c r="A2710" s="348" t="str">
        <f t="shared" si="774"/>
        <v/>
      </c>
      <c r="B2710" s="290" t="str">
        <f t="shared" si="775"/>
        <v/>
      </c>
      <c r="C2710" s="126"/>
      <c r="D2710" s="608">
        <f t="shared" si="776"/>
        <v>0</v>
      </c>
      <c r="E2710" s="293"/>
      <c r="F2710" s="346">
        <f t="shared" si="777"/>
        <v>0</v>
      </c>
      <c r="G2710" s="347">
        <f t="shared" si="778"/>
        <v>0</v>
      </c>
    </row>
    <row r="2711" spans="1:7" ht="18.95" customHeight="1" x14ac:dyDescent="0.2">
      <c r="A2711" s="348" t="str">
        <f t="shared" si="774"/>
        <v/>
      </c>
      <c r="B2711" s="290" t="str">
        <f t="shared" si="775"/>
        <v/>
      </c>
      <c r="C2711" s="290"/>
      <c r="D2711" s="608">
        <f t="shared" si="776"/>
        <v>0</v>
      </c>
      <c r="E2711" s="293"/>
      <c r="F2711" s="346">
        <f t="shared" si="777"/>
        <v>0</v>
      </c>
      <c r="G2711" s="347">
        <f t="shared" si="778"/>
        <v>0</v>
      </c>
    </row>
    <row r="2712" spans="1:7" ht="18.95" customHeight="1" x14ac:dyDescent="0.2">
      <c r="A2712" s="348" t="str">
        <f t="shared" si="774"/>
        <v/>
      </c>
      <c r="B2712" s="290" t="str">
        <f t="shared" si="775"/>
        <v/>
      </c>
      <c r="C2712" s="290"/>
      <c r="D2712" s="608">
        <f t="shared" si="776"/>
        <v>0</v>
      </c>
      <c r="E2712" s="293"/>
      <c r="F2712" s="346">
        <f t="shared" si="777"/>
        <v>0</v>
      </c>
      <c r="G2712" s="347">
        <f t="shared" si="778"/>
        <v>0</v>
      </c>
    </row>
    <row r="2713" spans="1:7" ht="18.95" customHeight="1" x14ac:dyDescent="0.2">
      <c r="A2713" s="348" t="str">
        <f t="shared" si="774"/>
        <v/>
      </c>
      <c r="B2713" s="290" t="str">
        <f t="shared" si="775"/>
        <v/>
      </c>
      <c r="C2713" s="290"/>
      <c r="D2713" s="608">
        <f t="shared" si="776"/>
        <v>0</v>
      </c>
      <c r="E2713" s="293"/>
      <c r="F2713" s="346">
        <f t="shared" si="777"/>
        <v>0</v>
      </c>
      <c r="G2713" s="347">
        <f t="shared" si="778"/>
        <v>0</v>
      </c>
    </row>
    <row r="2714" spans="1:7" ht="18.95" customHeight="1" x14ac:dyDescent="0.2">
      <c r="A2714" s="348" t="str">
        <f t="shared" si="774"/>
        <v/>
      </c>
      <c r="B2714" s="290" t="str">
        <f t="shared" si="775"/>
        <v/>
      </c>
      <c r="C2714" s="290"/>
      <c r="D2714" s="608">
        <f t="shared" si="776"/>
        <v>0</v>
      </c>
      <c r="E2714" s="293"/>
      <c r="F2714" s="346">
        <f t="shared" si="777"/>
        <v>0</v>
      </c>
      <c r="G2714" s="347">
        <f t="shared" si="778"/>
        <v>0</v>
      </c>
    </row>
    <row r="2715" spans="1:7" ht="18.95" customHeight="1" x14ac:dyDescent="0.2">
      <c r="A2715" s="348" t="str">
        <f t="shared" si="774"/>
        <v/>
      </c>
      <c r="B2715" s="290" t="str">
        <f t="shared" si="775"/>
        <v/>
      </c>
      <c r="C2715" s="290"/>
      <c r="D2715" s="608">
        <f t="shared" si="776"/>
        <v>0</v>
      </c>
      <c r="E2715" s="293"/>
      <c r="F2715" s="346">
        <f t="shared" si="777"/>
        <v>0</v>
      </c>
      <c r="G2715" s="347">
        <f t="shared" si="778"/>
        <v>0</v>
      </c>
    </row>
    <row r="2716" spans="1:7" s="295" customFormat="1" ht="18.95" customHeight="1" x14ac:dyDescent="0.2">
      <c r="A2716" s="348" t="str">
        <f t="shared" si="774"/>
        <v/>
      </c>
      <c r="B2716" s="290" t="str">
        <f t="shared" si="775"/>
        <v/>
      </c>
      <c r="C2716" s="290"/>
      <c r="D2716" s="608">
        <f t="shared" si="776"/>
        <v>0</v>
      </c>
      <c r="E2716" s="323"/>
      <c r="F2716" s="346">
        <f t="shared" si="777"/>
        <v>0</v>
      </c>
      <c r="G2716" s="347">
        <f t="shared" si="778"/>
        <v>0</v>
      </c>
    </row>
    <row r="2717" spans="1:7" ht="18.95" customHeight="1" x14ac:dyDescent="0.2">
      <c r="A2717" s="348" t="str">
        <f t="shared" si="774"/>
        <v/>
      </c>
      <c r="B2717" s="290" t="str">
        <f t="shared" si="775"/>
        <v/>
      </c>
      <c r="C2717" s="290"/>
      <c r="D2717" s="608">
        <f t="shared" si="776"/>
        <v>0</v>
      </c>
      <c r="E2717" s="293"/>
      <c r="F2717" s="346">
        <f t="shared" si="777"/>
        <v>0</v>
      </c>
      <c r="G2717" s="347">
        <f t="shared" si="778"/>
        <v>0</v>
      </c>
    </row>
    <row r="2718" spans="1:7" ht="18.95" customHeight="1" x14ac:dyDescent="0.2">
      <c r="A2718" s="348" t="str">
        <f t="shared" si="774"/>
        <v/>
      </c>
      <c r="B2718" s="290" t="str">
        <f t="shared" si="775"/>
        <v/>
      </c>
      <c r="C2718" s="290"/>
      <c r="D2718" s="608">
        <f t="shared" si="776"/>
        <v>0</v>
      </c>
      <c r="E2718" s="293"/>
      <c r="F2718" s="346">
        <f t="shared" si="777"/>
        <v>0</v>
      </c>
      <c r="G2718" s="347">
        <f t="shared" si="778"/>
        <v>0</v>
      </c>
    </row>
    <row r="2719" spans="1:7" ht="18.95" customHeight="1" x14ac:dyDescent="0.2">
      <c r="A2719" s="348" t="str">
        <f t="shared" si="774"/>
        <v/>
      </c>
      <c r="B2719" s="290" t="str">
        <f t="shared" si="775"/>
        <v/>
      </c>
      <c r="C2719" s="290"/>
      <c r="D2719" s="608">
        <f t="shared" si="776"/>
        <v>0</v>
      </c>
      <c r="E2719" s="293"/>
      <c r="F2719" s="346">
        <f t="shared" si="777"/>
        <v>0</v>
      </c>
      <c r="G2719" s="347">
        <f t="shared" si="778"/>
        <v>0</v>
      </c>
    </row>
    <row r="2720" spans="1:7" ht="18.95" customHeight="1" x14ac:dyDescent="0.2">
      <c r="A2720" s="348" t="str">
        <f t="shared" si="774"/>
        <v/>
      </c>
      <c r="B2720" s="290" t="str">
        <f t="shared" si="775"/>
        <v/>
      </c>
      <c r="C2720" s="290"/>
      <c r="D2720" s="608">
        <f t="shared" si="776"/>
        <v>0</v>
      </c>
      <c r="E2720" s="293"/>
      <c r="F2720" s="346">
        <f t="shared" si="777"/>
        <v>0</v>
      </c>
      <c r="G2720" s="347">
        <f t="shared" si="778"/>
        <v>0</v>
      </c>
    </row>
    <row r="2721" spans="1:7" ht="18.95" customHeight="1" x14ac:dyDescent="0.2">
      <c r="A2721" s="156"/>
      <c r="B2721" s="142"/>
      <c r="C2721" s="142"/>
      <c r="D2721" s="150"/>
      <c r="E2721" s="143"/>
      <c r="F2721" s="356" t="s">
        <v>31</v>
      </c>
      <c r="G2721" s="355">
        <f>SUBTOTAL(9,G2709:G2720)</f>
        <v>0</v>
      </c>
    </row>
    <row r="2722" spans="1:7" ht="18.95" customHeight="1" x14ac:dyDescent="0.2">
      <c r="A2722" s="156"/>
      <c r="B2722" s="142"/>
      <c r="C2722" s="157" t="s">
        <v>1048</v>
      </c>
      <c r="D2722" s="150"/>
      <c r="E2722" s="327"/>
      <c r="F2722" s="327"/>
      <c r="G2722" s="342"/>
    </row>
    <row r="2723" spans="1:7" ht="18.95" customHeight="1" x14ac:dyDescent="0.2">
      <c r="A2723" s="735" t="s">
        <v>582</v>
      </c>
      <c r="B2723" s="736"/>
      <c r="C2723" s="737" t="s">
        <v>0</v>
      </c>
      <c r="D2723" s="739" t="s">
        <v>1750</v>
      </c>
      <c r="E2723" s="741" t="s">
        <v>26</v>
      </c>
      <c r="F2723" s="741" t="s">
        <v>27</v>
      </c>
      <c r="G2723" s="733" t="s">
        <v>28</v>
      </c>
    </row>
    <row r="2724" spans="1:7" ht="18.95" customHeight="1" x14ac:dyDescent="0.2">
      <c r="A2724" s="154" t="s">
        <v>583</v>
      </c>
      <c r="B2724" s="155" t="s">
        <v>584</v>
      </c>
      <c r="C2724" s="738"/>
      <c r="D2724" s="740"/>
      <c r="E2724" s="742"/>
      <c r="F2724" s="742"/>
      <c r="G2724" s="734"/>
    </row>
    <row r="2725" spans="1:7" ht="18.95" customHeight="1" x14ac:dyDescent="0.2">
      <c r="A2725" s="348" t="str">
        <f>IFERROR(VLOOKUP(C2725,Tabla_Insumos,4,FALSE),"")</f>
        <v/>
      </c>
      <c r="B2725" s="290" t="s">
        <v>4</v>
      </c>
      <c r="C2725" s="290"/>
      <c r="D2725" s="293"/>
      <c r="E2725" s="322"/>
      <c r="F2725" s="324"/>
      <c r="G2725" s="347">
        <f t="shared" ref="G2725" si="779">ROUND(E2725*F2725,2)</f>
        <v>0</v>
      </c>
    </row>
    <row r="2726" spans="1:7" ht="18.95" customHeight="1" x14ac:dyDescent="0.2">
      <c r="A2726" s="156"/>
      <c r="B2726" s="142"/>
      <c r="C2726" s="142"/>
      <c r="D2726" s="150"/>
      <c r="E2726" s="143"/>
      <c r="F2726" s="356" t="s">
        <v>1049</v>
      </c>
      <c r="G2726" s="355">
        <f>SUBTOTAL(9,G2725:G2725)</f>
        <v>0</v>
      </c>
    </row>
    <row r="2727" spans="1:7" ht="18.95" customHeight="1" thickBot="1" x14ac:dyDescent="0.25">
      <c r="A2727" s="158"/>
      <c r="B2727" s="159"/>
      <c r="C2727" s="160"/>
      <c r="D2727" s="161"/>
      <c r="E2727" s="357"/>
      <c r="F2727" s="357"/>
      <c r="G2727" s="358"/>
    </row>
    <row r="2728" spans="1:7" ht="18.95" customHeight="1" x14ac:dyDescent="0.2">
      <c r="A2728" s="359">
        <f>B2667</f>
        <v>37</v>
      </c>
      <c r="B2728" s="360" t="str">
        <f>C2667</f>
        <v>MOVILIZACIÓN DE OBRA</v>
      </c>
      <c r="C2728" s="361"/>
      <c r="D2728" s="361"/>
      <c r="E2728" s="361" t="s">
        <v>1050</v>
      </c>
      <c r="F2728" s="362" t="str">
        <f>CONCATENATE("$/",G2667)</f>
        <v>$/Gl</v>
      </c>
      <c r="G2728" s="363">
        <f>SUBTOTAL(9,G2687:G2727)</f>
        <v>0</v>
      </c>
    </row>
    <row r="2729" spans="1:7" ht="18.95" customHeight="1" thickBot="1" x14ac:dyDescent="0.25">
      <c r="A2729" s="364"/>
      <c r="B2729" s="365"/>
      <c r="C2729" s="365"/>
      <c r="D2729" s="365"/>
      <c r="E2729" s="366" t="s">
        <v>1051</v>
      </c>
      <c r="F2729" s="367" t="str">
        <f>CONCATENATE("$/",G2667)</f>
        <v>$/Gl</v>
      </c>
      <c r="G2729" s="368" t="e">
        <f ca="1">PrecioUnitario(G2728,GG_Porcentaje,Beneficio,Ingresos_Brutos,IVA)</f>
        <v>#NAME?</v>
      </c>
    </row>
    <row r="2730" spans="1:7" ht="18.95" customHeight="1" thickTop="1" x14ac:dyDescent="0.2">
      <c r="F2730" s="294"/>
      <c r="G2730" s="294"/>
    </row>
    <row r="2731" spans="1:7" ht="18.95" customHeight="1" x14ac:dyDescent="0.2">
      <c r="F2731" s="294"/>
      <c r="G2731" s="294"/>
    </row>
  </sheetData>
  <sheetProtection insertRows="0" deleteRows="0"/>
  <mergeCells count="975">
    <mergeCell ref="C77:E77"/>
    <mergeCell ref="C7:E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D2583:D2584"/>
    <mergeCell ref="E2583:E2584"/>
    <mergeCell ref="C2527:E2527"/>
    <mergeCell ref="D2653:D2654"/>
    <mergeCell ref="E2653:E2654"/>
    <mergeCell ref="D2614:D2615"/>
    <mergeCell ref="E2614:E2615"/>
    <mergeCell ref="C847:E847"/>
    <mergeCell ref="C777:E777"/>
    <mergeCell ref="D2474:D2475"/>
    <mergeCell ref="E2474:E2475"/>
    <mergeCell ref="C2317:E2317"/>
    <mergeCell ref="C1197:E1197"/>
    <mergeCell ref="E1297:E1298"/>
    <mergeCell ref="D1774:D1775"/>
    <mergeCell ref="E1774:E1775"/>
    <mergeCell ref="D2373:D2374"/>
    <mergeCell ref="E2373:E2374"/>
    <mergeCell ref="E1253:E1254"/>
    <mergeCell ref="D2684:D2685"/>
    <mergeCell ref="E2684:E2685"/>
    <mergeCell ref="F2684:F2685"/>
    <mergeCell ref="G2684:G2685"/>
    <mergeCell ref="C2667:E2667"/>
    <mergeCell ref="A2653:B2653"/>
    <mergeCell ref="C2653:C2654"/>
    <mergeCell ref="C2597:E2597"/>
    <mergeCell ref="C2627:C2628"/>
    <mergeCell ref="D2627:D2628"/>
    <mergeCell ref="E2627:E2628"/>
    <mergeCell ref="F2627:F2628"/>
    <mergeCell ref="G2627:G2628"/>
    <mergeCell ref="F2347:F2348"/>
    <mergeCell ref="G2347:G2348"/>
    <mergeCell ref="A2357:B2357"/>
    <mergeCell ref="C2357:C2358"/>
    <mergeCell ref="D2357:D2358"/>
    <mergeCell ref="E2357:E2358"/>
    <mergeCell ref="F2357:F2358"/>
    <mergeCell ref="G2357:G2358"/>
    <mergeCell ref="D2443:D2444"/>
    <mergeCell ref="E2443:E2444"/>
    <mergeCell ref="F2443:F2444"/>
    <mergeCell ref="G2443:G2444"/>
    <mergeCell ref="C2387:E2387"/>
    <mergeCell ref="A2404:B2404"/>
    <mergeCell ref="C2404:C2405"/>
    <mergeCell ref="D2404:D2405"/>
    <mergeCell ref="E2404:E2405"/>
    <mergeCell ref="A2347:B2347"/>
    <mergeCell ref="C2347:C2348"/>
    <mergeCell ref="D2347:D2348"/>
    <mergeCell ref="E2347:E2348"/>
    <mergeCell ref="C2417:C2418"/>
    <mergeCell ref="D2417:D2418"/>
    <mergeCell ref="E2417:E241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1997:B1997"/>
    <mergeCell ref="C1997:C1998"/>
    <mergeCell ref="D1997:D1998"/>
    <mergeCell ref="E1997:E1998"/>
    <mergeCell ref="F1997:F1998"/>
    <mergeCell ref="G1997:G1998"/>
    <mergeCell ref="A1937:B1937"/>
    <mergeCell ref="C1937:C1938"/>
    <mergeCell ref="D1937:D1938"/>
    <mergeCell ref="E1937:E1938"/>
    <mergeCell ref="F1937:F1938"/>
    <mergeCell ref="G1937:G1938"/>
    <mergeCell ref="A1953:B1953"/>
    <mergeCell ref="C1953:C1954"/>
    <mergeCell ref="D1953:D1954"/>
    <mergeCell ref="E1953:E1954"/>
    <mergeCell ref="A1857:B1857"/>
    <mergeCell ref="A1984:B1984"/>
    <mergeCell ref="C1984:C1985"/>
    <mergeCell ref="D1984:D1985"/>
    <mergeCell ref="E1984:E1985"/>
    <mergeCell ref="F1984:F1985"/>
    <mergeCell ref="G1984:G1985"/>
    <mergeCell ref="A1927:B1927"/>
    <mergeCell ref="C1927:C1928"/>
    <mergeCell ref="A1867:B1867"/>
    <mergeCell ref="C1867:C1868"/>
    <mergeCell ref="D1867:D1868"/>
    <mergeCell ref="E1867:E1868"/>
    <mergeCell ref="F1867:F1868"/>
    <mergeCell ref="G1867:G1868"/>
    <mergeCell ref="D1927:D1928"/>
    <mergeCell ref="E1927:E1928"/>
    <mergeCell ref="F1927:F1928"/>
    <mergeCell ref="G1927:G1928"/>
    <mergeCell ref="A1914:B1914"/>
    <mergeCell ref="C1914:C1915"/>
    <mergeCell ref="D1914:D1915"/>
    <mergeCell ref="E1914:E1915"/>
    <mergeCell ref="F1914:F1915"/>
    <mergeCell ref="G1914:G1915"/>
    <mergeCell ref="D1727:D1728"/>
    <mergeCell ref="E1727:E1728"/>
    <mergeCell ref="F1727:F1728"/>
    <mergeCell ref="G1727:G1728"/>
    <mergeCell ref="F1743:F1744"/>
    <mergeCell ref="G1743:G1744"/>
    <mergeCell ref="F1953:F1954"/>
    <mergeCell ref="G1953:G1954"/>
    <mergeCell ref="F1857:F1858"/>
    <mergeCell ref="G1857:G1858"/>
    <mergeCell ref="G1673:G1674"/>
    <mergeCell ref="A1717:B1717"/>
    <mergeCell ref="C1717:C1718"/>
    <mergeCell ref="D1717:D1718"/>
    <mergeCell ref="E1717:E1718"/>
    <mergeCell ref="F1717:F1718"/>
    <mergeCell ref="G1717:G1718"/>
    <mergeCell ref="A1704:B1704"/>
    <mergeCell ref="C1704:C1705"/>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533:B1533"/>
    <mergeCell ref="C1533:C1534"/>
    <mergeCell ref="D1533:D1534"/>
    <mergeCell ref="E1533:E1534"/>
    <mergeCell ref="F1533:F1534"/>
    <mergeCell ref="G1533:G1534"/>
    <mergeCell ref="D1587:D1588"/>
    <mergeCell ref="E1587:E1588"/>
    <mergeCell ref="F1587:F1588"/>
    <mergeCell ref="G1587:G1588"/>
    <mergeCell ref="A1564:B1564"/>
    <mergeCell ref="C1564:C1565"/>
    <mergeCell ref="D1564:D1565"/>
    <mergeCell ref="E1564:E1565"/>
    <mergeCell ref="F1564:F1565"/>
    <mergeCell ref="G1564:G1565"/>
    <mergeCell ref="D1517:D1518"/>
    <mergeCell ref="E1517:E1518"/>
    <mergeCell ref="F1517:F1518"/>
    <mergeCell ref="G1517:G1518"/>
    <mergeCell ref="A1494:B1494"/>
    <mergeCell ref="C1494:C1495"/>
    <mergeCell ref="D1494:D1495"/>
    <mergeCell ref="E1494:E1495"/>
    <mergeCell ref="F1494:F1495"/>
    <mergeCell ref="G1494:G1495"/>
    <mergeCell ref="A1507:B1507"/>
    <mergeCell ref="C1507:C1508"/>
    <mergeCell ref="D1507:D1508"/>
    <mergeCell ref="E1507:E1508"/>
    <mergeCell ref="F1507:F1508"/>
    <mergeCell ref="G1507:G1508"/>
    <mergeCell ref="A1517:B1517"/>
    <mergeCell ref="C1517:C1518"/>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A1237:B1237"/>
    <mergeCell ref="C1237:C1238"/>
    <mergeCell ref="D1237:D1238"/>
    <mergeCell ref="E1237:E1238"/>
    <mergeCell ref="F1237:F1238"/>
    <mergeCell ref="A1367:B1367"/>
    <mergeCell ref="C1367:C1368"/>
    <mergeCell ref="D1367:D1368"/>
    <mergeCell ref="E1367:E1368"/>
    <mergeCell ref="F1367:F1368"/>
    <mergeCell ref="C1267:E1267"/>
    <mergeCell ref="A1307:B1307"/>
    <mergeCell ref="C1307:C1308"/>
    <mergeCell ref="D1307:D1308"/>
    <mergeCell ref="E1307:E1308"/>
    <mergeCell ref="F1307:F1308"/>
    <mergeCell ref="F1284:F1285"/>
    <mergeCell ref="A1297:B1297"/>
    <mergeCell ref="C1297:C1298"/>
    <mergeCell ref="D1297:D1298"/>
    <mergeCell ref="G1214:G1215"/>
    <mergeCell ref="A1227:B1227"/>
    <mergeCell ref="C1227:C1228"/>
    <mergeCell ref="D1227:D1228"/>
    <mergeCell ref="E1227:E1228"/>
    <mergeCell ref="F1227:F1228"/>
    <mergeCell ref="G1227:G122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737:B737"/>
    <mergeCell ref="C737:C738"/>
    <mergeCell ref="D737:D738"/>
    <mergeCell ref="E737:E738"/>
    <mergeCell ref="F737:F738"/>
    <mergeCell ref="G737:G738"/>
    <mergeCell ref="D794:D795"/>
    <mergeCell ref="E794:E795"/>
    <mergeCell ref="F794:F795"/>
    <mergeCell ref="G794:G795"/>
    <mergeCell ref="A763:B763"/>
    <mergeCell ref="C763:C764"/>
    <mergeCell ref="D763:D764"/>
    <mergeCell ref="E763:E764"/>
    <mergeCell ref="F763:F764"/>
    <mergeCell ref="G763:G764"/>
    <mergeCell ref="A794:B794"/>
    <mergeCell ref="C794:C795"/>
    <mergeCell ref="A747:B747"/>
    <mergeCell ref="C747:C748"/>
    <mergeCell ref="D747:D748"/>
    <mergeCell ref="E747:E748"/>
    <mergeCell ref="F747:F748"/>
    <mergeCell ref="G747:G748"/>
    <mergeCell ref="A693:B693"/>
    <mergeCell ref="C693:C694"/>
    <mergeCell ref="D693:D694"/>
    <mergeCell ref="E693:E694"/>
    <mergeCell ref="F693:F694"/>
    <mergeCell ref="G693:G694"/>
    <mergeCell ref="A724:B724"/>
    <mergeCell ref="C724:C725"/>
    <mergeCell ref="D724:D725"/>
    <mergeCell ref="E724:E725"/>
    <mergeCell ref="F724:F725"/>
    <mergeCell ref="G724:G725"/>
    <mergeCell ref="C707:E707"/>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23:B623"/>
    <mergeCell ref="C623:C624"/>
    <mergeCell ref="D623:D624"/>
    <mergeCell ref="E623:E624"/>
    <mergeCell ref="F623:F624"/>
    <mergeCell ref="G623:G624"/>
    <mergeCell ref="A667:B667"/>
    <mergeCell ref="C667:C668"/>
    <mergeCell ref="D667:D668"/>
    <mergeCell ref="E667:E668"/>
    <mergeCell ref="F667:F668"/>
    <mergeCell ref="G667:G668"/>
    <mergeCell ref="C637:E637"/>
    <mergeCell ref="A597:B597"/>
    <mergeCell ref="C597:C598"/>
    <mergeCell ref="D597:D598"/>
    <mergeCell ref="E597:E598"/>
    <mergeCell ref="F597:F598"/>
    <mergeCell ref="G597:G598"/>
    <mergeCell ref="A607:B607"/>
    <mergeCell ref="C607:C608"/>
    <mergeCell ref="D607:D608"/>
    <mergeCell ref="E607:E608"/>
    <mergeCell ref="F607:F608"/>
    <mergeCell ref="G607:G608"/>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C567:E567"/>
    <mergeCell ref="A527:B527"/>
    <mergeCell ref="C527:C528"/>
    <mergeCell ref="D527:D528"/>
    <mergeCell ref="E527:E528"/>
    <mergeCell ref="F527:F528"/>
    <mergeCell ref="G527:G528"/>
    <mergeCell ref="D553:D554"/>
    <mergeCell ref="E553:E554"/>
    <mergeCell ref="F553:F554"/>
    <mergeCell ref="G553:G554"/>
    <mergeCell ref="A483:B483"/>
    <mergeCell ref="C483:C484"/>
    <mergeCell ref="D483:D484"/>
    <mergeCell ref="E483:E484"/>
    <mergeCell ref="F483:F484"/>
    <mergeCell ref="G483:G484"/>
    <mergeCell ref="A514:B514"/>
    <mergeCell ref="C514:C515"/>
    <mergeCell ref="D514:D515"/>
    <mergeCell ref="E514:E515"/>
    <mergeCell ref="F514:F515"/>
    <mergeCell ref="G514:G515"/>
    <mergeCell ref="C497:E497"/>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44:B444"/>
    <mergeCell ref="C444:C445"/>
    <mergeCell ref="D444:D445"/>
    <mergeCell ref="E444:E445"/>
    <mergeCell ref="F444:F445"/>
    <mergeCell ref="G444:G445"/>
    <mergeCell ref="A413:B413"/>
    <mergeCell ref="C413:C414"/>
    <mergeCell ref="D413:D414"/>
    <mergeCell ref="E413:E414"/>
    <mergeCell ref="F413:F414"/>
    <mergeCell ref="G413:G414"/>
    <mergeCell ref="C427:E427"/>
    <mergeCell ref="A343:B343"/>
    <mergeCell ref="C343:C344"/>
    <mergeCell ref="D343:D344"/>
    <mergeCell ref="E343:E344"/>
    <mergeCell ref="F343:F344"/>
    <mergeCell ref="G343:G344"/>
    <mergeCell ref="A397:B397"/>
    <mergeCell ref="C397:C398"/>
    <mergeCell ref="D397:D398"/>
    <mergeCell ref="E397:E398"/>
    <mergeCell ref="F397:F398"/>
    <mergeCell ref="G397:G398"/>
    <mergeCell ref="C357:E357"/>
    <mergeCell ref="A374:B374"/>
    <mergeCell ref="C374:C375"/>
    <mergeCell ref="D374:D375"/>
    <mergeCell ref="E374:E375"/>
    <mergeCell ref="F374:F375"/>
    <mergeCell ref="G374:G375"/>
    <mergeCell ref="A387:B387"/>
    <mergeCell ref="C387:C388"/>
    <mergeCell ref="D387:D388"/>
    <mergeCell ref="E387:E388"/>
    <mergeCell ref="F387:F388"/>
    <mergeCell ref="G387:G388"/>
    <mergeCell ref="D117:D118"/>
    <mergeCell ref="E117:E118"/>
    <mergeCell ref="F117:F118"/>
    <mergeCell ref="G117:G118"/>
    <mergeCell ref="D257:D258"/>
    <mergeCell ref="E257:E258"/>
    <mergeCell ref="F257:F258"/>
    <mergeCell ref="G257:G258"/>
    <mergeCell ref="D273:D274"/>
    <mergeCell ref="E273:E274"/>
    <mergeCell ref="F273:F274"/>
    <mergeCell ref="G273:G274"/>
    <mergeCell ref="C287:E287"/>
    <mergeCell ref="C217:E217"/>
    <mergeCell ref="C147:E147"/>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A247:B247"/>
    <mergeCell ref="C247:C248"/>
    <mergeCell ref="D247:D248"/>
    <mergeCell ref="E247:E248"/>
    <mergeCell ref="F247:F248"/>
    <mergeCell ref="G247:G248"/>
    <mergeCell ref="A257:B257"/>
    <mergeCell ref="C257:C258"/>
    <mergeCell ref="A234:B234"/>
    <mergeCell ref="C234:C235"/>
    <mergeCell ref="D234:D235"/>
    <mergeCell ref="E234:E235"/>
    <mergeCell ref="F234:F235"/>
    <mergeCell ref="G234:G235"/>
    <mergeCell ref="A133:B133"/>
    <mergeCell ref="C133:C134"/>
    <mergeCell ref="D133:D134"/>
    <mergeCell ref="E133:E134"/>
    <mergeCell ref="F133:F134"/>
    <mergeCell ref="G133:G134"/>
    <mergeCell ref="A94:B94"/>
    <mergeCell ref="C94:C95"/>
    <mergeCell ref="D94:D95"/>
    <mergeCell ref="E94:E95"/>
    <mergeCell ref="F94:F95"/>
    <mergeCell ref="G94:G95"/>
    <mergeCell ref="A203:B203"/>
    <mergeCell ref="C203:C204"/>
    <mergeCell ref="D203:D204"/>
    <mergeCell ref="E203:E204"/>
    <mergeCell ref="F203:F204"/>
    <mergeCell ref="G203:G204"/>
    <mergeCell ref="F107:F108"/>
    <mergeCell ref="G107:G108"/>
    <mergeCell ref="A117:B117"/>
    <mergeCell ref="C117:C11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E1354:E1355"/>
    <mergeCell ref="F1463:F1464"/>
    <mergeCell ref="G1463:G1464"/>
    <mergeCell ref="F1253:F1254"/>
    <mergeCell ref="G1253:G1254"/>
    <mergeCell ref="A1284:B1284"/>
    <mergeCell ref="C1284:C1285"/>
    <mergeCell ref="D1284:D1285"/>
    <mergeCell ref="E1284:E1285"/>
    <mergeCell ref="G1367:G1368"/>
    <mergeCell ref="A1377:B1377"/>
    <mergeCell ref="C1377:C1378"/>
    <mergeCell ref="D1377:D1378"/>
    <mergeCell ref="E1377:E1378"/>
    <mergeCell ref="F1377:F1378"/>
    <mergeCell ref="G1377:G1378"/>
    <mergeCell ref="G1307:G1308"/>
    <mergeCell ref="G1284:G1285"/>
    <mergeCell ref="A1393:B1393"/>
    <mergeCell ref="C1393:C1394"/>
    <mergeCell ref="D1393:D1394"/>
    <mergeCell ref="E1393:E1394"/>
    <mergeCell ref="F1393:F1394"/>
    <mergeCell ref="G1393:G1394"/>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07:B107"/>
    <mergeCell ref="C107:C108"/>
    <mergeCell ref="D107:D108"/>
    <mergeCell ref="E107:E108"/>
    <mergeCell ref="D37:D38"/>
    <mergeCell ref="E37:E38"/>
    <mergeCell ref="G2427:G2428"/>
    <mergeCell ref="A2443:B2443"/>
    <mergeCell ref="C2443:C2444"/>
    <mergeCell ref="A327:B327"/>
    <mergeCell ref="C327:C328"/>
    <mergeCell ref="D327:D328"/>
    <mergeCell ref="E327:E328"/>
    <mergeCell ref="F327:F328"/>
    <mergeCell ref="G327:G328"/>
    <mergeCell ref="A2054:B2054"/>
    <mergeCell ref="C2054:C2055"/>
    <mergeCell ref="D2054:D2055"/>
    <mergeCell ref="E2054:E2055"/>
    <mergeCell ref="F2054:F2055"/>
    <mergeCell ref="G2054:G2055"/>
    <mergeCell ref="A1004:B1004"/>
    <mergeCell ref="C1004:C1005"/>
    <mergeCell ref="D1004:D1005"/>
    <mergeCell ref="E1004:E1005"/>
    <mergeCell ref="F1004:F1005"/>
    <mergeCell ref="G1004:G1005"/>
    <mergeCell ref="A1354:B1354"/>
    <mergeCell ref="C1354:C1355"/>
    <mergeCell ref="D1354:D1355"/>
    <mergeCell ref="G2474:G2475"/>
    <mergeCell ref="C2457:E2457"/>
    <mergeCell ref="A2474:B2474"/>
    <mergeCell ref="C2474:C2475"/>
    <mergeCell ref="A2627:B2627"/>
    <mergeCell ref="A187:B187"/>
    <mergeCell ref="C187:C188"/>
    <mergeCell ref="D187:D188"/>
    <mergeCell ref="E187:E188"/>
    <mergeCell ref="F187:F188"/>
    <mergeCell ref="G187:G18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D2427:D2428"/>
    <mergeCell ref="A2707:B2707"/>
    <mergeCell ref="C2707:C2708"/>
    <mergeCell ref="D2707:D2708"/>
    <mergeCell ref="E2707:E2708"/>
    <mergeCell ref="F2707:F2708"/>
    <mergeCell ref="G2707:G2708"/>
    <mergeCell ref="A2614:B2614"/>
    <mergeCell ref="C2614:C2615"/>
    <mergeCell ref="F2497:F2498"/>
    <mergeCell ref="G2497:G2498"/>
    <mergeCell ref="A2513:B2513"/>
    <mergeCell ref="C2513:C2514"/>
    <mergeCell ref="D2513:D2514"/>
    <mergeCell ref="E2513:E2514"/>
    <mergeCell ref="F2614:F2615"/>
    <mergeCell ref="G2614:G2615"/>
    <mergeCell ref="F2583:F2584"/>
    <mergeCell ref="G2583:G2584"/>
    <mergeCell ref="A2583:B2583"/>
    <mergeCell ref="C2583:C2584"/>
    <mergeCell ref="F2653:F2654"/>
    <mergeCell ref="G2653:G2654"/>
    <mergeCell ref="A2684:B2684"/>
    <mergeCell ref="C2684:C2685"/>
    <mergeCell ref="G2373:G2374"/>
    <mergeCell ref="A2417:B2417"/>
    <mergeCell ref="F2487:F2488"/>
    <mergeCell ref="G2487:G2488"/>
    <mergeCell ref="A2723:B2723"/>
    <mergeCell ref="C2723:C2724"/>
    <mergeCell ref="D2723:D2724"/>
    <mergeCell ref="E2723:E2724"/>
    <mergeCell ref="F2723:F2724"/>
    <mergeCell ref="G2723:G2724"/>
    <mergeCell ref="A2637:B2637"/>
    <mergeCell ref="C2637:C2638"/>
    <mergeCell ref="D2637:D2638"/>
    <mergeCell ref="E2637:E2638"/>
    <mergeCell ref="F2637:F2638"/>
    <mergeCell ref="G2637:G2638"/>
    <mergeCell ref="A2697:B2697"/>
    <mergeCell ref="C2697:C2698"/>
    <mergeCell ref="D2697:D2698"/>
    <mergeCell ref="E2697:E2698"/>
    <mergeCell ref="F2697:F2698"/>
    <mergeCell ref="G2697:G2698"/>
    <mergeCell ref="F2417:F2418"/>
    <mergeCell ref="G2417:G2418"/>
    <mergeCell ref="A2497:B2497"/>
    <mergeCell ref="C2497:C2498"/>
    <mergeCell ref="D2497:D2498"/>
    <mergeCell ref="E2497:E2498"/>
    <mergeCell ref="C1673:C1674"/>
    <mergeCell ref="D1673:D1674"/>
    <mergeCell ref="E1673:E1674"/>
    <mergeCell ref="F1673:F1674"/>
    <mergeCell ref="A1787:B1787"/>
    <mergeCell ref="C1787:C1788"/>
    <mergeCell ref="D1787:D1788"/>
    <mergeCell ref="E1787:E1788"/>
    <mergeCell ref="F1787:F1788"/>
    <mergeCell ref="E1844:E1845"/>
    <mergeCell ref="F2373:F2374"/>
    <mergeCell ref="F2474:F2475"/>
    <mergeCell ref="E2427:E2428"/>
    <mergeCell ref="F2427:F2428"/>
    <mergeCell ref="A1743:B1743"/>
    <mergeCell ref="C1743:C1744"/>
    <mergeCell ref="D1743:D1744"/>
    <mergeCell ref="E1743:E1744"/>
    <mergeCell ref="A1727:B1727"/>
    <mergeCell ref="C1727:C1728"/>
    <mergeCell ref="G1323:G1324"/>
    <mergeCell ref="F1354:F1355"/>
    <mergeCell ref="A1253:B1253"/>
    <mergeCell ref="C1253:C1254"/>
    <mergeCell ref="D1253:D1254"/>
    <mergeCell ref="F2567:F2568"/>
    <mergeCell ref="G2567:G2568"/>
    <mergeCell ref="A2567:B2567"/>
    <mergeCell ref="C2567:C2568"/>
    <mergeCell ref="D2567:D2568"/>
    <mergeCell ref="E2567:E2568"/>
    <mergeCell ref="F2513:F2514"/>
    <mergeCell ref="G2513:G2514"/>
    <mergeCell ref="A2544:B2544"/>
    <mergeCell ref="C2544:C2545"/>
    <mergeCell ref="D2544:D2545"/>
    <mergeCell ref="E2544:E2545"/>
    <mergeCell ref="F2544:F2545"/>
    <mergeCell ref="G2544:G2545"/>
    <mergeCell ref="F2404:F2405"/>
    <mergeCell ref="G2404:G2405"/>
    <mergeCell ref="A2373:B2373"/>
    <mergeCell ref="C2373:C2374"/>
    <mergeCell ref="A1673:B1673"/>
    <mergeCell ref="G1657:G1658"/>
    <mergeCell ref="D1704:D1705"/>
    <mergeCell ref="E1704:E1705"/>
    <mergeCell ref="F1704:F1705"/>
    <mergeCell ref="G1704:G1705"/>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297:F1298"/>
    <mergeCell ref="G1297:G1298"/>
    <mergeCell ref="G1354:G1355"/>
    <mergeCell ref="A1323:B1323"/>
    <mergeCell ref="C1323:C1324"/>
    <mergeCell ref="D1323:D1324"/>
    <mergeCell ref="E1323:E1324"/>
    <mergeCell ref="F1323:F1324"/>
    <mergeCell ref="C1857:C1858"/>
    <mergeCell ref="D1857:D1858"/>
    <mergeCell ref="E1857:E1858"/>
    <mergeCell ref="F1844:F1845"/>
    <mergeCell ref="G1844:G1845"/>
    <mergeCell ref="G1634:G1635"/>
    <mergeCell ref="A1647:B1647"/>
    <mergeCell ref="C1647:C1648"/>
    <mergeCell ref="D1647:D1648"/>
    <mergeCell ref="E1647:E1648"/>
    <mergeCell ref="F1647:F1648"/>
    <mergeCell ref="G1647:G1648"/>
    <mergeCell ref="F1774:F1775"/>
    <mergeCell ref="G1774:G1775"/>
    <mergeCell ref="A1634:B1634"/>
    <mergeCell ref="C1634:C1635"/>
    <mergeCell ref="D1634:D1635"/>
    <mergeCell ref="E1634:E1635"/>
    <mergeCell ref="F1634:F1635"/>
    <mergeCell ref="A1657:B1657"/>
    <mergeCell ref="C1657:C1658"/>
    <mergeCell ref="D1657:D1658"/>
    <mergeCell ref="E1657:E1658"/>
    <mergeCell ref="F1657:F1658"/>
    <mergeCell ref="G1787:G1788"/>
    <mergeCell ref="A1797:B1797"/>
    <mergeCell ref="C1797:C1798"/>
    <mergeCell ref="D1797:D1798"/>
    <mergeCell ref="E1797:E1798"/>
    <mergeCell ref="A1774:B1774"/>
    <mergeCell ref="C1774:C1775"/>
    <mergeCell ref="A1883:B1883"/>
    <mergeCell ref="C1883:C1884"/>
    <mergeCell ref="D1883:D1884"/>
    <mergeCell ref="E1883:E1884"/>
    <mergeCell ref="F1883:F1884"/>
    <mergeCell ref="G1883:G1884"/>
    <mergeCell ref="F1797:F1798"/>
    <mergeCell ref="G1797:G1798"/>
    <mergeCell ref="A1813:B1813"/>
    <mergeCell ref="C1813:C1814"/>
    <mergeCell ref="D1813:D1814"/>
    <mergeCell ref="E1813:E1814"/>
    <mergeCell ref="F1813:F1814"/>
    <mergeCell ref="G1813:G1814"/>
    <mergeCell ref="A1844:B1844"/>
    <mergeCell ref="C1844:C1845"/>
    <mergeCell ref="D1844:D1845"/>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63"/>
  <sheetViews>
    <sheetView showZeros="0" view="pageBreakPreview" zoomScaleNormal="100" zoomScaleSheetLayoutView="100" workbookViewId="0">
      <selection activeCell="C52" sqref="C52"/>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68" customWidth="1"/>
    <col min="76" max="124" width="11.42578125" style="168"/>
    <col min="125" max="16384" width="11.42578125" style="9"/>
  </cols>
  <sheetData>
    <row r="1" spans="1:124" s="5" customFormat="1" ht="20.100000000000001" customHeight="1" x14ac:dyDescent="0.2">
      <c r="A1" s="3" t="s">
        <v>8</v>
      </c>
      <c r="B1" s="3"/>
      <c r="C1" s="3" t="str">
        <f>Comitente</f>
        <v>DIRECCIÓN PROVINCIAL DE VIALIDAD</v>
      </c>
      <c r="D1" s="4"/>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row>
    <row r="2" spans="1:124" s="6" customFormat="1" ht="20.100000000000001" customHeight="1" x14ac:dyDescent="0.2">
      <c r="A2" s="13" t="s">
        <v>9</v>
      </c>
      <c r="B2" s="13"/>
      <c r="C2" s="13" t="str">
        <f>Obra</f>
        <v>PAVIMENTACION Y ENSANCHE DE RUTA PROVINCIAL N°7 AV. JOAQUIN UÑAC</v>
      </c>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row>
    <row r="3" spans="1:124" s="6" customFormat="1" ht="20.100000000000001" customHeight="1" x14ac:dyDescent="0.2">
      <c r="A3" s="13" t="s">
        <v>15</v>
      </c>
      <c r="B3" s="13"/>
      <c r="C3" s="13" t="str">
        <f>Ubicación</f>
        <v>DEPARTAMENTO POCITO</v>
      </c>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row>
    <row r="4" spans="1:124" s="6" customFormat="1" ht="20.100000000000001" customHeight="1" x14ac:dyDescent="0.2">
      <c r="A4" s="13" t="s">
        <v>14</v>
      </c>
      <c r="B4" s="14"/>
      <c r="C4" s="120" t="str">
        <f>Licitación_N°</f>
        <v>30/18</v>
      </c>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row>
    <row r="5" spans="1:124" s="6" customFormat="1" ht="20.100000000000001" customHeight="1" x14ac:dyDescent="0.2">
      <c r="A5" s="13" t="s">
        <v>16</v>
      </c>
      <c r="B5" s="14"/>
      <c r="C5" s="121">
        <f>Plazo_Obra</f>
        <v>180</v>
      </c>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row>
    <row r="6" spans="1:124" s="6" customFormat="1" ht="20.100000000000001" customHeight="1" x14ac:dyDescent="0.2">
      <c r="A6" s="13" t="s">
        <v>10</v>
      </c>
      <c r="B6" s="13"/>
      <c r="C6" s="13">
        <f>Contratista</f>
        <v>0</v>
      </c>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6"/>
      <c r="CW6" s="166"/>
      <c r="CX6" s="166"/>
      <c r="CY6" s="166"/>
      <c r="CZ6" s="166"/>
      <c r="DA6" s="166"/>
      <c r="DB6" s="166"/>
      <c r="DC6" s="166"/>
      <c r="DD6" s="166"/>
      <c r="DE6" s="166"/>
      <c r="DF6" s="166"/>
      <c r="DG6" s="166"/>
      <c r="DH6" s="166"/>
      <c r="DI6" s="166"/>
      <c r="DJ6" s="166"/>
      <c r="DK6" s="166"/>
      <c r="DL6" s="166"/>
      <c r="DM6" s="166"/>
      <c r="DN6" s="166"/>
      <c r="DO6" s="166"/>
      <c r="DP6" s="166"/>
      <c r="DQ6" s="166"/>
      <c r="DR6" s="166"/>
      <c r="DS6" s="166"/>
      <c r="DT6" s="166"/>
    </row>
    <row r="7" spans="1:124" s="2" customFormat="1" ht="20.100000000000001" customHeight="1" x14ac:dyDescent="0.2">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row>
    <row r="8" spans="1:124" s="2" customFormat="1" ht="20.100000000000001" customHeight="1" x14ac:dyDescent="0.2">
      <c r="A8" s="746" t="s">
        <v>41</v>
      </c>
      <c r="B8" s="747"/>
      <c r="C8" s="747"/>
      <c r="D8" s="748"/>
      <c r="E8" s="8"/>
      <c r="F8" s="8"/>
      <c r="G8" s="8"/>
      <c r="H8" s="8"/>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row>
    <row r="10" spans="1:124" ht="20.100000000000001" customHeight="1" x14ac:dyDescent="0.2">
      <c r="A10" s="718" t="s">
        <v>906</v>
      </c>
      <c r="B10" s="749" t="s">
        <v>0</v>
      </c>
      <c r="C10" s="749"/>
      <c r="D10" s="751" t="s">
        <v>13</v>
      </c>
      <c r="E10" s="95"/>
      <c r="F10" s="749" t="s">
        <v>19</v>
      </c>
      <c r="G10" s="749"/>
      <c r="H10" s="749"/>
      <c r="I10" s="749"/>
      <c r="J10" s="749"/>
      <c r="K10" s="749"/>
      <c r="L10" s="749"/>
      <c r="M10" s="749"/>
      <c r="N10" s="749"/>
      <c r="O10" s="749"/>
      <c r="P10" s="749"/>
      <c r="Q10" s="749"/>
      <c r="R10" s="749"/>
      <c r="S10" s="749"/>
      <c r="T10" s="749"/>
      <c r="U10" s="749"/>
      <c r="V10" s="749"/>
      <c r="W10" s="749"/>
      <c r="X10" s="749"/>
      <c r="Y10" s="749"/>
      <c r="Z10" s="749"/>
      <c r="AA10" s="749"/>
      <c r="AB10" s="749"/>
      <c r="AC10" s="749"/>
      <c r="AD10" s="749"/>
      <c r="AE10" s="749"/>
      <c r="AF10" s="749"/>
      <c r="AG10" s="749"/>
      <c r="AH10" s="749"/>
      <c r="AI10" s="749"/>
      <c r="AJ10" s="749"/>
      <c r="AK10" s="749"/>
      <c r="AL10" s="749"/>
      <c r="AM10" s="749"/>
      <c r="AN10" s="749"/>
      <c r="AO10" s="749"/>
      <c r="AP10" s="749"/>
      <c r="AQ10" s="749"/>
      <c r="AR10" s="749"/>
      <c r="AS10" s="749"/>
      <c r="AT10" s="749"/>
      <c r="AU10" s="749"/>
      <c r="AV10" s="749"/>
      <c r="AW10" s="749"/>
      <c r="AX10" s="749"/>
      <c r="AY10" s="749"/>
      <c r="AZ10" s="749"/>
      <c r="BA10" s="749"/>
      <c r="BB10" s="69"/>
      <c r="BC10" s="750" t="s">
        <v>18</v>
      </c>
    </row>
    <row r="11" spans="1:124" ht="20.100000000000001" customHeight="1" x14ac:dyDescent="0.2">
      <c r="A11" s="718"/>
      <c r="B11" s="749"/>
      <c r="C11" s="749"/>
      <c r="D11" s="751"/>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0"/>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44" si="16">IFERROR(VLOOKUP(A13,Tabla_CyP,2,FALSE),"")</f>
        <v>FRESADO DE PAVIMENTO EXISTENTE</v>
      </c>
      <c r="C13" s="82"/>
      <c r="D13" s="15">
        <f t="shared" ref="D13:D44" ca="1"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f>CyP!A19</f>
        <v>2</v>
      </c>
      <c r="B14" s="81" t="str">
        <f t="shared" si="16"/>
        <v xml:space="preserve">EXCAVACIÓN NO CLASIFICADA
</v>
      </c>
      <c r="C14" s="82"/>
      <c r="D14" s="15">
        <f t="shared" ca="1"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f>CyP!A20</f>
        <v>3</v>
      </c>
      <c r="B15" s="81" t="str">
        <f t="shared" si="16"/>
        <v>CONSTRUCCIÓN DE TERRAPLENES RIPIOSOS CON COMPACTACIÓN ESPECIAL</v>
      </c>
      <c r="C15" s="82"/>
      <c r="D15" s="15">
        <f t="shared" ca="1"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f>CyP!A21</f>
        <v>4</v>
      </c>
      <c r="B16" s="81" t="str">
        <f t="shared" si="16"/>
        <v>CONSTRUCCIÓN DE TERRAPLENES RIPIOSOS SIN COMPACTACIÓN ESPECIAL</v>
      </c>
      <c r="C16" s="82"/>
      <c r="D16" s="15">
        <f t="shared" ca="1"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f>CyP!A22</f>
        <v>5</v>
      </c>
      <c r="B17" s="81" t="str">
        <f t="shared" si="16"/>
        <v>CONSTRUCCIÓN DE SUB-BASE ESTABILIZADA GRANULAR</v>
      </c>
      <c r="C17" s="82"/>
      <c r="D17" s="15">
        <f t="shared" ca="1"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f>CyP!A23</f>
        <v>6</v>
      </c>
      <c r="B18" s="81" t="str">
        <f t="shared" si="16"/>
        <v>CONSTRUCCIÓN DE BASE ESTABILIZADA GRANULAR</v>
      </c>
      <c r="C18" s="82"/>
      <c r="D18" s="15">
        <f t="shared" ca="1"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f>CyP!A24</f>
        <v>7</v>
      </c>
      <c r="B19" s="81" t="str">
        <f t="shared" si="16"/>
        <v>RIEGO DE IMPRIMACÓN CON EMULSIÓN
CATIÓNICA CI</v>
      </c>
      <c r="C19" s="82"/>
      <c r="D19" s="15">
        <f t="shared" ca="1"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f>CyP!A25</f>
        <v>8</v>
      </c>
      <c r="B20" s="81" t="str">
        <f t="shared" si="16"/>
        <v>RIEGO DE LIGA CON EMULSIÓN
CATIÓNICA E.R.1</v>
      </c>
      <c r="C20" s="82"/>
      <c r="D20" s="15">
        <f t="shared" ca="1"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f>CyP!A26</f>
        <v>9</v>
      </c>
      <c r="B21" s="81" t="str">
        <f t="shared" si="16"/>
        <v>CARPETA CON MEZCLA BITUMINOSA TIPO CONCRETO ASFÁLTICO
Incluído materiales, colocación y transporte. En 0,05m de espesor</v>
      </c>
      <c r="C21" s="82"/>
      <c r="D21" s="15">
        <f t="shared" ca="1"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f>CyP!A27</f>
        <v>10</v>
      </c>
      <c r="B22" s="81" t="str">
        <f t="shared" si="16"/>
        <v>EXCAVACIÓN PARA FUNDACIONES</v>
      </c>
      <c r="C22" s="82"/>
      <c r="D22" s="15">
        <f t="shared" ca="1"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f>CyP!A28</f>
        <v>11</v>
      </c>
      <c r="B23" s="81" t="str">
        <f t="shared" si="16"/>
        <v>HORMIGÓN DE CEMENTO PORTLAND TIPO H-21, EXCLUIDO ARMADURA</v>
      </c>
      <c r="C23" s="82"/>
      <c r="D23" s="15">
        <f t="shared" ca="1"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f>CyP!A29</f>
        <v>12</v>
      </c>
      <c r="B24" s="81" t="str">
        <f t="shared" si="16"/>
        <v>HORMIGÓN DE CEMENTO PORTLAND TIPO H-17, EXCLUIDO ARMADURA</v>
      </c>
      <c r="C24" s="82"/>
      <c r="D24" s="15">
        <f t="shared" ca="1"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13</v>
      </c>
      <c r="B25" s="81" t="str">
        <f t="shared" si="16"/>
        <v>HORMIGÓN DE CEMENTO PORTLAND TIPO H-13</v>
      </c>
      <c r="C25" s="82"/>
      <c r="D25" s="15">
        <f t="shared" ca="1"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14</v>
      </c>
      <c r="B26" s="81" t="str">
        <f t="shared" si="16"/>
        <v>HORMIGÓN DE CEMENTO PORTLAND TIPO H-8</v>
      </c>
      <c r="C26" s="82"/>
      <c r="D26" s="15">
        <f t="shared" ca="1"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f>CyP!A32</f>
        <v>15</v>
      </c>
      <c r="B27" s="81" t="str">
        <f t="shared" si="16"/>
        <v>CONSTRUCCIÓN DE SIFÓN</v>
      </c>
      <c r="C27" s="82"/>
      <c r="D27" s="15">
        <f t="shared" ca="1"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f>CyP!A33</f>
        <v>16</v>
      </c>
      <c r="B28" s="81" t="str">
        <f t="shared" si="16"/>
        <v>CONSTRUCCIÓN DE CORDÓN CUNETA</v>
      </c>
      <c r="C28" s="82"/>
      <c r="D28" s="15">
        <f t="shared" ca="1"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17</v>
      </c>
      <c r="B29" s="81" t="str">
        <f t="shared" si="16"/>
        <v>ACERO ESPECIAL EN BARRA COLOCADO</v>
      </c>
      <c r="C29" s="82"/>
      <c r="D29" s="15">
        <f t="shared" ca="1"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18</v>
      </c>
      <c r="B30" s="81" t="str">
        <f t="shared" si="16"/>
        <v>CONSTRUCCIÓN DE CANAL IMPERMEABILIZADO DE HORMIGÓN</v>
      </c>
      <c r="C30" s="82"/>
      <c r="D30" s="15">
        <f t="shared" ca="1"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19</v>
      </c>
      <c r="B31" s="81" t="str">
        <f t="shared" si="16"/>
        <v>CONSTRUCCIÓN DE CUNETA IMPERMEABILIZADA DE HORMIGÓN</v>
      </c>
      <c r="C31" s="82"/>
      <c r="D31" s="15">
        <f t="shared" ca="1"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20</v>
      </c>
      <c r="B32" s="81" t="str">
        <f t="shared" si="16"/>
        <v>CONSTRUCCIÓN DE COMPARTO</v>
      </c>
      <c r="C32" s="82"/>
      <c r="D32" s="15">
        <f t="shared" ca="1"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21</v>
      </c>
      <c r="B33" s="81" t="str">
        <f t="shared" si="16"/>
        <v>CONSTRUCCIÓN DE ALAMABRADO SEGÚN PLANO TIPO H-2840-I, TIPO "C"</v>
      </c>
      <c r="C33" s="82"/>
      <c r="D33" s="15">
        <f t="shared" ca="1"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22</v>
      </c>
      <c r="B34" s="81" t="str">
        <f t="shared" si="16"/>
        <v>COLOCACIÓN DE TRANQUERA s/PLANO TIPO J-5084 TIPO "A"</v>
      </c>
      <c r="C34" s="82"/>
      <c r="D34" s="15">
        <f t="shared" ca="1"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23</v>
      </c>
      <c r="B35" s="81" t="str">
        <f t="shared" si="16"/>
        <v>SEÑALAMIENTO VERTICAL REFLECTIVO</v>
      </c>
      <c r="C35" s="82"/>
      <c r="D35" s="15">
        <f t="shared" ca="1"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24</v>
      </c>
      <c r="B36" s="81" t="str">
        <f t="shared" si="16"/>
        <v>SEÑALAMIENTO HORIZONTAL
Con material termoplástico reflectante</v>
      </c>
      <c r="C36" s="82"/>
      <c r="D36" s="15">
        <f t="shared" ca="1"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t="str">
        <f>CyP!A42</f>
        <v>24.a</v>
      </c>
      <c r="B37" s="81" t="str">
        <f t="shared" si="16"/>
        <v xml:space="preserve">   Por Pulverización</v>
      </c>
      <c r="C37" s="82"/>
      <c r="D37" s="15">
        <f t="shared" ca="1"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customHeight="1" x14ac:dyDescent="0.2">
      <c r="A38" s="98" t="str">
        <f>CyP!A43</f>
        <v>24.b</v>
      </c>
      <c r="B38" s="81" t="str">
        <f t="shared" si="16"/>
        <v xml:space="preserve">   Por Extrusión</v>
      </c>
      <c r="C38" s="82"/>
      <c r="D38" s="15">
        <f t="shared" ca="1"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customHeight="1" x14ac:dyDescent="0.2">
      <c r="A39" s="98">
        <f>CyP!A44</f>
        <v>25</v>
      </c>
      <c r="B39" s="81" t="str">
        <f t="shared" si="16"/>
        <v>DEMOLICIÓN DE CANAL DE HORMIGÓN Y OBRAS COMPLEMENTARIAS</v>
      </c>
      <c r="C39" s="82"/>
      <c r="D39" s="15">
        <f t="shared" ca="1"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customHeight="1" x14ac:dyDescent="0.2">
      <c r="A40" s="98">
        <f>CyP!A45</f>
        <v>26</v>
      </c>
      <c r="B40" s="81" t="str">
        <f t="shared" si="16"/>
        <v>RETIRO DE ALAMBRADO EXISTENTE</v>
      </c>
      <c r="C40" s="82"/>
      <c r="D40" s="15">
        <f t="shared" ca="1"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customHeight="1" x14ac:dyDescent="0.2">
      <c r="A41" s="98">
        <f>CyP!A46</f>
        <v>27</v>
      </c>
      <c r="B41" s="81" t="str">
        <f t="shared" si="16"/>
        <v>LIMPIEZA DE CANAL EXISTENTE</v>
      </c>
      <c r="C41" s="82"/>
      <c r="D41" s="15">
        <f t="shared" ca="1"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customHeight="1" x14ac:dyDescent="0.2">
      <c r="A42" s="98">
        <f>CyP!A47</f>
        <v>28</v>
      </c>
      <c r="B42" s="81" t="str">
        <f t="shared" si="16"/>
        <v>DEMOLICIÓN DE OBRAS VARIAS</v>
      </c>
      <c r="C42" s="82"/>
      <c r="D42" s="15">
        <f t="shared" ca="1"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customHeight="1" x14ac:dyDescent="0.2">
      <c r="A43" s="98">
        <f>CyP!A48</f>
        <v>29</v>
      </c>
      <c r="B43" s="81" t="str">
        <f t="shared" si="16"/>
        <v>RETIRO Y REUBICACIÓN DE INSTALACIONES DE SEMÁFOROS</v>
      </c>
      <c r="C43" s="82"/>
      <c r="D43" s="15">
        <f t="shared" ca="1"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customHeight="1" x14ac:dyDescent="0.2">
      <c r="A44" s="98">
        <f>CyP!A49</f>
        <v>30</v>
      </c>
      <c r="B44" s="81" t="str">
        <f t="shared" si="16"/>
        <v>RETIRO DE LÍNEA ELÉCTRICA Y POSTES DE ALUMBRADO PÚBLICO EXISTENTES</v>
      </c>
      <c r="C44" s="82"/>
      <c r="D44" s="15">
        <f t="shared" ca="1"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customHeight="1" x14ac:dyDescent="0.2">
      <c r="A45" s="98">
        <f>CyP!A50</f>
        <v>31</v>
      </c>
      <c r="B45" s="81" t="str">
        <f t="shared" ref="B45:B53" si="19">IFERROR(VLOOKUP(A45,Tabla_CyP,2,FALSE),"")</f>
        <v>TRASLADO Y/O REUBICACIÓN  DE LÍNEAS ELÉCTRICAS</v>
      </c>
      <c r="C45" s="82"/>
      <c r="D45" s="15">
        <f t="shared" ref="D45:D53" ca="1"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customHeight="1" x14ac:dyDescent="0.2">
      <c r="A46" s="98">
        <f>CyP!A51</f>
        <v>32</v>
      </c>
      <c r="B46" s="81" t="str">
        <f t="shared" si="19"/>
        <v>PROYECTO Y CONSTRUCCIÓN DE CANAL IMPERMEABILIZADO DE HORMIGÓN</v>
      </c>
      <c r="C46" s="82"/>
      <c r="D46" s="15">
        <f t="shared" ca="1"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53" si="21">SUM(F46:BA46)</f>
        <v>0</v>
      </c>
    </row>
    <row r="47" spans="1:55" ht="20.100000000000001" customHeight="1" x14ac:dyDescent="0.2">
      <c r="A47" s="98">
        <f>CyP!A52</f>
        <v>33</v>
      </c>
      <c r="B47" s="81" t="str">
        <f t="shared" si="19"/>
        <v>AMPLIACIÓN Y MEJORAMIENTO DE RED DE AGUA POTABLE</v>
      </c>
      <c r="C47" s="82"/>
      <c r="D47" s="15">
        <f t="shared" ca="1"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customHeight="1" x14ac:dyDescent="0.2">
      <c r="A48" s="98">
        <f>CyP!A53</f>
        <v>34</v>
      </c>
      <c r="B48" s="81" t="str">
        <f t="shared" si="19"/>
        <v>PROYECYO Y CONSTRUCCIÓN DE OBRAS DE ILUMINACIÓN</v>
      </c>
      <c r="C48" s="82"/>
      <c r="D48" s="15">
        <f t="shared" ca="1"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124" ht="20.100000000000001" customHeight="1" x14ac:dyDescent="0.2">
      <c r="A49" s="98">
        <f>CyP!A54</f>
        <v>35</v>
      </c>
      <c r="B49" s="81" t="str">
        <f t="shared" si="19"/>
        <v>CUMPLIMIENTO MANEJO AMBIENTAL</v>
      </c>
      <c r="C49" s="82"/>
      <c r="D49" s="15">
        <f t="shared" ca="1"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124" ht="20.100000000000001" customHeight="1" x14ac:dyDescent="0.2">
      <c r="A50" s="98">
        <f>CyP!A55</f>
        <v>36</v>
      </c>
      <c r="B50" s="81" t="str">
        <f t="shared" si="19"/>
        <v>PROVISIÓN DE MOVILIDAD PARA EL PERSONAL DE LA INSPECCIÓN</v>
      </c>
      <c r="C50" s="82"/>
      <c r="D50" s="15">
        <f t="shared" ca="1"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124" ht="20.100000000000001" customHeight="1" x14ac:dyDescent="0.2">
      <c r="A51" s="98" t="str">
        <f>CyP!A56</f>
        <v>36.a</v>
      </c>
      <c r="B51" s="81" t="str">
        <f t="shared" si="19"/>
        <v>Cuota Mensual</v>
      </c>
      <c r="C51" s="82"/>
      <c r="D51" s="15">
        <f t="shared" ca="1"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124" ht="20.100000000000001" customHeight="1" x14ac:dyDescent="0.2">
      <c r="A52" s="98" t="str">
        <f>CyP!A57</f>
        <v>36.b</v>
      </c>
      <c r="B52" s="81" t="str">
        <f t="shared" si="19"/>
        <v>Adicional por Kilómetro</v>
      </c>
      <c r="C52" s="82"/>
      <c r="D52" s="15">
        <f t="shared" ca="1"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124" ht="20.100000000000001" customHeight="1" x14ac:dyDescent="0.2">
      <c r="A53" s="98">
        <f>CyP!A58</f>
        <v>37</v>
      </c>
      <c r="B53" s="81" t="str">
        <f t="shared" si="19"/>
        <v>MOVILIZACIÓN DE OBRA</v>
      </c>
      <c r="C53" s="82"/>
      <c r="D53" s="15">
        <f t="shared" ca="1"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124" s="10" customFormat="1" ht="20.100000000000001" customHeight="1" x14ac:dyDescent="0.2">
      <c r="A54" s="102" t="s">
        <v>3</v>
      </c>
      <c r="B54" s="83" t="s">
        <v>3</v>
      </c>
      <c r="C54" s="83"/>
      <c r="D54" s="103" t="s">
        <v>4</v>
      </c>
      <c r="E54" s="84"/>
      <c r="F54" s="105"/>
      <c r="G54" s="106"/>
      <c r="H54" s="106"/>
      <c r="I54" s="106"/>
      <c r="J54" s="106"/>
      <c r="K54" s="106"/>
      <c r="L54" s="106"/>
      <c r="M54" s="106"/>
      <c r="N54" s="106"/>
      <c r="O54" s="106"/>
      <c r="P54" s="106"/>
      <c r="Q54" s="106"/>
      <c r="R54" s="106"/>
      <c r="S54" s="106"/>
      <c r="T54" s="106"/>
      <c r="U54" s="106"/>
      <c r="V54" s="106"/>
      <c r="W54" s="106"/>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8"/>
      <c r="BC54" s="74">
        <f t="shared" ref="BC54" si="22">SUM(F54:BA54)</f>
        <v>0</v>
      </c>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69"/>
      <c r="DN54" s="169"/>
      <c r="DO54" s="169"/>
      <c r="DP54" s="169"/>
      <c r="DQ54" s="169"/>
      <c r="DR54" s="169"/>
      <c r="DS54" s="169"/>
      <c r="DT54" s="169"/>
    </row>
    <row r="55" spans="1:124" ht="20.100000000000001" customHeight="1" x14ac:dyDescent="0.2">
      <c r="A55" s="102" t="s">
        <v>3</v>
      </c>
      <c r="B55" s="100" t="s">
        <v>7</v>
      </c>
      <c r="C55" s="104"/>
      <c r="D55" s="99">
        <f ca="1">SUM(D13:D54)</f>
        <v>0</v>
      </c>
      <c r="E55" s="97"/>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row>
    <row r="56" spans="1:124" ht="20.100000000000001" customHeight="1" x14ac:dyDescent="0.2">
      <c r="A56" s="86"/>
      <c r="B56" s="86"/>
      <c r="C56" s="86"/>
      <c r="D56" s="86"/>
      <c r="E56" s="87"/>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row>
    <row r="57" spans="1:124" ht="20.100000000000001" customHeight="1" x14ac:dyDescent="0.2">
      <c r="A57" s="86"/>
      <c r="B57" s="86"/>
      <c r="C57" s="86"/>
      <c r="D57" s="88" t="s">
        <v>20</v>
      </c>
      <c r="E57" s="87">
        <v>0</v>
      </c>
      <c r="F57" s="89">
        <f t="shared" ref="F57:BA57" ca="1" si="23">SUMPRODUCT($D$13:$D$53,F13:F53)</f>
        <v>0</v>
      </c>
      <c r="G57" s="89">
        <f t="shared" ca="1" si="23"/>
        <v>0</v>
      </c>
      <c r="H57" s="89">
        <f t="shared" ca="1" si="23"/>
        <v>0</v>
      </c>
      <c r="I57" s="89">
        <f t="shared" ca="1" si="23"/>
        <v>0</v>
      </c>
      <c r="J57" s="89">
        <f t="shared" ca="1" si="23"/>
        <v>0</v>
      </c>
      <c r="K57" s="89">
        <f t="shared" ca="1" si="23"/>
        <v>0</v>
      </c>
      <c r="L57" s="89">
        <f t="shared" ca="1" si="23"/>
        <v>0</v>
      </c>
      <c r="M57" s="89">
        <f t="shared" ca="1" si="23"/>
        <v>0</v>
      </c>
      <c r="N57" s="89">
        <f t="shared" ca="1" si="23"/>
        <v>0</v>
      </c>
      <c r="O57" s="89">
        <f t="shared" ca="1" si="23"/>
        <v>0</v>
      </c>
      <c r="P57" s="89">
        <f t="shared" ca="1" si="23"/>
        <v>0</v>
      </c>
      <c r="Q57" s="89">
        <f t="shared" ca="1" si="23"/>
        <v>0</v>
      </c>
      <c r="R57" s="89">
        <f t="shared" ca="1" si="23"/>
        <v>0</v>
      </c>
      <c r="S57" s="89">
        <f t="shared" ca="1" si="23"/>
        <v>0</v>
      </c>
      <c r="T57" s="89">
        <f t="shared" ca="1" si="23"/>
        <v>0</v>
      </c>
      <c r="U57" s="89">
        <f t="shared" ca="1" si="23"/>
        <v>0</v>
      </c>
      <c r="V57" s="89">
        <f t="shared" ca="1" si="23"/>
        <v>0</v>
      </c>
      <c r="W57" s="89">
        <f t="shared" ca="1" si="23"/>
        <v>0</v>
      </c>
      <c r="X57" s="89">
        <f t="shared" ca="1" si="23"/>
        <v>0</v>
      </c>
      <c r="Y57" s="89">
        <f t="shared" ca="1" si="23"/>
        <v>0</v>
      </c>
      <c r="Z57" s="89">
        <f t="shared" ca="1" si="23"/>
        <v>0</v>
      </c>
      <c r="AA57" s="89">
        <f t="shared" ca="1" si="23"/>
        <v>0</v>
      </c>
      <c r="AB57" s="89">
        <f t="shared" ca="1" si="23"/>
        <v>0</v>
      </c>
      <c r="AC57" s="89">
        <f t="shared" ca="1" si="23"/>
        <v>0</v>
      </c>
      <c r="AD57" s="89">
        <f t="shared" ca="1" si="23"/>
        <v>0</v>
      </c>
      <c r="AE57" s="89">
        <f t="shared" ca="1" si="23"/>
        <v>0</v>
      </c>
      <c r="AF57" s="89">
        <f t="shared" ca="1" si="23"/>
        <v>0</v>
      </c>
      <c r="AG57" s="89">
        <f t="shared" ca="1" si="23"/>
        <v>0</v>
      </c>
      <c r="AH57" s="89">
        <f t="shared" ca="1" si="23"/>
        <v>0</v>
      </c>
      <c r="AI57" s="89">
        <f t="shared" ca="1" si="23"/>
        <v>0</v>
      </c>
      <c r="AJ57" s="89">
        <f t="shared" ca="1" si="23"/>
        <v>0</v>
      </c>
      <c r="AK57" s="89">
        <f t="shared" ca="1" si="23"/>
        <v>0</v>
      </c>
      <c r="AL57" s="89">
        <f t="shared" ca="1" si="23"/>
        <v>0</v>
      </c>
      <c r="AM57" s="89">
        <f t="shared" ca="1" si="23"/>
        <v>0</v>
      </c>
      <c r="AN57" s="89">
        <f t="shared" ca="1" si="23"/>
        <v>0</v>
      </c>
      <c r="AO57" s="89">
        <f t="shared" ca="1" si="23"/>
        <v>0</v>
      </c>
      <c r="AP57" s="89">
        <f t="shared" ca="1" si="23"/>
        <v>0</v>
      </c>
      <c r="AQ57" s="89">
        <f t="shared" ca="1" si="23"/>
        <v>0</v>
      </c>
      <c r="AR57" s="89">
        <f t="shared" ca="1" si="23"/>
        <v>0</v>
      </c>
      <c r="AS57" s="89">
        <f t="shared" ca="1" si="23"/>
        <v>0</v>
      </c>
      <c r="AT57" s="89">
        <f t="shared" ca="1" si="23"/>
        <v>0</v>
      </c>
      <c r="AU57" s="89">
        <f t="shared" ca="1" si="23"/>
        <v>0</v>
      </c>
      <c r="AV57" s="89">
        <f t="shared" ca="1" si="23"/>
        <v>0</v>
      </c>
      <c r="AW57" s="89">
        <f t="shared" ca="1" si="23"/>
        <v>0</v>
      </c>
      <c r="AX57" s="89">
        <f t="shared" ca="1" si="23"/>
        <v>0</v>
      </c>
      <c r="AY57" s="89">
        <f t="shared" ca="1" si="23"/>
        <v>0</v>
      </c>
      <c r="AZ57" s="89">
        <f t="shared" ca="1" si="23"/>
        <v>0</v>
      </c>
      <c r="BA57" s="89">
        <f t="shared" ca="1" si="23"/>
        <v>0</v>
      </c>
      <c r="BB57" s="75"/>
    </row>
    <row r="58" spans="1:124" ht="20.100000000000001" customHeight="1" x14ac:dyDescent="0.2">
      <c r="A58" s="86"/>
      <c r="B58" s="86"/>
      <c r="C58" s="86"/>
      <c r="D58" s="88" t="s">
        <v>21</v>
      </c>
      <c r="E58" s="87">
        <v>0</v>
      </c>
      <c r="F58" s="89">
        <f ca="1">E58+F57</f>
        <v>0</v>
      </c>
      <c r="G58" s="89">
        <f t="shared" ref="G58:BA58" ca="1" si="24">F58+G57</f>
        <v>0</v>
      </c>
      <c r="H58" s="89">
        <f t="shared" ca="1" si="24"/>
        <v>0</v>
      </c>
      <c r="I58" s="89">
        <f t="shared" ca="1" si="24"/>
        <v>0</v>
      </c>
      <c r="J58" s="89">
        <f t="shared" ca="1" si="24"/>
        <v>0</v>
      </c>
      <c r="K58" s="89">
        <f t="shared" ca="1" si="24"/>
        <v>0</v>
      </c>
      <c r="L58" s="89">
        <f t="shared" ca="1" si="24"/>
        <v>0</v>
      </c>
      <c r="M58" s="89">
        <f t="shared" ca="1" si="24"/>
        <v>0</v>
      </c>
      <c r="N58" s="89">
        <f t="shared" ca="1" si="24"/>
        <v>0</v>
      </c>
      <c r="O58" s="89">
        <f t="shared" ca="1" si="24"/>
        <v>0</v>
      </c>
      <c r="P58" s="89">
        <f t="shared" ca="1" si="24"/>
        <v>0</v>
      </c>
      <c r="Q58" s="89">
        <f t="shared" ca="1" si="24"/>
        <v>0</v>
      </c>
      <c r="R58" s="89">
        <f t="shared" ca="1" si="24"/>
        <v>0</v>
      </c>
      <c r="S58" s="89">
        <f t="shared" ca="1" si="24"/>
        <v>0</v>
      </c>
      <c r="T58" s="89">
        <f t="shared" ca="1" si="24"/>
        <v>0</v>
      </c>
      <c r="U58" s="89">
        <f t="shared" ca="1" si="24"/>
        <v>0</v>
      </c>
      <c r="V58" s="89">
        <f t="shared" ca="1" si="24"/>
        <v>0</v>
      </c>
      <c r="W58" s="89">
        <f t="shared" ca="1" si="24"/>
        <v>0</v>
      </c>
      <c r="X58" s="89">
        <f t="shared" ca="1" si="24"/>
        <v>0</v>
      </c>
      <c r="Y58" s="89">
        <f t="shared" ca="1" si="24"/>
        <v>0</v>
      </c>
      <c r="Z58" s="89">
        <f t="shared" ca="1" si="24"/>
        <v>0</v>
      </c>
      <c r="AA58" s="89">
        <f t="shared" ca="1" si="24"/>
        <v>0</v>
      </c>
      <c r="AB58" s="89">
        <f t="shared" ca="1" si="24"/>
        <v>0</v>
      </c>
      <c r="AC58" s="89">
        <f t="shared" ca="1" si="24"/>
        <v>0</v>
      </c>
      <c r="AD58" s="89">
        <f t="shared" ca="1" si="24"/>
        <v>0</v>
      </c>
      <c r="AE58" s="89">
        <f t="shared" ca="1" si="24"/>
        <v>0</v>
      </c>
      <c r="AF58" s="89">
        <f t="shared" ca="1" si="24"/>
        <v>0</v>
      </c>
      <c r="AG58" s="89">
        <f t="shared" ca="1" si="24"/>
        <v>0</v>
      </c>
      <c r="AH58" s="89">
        <f t="shared" ca="1" si="24"/>
        <v>0</v>
      </c>
      <c r="AI58" s="89">
        <f t="shared" ca="1" si="24"/>
        <v>0</v>
      </c>
      <c r="AJ58" s="89">
        <f t="shared" ca="1" si="24"/>
        <v>0</v>
      </c>
      <c r="AK58" s="89">
        <f t="shared" ca="1" si="24"/>
        <v>0</v>
      </c>
      <c r="AL58" s="89">
        <f t="shared" ca="1" si="24"/>
        <v>0</v>
      </c>
      <c r="AM58" s="89">
        <f t="shared" ca="1" si="24"/>
        <v>0</v>
      </c>
      <c r="AN58" s="89">
        <f t="shared" ref="AN58:AU58" ca="1" si="25">AE58+AN57</f>
        <v>0</v>
      </c>
      <c r="AO58" s="89">
        <f t="shared" ca="1" si="25"/>
        <v>0</v>
      </c>
      <c r="AP58" s="89">
        <f t="shared" ca="1" si="25"/>
        <v>0</v>
      </c>
      <c r="AQ58" s="89">
        <f t="shared" ca="1" si="25"/>
        <v>0</v>
      </c>
      <c r="AR58" s="89">
        <f t="shared" ca="1" si="25"/>
        <v>0</v>
      </c>
      <c r="AS58" s="89">
        <f t="shared" ca="1" si="25"/>
        <v>0</v>
      </c>
      <c r="AT58" s="89">
        <f t="shared" ca="1" si="25"/>
        <v>0</v>
      </c>
      <c r="AU58" s="89">
        <f t="shared" ca="1" si="25"/>
        <v>0</v>
      </c>
      <c r="AV58" s="89">
        <f ca="1">AM58+AV57</f>
        <v>0</v>
      </c>
      <c r="AW58" s="89">
        <f t="shared" ca="1" si="24"/>
        <v>0</v>
      </c>
      <c r="AX58" s="89">
        <f t="shared" ca="1" si="24"/>
        <v>0</v>
      </c>
      <c r="AY58" s="89">
        <f t="shared" ca="1" si="24"/>
        <v>0</v>
      </c>
      <c r="AZ58" s="89">
        <f t="shared" ca="1" si="24"/>
        <v>0</v>
      </c>
      <c r="BA58" s="89">
        <f t="shared" ca="1" si="24"/>
        <v>0</v>
      </c>
      <c r="BB58" s="75"/>
    </row>
    <row r="59" spans="1:124" ht="20.100000000000001" customHeight="1" x14ac:dyDescent="0.2">
      <c r="A59" s="86"/>
      <c r="B59" s="86"/>
      <c r="C59" s="86"/>
      <c r="D59" s="90"/>
      <c r="E59" s="91" t="s">
        <v>954</v>
      </c>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row>
    <row r="60" spans="1:124" ht="20.100000000000001" customHeight="1" x14ac:dyDescent="0.2">
      <c r="A60" s="86"/>
      <c r="B60" s="86"/>
      <c r="C60" s="86"/>
      <c r="D60" s="88" t="s">
        <v>22</v>
      </c>
      <c r="E60" s="92" t="e">
        <f ca="1">Anticipo_Financiero*Monto_Oferta</f>
        <v>#NAME?</v>
      </c>
      <c r="F60" s="92" t="e">
        <f t="shared" ref="F60:BA60" ca="1" si="26">Monto_Oferta*F57</f>
        <v>#NAME?</v>
      </c>
      <c r="G60" s="92" t="e">
        <f t="shared" ca="1" si="26"/>
        <v>#NAME?</v>
      </c>
      <c r="H60" s="92" t="e">
        <f t="shared" ca="1" si="26"/>
        <v>#NAME?</v>
      </c>
      <c r="I60" s="92" t="e">
        <f t="shared" ca="1" si="26"/>
        <v>#NAME?</v>
      </c>
      <c r="J60" s="92" t="e">
        <f t="shared" ca="1" si="26"/>
        <v>#NAME?</v>
      </c>
      <c r="K60" s="92" t="e">
        <f t="shared" ca="1" si="26"/>
        <v>#NAME?</v>
      </c>
      <c r="L60" s="92" t="e">
        <f t="shared" ca="1" si="26"/>
        <v>#NAME?</v>
      </c>
      <c r="M60" s="92" t="e">
        <f t="shared" ca="1" si="26"/>
        <v>#NAME?</v>
      </c>
      <c r="N60" s="92" t="e">
        <f t="shared" ca="1" si="26"/>
        <v>#NAME?</v>
      </c>
      <c r="O60" s="92" t="e">
        <f t="shared" ca="1" si="26"/>
        <v>#NAME?</v>
      </c>
      <c r="P60" s="92" t="e">
        <f t="shared" ca="1" si="26"/>
        <v>#NAME?</v>
      </c>
      <c r="Q60" s="92" t="e">
        <f t="shared" ca="1" si="26"/>
        <v>#NAME?</v>
      </c>
      <c r="R60" s="92" t="e">
        <f t="shared" ca="1" si="26"/>
        <v>#NAME?</v>
      </c>
      <c r="S60" s="92" t="e">
        <f t="shared" ca="1" si="26"/>
        <v>#NAME?</v>
      </c>
      <c r="T60" s="92" t="e">
        <f t="shared" ca="1" si="26"/>
        <v>#NAME?</v>
      </c>
      <c r="U60" s="92" t="e">
        <f t="shared" ca="1" si="26"/>
        <v>#NAME?</v>
      </c>
      <c r="V60" s="92" t="e">
        <f t="shared" ca="1" si="26"/>
        <v>#NAME?</v>
      </c>
      <c r="W60" s="92" t="e">
        <f t="shared" ca="1" si="26"/>
        <v>#NAME?</v>
      </c>
      <c r="X60" s="92" t="e">
        <f t="shared" ca="1" si="26"/>
        <v>#NAME?</v>
      </c>
      <c r="Y60" s="92" t="e">
        <f t="shared" ca="1" si="26"/>
        <v>#NAME?</v>
      </c>
      <c r="Z60" s="92" t="e">
        <f t="shared" ca="1" si="26"/>
        <v>#NAME?</v>
      </c>
      <c r="AA60" s="92" t="e">
        <f t="shared" ca="1" si="26"/>
        <v>#NAME?</v>
      </c>
      <c r="AB60" s="92" t="e">
        <f t="shared" ca="1" si="26"/>
        <v>#NAME?</v>
      </c>
      <c r="AC60" s="92" t="e">
        <f t="shared" ca="1" si="26"/>
        <v>#NAME?</v>
      </c>
      <c r="AD60" s="92" t="e">
        <f t="shared" ca="1" si="26"/>
        <v>#NAME?</v>
      </c>
      <c r="AE60" s="92" t="e">
        <f t="shared" ca="1" si="26"/>
        <v>#NAME?</v>
      </c>
      <c r="AF60" s="92" t="e">
        <f t="shared" ca="1" si="26"/>
        <v>#NAME?</v>
      </c>
      <c r="AG60" s="92" t="e">
        <f t="shared" ca="1" si="26"/>
        <v>#NAME?</v>
      </c>
      <c r="AH60" s="92" t="e">
        <f t="shared" ca="1" si="26"/>
        <v>#NAME?</v>
      </c>
      <c r="AI60" s="92" t="e">
        <f t="shared" ca="1" si="26"/>
        <v>#NAME?</v>
      </c>
      <c r="AJ60" s="92" t="e">
        <f t="shared" ca="1" si="26"/>
        <v>#NAME?</v>
      </c>
      <c r="AK60" s="92" t="e">
        <f t="shared" ca="1" si="26"/>
        <v>#NAME?</v>
      </c>
      <c r="AL60" s="92" t="e">
        <f t="shared" ca="1" si="26"/>
        <v>#NAME?</v>
      </c>
      <c r="AM60" s="92" t="e">
        <f t="shared" ca="1" si="26"/>
        <v>#NAME?</v>
      </c>
      <c r="AN60" s="92" t="e">
        <f t="shared" ca="1" si="26"/>
        <v>#NAME?</v>
      </c>
      <c r="AO60" s="92" t="e">
        <f t="shared" ca="1" si="26"/>
        <v>#NAME?</v>
      </c>
      <c r="AP60" s="92" t="e">
        <f t="shared" ca="1" si="26"/>
        <v>#NAME?</v>
      </c>
      <c r="AQ60" s="92" t="e">
        <f t="shared" ca="1" si="26"/>
        <v>#NAME?</v>
      </c>
      <c r="AR60" s="92" t="e">
        <f t="shared" ca="1" si="26"/>
        <v>#NAME?</v>
      </c>
      <c r="AS60" s="92" t="e">
        <f t="shared" ca="1" si="26"/>
        <v>#NAME?</v>
      </c>
      <c r="AT60" s="92" t="e">
        <f t="shared" ca="1" si="26"/>
        <v>#NAME?</v>
      </c>
      <c r="AU60" s="92" t="e">
        <f t="shared" ca="1" si="26"/>
        <v>#NAME?</v>
      </c>
      <c r="AV60" s="92" t="e">
        <f t="shared" ca="1" si="26"/>
        <v>#NAME?</v>
      </c>
      <c r="AW60" s="92" t="e">
        <f t="shared" ca="1" si="26"/>
        <v>#NAME?</v>
      </c>
      <c r="AX60" s="92" t="e">
        <f t="shared" ca="1" si="26"/>
        <v>#NAME?</v>
      </c>
      <c r="AY60" s="92" t="e">
        <f t="shared" ca="1" si="26"/>
        <v>#NAME?</v>
      </c>
      <c r="AZ60" s="92" t="e">
        <f t="shared" ca="1" si="26"/>
        <v>#NAME?</v>
      </c>
      <c r="BA60" s="92" t="e">
        <f t="shared" ca="1" si="26"/>
        <v>#NAME?</v>
      </c>
      <c r="BB60" s="11"/>
      <c r="BC60" s="77"/>
    </row>
    <row r="61" spans="1:124" ht="20.100000000000001" customHeight="1" x14ac:dyDescent="0.2">
      <c r="A61" s="86"/>
      <c r="B61" s="86"/>
      <c r="C61" s="86"/>
      <c r="D61" s="88" t="s">
        <v>903</v>
      </c>
      <c r="E61" s="92" t="e">
        <f ca="1">E60</f>
        <v>#NAME?</v>
      </c>
      <c r="F61" s="92" t="e">
        <f t="shared" ref="F61" ca="1" si="27">E61+F60*(1-Anticipo_Financiero)</f>
        <v>#NAME?</v>
      </c>
      <c r="G61" s="92" t="e">
        <f t="shared" ref="G61:AL61" ca="1" si="28">F61+G60</f>
        <v>#NAME?</v>
      </c>
      <c r="H61" s="92" t="e">
        <f t="shared" ca="1" si="28"/>
        <v>#NAME?</v>
      </c>
      <c r="I61" s="92" t="e">
        <f t="shared" ca="1" si="28"/>
        <v>#NAME?</v>
      </c>
      <c r="J61" s="92" t="e">
        <f t="shared" ca="1" si="28"/>
        <v>#NAME?</v>
      </c>
      <c r="K61" s="92" t="e">
        <f t="shared" ca="1" si="28"/>
        <v>#NAME?</v>
      </c>
      <c r="L61" s="92" t="e">
        <f t="shared" ca="1" si="28"/>
        <v>#NAME?</v>
      </c>
      <c r="M61" s="92" t="e">
        <f t="shared" ca="1" si="28"/>
        <v>#NAME?</v>
      </c>
      <c r="N61" s="92" t="e">
        <f t="shared" ca="1" si="28"/>
        <v>#NAME?</v>
      </c>
      <c r="O61" s="92" t="e">
        <f t="shared" ca="1" si="28"/>
        <v>#NAME?</v>
      </c>
      <c r="P61" s="92" t="e">
        <f t="shared" ca="1" si="28"/>
        <v>#NAME?</v>
      </c>
      <c r="Q61" s="92" t="e">
        <f t="shared" ca="1" si="28"/>
        <v>#NAME?</v>
      </c>
      <c r="R61" s="92" t="e">
        <f t="shared" ca="1" si="28"/>
        <v>#NAME?</v>
      </c>
      <c r="S61" s="92" t="e">
        <f t="shared" ca="1" si="28"/>
        <v>#NAME?</v>
      </c>
      <c r="T61" s="92" t="e">
        <f t="shared" ca="1" si="28"/>
        <v>#NAME?</v>
      </c>
      <c r="U61" s="92" t="e">
        <f t="shared" ca="1" si="28"/>
        <v>#NAME?</v>
      </c>
      <c r="V61" s="92" t="e">
        <f t="shared" ca="1" si="28"/>
        <v>#NAME?</v>
      </c>
      <c r="W61" s="92" t="e">
        <f t="shared" ca="1" si="28"/>
        <v>#NAME?</v>
      </c>
      <c r="X61" s="92" t="e">
        <f t="shared" ca="1" si="28"/>
        <v>#NAME?</v>
      </c>
      <c r="Y61" s="92" t="e">
        <f t="shared" ca="1" si="28"/>
        <v>#NAME?</v>
      </c>
      <c r="Z61" s="92" t="e">
        <f t="shared" ca="1" si="28"/>
        <v>#NAME?</v>
      </c>
      <c r="AA61" s="92" t="e">
        <f t="shared" ca="1" si="28"/>
        <v>#NAME?</v>
      </c>
      <c r="AB61" s="92" t="e">
        <f t="shared" ca="1" si="28"/>
        <v>#NAME?</v>
      </c>
      <c r="AC61" s="92" t="e">
        <f t="shared" ca="1" si="28"/>
        <v>#NAME?</v>
      </c>
      <c r="AD61" s="92" t="e">
        <f t="shared" ca="1" si="28"/>
        <v>#NAME?</v>
      </c>
      <c r="AE61" s="92" t="e">
        <f t="shared" ca="1" si="28"/>
        <v>#NAME?</v>
      </c>
      <c r="AF61" s="92" t="e">
        <f t="shared" ca="1" si="28"/>
        <v>#NAME?</v>
      </c>
      <c r="AG61" s="92" t="e">
        <f t="shared" ca="1" si="28"/>
        <v>#NAME?</v>
      </c>
      <c r="AH61" s="92" t="e">
        <f t="shared" ca="1" si="28"/>
        <v>#NAME?</v>
      </c>
      <c r="AI61" s="92" t="e">
        <f t="shared" ca="1" si="28"/>
        <v>#NAME?</v>
      </c>
      <c r="AJ61" s="92" t="e">
        <f t="shared" ca="1" si="28"/>
        <v>#NAME?</v>
      </c>
      <c r="AK61" s="92" t="e">
        <f t="shared" ca="1" si="28"/>
        <v>#NAME?</v>
      </c>
      <c r="AL61" s="92" t="e">
        <f t="shared" ca="1" si="28"/>
        <v>#NAME?</v>
      </c>
      <c r="AM61" s="92" t="e">
        <f t="shared" ref="AM61" ca="1" si="29">AL61+AM60</f>
        <v>#NAME?</v>
      </c>
      <c r="AN61" s="92" t="e">
        <f t="shared" ref="AN61" ca="1" si="30">AM61+AN60</f>
        <v>#NAME?</v>
      </c>
      <c r="AO61" s="92" t="e">
        <f t="shared" ref="AO61" ca="1" si="31">AN61+AO60</f>
        <v>#NAME?</v>
      </c>
      <c r="AP61" s="92" t="e">
        <f t="shared" ref="AP61" ca="1" si="32">AO61+AP60</f>
        <v>#NAME?</v>
      </c>
      <c r="AQ61" s="92" t="e">
        <f t="shared" ref="AQ61" ca="1" si="33">AP61+AQ60</f>
        <v>#NAME?</v>
      </c>
      <c r="AR61" s="92" t="e">
        <f t="shared" ref="AR61" ca="1" si="34">AQ61+AR60</f>
        <v>#NAME?</v>
      </c>
      <c r="AS61" s="92" t="e">
        <f t="shared" ref="AS61" ca="1" si="35">AR61+AS60</f>
        <v>#NAME?</v>
      </c>
      <c r="AT61" s="92" t="e">
        <f t="shared" ref="AT61" ca="1" si="36">AS61+AT60</f>
        <v>#NAME?</v>
      </c>
      <c r="AU61" s="92" t="e">
        <f t="shared" ref="AU61" ca="1" si="37">AT61+AU60</f>
        <v>#NAME?</v>
      </c>
      <c r="AV61" s="92" t="e">
        <f t="shared" ref="AV61" ca="1" si="38">AU61+AV60</f>
        <v>#NAME?</v>
      </c>
      <c r="AW61" s="92" t="e">
        <f t="shared" ref="AW61" ca="1" si="39">AV61+AW60</f>
        <v>#NAME?</v>
      </c>
      <c r="AX61" s="92" t="e">
        <f t="shared" ref="AX61" ca="1" si="40">AW61+AX60</f>
        <v>#NAME?</v>
      </c>
      <c r="AY61" s="92" t="e">
        <f t="shared" ref="AY61" ca="1" si="41">AX61+AY60</f>
        <v>#NAME?</v>
      </c>
      <c r="AZ61" s="92" t="e">
        <f t="shared" ref="AZ61" ca="1" si="42">AY61+AZ60</f>
        <v>#NAME?</v>
      </c>
      <c r="BA61" s="92" t="e">
        <f t="shared" ref="BA61" ca="1" si="43">AZ61+BA60</f>
        <v>#NAME?</v>
      </c>
      <c r="BB61" s="11"/>
    </row>
    <row r="62" spans="1:124" ht="20.100000000000001" customHeight="1" x14ac:dyDescent="0.2">
      <c r="E62" s="76">
        <v>0</v>
      </c>
    </row>
    <row r="63" spans="1:124" ht="20.100000000000001" customHeight="1" x14ac:dyDescent="0.2">
      <c r="E63" s="76">
        <v>0</v>
      </c>
    </row>
  </sheetData>
  <mergeCells count="6">
    <mergeCell ref="A8:D8"/>
    <mergeCell ref="F10:BA10"/>
    <mergeCell ref="BC10:BC11"/>
    <mergeCell ref="A10:A11"/>
    <mergeCell ref="B10:C11"/>
    <mergeCell ref="D10:D11"/>
  </mergeCells>
  <conditionalFormatting sqref="A13:B53 A54:A55">
    <cfRule type="expression" dxfId="68" priority="153" stopIfTrue="1">
      <formula>#REF!&gt;0</formula>
    </cfRule>
    <cfRule type="expression" dxfId="67" priority="154" stopIfTrue="1">
      <formula>#REF!&gt;0</formula>
    </cfRule>
    <cfRule type="expression" dxfId="66" priority="155" stopIfTrue="1">
      <formula>#REF!&gt;0</formula>
    </cfRule>
  </conditionalFormatting>
  <conditionalFormatting sqref="B54:C54 C13:C53">
    <cfRule type="expression" dxfId="65" priority="156" stopIfTrue="1">
      <formula>#REF!&gt;0</formula>
    </cfRule>
    <cfRule type="expression" dxfId="64" priority="157" stopIfTrue="1">
      <formula>#REF!&gt;0</formula>
    </cfRule>
    <cfRule type="expression" dxfId="63" priority="158"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2" t="str">
        <f>"OBRA: " &amp; UPPER(Obra)</f>
        <v>OBRA: PAVIMENTACION Y ENSANCHE DE RUTA PROVINCIAL N°7 AV. JOAQUIN UÑAC</v>
      </c>
      <c r="D1" s="752"/>
      <c r="E1" s="752"/>
      <c r="F1" s="752"/>
      <c r="G1" s="752"/>
      <c r="H1" s="752"/>
      <c r="I1" s="752"/>
      <c r="J1" s="752"/>
      <c r="K1" s="752"/>
      <c r="L1" s="752"/>
    </row>
    <row r="2" spans="3:12" ht="23.25" x14ac:dyDescent="0.35">
      <c r="C2" s="752" t="s">
        <v>968</v>
      </c>
      <c r="D2" s="752"/>
      <c r="E2" s="752"/>
      <c r="F2" s="752"/>
      <c r="G2" s="752"/>
      <c r="H2" s="752"/>
      <c r="I2" s="752"/>
      <c r="J2" s="752"/>
      <c r="K2" s="752"/>
      <c r="L2" s="752"/>
    </row>
    <row r="3" spans="3:12" ht="23.25" x14ac:dyDescent="0.35">
      <c r="C3" s="752" t="s">
        <v>969</v>
      </c>
      <c r="D3" s="752"/>
      <c r="E3" s="752"/>
      <c r="F3" s="752"/>
      <c r="G3" s="752"/>
      <c r="H3" s="752"/>
      <c r="I3" s="752"/>
      <c r="J3" s="752"/>
      <c r="K3" s="752"/>
      <c r="L3" s="75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3" t="str">
        <f>"OBRA: " &amp; UPPER(Obra)</f>
        <v>OBRA: PAVIMENTACION Y ENSANCHE DE RUTA PROVINCIAL N°7 AV. JOAQUIN UÑAC</v>
      </c>
      <c r="D1" s="753"/>
      <c r="E1" s="753"/>
      <c r="F1" s="753"/>
      <c r="G1" s="753"/>
      <c r="H1" s="753"/>
      <c r="I1" s="753"/>
      <c r="J1" s="753"/>
    </row>
    <row r="2" spans="3:10" ht="23.25" x14ac:dyDescent="0.35">
      <c r="C2" s="752" t="s">
        <v>970</v>
      </c>
      <c r="D2" s="752"/>
      <c r="E2" s="752"/>
      <c r="F2" s="752"/>
      <c r="G2" s="752"/>
      <c r="H2" s="752"/>
      <c r="I2" s="752"/>
      <c r="J2" s="752"/>
    </row>
    <row r="3" spans="3:10" ht="23.25" x14ac:dyDescent="0.35">
      <c r="C3" s="752" t="s">
        <v>971</v>
      </c>
      <c r="D3" s="752"/>
      <c r="E3" s="752"/>
      <c r="F3" s="752"/>
      <c r="G3" s="752"/>
      <c r="H3" s="752"/>
      <c r="I3" s="752"/>
      <c r="J3" s="75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2018-04-17T23:43:57Z</cp:lastPrinted>
  <dcterms:created xsi:type="dcterms:W3CDTF">2016-09-02T20:54:46Z</dcterms:created>
  <dcterms:modified xsi:type="dcterms:W3CDTF">2018-11-14T14:58:02Z</dcterms:modified>
</cp:coreProperties>
</file>