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codeName="{7A2D7E96-6E34-419A-AE5F-296B3A7E7977}"/>
  <workbookPr codeName="ThisWorkbook" defaultThemeVersion="124226"/>
  <bookViews>
    <workbookView xWindow="10230" yWindow="-15" windowWidth="10275" windowHeight="8160" tabRatio="855" activeTab="2"/>
  </bookViews>
  <sheets>
    <sheet name="Inst. Repartición" sheetId="16" r:id="rId1"/>
    <sheet name="Inst. Oferente" sheetId="17" r:id="rId2"/>
    <sheet name="Datos" sheetId="15" r:id="rId3"/>
    <sheet name="Propuesta" sheetId="18" r:id="rId4"/>
    <sheet name="CyP" sheetId="2" r:id="rId5"/>
    <sheet name="AP" sheetId="6" r:id="rId6"/>
    <sheet name="PTyCI" sheetId="9" r:id="rId7"/>
    <sheet name="Avance Obra" sheetId="4" r:id="rId8"/>
    <sheet name="Curva Inversiones" sheetId="5" r:id="rId9"/>
    <sheet name="Gastos Generales" sheetId="8" r:id="rId10"/>
    <sheet name="Insumos" sheetId="14" r:id="rId11"/>
    <sheet name="Coef-Equipos" sheetId="19" r:id="rId12"/>
    <sheet name="Transp. Camión Solo" sheetId="20" r:id="rId13"/>
    <sheet name="Transp. Camión con Acoplado" sheetId="21" r:id="rId14"/>
    <sheet name="Equipos" sheetId="22" r:id="rId15"/>
    <sheet name="Indices" sheetId="11" r:id="rId16"/>
    <sheet name="Items - Códigos" sheetId="12" r:id="rId17"/>
  </sheets>
  <externalReferences>
    <externalReference r:id="rId18"/>
  </externalReferences>
  <definedNames>
    <definedName name="__123Graph_AGRAUDAP" localSheetId="11" hidden="1">[1]P.TRABAJO!#REF!</definedName>
    <definedName name="__123Graph_AGRAUDAP" localSheetId="2" hidden="1">[1]P.TRABAJO!#REF!</definedName>
    <definedName name="__123Graph_AGRAUDAP" localSheetId="15" hidden="1">[1]P.TRABAJO!#REF!</definedName>
    <definedName name="__123Graph_AGRAUDAP" localSheetId="1" hidden="1">[1]P.TRABAJO!#REF!</definedName>
    <definedName name="__123Graph_AGRAUDAP" localSheetId="16" hidden="1">[1]P.TRABAJO!#REF!</definedName>
    <definedName name="__123Graph_AGRAUDAP" localSheetId="3" hidden="1">[1]P.TRABAJO!#REF!</definedName>
    <definedName name="__123Graph_AGRAUDAP" localSheetId="13" hidden="1">[1]P.TRABAJO!#REF!</definedName>
    <definedName name="__123Graph_AGRAUDAP" localSheetId="12" hidden="1">[1]P.TRABAJO!#REF!</definedName>
    <definedName name="__123Graph_AGRAUDAP" hidden="1">[1]P.TRABAJO!#REF!</definedName>
    <definedName name="__123Graph_LBL_AGRAUDAP" localSheetId="11" hidden="1">[1]P.TRABAJO!#REF!</definedName>
    <definedName name="__123Graph_LBL_AGRAUDAP" localSheetId="2" hidden="1">[1]P.TRABAJO!#REF!</definedName>
    <definedName name="__123Graph_LBL_AGRAUDAP" localSheetId="15" hidden="1">[1]P.TRABAJO!#REF!</definedName>
    <definedName name="__123Graph_LBL_AGRAUDAP" localSheetId="1" hidden="1">[1]P.TRABAJO!#REF!</definedName>
    <definedName name="__123Graph_LBL_AGRAUDAP" localSheetId="16" hidden="1">[1]P.TRABAJO!#REF!</definedName>
    <definedName name="__123Graph_LBL_AGRAUDAP" localSheetId="3" hidden="1">[1]P.TRABAJO!#REF!</definedName>
    <definedName name="__123Graph_LBL_AGRAUDAP" localSheetId="13" hidden="1">[1]P.TRABAJO!#REF!</definedName>
    <definedName name="__123Graph_LBL_AGRAUDAP" localSheetId="12" hidden="1">[1]P.TRABAJO!#REF!</definedName>
    <definedName name="__123Graph_LBL_AGRAUDAP" hidden="1">[1]P.TRABAJO!#REF!</definedName>
    <definedName name="__123Graph_XGRAUDAP" localSheetId="11" hidden="1">[1]P.TRABAJO!#REF!</definedName>
    <definedName name="__123Graph_XGRAUDAP" localSheetId="2" hidden="1">[1]P.TRABAJO!#REF!</definedName>
    <definedName name="__123Graph_XGRAUDAP" localSheetId="15" hidden="1">[1]P.TRABAJO!#REF!</definedName>
    <definedName name="__123Graph_XGRAUDAP" localSheetId="1" hidden="1">[1]P.TRABAJO!#REF!</definedName>
    <definedName name="__123Graph_XGRAUDAP" localSheetId="16" hidden="1">[1]P.TRABAJO!#REF!</definedName>
    <definedName name="__123Graph_XGRAUDAP" localSheetId="3" hidden="1">[1]P.TRABAJO!#REF!</definedName>
    <definedName name="__123Graph_XGRAUDAP" localSheetId="13" hidden="1">[1]P.TRABAJO!#REF!</definedName>
    <definedName name="__123Graph_XGRAUDAP" localSheetId="12" hidden="1">[1]P.TRABAJO!#REF!</definedName>
    <definedName name="__123Graph_XGRAUDAP" hidden="1">[1]P.TRABAJO!#REF!</definedName>
    <definedName name="_xlnm._FilterDatabase" localSheetId="5" hidden="1">AP!$A$1:$A$770</definedName>
    <definedName name="_xlnm._FilterDatabase" localSheetId="11" hidden="1">'Coef-Equipos'!$C$1:$C$68</definedName>
    <definedName name="_xlnm._FilterDatabase" localSheetId="4" hidden="1">CyP!$A$1:$A$42</definedName>
    <definedName name="_xlnm._FilterDatabase" localSheetId="2" hidden="1">Datos!#REF!</definedName>
    <definedName name="_xlnm._FilterDatabase" localSheetId="15" hidden="1">Indices!$B$1:$D$969</definedName>
    <definedName name="_xlnm._FilterDatabase" localSheetId="3" hidden="1">Propuesta!#REF!</definedName>
    <definedName name="_xlnm._FilterDatabase" localSheetId="6" hidden="1">PTyCI!$D$1:$D$35</definedName>
    <definedName name="A" localSheetId="13">'Transp. Camión con Acoplado'!$O$4</definedName>
    <definedName name="A" localSheetId="12">'Transp. Camión Solo'!$O$4</definedName>
    <definedName name="Anticipo_Financiero">Datos!$B$12</definedName>
    <definedName name="_xlnm.Print_Area" localSheetId="5">AP!$A$1:$G$770</definedName>
    <definedName name="_xlnm.Print_Area" localSheetId="4">CyP!$A$18:$I$42</definedName>
    <definedName name="_xlnm.Print_Area" localSheetId="2">Datos!$A$1:$I$45</definedName>
    <definedName name="_xlnm.Print_Area" localSheetId="3">Propuesta!$A$1:$G$40</definedName>
    <definedName name="_xlnm.Print_Area" localSheetId="6">PTyCI!$A$13:$BA$32</definedName>
    <definedName name="B" localSheetId="13">'Transp. Camión con Acoplado'!$O$7</definedName>
    <definedName name="B" localSheetId="12">'Transp. Camión Solo'!$O$7</definedName>
    <definedName name="Beneficio">Datos!$B$24</definedName>
    <definedName name="C_" localSheetId="13">'Transp. Camión con Acoplado'!$O$10</definedName>
    <definedName name="C_" localSheetId="12">'Transp. Camión Solo'!$O$10</definedName>
    <definedName name="Camioneta_Amortización">'Coef-Equipos'!$E$36</definedName>
    <definedName name="Camioneta_Cámara_Cubiertas">'Coef-Equipos'!$E$51</definedName>
    <definedName name="Camioneta_Combustibles_Lubricantes">'Coef-Equipos'!$E$48</definedName>
    <definedName name="Camioneta_Interés">'Coef-Equipos'!$E$39</definedName>
    <definedName name="Camioneta_Patente">'Coef-Equipos'!$E$45</definedName>
    <definedName name="Camioneta_Seguro">'Coef-Equipos'!$E$42</definedName>
    <definedName name="Cant_Cubiertas_Camioneta" localSheetId="11">'Coef-Equipos'!$D$63</definedName>
    <definedName name="Cantidad_camaras_cubiertas" localSheetId="13">'Transp. Camión con Acoplado'!$E$15</definedName>
    <definedName name="Cantidad_camaras_cubiertas" localSheetId="12">'Transp. Camión Solo'!$E$15</definedName>
    <definedName name="Cantidad_lavado_al_mes" localSheetId="13">'Transp. Camión con Acoplado'!$E$14</definedName>
    <definedName name="Cantidad_lavado_al_mes" localSheetId="12">'Transp. Camión Solo'!$E$14</definedName>
    <definedName name="Caracter_F1">Datos!$B$20</definedName>
    <definedName name="Caracter_F2">Datos!$B$22</definedName>
    <definedName name="Coeficiente_Paso">Datos!$B$27</definedName>
    <definedName name="Comitente">Datos!$B$2</definedName>
    <definedName name="Consumo_gasoil_CamiónAcoplado_porkm" localSheetId="13">'Transp. Camión con Acoplado'!$E$18</definedName>
    <definedName name="Consumo_gasoil_Camioneta_porkm" localSheetId="11">'Coef-Equipos'!$D$61</definedName>
    <definedName name="Consumo_gasoil_CamiónSolo_porkm" localSheetId="12">'Transp. Camión Solo'!$E$18</definedName>
    <definedName name="Consumo_gasoil_Equipo_porHP" localSheetId="11">'Coef-Equipos'!$D$29</definedName>
    <definedName name="Contratista">Datos!$B$17</definedName>
    <definedName name="Contratista_Firma1">Datos!$B$19</definedName>
    <definedName name="Contratista_Firma2">Datos!$B$21</definedName>
    <definedName name="Costo_de_cámaras_y_cubiertas_Camionetas" localSheetId="11">'Coef-Equipos'!$D$64</definedName>
    <definedName name="Costo_gasoil" localSheetId="13">'Transp. Camión con Acoplado'!$E$19</definedName>
    <definedName name="Costo_gasoil" localSheetId="12">'Transp. Camión Solo'!$E$19</definedName>
    <definedName name="Costo_Obra">CyP!$F$31</definedName>
    <definedName name="D" localSheetId="13">'Transp. Camión con Acoplado'!$O$13</definedName>
    <definedName name="D" localSheetId="12">'Transp. Camión Solo'!$O$13</definedName>
    <definedName name="DG_EP" localSheetId="11">'Coef-Equipos'!$A$13:$D$19</definedName>
    <definedName name="E" localSheetId="13">'Transp. Camión con Acoplado'!$O$16</definedName>
    <definedName name="E" localSheetId="12">'Transp. Camión Solo'!$O$16</definedName>
    <definedName name="Equipo_Amortización">'Coef-Equipos'!$D$10</definedName>
    <definedName name="Equipo_Combustible">'Coef-Equipos'!$D$19</definedName>
    <definedName name="Equipo_Interés">'Coef-Equipos'!$D$13</definedName>
    <definedName name="Equipo_Lubricantes">'Coef-Equipos'!$D$22</definedName>
    <definedName name="Equipo_Reparaciones_Repuestos">'Coef-Equipos'!$D$16</definedName>
    <definedName name="Expediente_N°">Datos!$B$10</definedName>
    <definedName name="F_" localSheetId="13">'Transp. Camión con Acoplado'!$O$19</definedName>
    <definedName name="F_" localSheetId="12">'Transp. Camión Solo'!$O$19</definedName>
    <definedName name="Fecha_Base">Datos!$B$13</definedName>
    <definedName name="G" localSheetId="13">'Transp. Camión con Acoplado'!$O$22</definedName>
    <definedName name="G" localSheetId="12">'Transp. Camión Solo'!$O$22</definedName>
    <definedName name="GG_Empresa">'Gastos Generales'!$C$36</definedName>
    <definedName name="GG_Obra">'Gastos Generales'!$C$11</definedName>
    <definedName name="GG_Pesos">'Gastos Generales'!$C$75</definedName>
    <definedName name="GG_Porcentaje">Datos!$B$23</definedName>
    <definedName name="HorasAmortizaciónEquipoCamión" localSheetId="13">'Transp. Camión con Acoplado'!$E$8</definedName>
    <definedName name="HorasAmortizaciónEquipoCamión" localSheetId="12">'Transp. Camión Solo'!$E$8</definedName>
    <definedName name="Ingresos_Brutos">Datos!$B$25</definedName>
    <definedName name="Interés_Anual" localSheetId="11">'Coef-Equipos'!$D$27</definedName>
    <definedName name="IVA">Datos!$B$26</definedName>
    <definedName name="Licitación_N°">Datos!$B$9</definedName>
    <definedName name="Mano_Obra_Lavado" localSheetId="13">'Transp. Camión con Acoplado'!$E$22</definedName>
    <definedName name="Mano_Obra_Lavado" localSheetId="12">'Transp. Camión Solo'!$E$22</definedName>
    <definedName name="Monto_Oferta">CyP!$H$31</definedName>
    <definedName name="Obra">Datos!$B$3</definedName>
    <definedName name="P_Camioneta_Amortizar" localSheetId="11">'Coef-Equipos'!$D$55</definedName>
    <definedName name="P_Oficial">Datos!$B$11</definedName>
    <definedName name="Plazo_Obra">Datos!$B$14</definedName>
    <definedName name="Porc_repuestos_reparaciones_de_amortización" localSheetId="11">'Coef-Equipos'!$D$28</definedName>
    <definedName name="Porcentaje_amortizaciónl_Equipo" localSheetId="11">'Coef-Equipos'!$D$26</definedName>
    <definedName name="Porcentaje_Lubricantes" localSheetId="13">'Transp. Camión con Acoplado'!$E$20</definedName>
    <definedName name="Porcentaje_Lubricantes" localSheetId="12">'Transp. Camión Solo'!$E$20</definedName>
    <definedName name="Porcentaje_Lubricantes_Camionetas" localSheetId="11">'Coef-Equipos'!$D$62</definedName>
    <definedName name="Porcentaje_lubricantes_respecto_al_combustible" localSheetId="11">'Coef-Equipos'!$D$31</definedName>
    <definedName name="Porcentaje_Reparaciones_Repuestos" localSheetId="13">'Transp. Camión con Acoplado'!$E$11</definedName>
    <definedName name="Porcentaje_Reparaciones_Repuestos" localSheetId="12">'Transp. Camión Solo'!$E$11</definedName>
    <definedName name="PorcentajeEquipoAmortizarCamión" localSheetId="13">'Transp. Camión con Acoplado'!$E$9</definedName>
    <definedName name="PorcentajeEquipoAmortizarCamión" localSheetId="12">'Transp. Camión Solo'!$E$9</definedName>
    <definedName name="PorSegurosPatentesImpustoCamión" localSheetId="13">'Transp. Camión con Acoplado'!$E$12</definedName>
    <definedName name="PorSegurosPatentesImpustoCamión" localSheetId="12">'Transp. Camión Solo'!$E$12</definedName>
    <definedName name="Precio_gasoil" localSheetId="11">'Coef-Equipos'!$D$30</definedName>
    <definedName name="Rec_Est_Mensual_Camioneta_km" localSheetId="11">'Coef-Equipos'!$D$57</definedName>
    <definedName name="Sección_I">Datos!$B$5</definedName>
    <definedName name="Sección_II">Datos!$B$6</definedName>
    <definedName name="Sección_III">Datos!$B$7</definedName>
    <definedName name="Seguros_Patentes_Impuestos" localSheetId="13">'Transp. Camión con Acoplado'!$E$12</definedName>
    <definedName name="Seguros_Patentes_Impuestos" localSheetId="12">'Transp. Camión Solo'!$E$12</definedName>
    <definedName name="T_Coef_Camioneta">'Coef-Equipos'!$C$36:$E$51</definedName>
    <definedName name="T_Coef_Equipos">'Coef-Equipos'!$C$10:$D$22</definedName>
    <definedName name="T_Equipos">Equipos!$B:$L</definedName>
    <definedName name="Tabla_Analisis_Precio">AP!$A:$G</definedName>
    <definedName name="Tabla_CyP">CyP!$A:$I</definedName>
    <definedName name="Tabla_Datos">Datos!$A:$D</definedName>
    <definedName name="Tabla_Indices">Indices!$A:$E</definedName>
    <definedName name="Tabla_Insumos">Insumos!$A:$E</definedName>
    <definedName name="Tabla_Items">'Items - Códigos'!$B:$D</definedName>
    <definedName name="Tabla_NumeroItem">Datos!$L:$O</definedName>
    <definedName name="Tiempo_lavado_en_horas" localSheetId="13">'Transp. Camión con Acoplado'!$E$13</definedName>
    <definedName name="Tiempo_lavado_en_horas" localSheetId="12">'Transp. Camión Solo'!$E$13</definedName>
    <definedName name="_xlnm.Print_Titles" localSheetId="4">CyP!$1:$17</definedName>
    <definedName name="_xlnm.Print_Titles" localSheetId="2">Datos!$2:$33</definedName>
    <definedName name="_xlnm.Print_Titles" localSheetId="15">Indices!$2:$5</definedName>
    <definedName name="_xlnm.Print_Titles" localSheetId="3">Propuesta!$13:$15</definedName>
    <definedName name="_xlnm.Print_Titles" localSheetId="6">PTyCI!$A:$D,PTyCI!$1:$12</definedName>
    <definedName name="Tramo">Datos!$B$4</definedName>
    <definedName name="Ubicación">Datos!$B$8</definedName>
    <definedName name="V_U_cámara_cubiertas_CamiónAcoplado" localSheetId="13">'Transp. Camión con Acoplado'!$E$17</definedName>
    <definedName name="V_U_cámara_cubiertas_Camionetas" localSheetId="11">'Coef-Equipos'!$D$65</definedName>
    <definedName name="V_U_Camioneta_km" localSheetId="11">'Coef-Equipos'!$D$56</definedName>
    <definedName name="V_U_Camioneta_meses" localSheetId="11">'Coef-Equipos'!$D$58</definedName>
    <definedName name="V_U_Equipo" localSheetId="11">'Coef-Equipos'!$D$25</definedName>
    <definedName name="V_Ul_cámara_cubiertas_CamiónSolo" localSheetId="12">'Transp. Camión Solo'!$E$17</definedName>
    <definedName name="Valor_cámara_cubiertas_CamiónAcoplado" localSheetId="13">'Transp. Camión con Acoplado'!$E$16</definedName>
    <definedName name="Valor_cámara_cubiertas_CamiónSolo" localSheetId="12">'Transp. Camión Solo'!$E$16</definedName>
    <definedName name="Valor_CamiónAcoplado" localSheetId="13">'Transp. Camión con Acoplado'!$E$7</definedName>
    <definedName name="Valor_CamiónSolo" localSheetId="12">'Transp. Camión Solo'!$E$7</definedName>
  </definedNames>
  <calcPr calcId="145621"/>
</workbook>
</file>

<file path=xl/calcChain.xml><?xml version="1.0" encoding="utf-8"?>
<calcChain xmlns="http://schemas.openxmlformats.org/spreadsheetml/2006/main">
  <c r="H35" i="2" l="1"/>
  <c r="G765" i="6" l="1"/>
  <c r="G766" i="6" s="1"/>
  <c r="A765" i="6"/>
  <c r="F760" i="6"/>
  <c r="G760" i="6" s="1"/>
  <c r="D760" i="6"/>
  <c r="B760" i="6"/>
  <c r="A760" i="6"/>
  <c r="F759" i="6"/>
  <c r="G759" i="6" s="1"/>
  <c r="D759" i="6"/>
  <c r="B759" i="6"/>
  <c r="A759" i="6"/>
  <c r="F758" i="6"/>
  <c r="G758" i="6" s="1"/>
  <c r="D758" i="6"/>
  <c r="B758" i="6"/>
  <c r="A758" i="6"/>
  <c r="F757" i="6"/>
  <c r="G757" i="6" s="1"/>
  <c r="D757" i="6"/>
  <c r="B757" i="6"/>
  <c r="A757" i="6"/>
  <c r="F756" i="6"/>
  <c r="G756" i="6" s="1"/>
  <c r="D756" i="6"/>
  <c r="B756" i="6"/>
  <c r="A756" i="6"/>
  <c r="F755" i="6"/>
  <c r="G755" i="6" s="1"/>
  <c r="D755" i="6"/>
  <c r="B755" i="6"/>
  <c r="A755" i="6"/>
  <c r="F754" i="6"/>
  <c r="G754" i="6" s="1"/>
  <c r="D754" i="6"/>
  <c r="B754" i="6"/>
  <c r="A754" i="6"/>
  <c r="F753" i="6"/>
  <c r="G753" i="6" s="1"/>
  <c r="D753" i="6"/>
  <c r="B753" i="6"/>
  <c r="A753" i="6"/>
  <c r="F752" i="6"/>
  <c r="G752" i="6" s="1"/>
  <c r="D752" i="6"/>
  <c r="B752" i="6"/>
  <c r="A752" i="6"/>
  <c r="F751" i="6"/>
  <c r="G751" i="6" s="1"/>
  <c r="D751" i="6"/>
  <c r="B751" i="6"/>
  <c r="A751" i="6"/>
  <c r="F750" i="6"/>
  <c r="G750" i="6" s="1"/>
  <c r="D750" i="6"/>
  <c r="B750" i="6"/>
  <c r="A750" i="6"/>
  <c r="F749" i="6"/>
  <c r="G749" i="6" s="1"/>
  <c r="D749" i="6"/>
  <c r="B749" i="6"/>
  <c r="A749" i="6"/>
  <c r="F744" i="6"/>
  <c r="E744" i="6"/>
  <c r="B744" i="6"/>
  <c r="A744" i="6"/>
  <c r="F743" i="6"/>
  <c r="E743" i="6"/>
  <c r="B743" i="6"/>
  <c r="A743" i="6"/>
  <c r="F742" i="6"/>
  <c r="E742" i="6"/>
  <c r="B742" i="6"/>
  <c r="A742" i="6"/>
  <c r="F741" i="6"/>
  <c r="E741" i="6"/>
  <c r="B741" i="6"/>
  <c r="A741" i="6"/>
  <c r="F740" i="6"/>
  <c r="E740" i="6"/>
  <c r="B740" i="6"/>
  <c r="A740" i="6"/>
  <c r="F739" i="6"/>
  <c r="E739" i="6"/>
  <c r="B739" i="6"/>
  <c r="A739" i="6"/>
  <c r="F734" i="6"/>
  <c r="G734" i="6" s="1"/>
  <c r="D734" i="6"/>
  <c r="B734" i="6"/>
  <c r="A734" i="6"/>
  <c r="F733" i="6"/>
  <c r="G733" i="6" s="1"/>
  <c r="D733" i="6"/>
  <c r="B733" i="6"/>
  <c r="A733" i="6"/>
  <c r="F732" i="6"/>
  <c r="G732" i="6" s="1"/>
  <c r="D732" i="6"/>
  <c r="B732" i="6"/>
  <c r="A732" i="6"/>
  <c r="F731" i="6"/>
  <c r="D731" i="6"/>
  <c r="B731" i="6"/>
  <c r="A731" i="6"/>
  <c r="F730" i="6"/>
  <c r="D730" i="6"/>
  <c r="B730" i="6"/>
  <c r="A730" i="6"/>
  <c r="F729" i="6"/>
  <c r="D729" i="6"/>
  <c r="B729" i="6"/>
  <c r="A729" i="6"/>
  <c r="F728" i="6"/>
  <c r="D728" i="6"/>
  <c r="B728" i="6"/>
  <c r="A728" i="6"/>
  <c r="F727" i="6"/>
  <c r="D727" i="6"/>
  <c r="B727" i="6"/>
  <c r="A727" i="6"/>
  <c r="F720" i="6"/>
  <c r="G720" i="6" s="1"/>
  <c r="E720" i="6"/>
  <c r="F719" i="6"/>
  <c r="G719" i="6" s="1"/>
  <c r="E719" i="6"/>
  <c r="F718" i="6"/>
  <c r="G718" i="6" s="1"/>
  <c r="E718" i="6"/>
  <c r="F717" i="6"/>
  <c r="G717" i="6" s="1"/>
  <c r="E717" i="6"/>
  <c r="F716" i="6"/>
  <c r="G716" i="6" s="1"/>
  <c r="E716" i="6"/>
  <c r="F715" i="6"/>
  <c r="G715" i="6" s="1"/>
  <c r="E715" i="6"/>
  <c r="F714" i="6"/>
  <c r="G714" i="6" s="1"/>
  <c r="E714" i="6"/>
  <c r="F713" i="6"/>
  <c r="G713" i="6" s="1"/>
  <c r="E713" i="6"/>
  <c r="G712" i="6"/>
  <c r="G711" i="6"/>
  <c r="B705" i="6"/>
  <c r="G704" i="6"/>
  <c r="B704" i="6"/>
  <c r="B703" i="6"/>
  <c r="B702" i="6"/>
  <c r="G695" i="6"/>
  <c r="G696" i="6" s="1"/>
  <c r="A695" i="6"/>
  <c r="F690" i="6"/>
  <c r="G690" i="6" s="1"/>
  <c r="D690" i="6"/>
  <c r="B690" i="6"/>
  <c r="A690" i="6"/>
  <c r="F689" i="6"/>
  <c r="G689" i="6" s="1"/>
  <c r="D689" i="6"/>
  <c r="B689" i="6"/>
  <c r="A689" i="6"/>
  <c r="F688" i="6"/>
  <c r="G688" i="6" s="1"/>
  <c r="D688" i="6"/>
  <c r="B688" i="6"/>
  <c r="A688" i="6"/>
  <c r="F687" i="6"/>
  <c r="G687" i="6" s="1"/>
  <c r="D687" i="6"/>
  <c r="B687" i="6"/>
  <c r="A687" i="6"/>
  <c r="F686" i="6"/>
  <c r="G686" i="6" s="1"/>
  <c r="D686" i="6"/>
  <c r="B686" i="6"/>
  <c r="A686" i="6"/>
  <c r="F685" i="6"/>
  <c r="G685" i="6" s="1"/>
  <c r="D685" i="6"/>
  <c r="B685" i="6"/>
  <c r="A685" i="6"/>
  <c r="F684" i="6"/>
  <c r="G684" i="6" s="1"/>
  <c r="D684" i="6"/>
  <c r="B684" i="6"/>
  <c r="A684" i="6"/>
  <c r="F683" i="6"/>
  <c r="G683" i="6" s="1"/>
  <c r="D683" i="6"/>
  <c r="B683" i="6"/>
  <c r="A683" i="6"/>
  <c r="F682" i="6"/>
  <c r="G682" i="6" s="1"/>
  <c r="D682" i="6"/>
  <c r="B682" i="6"/>
  <c r="A682" i="6"/>
  <c r="F681" i="6"/>
  <c r="G681" i="6" s="1"/>
  <c r="D681" i="6"/>
  <c r="B681" i="6"/>
  <c r="A681" i="6"/>
  <c r="F680" i="6"/>
  <c r="G680" i="6" s="1"/>
  <c r="D680" i="6"/>
  <c r="B680" i="6"/>
  <c r="A680" i="6"/>
  <c r="F679" i="6"/>
  <c r="G679" i="6" s="1"/>
  <c r="D679" i="6"/>
  <c r="B679" i="6"/>
  <c r="A679" i="6"/>
  <c r="F674" i="6"/>
  <c r="E674" i="6"/>
  <c r="B674" i="6"/>
  <c r="A674" i="6"/>
  <c r="F673" i="6"/>
  <c r="E673" i="6"/>
  <c r="B673" i="6"/>
  <c r="A673" i="6"/>
  <c r="F672" i="6"/>
  <c r="E672" i="6"/>
  <c r="B672" i="6"/>
  <c r="A672" i="6"/>
  <c r="F671" i="6"/>
  <c r="E671" i="6"/>
  <c r="B671" i="6"/>
  <c r="A671" i="6"/>
  <c r="F670" i="6"/>
  <c r="E670" i="6"/>
  <c r="B670" i="6"/>
  <c r="A670" i="6"/>
  <c r="F669" i="6"/>
  <c r="E669" i="6"/>
  <c r="B669" i="6"/>
  <c r="A669" i="6"/>
  <c r="F664" i="6"/>
  <c r="G664" i="6" s="1"/>
  <c r="D664" i="6"/>
  <c r="B664" i="6"/>
  <c r="A664" i="6"/>
  <c r="F663" i="6"/>
  <c r="G663" i="6" s="1"/>
  <c r="D663" i="6"/>
  <c r="B663" i="6"/>
  <c r="A663" i="6"/>
  <c r="F662" i="6"/>
  <c r="G662" i="6" s="1"/>
  <c r="D662" i="6"/>
  <c r="B662" i="6"/>
  <c r="A662" i="6"/>
  <c r="F661" i="6"/>
  <c r="D661" i="6"/>
  <c r="B661" i="6"/>
  <c r="A661" i="6"/>
  <c r="F660" i="6"/>
  <c r="D660" i="6"/>
  <c r="B660" i="6"/>
  <c r="A660" i="6"/>
  <c r="F659" i="6"/>
  <c r="D659" i="6"/>
  <c r="B659" i="6"/>
  <c r="A659" i="6"/>
  <c r="F658" i="6"/>
  <c r="D658" i="6"/>
  <c r="B658" i="6"/>
  <c r="A658" i="6"/>
  <c r="F657" i="6"/>
  <c r="D657" i="6"/>
  <c r="B657" i="6"/>
  <c r="A657" i="6"/>
  <c r="F650" i="6"/>
  <c r="G650" i="6" s="1"/>
  <c r="E650" i="6"/>
  <c r="F649" i="6"/>
  <c r="G649" i="6" s="1"/>
  <c r="E649" i="6"/>
  <c r="F648" i="6"/>
  <c r="G648" i="6" s="1"/>
  <c r="E648" i="6"/>
  <c r="F647" i="6"/>
  <c r="G647" i="6" s="1"/>
  <c r="E647" i="6"/>
  <c r="F646" i="6"/>
  <c r="G646" i="6" s="1"/>
  <c r="E646" i="6"/>
  <c r="F645" i="6"/>
  <c r="G645" i="6" s="1"/>
  <c r="E645" i="6"/>
  <c r="F644" i="6"/>
  <c r="G644" i="6" s="1"/>
  <c r="E644" i="6"/>
  <c r="F643" i="6"/>
  <c r="G643" i="6" s="1"/>
  <c r="E643" i="6"/>
  <c r="G642" i="6"/>
  <c r="G641" i="6"/>
  <c r="B635" i="6"/>
  <c r="G634" i="6"/>
  <c r="B634" i="6"/>
  <c r="B633" i="6"/>
  <c r="B632" i="6"/>
  <c r="G625" i="6"/>
  <c r="G626" i="6" s="1"/>
  <c r="A625" i="6"/>
  <c r="F620" i="6"/>
  <c r="G620" i="6" s="1"/>
  <c r="D620" i="6"/>
  <c r="B620" i="6"/>
  <c r="A620" i="6"/>
  <c r="F619" i="6"/>
  <c r="G619" i="6" s="1"/>
  <c r="D619" i="6"/>
  <c r="B619" i="6"/>
  <c r="A619" i="6"/>
  <c r="F618" i="6"/>
  <c r="G618" i="6" s="1"/>
  <c r="D618" i="6"/>
  <c r="B618" i="6"/>
  <c r="A618" i="6"/>
  <c r="F617" i="6"/>
  <c r="G617" i="6" s="1"/>
  <c r="D617" i="6"/>
  <c r="B617" i="6"/>
  <c r="A617" i="6"/>
  <c r="F616" i="6"/>
  <c r="G616" i="6" s="1"/>
  <c r="D616" i="6"/>
  <c r="B616" i="6"/>
  <c r="A616" i="6"/>
  <c r="F615" i="6"/>
  <c r="G615" i="6" s="1"/>
  <c r="D615" i="6"/>
  <c r="B615" i="6"/>
  <c r="A615" i="6"/>
  <c r="F614" i="6"/>
  <c r="G614" i="6" s="1"/>
  <c r="D614" i="6"/>
  <c r="B614" i="6"/>
  <c r="A614" i="6"/>
  <c r="F613" i="6"/>
  <c r="G613" i="6" s="1"/>
  <c r="D613" i="6"/>
  <c r="B613" i="6"/>
  <c r="A613" i="6"/>
  <c r="F612" i="6"/>
  <c r="G612" i="6" s="1"/>
  <c r="D612" i="6"/>
  <c r="B612" i="6"/>
  <c r="A612" i="6"/>
  <c r="F611" i="6"/>
  <c r="G611" i="6" s="1"/>
  <c r="D611" i="6"/>
  <c r="B611" i="6"/>
  <c r="A611" i="6"/>
  <c r="F610" i="6"/>
  <c r="G610" i="6" s="1"/>
  <c r="D610" i="6"/>
  <c r="B610" i="6"/>
  <c r="A610" i="6"/>
  <c r="F609" i="6"/>
  <c r="G609" i="6" s="1"/>
  <c r="D609" i="6"/>
  <c r="B609" i="6"/>
  <c r="A609" i="6"/>
  <c r="F604" i="6"/>
  <c r="E604" i="6"/>
  <c r="B604" i="6"/>
  <c r="A604" i="6"/>
  <c r="F603" i="6"/>
  <c r="E603" i="6"/>
  <c r="B603" i="6"/>
  <c r="A603" i="6"/>
  <c r="F602" i="6"/>
  <c r="E602" i="6"/>
  <c r="B602" i="6"/>
  <c r="A602" i="6"/>
  <c r="F601" i="6"/>
  <c r="E601" i="6"/>
  <c r="B601" i="6"/>
  <c r="A601" i="6"/>
  <c r="F600" i="6"/>
  <c r="E600" i="6"/>
  <c r="B600" i="6"/>
  <c r="A600" i="6"/>
  <c r="F599" i="6"/>
  <c r="E599" i="6"/>
  <c r="B599" i="6"/>
  <c r="A599" i="6"/>
  <c r="F594" i="6"/>
  <c r="G594" i="6" s="1"/>
  <c r="D594" i="6"/>
  <c r="B594" i="6"/>
  <c r="A594" i="6"/>
  <c r="F593" i="6"/>
  <c r="G593" i="6" s="1"/>
  <c r="D593" i="6"/>
  <c r="B593" i="6"/>
  <c r="A593" i="6"/>
  <c r="F592" i="6"/>
  <c r="G592" i="6" s="1"/>
  <c r="D592" i="6"/>
  <c r="B592" i="6"/>
  <c r="A592" i="6"/>
  <c r="F591" i="6"/>
  <c r="D591" i="6"/>
  <c r="B591" i="6"/>
  <c r="A591" i="6"/>
  <c r="F590" i="6"/>
  <c r="D590" i="6"/>
  <c r="B590" i="6"/>
  <c r="A590" i="6"/>
  <c r="F589" i="6"/>
  <c r="D589" i="6"/>
  <c r="B589" i="6"/>
  <c r="A589" i="6"/>
  <c r="F588" i="6"/>
  <c r="D588" i="6"/>
  <c r="B588" i="6"/>
  <c r="A588" i="6"/>
  <c r="F587" i="6"/>
  <c r="D587" i="6"/>
  <c r="B587" i="6"/>
  <c r="A587" i="6"/>
  <c r="F580" i="6"/>
  <c r="G580" i="6" s="1"/>
  <c r="E580" i="6"/>
  <c r="F579" i="6"/>
  <c r="G579" i="6" s="1"/>
  <c r="E579" i="6"/>
  <c r="F578" i="6"/>
  <c r="G578" i="6" s="1"/>
  <c r="E578" i="6"/>
  <c r="F577" i="6"/>
  <c r="G577" i="6" s="1"/>
  <c r="E577" i="6"/>
  <c r="F576" i="6"/>
  <c r="G576" i="6" s="1"/>
  <c r="E576" i="6"/>
  <c r="F575" i="6"/>
  <c r="G575" i="6" s="1"/>
  <c r="E575" i="6"/>
  <c r="F574" i="6"/>
  <c r="G574" i="6" s="1"/>
  <c r="E574" i="6"/>
  <c r="F573" i="6"/>
  <c r="G573" i="6" s="1"/>
  <c r="E573" i="6"/>
  <c r="G572" i="6"/>
  <c r="G571" i="6"/>
  <c r="B565" i="6"/>
  <c r="G564" i="6"/>
  <c r="B564" i="6"/>
  <c r="B563" i="6"/>
  <c r="B562" i="6"/>
  <c r="G555" i="6"/>
  <c r="G556" i="6" s="1"/>
  <c r="A555" i="6"/>
  <c r="F550" i="6"/>
  <c r="G550" i="6" s="1"/>
  <c r="D550" i="6"/>
  <c r="B550" i="6"/>
  <c r="A550" i="6"/>
  <c r="F549" i="6"/>
  <c r="G549" i="6" s="1"/>
  <c r="D549" i="6"/>
  <c r="B549" i="6"/>
  <c r="A549" i="6"/>
  <c r="F548" i="6"/>
  <c r="G548" i="6" s="1"/>
  <c r="D548" i="6"/>
  <c r="B548" i="6"/>
  <c r="A548" i="6"/>
  <c r="F547" i="6"/>
  <c r="G547" i="6" s="1"/>
  <c r="D547" i="6"/>
  <c r="B547" i="6"/>
  <c r="A547" i="6"/>
  <c r="F546" i="6"/>
  <c r="G546" i="6" s="1"/>
  <c r="D546" i="6"/>
  <c r="B546" i="6"/>
  <c r="A546" i="6"/>
  <c r="F545" i="6"/>
  <c r="G545" i="6" s="1"/>
  <c r="D545" i="6"/>
  <c r="B545" i="6"/>
  <c r="A545" i="6"/>
  <c r="F544" i="6"/>
  <c r="G544" i="6" s="1"/>
  <c r="D544" i="6"/>
  <c r="B544" i="6"/>
  <c r="A544" i="6"/>
  <c r="F543" i="6"/>
  <c r="G543" i="6" s="1"/>
  <c r="D543" i="6"/>
  <c r="B543" i="6"/>
  <c r="A543" i="6"/>
  <c r="F542" i="6"/>
  <c r="G542" i="6" s="1"/>
  <c r="D542" i="6"/>
  <c r="B542" i="6"/>
  <c r="A542" i="6"/>
  <c r="F541" i="6"/>
  <c r="G541" i="6" s="1"/>
  <c r="D541" i="6"/>
  <c r="B541" i="6"/>
  <c r="A541" i="6"/>
  <c r="F540" i="6"/>
  <c r="G540" i="6" s="1"/>
  <c r="D540" i="6"/>
  <c r="B540" i="6"/>
  <c r="A540" i="6"/>
  <c r="F539" i="6"/>
  <c r="G539" i="6" s="1"/>
  <c r="D539" i="6"/>
  <c r="B539" i="6"/>
  <c r="A539" i="6"/>
  <c r="F534" i="6"/>
  <c r="E534" i="6"/>
  <c r="B534" i="6"/>
  <c r="A534" i="6"/>
  <c r="F533" i="6"/>
  <c r="E533" i="6"/>
  <c r="B533" i="6"/>
  <c r="A533" i="6"/>
  <c r="F532" i="6"/>
  <c r="E532" i="6"/>
  <c r="B532" i="6"/>
  <c r="A532" i="6"/>
  <c r="F531" i="6"/>
  <c r="E531" i="6"/>
  <c r="B531" i="6"/>
  <c r="A531" i="6"/>
  <c r="F530" i="6"/>
  <c r="E530" i="6"/>
  <c r="B530" i="6"/>
  <c r="A530" i="6"/>
  <c r="F529" i="6"/>
  <c r="E529" i="6"/>
  <c r="B529" i="6"/>
  <c r="A529" i="6"/>
  <c r="F524" i="6"/>
  <c r="G524" i="6" s="1"/>
  <c r="D524" i="6"/>
  <c r="B524" i="6"/>
  <c r="A524" i="6"/>
  <c r="F523" i="6"/>
  <c r="G523" i="6" s="1"/>
  <c r="D523" i="6"/>
  <c r="B523" i="6"/>
  <c r="A523" i="6"/>
  <c r="F522" i="6"/>
  <c r="G522" i="6" s="1"/>
  <c r="D522" i="6"/>
  <c r="B522" i="6"/>
  <c r="A522" i="6"/>
  <c r="F521" i="6"/>
  <c r="D521" i="6"/>
  <c r="B521" i="6"/>
  <c r="A521" i="6"/>
  <c r="F520" i="6"/>
  <c r="D520" i="6"/>
  <c r="B520" i="6"/>
  <c r="A520" i="6"/>
  <c r="F519" i="6"/>
  <c r="D519" i="6"/>
  <c r="B519" i="6"/>
  <c r="A519" i="6"/>
  <c r="F518" i="6"/>
  <c r="D518" i="6"/>
  <c r="B518" i="6"/>
  <c r="A518" i="6"/>
  <c r="F517" i="6"/>
  <c r="D517" i="6"/>
  <c r="B517" i="6"/>
  <c r="A517" i="6"/>
  <c r="F510" i="6"/>
  <c r="G510" i="6" s="1"/>
  <c r="E510" i="6"/>
  <c r="F509" i="6"/>
  <c r="G509" i="6" s="1"/>
  <c r="E509" i="6"/>
  <c r="F508" i="6"/>
  <c r="G508" i="6" s="1"/>
  <c r="E508" i="6"/>
  <c r="F507" i="6"/>
  <c r="G507" i="6" s="1"/>
  <c r="E507" i="6"/>
  <c r="F506" i="6"/>
  <c r="G506" i="6" s="1"/>
  <c r="E506" i="6"/>
  <c r="F505" i="6"/>
  <c r="G505" i="6" s="1"/>
  <c r="E505" i="6"/>
  <c r="F504" i="6"/>
  <c r="G504" i="6" s="1"/>
  <c r="E504" i="6"/>
  <c r="F503" i="6"/>
  <c r="G503" i="6" s="1"/>
  <c r="E503" i="6"/>
  <c r="G502" i="6"/>
  <c r="G501" i="6"/>
  <c r="B495" i="6"/>
  <c r="G494" i="6"/>
  <c r="B494" i="6"/>
  <c r="B493" i="6"/>
  <c r="B492" i="6"/>
  <c r="G485" i="6"/>
  <c r="G486" i="6" s="1"/>
  <c r="A485" i="6"/>
  <c r="F480" i="6"/>
  <c r="G480" i="6" s="1"/>
  <c r="D480" i="6"/>
  <c r="B480" i="6"/>
  <c r="A480" i="6"/>
  <c r="F479" i="6"/>
  <c r="G479" i="6" s="1"/>
  <c r="D479" i="6"/>
  <c r="B479" i="6"/>
  <c r="A479" i="6"/>
  <c r="F478" i="6"/>
  <c r="G478" i="6" s="1"/>
  <c r="D478" i="6"/>
  <c r="B478" i="6"/>
  <c r="A478" i="6"/>
  <c r="F477" i="6"/>
  <c r="G477" i="6" s="1"/>
  <c r="D477" i="6"/>
  <c r="B477" i="6"/>
  <c r="A477" i="6"/>
  <c r="F476" i="6"/>
  <c r="G476" i="6" s="1"/>
  <c r="D476" i="6"/>
  <c r="B476" i="6"/>
  <c r="A476" i="6"/>
  <c r="F475" i="6"/>
  <c r="G475" i="6" s="1"/>
  <c r="D475" i="6"/>
  <c r="B475" i="6"/>
  <c r="A475" i="6"/>
  <c r="F474" i="6"/>
  <c r="G474" i="6" s="1"/>
  <c r="D474" i="6"/>
  <c r="B474" i="6"/>
  <c r="A474" i="6"/>
  <c r="F473" i="6"/>
  <c r="G473" i="6" s="1"/>
  <c r="D473" i="6"/>
  <c r="B473" i="6"/>
  <c r="A473" i="6"/>
  <c r="F472" i="6"/>
  <c r="G472" i="6" s="1"/>
  <c r="D472" i="6"/>
  <c r="B472" i="6"/>
  <c r="A472" i="6"/>
  <c r="F471" i="6"/>
  <c r="G471" i="6" s="1"/>
  <c r="D471" i="6"/>
  <c r="B471" i="6"/>
  <c r="A471" i="6"/>
  <c r="F470" i="6"/>
  <c r="G470" i="6" s="1"/>
  <c r="D470" i="6"/>
  <c r="B470" i="6"/>
  <c r="A470" i="6"/>
  <c r="F469" i="6"/>
  <c r="G469" i="6" s="1"/>
  <c r="D469" i="6"/>
  <c r="B469" i="6"/>
  <c r="A469" i="6"/>
  <c r="F464" i="6"/>
  <c r="E464" i="6"/>
  <c r="B464" i="6"/>
  <c r="A464" i="6"/>
  <c r="F463" i="6"/>
  <c r="E463" i="6"/>
  <c r="B463" i="6"/>
  <c r="A463" i="6"/>
  <c r="F462" i="6"/>
  <c r="E462" i="6"/>
  <c r="B462" i="6"/>
  <c r="A462" i="6"/>
  <c r="F461" i="6"/>
  <c r="E461" i="6"/>
  <c r="B461" i="6"/>
  <c r="A461" i="6"/>
  <c r="F460" i="6"/>
  <c r="E460" i="6"/>
  <c r="B460" i="6"/>
  <c r="A460" i="6"/>
  <c r="F459" i="6"/>
  <c r="E459" i="6"/>
  <c r="B459" i="6"/>
  <c r="A459" i="6"/>
  <c r="F454" i="6"/>
  <c r="G454" i="6" s="1"/>
  <c r="D454" i="6"/>
  <c r="B454" i="6"/>
  <c r="A454" i="6"/>
  <c r="F453" i="6"/>
  <c r="G453" i="6" s="1"/>
  <c r="D453" i="6"/>
  <c r="B453" i="6"/>
  <c r="A453" i="6"/>
  <c r="F452" i="6"/>
  <c r="G452" i="6" s="1"/>
  <c r="D452" i="6"/>
  <c r="B452" i="6"/>
  <c r="A452" i="6"/>
  <c r="F451" i="6"/>
  <c r="D451" i="6"/>
  <c r="B451" i="6"/>
  <c r="A451" i="6"/>
  <c r="F450" i="6"/>
  <c r="D450" i="6"/>
  <c r="B450" i="6"/>
  <c r="A450" i="6"/>
  <c r="F449" i="6"/>
  <c r="D449" i="6"/>
  <c r="B449" i="6"/>
  <c r="A449" i="6"/>
  <c r="F448" i="6"/>
  <c r="D448" i="6"/>
  <c r="B448" i="6"/>
  <c r="A448" i="6"/>
  <c r="F447" i="6"/>
  <c r="D447" i="6"/>
  <c r="B447" i="6"/>
  <c r="A447" i="6"/>
  <c r="F440" i="6"/>
  <c r="G440" i="6" s="1"/>
  <c r="E440" i="6"/>
  <c r="F439" i="6"/>
  <c r="G439" i="6" s="1"/>
  <c r="E439" i="6"/>
  <c r="F438" i="6"/>
  <c r="G438" i="6" s="1"/>
  <c r="E438" i="6"/>
  <c r="F437" i="6"/>
  <c r="G437" i="6" s="1"/>
  <c r="E437" i="6"/>
  <c r="F436" i="6"/>
  <c r="G436" i="6" s="1"/>
  <c r="E436" i="6"/>
  <c r="F435" i="6"/>
  <c r="G435" i="6" s="1"/>
  <c r="E435" i="6"/>
  <c r="F434" i="6"/>
  <c r="G434" i="6" s="1"/>
  <c r="E434" i="6"/>
  <c r="F433" i="6"/>
  <c r="G433" i="6" s="1"/>
  <c r="E433" i="6"/>
  <c r="G432" i="6"/>
  <c r="G431" i="6"/>
  <c r="B425" i="6"/>
  <c r="G424" i="6"/>
  <c r="B424" i="6"/>
  <c r="B423" i="6"/>
  <c r="B422" i="6"/>
  <c r="G415" i="6"/>
  <c r="G416" i="6" s="1"/>
  <c r="A415" i="6"/>
  <c r="F410" i="6"/>
  <c r="G410" i="6" s="1"/>
  <c r="D410" i="6"/>
  <c r="B410" i="6"/>
  <c r="A410" i="6"/>
  <c r="F409" i="6"/>
  <c r="G409" i="6" s="1"/>
  <c r="D409" i="6"/>
  <c r="B409" i="6"/>
  <c r="A409" i="6"/>
  <c r="F408" i="6"/>
  <c r="G408" i="6" s="1"/>
  <c r="D408" i="6"/>
  <c r="B408" i="6"/>
  <c r="A408" i="6"/>
  <c r="F407" i="6"/>
  <c r="G407" i="6" s="1"/>
  <c r="D407" i="6"/>
  <c r="B407" i="6"/>
  <c r="A407" i="6"/>
  <c r="F406" i="6"/>
  <c r="G406" i="6" s="1"/>
  <c r="D406" i="6"/>
  <c r="B406" i="6"/>
  <c r="A406" i="6"/>
  <c r="F405" i="6"/>
  <c r="G405" i="6" s="1"/>
  <c r="D405" i="6"/>
  <c r="B405" i="6"/>
  <c r="A405" i="6"/>
  <c r="F404" i="6"/>
  <c r="G404" i="6" s="1"/>
  <c r="D404" i="6"/>
  <c r="B404" i="6"/>
  <c r="A404" i="6"/>
  <c r="F403" i="6"/>
  <c r="G403" i="6" s="1"/>
  <c r="D403" i="6"/>
  <c r="B403" i="6"/>
  <c r="A403" i="6"/>
  <c r="F402" i="6"/>
  <c r="G402" i="6" s="1"/>
  <c r="D402" i="6"/>
  <c r="B402" i="6"/>
  <c r="A402" i="6"/>
  <c r="F401" i="6"/>
  <c r="G401" i="6" s="1"/>
  <c r="D401" i="6"/>
  <c r="B401" i="6"/>
  <c r="A401" i="6"/>
  <c r="F400" i="6"/>
  <c r="G400" i="6" s="1"/>
  <c r="D400" i="6"/>
  <c r="B400" i="6"/>
  <c r="A400" i="6"/>
  <c r="F399" i="6"/>
  <c r="G399" i="6" s="1"/>
  <c r="D399" i="6"/>
  <c r="B399" i="6"/>
  <c r="A399" i="6"/>
  <c r="F394" i="6"/>
  <c r="E394" i="6"/>
  <c r="B394" i="6"/>
  <c r="A394" i="6"/>
  <c r="F393" i="6"/>
  <c r="E393" i="6"/>
  <c r="B393" i="6"/>
  <c r="A393" i="6"/>
  <c r="F392" i="6"/>
  <c r="E392" i="6"/>
  <c r="B392" i="6"/>
  <c r="A392" i="6"/>
  <c r="F391" i="6"/>
  <c r="E391" i="6"/>
  <c r="B391" i="6"/>
  <c r="A391" i="6"/>
  <c r="F390" i="6"/>
  <c r="E390" i="6"/>
  <c r="B390" i="6"/>
  <c r="A390" i="6"/>
  <c r="F389" i="6"/>
  <c r="E389" i="6"/>
  <c r="B389" i="6"/>
  <c r="A389" i="6"/>
  <c r="F384" i="6"/>
  <c r="G384" i="6" s="1"/>
  <c r="D384" i="6"/>
  <c r="B384" i="6"/>
  <c r="A384" i="6"/>
  <c r="F383" i="6"/>
  <c r="G383" i="6" s="1"/>
  <c r="D383" i="6"/>
  <c r="B383" i="6"/>
  <c r="A383" i="6"/>
  <c r="F382" i="6"/>
  <c r="G382" i="6" s="1"/>
  <c r="D382" i="6"/>
  <c r="B382" i="6"/>
  <c r="A382" i="6"/>
  <c r="F381" i="6"/>
  <c r="D381" i="6"/>
  <c r="B381" i="6"/>
  <c r="A381" i="6"/>
  <c r="F380" i="6"/>
  <c r="D380" i="6"/>
  <c r="B380" i="6"/>
  <c r="A380" i="6"/>
  <c r="F379" i="6"/>
  <c r="D379" i="6"/>
  <c r="B379" i="6"/>
  <c r="A379" i="6"/>
  <c r="F378" i="6"/>
  <c r="D378" i="6"/>
  <c r="B378" i="6"/>
  <c r="A378" i="6"/>
  <c r="F377" i="6"/>
  <c r="D377" i="6"/>
  <c r="B377" i="6"/>
  <c r="A377" i="6"/>
  <c r="F370" i="6"/>
  <c r="G370" i="6" s="1"/>
  <c r="E370" i="6"/>
  <c r="F369" i="6"/>
  <c r="G369" i="6" s="1"/>
  <c r="E369" i="6"/>
  <c r="F368" i="6"/>
  <c r="G368" i="6" s="1"/>
  <c r="E368" i="6"/>
  <c r="F367" i="6"/>
  <c r="G367" i="6" s="1"/>
  <c r="E367" i="6"/>
  <c r="F366" i="6"/>
  <c r="G366" i="6" s="1"/>
  <c r="E366" i="6"/>
  <c r="F365" i="6"/>
  <c r="G365" i="6" s="1"/>
  <c r="E365" i="6"/>
  <c r="F364" i="6"/>
  <c r="G364" i="6" s="1"/>
  <c r="E364" i="6"/>
  <c r="F363" i="6"/>
  <c r="G363" i="6" s="1"/>
  <c r="E363" i="6"/>
  <c r="G362" i="6"/>
  <c r="G361" i="6"/>
  <c r="B355" i="6"/>
  <c r="G354" i="6"/>
  <c r="B354" i="6"/>
  <c r="B353" i="6"/>
  <c r="B352" i="6"/>
  <c r="G345" i="6"/>
  <c r="G346" i="6" s="1"/>
  <c r="A345" i="6"/>
  <c r="F340" i="6"/>
  <c r="G340" i="6" s="1"/>
  <c r="D340" i="6"/>
  <c r="B340" i="6"/>
  <c r="A340" i="6"/>
  <c r="F339" i="6"/>
  <c r="G339" i="6" s="1"/>
  <c r="D339" i="6"/>
  <c r="B339" i="6"/>
  <c r="A339" i="6"/>
  <c r="F338" i="6"/>
  <c r="G338" i="6" s="1"/>
  <c r="D338" i="6"/>
  <c r="B338" i="6"/>
  <c r="A338" i="6"/>
  <c r="F337" i="6"/>
  <c r="G337" i="6" s="1"/>
  <c r="D337" i="6"/>
  <c r="B337" i="6"/>
  <c r="A337" i="6"/>
  <c r="F336" i="6"/>
  <c r="G336" i="6" s="1"/>
  <c r="D336" i="6"/>
  <c r="B336" i="6"/>
  <c r="A336" i="6"/>
  <c r="F335" i="6"/>
  <c r="G335" i="6" s="1"/>
  <c r="D335" i="6"/>
  <c r="B335" i="6"/>
  <c r="A335" i="6"/>
  <c r="F334" i="6"/>
  <c r="G334" i="6" s="1"/>
  <c r="D334" i="6"/>
  <c r="B334" i="6"/>
  <c r="A334" i="6"/>
  <c r="F333" i="6"/>
  <c r="G333" i="6" s="1"/>
  <c r="D333" i="6"/>
  <c r="B333" i="6"/>
  <c r="A333" i="6"/>
  <c r="F332" i="6"/>
  <c r="G332" i="6" s="1"/>
  <c r="D332" i="6"/>
  <c r="B332" i="6"/>
  <c r="A332" i="6"/>
  <c r="F331" i="6"/>
  <c r="G331" i="6" s="1"/>
  <c r="D331" i="6"/>
  <c r="B331" i="6"/>
  <c r="A331" i="6"/>
  <c r="F330" i="6"/>
  <c r="G330" i="6" s="1"/>
  <c r="D330" i="6"/>
  <c r="B330" i="6"/>
  <c r="A330" i="6"/>
  <c r="F329" i="6"/>
  <c r="G329" i="6" s="1"/>
  <c r="D329" i="6"/>
  <c r="B329" i="6"/>
  <c r="A329" i="6"/>
  <c r="F324" i="6"/>
  <c r="E324" i="6"/>
  <c r="B324" i="6"/>
  <c r="A324" i="6"/>
  <c r="F323" i="6"/>
  <c r="E323" i="6"/>
  <c r="B323" i="6"/>
  <c r="A323" i="6"/>
  <c r="F322" i="6"/>
  <c r="E322" i="6"/>
  <c r="B322" i="6"/>
  <c r="A322" i="6"/>
  <c r="F321" i="6"/>
  <c r="E321" i="6"/>
  <c r="B321" i="6"/>
  <c r="A321" i="6"/>
  <c r="F320" i="6"/>
  <c r="E320" i="6"/>
  <c r="B320" i="6"/>
  <c r="A320" i="6"/>
  <c r="F319" i="6"/>
  <c r="E319" i="6"/>
  <c r="B319" i="6"/>
  <c r="A319" i="6"/>
  <c r="F314" i="6"/>
  <c r="G314" i="6" s="1"/>
  <c r="D314" i="6"/>
  <c r="B314" i="6"/>
  <c r="A314" i="6"/>
  <c r="F313" i="6"/>
  <c r="G313" i="6" s="1"/>
  <c r="D313" i="6"/>
  <c r="B313" i="6"/>
  <c r="A313" i="6"/>
  <c r="F312" i="6"/>
  <c r="G312" i="6" s="1"/>
  <c r="D312" i="6"/>
  <c r="B312" i="6"/>
  <c r="A312" i="6"/>
  <c r="F311" i="6"/>
  <c r="D311" i="6"/>
  <c r="B311" i="6"/>
  <c r="A311" i="6"/>
  <c r="F310" i="6"/>
  <c r="D310" i="6"/>
  <c r="B310" i="6"/>
  <c r="A310" i="6"/>
  <c r="F309" i="6"/>
  <c r="D309" i="6"/>
  <c r="B309" i="6"/>
  <c r="A309" i="6"/>
  <c r="F308" i="6"/>
  <c r="D308" i="6"/>
  <c r="B308" i="6"/>
  <c r="A308" i="6"/>
  <c r="F307" i="6"/>
  <c r="D307" i="6"/>
  <c r="B307" i="6"/>
  <c r="A307" i="6"/>
  <c r="F300" i="6"/>
  <c r="G300" i="6" s="1"/>
  <c r="E300" i="6"/>
  <c r="F299" i="6"/>
  <c r="G299" i="6" s="1"/>
  <c r="E299" i="6"/>
  <c r="F298" i="6"/>
  <c r="G298" i="6" s="1"/>
  <c r="E298" i="6"/>
  <c r="F297" i="6"/>
  <c r="G297" i="6" s="1"/>
  <c r="E297" i="6"/>
  <c r="F296" i="6"/>
  <c r="G296" i="6" s="1"/>
  <c r="E296" i="6"/>
  <c r="F295" i="6"/>
  <c r="G295" i="6" s="1"/>
  <c r="E295" i="6"/>
  <c r="F294" i="6"/>
  <c r="G294" i="6" s="1"/>
  <c r="E294" i="6"/>
  <c r="F293" i="6"/>
  <c r="G293" i="6" s="1"/>
  <c r="E293" i="6"/>
  <c r="G292" i="6"/>
  <c r="G291" i="6"/>
  <c r="B285" i="6"/>
  <c r="G284" i="6"/>
  <c r="B284" i="6"/>
  <c r="B283" i="6"/>
  <c r="B282" i="6"/>
  <c r="G275" i="6"/>
  <c r="G276" i="6" s="1"/>
  <c r="A275" i="6"/>
  <c r="F270" i="6"/>
  <c r="G270" i="6" s="1"/>
  <c r="D270" i="6"/>
  <c r="B270" i="6"/>
  <c r="A270" i="6"/>
  <c r="F269" i="6"/>
  <c r="G269" i="6" s="1"/>
  <c r="D269" i="6"/>
  <c r="B269" i="6"/>
  <c r="A269" i="6"/>
  <c r="F268" i="6"/>
  <c r="G268" i="6" s="1"/>
  <c r="D268" i="6"/>
  <c r="B268" i="6"/>
  <c r="A268" i="6"/>
  <c r="F267" i="6"/>
  <c r="G267" i="6" s="1"/>
  <c r="D267" i="6"/>
  <c r="B267" i="6"/>
  <c r="A267" i="6"/>
  <c r="F266" i="6"/>
  <c r="G266" i="6" s="1"/>
  <c r="D266" i="6"/>
  <c r="B266" i="6"/>
  <c r="A266" i="6"/>
  <c r="F265" i="6"/>
  <c r="G265" i="6" s="1"/>
  <c r="D265" i="6"/>
  <c r="B265" i="6"/>
  <c r="A265" i="6"/>
  <c r="F264" i="6"/>
  <c r="G264" i="6" s="1"/>
  <c r="D264" i="6"/>
  <c r="B264" i="6"/>
  <c r="A264" i="6"/>
  <c r="F263" i="6"/>
  <c r="G263" i="6" s="1"/>
  <c r="D263" i="6"/>
  <c r="B263" i="6"/>
  <c r="A263" i="6"/>
  <c r="F262" i="6"/>
  <c r="G262" i="6" s="1"/>
  <c r="D262" i="6"/>
  <c r="B262" i="6"/>
  <c r="A262" i="6"/>
  <c r="F261" i="6"/>
  <c r="G261" i="6" s="1"/>
  <c r="D261" i="6"/>
  <c r="B261" i="6"/>
  <c r="A261" i="6"/>
  <c r="F260" i="6"/>
  <c r="G260" i="6" s="1"/>
  <c r="D260" i="6"/>
  <c r="B260" i="6"/>
  <c r="A260" i="6"/>
  <c r="F259" i="6"/>
  <c r="G259" i="6" s="1"/>
  <c r="D259" i="6"/>
  <c r="B259" i="6"/>
  <c r="A259" i="6"/>
  <c r="F254" i="6"/>
  <c r="E254" i="6"/>
  <c r="B254" i="6"/>
  <c r="A254" i="6"/>
  <c r="F253" i="6"/>
  <c r="E253" i="6"/>
  <c r="B253" i="6"/>
  <c r="A253" i="6"/>
  <c r="F252" i="6"/>
  <c r="E252" i="6"/>
  <c r="B252" i="6"/>
  <c r="A252" i="6"/>
  <c r="F251" i="6"/>
  <c r="E251" i="6"/>
  <c r="B251" i="6"/>
  <c r="A251" i="6"/>
  <c r="F250" i="6"/>
  <c r="E250" i="6"/>
  <c r="B250" i="6"/>
  <c r="A250" i="6"/>
  <c r="F249" i="6"/>
  <c r="E249" i="6"/>
  <c r="B249" i="6"/>
  <c r="A249" i="6"/>
  <c r="F244" i="6"/>
  <c r="G244" i="6" s="1"/>
  <c r="D244" i="6"/>
  <c r="B244" i="6"/>
  <c r="A244" i="6"/>
  <c r="F243" i="6"/>
  <c r="G243" i="6" s="1"/>
  <c r="D243" i="6"/>
  <c r="B243" i="6"/>
  <c r="A243" i="6"/>
  <c r="F242" i="6"/>
  <c r="G242" i="6" s="1"/>
  <c r="D242" i="6"/>
  <c r="B242" i="6"/>
  <c r="A242" i="6"/>
  <c r="F241" i="6"/>
  <c r="D241" i="6"/>
  <c r="B241" i="6"/>
  <c r="A241" i="6"/>
  <c r="F240" i="6"/>
  <c r="D240" i="6"/>
  <c r="B240" i="6"/>
  <c r="A240" i="6"/>
  <c r="F239" i="6"/>
  <c r="D239" i="6"/>
  <c r="B239" i="6"/>
  <c r="A239" i="6"/>
  <c r="F238" i="6"/>
  <c r="D238" i="6"/>
  <c r="B238" i="6"/>
  <c r="A238" i="6"/>
  <c r="F237" i="6"/>
  <c r="D237" i="6"/>
  <c r="B237" i="6"/>
  <c r="A237" i="6"/>
  <c r="F230" i="6"/>
  <c r="G230" i="6" s="1"/>
  <c r="E230" i="6"/>
  <c r="F229" i="6"/>
  <c r="G229" i="6" s="1"/>
  <c r="E229" i="6"/>
  <c r="F228" i="6"/>
  <c r="G228" i="6" s="1"/>
  <c r="E228" i="6"/>
  <c r="F227" i="6"/>
  <c r="G227" i="6" s="1"/>
  <c r="E227" i="6"/>
  <c r="F226" i="6"/>
  <c r="G226" i="6" s="1"/>
  <c r="E226" i="6"/>
  <c r="F225" i="6"/>
  <c r="G225" i="6" s="1"/>
  <c r="E225" i="6"/>
  <c r="F224" i="6"/>
  <c r="G224" i="6" s="1"/>
  <c r="E224" i="6"/>
  <c r="F223" i="6"/>
  <c r="G223" i="6" s="1"/>
  <c r="E223" i="6"/>
  <c r="G222" i="6"/>
  <c r="G221" i="6"/>
  <c r="B215" i="6"/>
  <c r="G214" i="6"/>
  <c r="B214" i="6"/>
  <c r="B213" i="6"/>
  <c r="B212" i="6"/>
  <c r="G205" i="6"/>
  <c r="G206" i="6" s="1"/>
  <c r="A205" i="6"/>
  <c r="F200" i="6"/>
  <c r="G200" i="6" s="1"/>
  <c r="D200" i="6"/>
  <c r="B200" i="6"/>
  <c r="A200" i="6"/>
  <c r="F199" i="6"/>
  <c r="G199" i="6" s="1"/>
  <c r="D199" i="6"/>
  <c r="B199" i="6"/>
  <c r="A199" i="6"/>
  <c r="F198" i="6"/>
  <c r="G198" i="6" s="1"/>
  <c r="D198" i="6"/>
  <c r="B198" i="6"/>
  <c r="A198" i="6"/>
  <c r="F197" i="6"/>
  <c r="G197" i="6" s="1"/>
  <c r="D197" i="6"/>
  <c r="B197" i="6"/>
  <c r="A197" i="6"/>
  <c r="F196" i="6"/>
  <c r="G196" i="6" s="1"/>
  <c r="D196" i="6"/>
  <c r="B196" i="6"/>
  <c r="A196" i="6"/>
  <c r="F195" i="6"/>
  <c r="G195" i="6" s="1"/>
  <c r="D195" i="6"/>
  <c r="B195" i="6"/>
  <c r="A195" i="6"/>
  <c r="F194" i="6"/>
  <c r="G194" i="6" s="1"/>
  <c r="D194" i="6"/>
  <c r="B194" i="6"/>
  <c r="A194" i="6"/>
  <c r="F193" i="6"/>
  <c r="G193" i="6" s="1"/>
  <c r="D193" i="6"/>
  <c r="B193" i="6"/>
  <c r="A193" i="6"/>
  <c r="F192" i="6"/>
  <c r="G192" i="6" s="1"/>
  <c r="D192" i="6"/>
  <c r="B192" i="6"/>
  <c r="A192" i="6"/>
  <c r="F191" i="6"/>
  <c r="G191" i="6" s="1"/>
  <c r="D191" i="6"/>
  <c r="B191" i="6"/>
  <c r="A191" i="6"/>
  <c r="F190" i="6"/>
  <c r="G190" i="6" s="1"/>
  <c r="D190" i="6"/>
  <c r="B190" i="6"/>
  <c r="A190" i="6"/>
  <c r="F189" i="6"/>
  <c r="G189" i="6" s="1"/>
  <c r="D189" i="6"/>
  <c r="B189" i="6"/>
  <c r="A189" i="6"/>
  <c r="F184" i="6"/>
  <c r="E184" i="6"/>
  <c r="B184" i="6"/>
  <c r="A184" i="6"/>
  <c r="F183" i="6"/>
  <c r="E183" i="6"/>
  <c r="B183" i="6"/>
  <c r="A183" i="6"/>
  <c r="F182" i="6"/>
  <c r="E182" i="6"/>
  <c r="B182" i="6"/>
  <c r="A182" i="6"/>
  <c r="F181" i="6"/>
  <c r="E181" i="6"/>
  <c r="B181" i="6"/>
  <c r="A181" i="6"/>
  <c r="F180" i="6"/>
  <c r="E180" i="6"/>
  <c r="B180" i="6"/>
  <c r="A180" i="6"/>
  <c r="F179" i="6"/>
  <c r="E179" i="6"/>
  <c r="B179" i="6"/>
  <c r="A179" i="6"/>
  <c r="F174" i="6"/>
  <c r="G174" i="6" s="1"/>
  <c r="D174" i="6"/>
  <c r="B174" i="6"/>
  <c r="A174" i="6"/>
  <c r="F173" i="6"/>
  <c r="G173" i="6" s="1"/>
  <c r="D173" i="6"/>
  <c r="B173" i="6"/>
  <c r="A173" i="6"/>
  <c r="F172" i="6"/>
  <c r="G172" i="6" s="1"/>
  <c r="D172" i="6"/>
  <c r="B172" i="6"/>
  <c r="A172" i="6"/>
  <c r="F171" i="6"/>
  <c r="D171" i="6"/>
  <c r="B171" i="6"/>
  <c r="A171" i="6"/>
  <c r="F170" i="6"/>
  <c r="D170" i="6"/>
  <c r="B170" i="6"/>
  <c r="A170" i="6"/>
  <c r="F169" i="6"/>
  <c r="D169" i="6"/>
  <c r="B169" i="6"/>
  <c r="A169" i="6"/>
  <c r="F168" i="6"/>
  <c r="D168" i="6"/>
  <c r="B168" i="6"/>
  <c r="A168" i="6"/>
  <c r="F167" i="6"/>
  <c r="D167" i="6"/>
  <c r="B167" i="6"/>
  <c r="A167" i="6"/>
  <c r="F160" i="6"/>
  <c r="G160" i="6" s="1"/>
  <c r="E160" i="6"/>
  <c r="F159" i="6"/>
  <c r="G159" i="6" s="1"/>
  <c r="E159" i="6"/>
  <c r="F158" i="6"/>
  <c r="G158" i="6" s="1"/>
  <c r="E158" i="6"/>
  <c r="F157" i="6"/>
  <c r="G157" i="6" s="1"/>
  <c r="E157" i="6"/>
  <c r="F156" i="6"/>
  <c r="G156" i="6" s="1"/>
  <c r="E156" i="6"/>
  <c r="F155" i="6"/>
  <c r="G155" i="6" s="1"/>
  <c r="E155" i="6"/>
  <c r="F154" i="6"/>
  <c r="G154" i="6" s="1"/>
  <c r="E154" i="6"/>
  <c r="F153" i="6"/>
  <c r="G153" i="6" s="1"/>
  <c r="E153" i="6"/>
  <c r="G152" i="6"/>
  <c r="G151" i="6"/>
  <c r="B145" i="6"/>
  <c r="G144" i="6"/>
  <c r="B144" i="6"/>
  <c r="B143" i="6"/>
  <c r="B142" i="6"/>
  <c r="G135" i="6"/>
  <c r="G136" i="6" s="1"/>
  <c r="A135" i="6"/>
  <c r="F130" i="6"/>
  <c r="G130" i="6" s="1"/>
  <c r="D130" i="6"/>
  <c r="B130" i="6"/>
  <c r="A130" i="6"/>
  <c r="F129" i="6"/>
  <c r="G129" i="6" s="1"/>
  <c r="D129" i="6"/>
  <c r="B129" i="6"/>
  <c r="A129" i="6"/>
  <c r="F128" i="6"/>
  <c r="G128" i="6" s="1"/>
  <c r="D128" i="6"/>
  <c r="B128" i="6"/>
  <c r="A128" i="6"/>
  <c r="F127" i="6"/>
  <c r="G127" i="6" s="1"/>
  <c r="D127" i="6"/>
  <c r="B127" i="6"/>
  <c r="A127" i="6"/>
  <c r="F126" i="6"/>
  <c r="G126" i="6" s="1"/>
  <c r="D126" i="6"/>
  <c r="B126" i="6"/>
  <c r="A126" i="6"/>
  <c r="F125" i="6"/>
  <c r="G125" i="6" s="1"/>
  <c r="D125" i="6"/>
  <c r="B125" i="6"/>
  <c r="A125" i="6"/>
  <c r="F124" i="6"/>
  <c r="G124" i="6" s="1"/>
  <c r="D124" i="6"/>
  <c r="B124" i="6"/>
  <c r="A124" i="6"/>
  <c r="F123" i="6"/>
  <c r="G123" i="6" s="1"/>
  <c r="D123" i="6"/>
  <c r="B123" i="6"/>
  <c r="A123" i="6"/>
  <c r="F122" i="6"/>
  <c r="G122" i="6" s="1"/>
  <c r="D122" i="6"/>
  <c r="B122" i="6"/>
  <c r="A122" i="6"/>
  <c r="F121" i="6"/>
  <c r="G121" i="6" s="1"/>
  <c r="D121" i="6"/>
  <c r="B121" i="6"/>
  <c r="A121" i="6"/>
  <c r="F120" i="6"/>
  <c r="G120" i="6" s="1"/>
  <c r="D120" i="6"/>
  <c r="B120" i="6"/>
  <c r="A120" i="6"/>
  <c r="F119" i="6"/>
  <c r="G119" i="6" s="1"/>
  <c r="D119" i="6"/>
  <c r="B119" i="6"/>
  <c r="A119" i="6"/>
  <c r="F114" i="6"/>
  <c r="E114" i="6"/>
  <c r="B114" i="6"/>
  <c r="A114" i="6"/>
  <c r="F113" i="6"/>
  <c r="E113" i="6"/>
  <c r="B113" i="6"/>
  <c r="A113" i="6"/>
  <c r="F112" i="6"/>
  <c r="E112" i="6"/>
  <c r="B112" i="6"/>
  <c r="A112" i="6"/>
  <c r="F111" i="6"/>
  <c r="E111" i="6"/>
  <c r="B111" i="6"/>
  <c r="A111" i="6"/>
  <c r="F110" i="6"/>
  <c r="E110" i="6"/>
  <c r="B110" i="6"/>
  <c r="A110" i="6"/>
  <c r="F109" i="6"/>
  <c r="E109" i="6"/>
  <c r="B109" i="6"/>
  <c r="A109" i="6"/>
  <c r="F104" i="6"/>
  <c r="G104" i="6" s="1"/>
  <c r="D104" i="6"/>
  <c r="B104" i="6"/>
  <c r="A104" i="6"/>
  <c r="F103" i="6"/>
  <c r="G103" i="6" s="1"/>
  <c r="D103" i="6"/>
  <c r="B103" i="6"/>
  <c r="A103" i="6"/>
  <c r="F102" i="6"/>
  <c r="G102" i="6" s="1"/>
  <c r="D102" i="6"/>
  <c r="B102" i="6"/>
  <c r="A102" i="6"/>
  <c r="F101" i="6"/>
  <c r="D101" i="6"/>
  <c r="B101" i="6"/>
  <c r="A101" i="6"/>
  <c r="F100" i="6"/>
  <c r="D100" i="6"/>
  <c r="B100" i="6"/>
  <c r="A100" i="6"/>
  <c r="F99" i="6"/>
  <c r="D99" i="6"/>
  <c r="B99" i="6"/>
  <c r="A99" i="6"/>
  <c r="F98" i="6"/>
  <c r="D98" i="6"/>
  <c r="B98" i="6"/>
  <c r="A98" i="6"/>
  <c r="F97" i="6"/>
  <c r="D97" i="6"/>
  <c r="B97" i="6"/>
  <c r="A97" i="6"/>
  <c r="F90" i="6"/>
  <c r="G90" i="6" s="1"/>
  <c r="E90" i="6"/>
  <c r="F89" i="6"/>
  <c r="G89" i="6" s="1"/>
  <c r="E89" i="6"/>
  <c r="F88" i="6"/>
  <c r="G88" i="6" s="1"/>
  <c r="E88" i="6"/>
  <c r="F87" i="6"/>
  <c r="G87" i="6" s="1"/>
  <c r="E87" i="6"/>
  <c r="F86" i="6"/>
  <c r="G86" i="6" s="1"/>
  <c r="E86" i="6"/>
  <c r="F85" i="6"/>
  <c r="G85" i="6" s="1"/>
  <c r="E85" i="6"/>
  <c r="F84" i="6"/>
  <c r="G84" i="6" s="1"/>
  <c r="E84" i="6"/>
  <c r="F83" i="6"/>
  <c r="G83" i="6" s="1"/>
  <c r="E83" i="6"/>
  <c r="G82" i="6"/>
  <c r="G81" i="6"/>
  <c r="B75" i="6"/>
  <c r="G74" i="6"/>
  <c r="B74" i="6"/>
  <c r="B73" i="6"/>
  <c r="B72" i="6"/>
  <c r="B37" i="18"/>
  <c r="A6" i="18"/>
  <c r="A5" i="18"/>
  <c r="A4" i="18"/>
  <c r="A3" i="18"/>
  <c r="A2" i="18"/>
  <c r="A1" i="18"/>
  <c r="I13" i="18"/>
  <c r="I14" i="18"/>
  <c r="O7" i="21"/>
  <c r="O7" i="20"/>
  <c r="I60" i="20" s="1"/>
  <c r="P64" i="21"/>
  <c r="G64" i="21"/>
  <c r="F64" i="21"/>
  <c r="E64" i="21"/>
  <c r="I64" i="21" s="1"/>
  <c r="C64" i="21"/>
  <c r="G63" i="21"/>
  <c r="F63" i="21"/>
  <c r="P63" i="21" s="1"/>
  <c r="E63" i="21"/>
  <c r="C63" i="21"/>
  <c r="G62" i="21"/>
  <c r="F62" i="21"/>
  <c r="P62" i="21" s="1"/>
  <c r="C62" i="21"/>
  <c r="E62" i="21" s="1"/>
  <c r="G61" i="21"/>
  <c r="F61" i="21"/>
  <c r="P61" i="21" s="1"/>
  <c r="C61" i="21"/>
  <c r="P60" i="21"/>
  <c r="G60" i="21"/>
  <c r="F60" i="21"/>
  <c r="E60" i="21"/>
  <c r="I60" i="21" s="1"/>
  <c r="C60" i="21"/>
  <c r="G59" i="21"/>
  <c r="F59" i="21"/>
  <c r="P59" i="21" s="1"/>
  <c r="C59" i="21"/>
  <c r="E59" i="21" s="1"/>
  <c r="N59" i="21" s="1"/>
  <c r="G58" i="21"/>
  <c r="F58" i="21"/>
  <c r="P58" i="21" s="1"/>
  <c r="C58" i="21"/>
  <c r="E58" i="21" s="1"/>
  <c r="G57" i="21"/>
  <c r="F57" i="21"/>
  <c r="P57" i="21" s="1"/>
  <c r="C57" i="21"/>
  <c r="G56" i="21"/>
  <c r="F56" i="21"/>
  <c r="P56" i="21" s="1"/>
  <c r="E56" i="21"/>
  <c r="C56" i="21"/>
  <c r="G55" i="21"/>
  <c r="F55" i="21"/>
  <c r="P55" i="21" s="1"/>
  <c r="C55" i="21"/>
  <c r="E55" i="21" s="1"/>
  <c r="N55" i="21" s="1"/>
  <c r="P54" i="21"/>
  <c r="G54" i="21"/>
  <c r="F54" i="21"/>
  <c r="C54" i="21"/>
  <c r="E54" i="21" s="1"/>
  <c r="P53" i="21"/>
  <c r="G53" i="21"/>
  <c r="F53" i="21"/>
  <c r="C53" i="21"/>
  <c r="P52" i="21"/>
  <c r="G52" i="21"/>
  <c r="F52" i="21"/>
  <c r="E52" i="21"/>
  <c r="C52" i="21"/>
  <c r="G51" i="21"/>
  <c r="F51" i="21"/>
  <c r="P51" i="21" s="1"/>
  <c r="E51" i="21"/>
  <c r="C51" i="21"/>
  <c r="P50" i="21"/>
  <c r="G50" i="21"/>
  <c r="F50" i="21"/>
  <c r="C50" i="21"/>
  <c r="E50" i="21" s="1"/>
  <c r="N50" i="21" s="1"/>
  <c r="G49" i="21"/>
  <c r="F49" i="21"/>
  <c r="P49" i="21" s="1"/>
  <c r="C49" i="21"/>
  <c r="G48" i="21"/>
  <c r="F48" i="21"/>
  <c r="P48" i="21" s="1"/>
  <c r="E48" i="21"/>
  <c r="C48" i="21"/>
  <c r="G47" i="21"/>
  <c r="F47" i="21"/>
  <c r="P47" i="21" s="1"/>
  <c r="E47" i="21"/>
  <c r="I47" i="21" s="1"/>
  <c r="C47" i="21"/>
  <c r="G46" i="21"/>
  <c r="F46" i="21"/>
  <c r="P46" i="21" s="1"/>
  <c r="C46" i="21"/>
  <c r="E46" i="21" s="1"/>
  <c r="N46" i="21" s="1"/>
  <c r="P45" i="21"/>
  <c r="G45" i="21"/>
  <c r="F45" i="21"/>
  <c r="E45" i="21"/>
  <c r="I45" i="21" s="1"/>
  <c r="C45" i="21"/>
  <c r="G44" i="21"/>
  <c r="F44" i="21"/>
  <c r="P44" i="21" s="1"/>
  <c r="E44" i="21"/>
  <c r="C44" i="21"/>
  <c r="G43" i="21"/>
  <c r="F43" i="21"/>
  <c r="P43" i="21" s="1"/>
  <c r="E43" i="21"/>
  <c r="N43" i="21" s="1"/>
  <c r="C43" i="21"/>
  <c r="P42" i="21"/>
  <c r="G42" i="21"/>
  <c r="F42" i="21"/>
  <c r="C42" i="21"/>
  <c r="E42" i="21" s="1"/>
  <c r="P41" i="21"/>
  <c r="G41" i="21"/>
  <c r="F41" i="21"/>
  <c r="C41" i="21"/>
  <c r="E41" i="21" s="1"/>
  <c r="N41" i="21" s="1"/>
  <c r="P40" i="21"/>
  <c r="G40" i="21"/>
  <c r="F40" i="21"/>
  <c r="E40" i="21"/>
  <c r="C40" i="21"/>
  <c r="G39" i="21"/>
  <c r="M39" i="21" s="1"/>
  <c r="F39" i="21"/>
  <c r="P39" i="21" s="1"/>
  <c r="E39" i="21"/>
  <c r="N39" i="21" s="1"/>
  <c r="C39" i="21"/>
  <c r="P38" i="21"/>
  <c r="G38" i="21"/>
  <c r="F38" i="21"/>
  <c r="C38" i="21"/>
  <c r="E38" i="21" s="1"/>
  <c r="N38" i="21" s="1"/>
  <c r="P37" i="21"/>
  <c r="G37" i="21"/>
  <c r="F37" i="21"/>
  <c r="C37" i="21"/>
  <c r="E37" i="21" s="1"/>
  <c r="I37" i="21" s="1"/>
  <c r="G36" i="21"/>
  <c r="F36" i="21"/>
  <c r="P36" i="21" s="1"/>
  <c r="C36" i="21"/>
  <c r="E36" i="21" s="1"/>
  <c r="G35" i="21"/>
  <c r="F35" i="21"/>
  <c r="P35" i="21" s="1"/>
  <c r="E35" i="21"/>
  <c r="C35" i="21"/>
  <c r="G34" i="21"/>
  <c r="F34" i="21"/>
  <c r="P34" i="21" s="1"/>
  <c r="C34" i="21"/>
  <c r="E34" i="21" s="1"/>
  <c r="G33" i="21"/>
  <c r="F33" i="21"/>
  <c r="P33" i="21" s="1"/>
  <c r="C33" i="21"/>
  <c r="E33" i="21" s="1"/>
  <c r="N33" i="21" s="1"/>
  <c r="G32" i="21"/>
  <c r="F32" i="21"/>
  <c r="P32" i="21" s="1"/>
  <c r="C32" i="21"/>
  <c r="E32" i="21" s="1"/>
  <c r="G31" i="21"/>
  <c r="F31" i="21"/>
  <c r="P31" i="21" s="1"/>
  <c r="C31" i="21"/>
  <c r="G30" i="21"/>
  <c r="F30" i="21"/>
  <c r="P30" i="21" s="1"/>
  <c r="C30" i="21"/>
  <c r="E30" i="21" s="1"/>
  <c r="O22" i="21"/>
  <c r="O19" i="21"/>
  <c r="M44" i="21" s="1"/>
  <c r="O16" i="21"/>
  <c r="O13" i="21"/>
  <c r="O4" i="21"/>
  <c r="O10" i="21" s="1"/>
  <c r="P64" i="20"/>
  <c r="G64" i="20"/>
  <c r="C64" i="20"/>
  <c r="E64" i="20" s="1"/>
  <c r="N64" i="20" s="1"/>
  <c r="P63" i="20"/>
  <c r="G63" i="20"/>
  <c r="C63" i="20"/>
  <c r="E63" i="20" s="1"/>
  <c r="N63" i="20" s="1"/>
  <c r="P62" i="20"/>
  <c r="G62" i="20"/>
  <c r="C62" i="20"/>
  <c r="E62" i="20" s="1"/>
  <c r="N62" i="20" s="1"/>
  <c r="P61" i="20"/>
  <c r="G61" i="20"/>
  <c r="C61" i="20"/>
  <c r="E61" i="20" s="1"/>
  <c r="N61" i="20" s="1"/>
  <c r="P60" i="20"/>
  <c r="G60" i="20"/>
  <c r="C60" i="20"/>
  <c r="E60" i="20" s="1"/>
  <c r="N60" i="20" s="1"/>
  <c r="P59" i="20"/>
  <c r="G59" i="20"/>
  <c r="C59" i="20"/>
  <c r="E59" i="20" s="1"/>
  <c r="N59" i="20" s="1"/>
  <c r="P58" i="20"/>
  <c r="G58" i="20"/>
  <c r="C58" i="20"/>
  <c r="E58" i="20" s="1"/>
  <c r="N58" i="20" s="1"/>
  <c r="P57" i="20"/>
  <c r="G57" i="20"/>
  <c r="C57" i="20"/>
  <c r="E57" i="20" s="1"/>
  <c r="N57" i="20" s="1"/>
  <c r="P56" i="20"/>
  <c r="G56" i="20"/>
  <c r="C56" i="20"/>
  <c r="E56" i="20" s="1"/>
  <c r="N56" i="20" s="1"/>
  <c r="P55" i="20"/>
  <c r="G55" i="20"/>
  <c r="C55" i="20"/>
  <c r="E55" i="20" s="1"/>
  <c r="N55" i="20" s="1"/>
  <c r="P54" i="20"/>
  <c r="G54" i="20"/>
  <c r="C54" i="20"/>
  <c r="E54" i="20" s="1"/>
  <c r="N54" i="20" s="1"/>
  <c r="P53" i="20"/>
  <c r="G53" i="20"/>
  <c r="C53" i="20"/>
  <c r="E53" i="20" s="1"/>
  <c r="N53" i="20" s="1"/>
  <c r="P52" i="20"/>
  <c r="G52" i="20"/>
  <c r="C52" i="20"/>
  <c r="E52" i="20" s="1"/>
  <c r="N52" i="20" s="1"/>
  <c r="P51" i="20"/>
  <c r="G51" i="20"/>
  <c r="C51" i="20"/>
  <c r="E51" i="20" s="1"/>
  <c r="N51" i="20" s="1"/>
  <c r="P50" i="20"/>
  <c r="G50" i="20"/>
  <c r="C50" i="20"/>
  <c r="E50" i="20" s="1"/>
  <c r="N50" i="20" s="1"/>
  <c r="P49" i="20"/>
  <c r="G49" i="20"/>
  <c r="M49" i="20" s="1"/>
  <c r="C49" i="20"/>
  <c r="E49" i="20" s="1"/>
  <c r="N49" i="20" s="1"/>
  <c r="P48" i="20"/>
  <c r="K48" i="20"/>
  <c r="G48" i="20"/>
  <c r="E48" i="20"/>
  <c r="N48" i="20" s="1"/>
  <c r="C48" i="20"/>
  <c r="P47" i="20"/>
  <c r="G47" i="20"/>
  <c r="E47" i="20"/>
  <c r="N47" i="20" s="1"/>
  <c r="C47" i="20"/>
  <c r="P46" i="20"/>
  <c r="G46" i="20"/>
  <c r="E46" i="20"/>
  <c r="N46" i="20" s="1"/>
  <c r="C46" i="20"/>
  <c r="P45" i="20"/>
  <c r="G45" i="20"/>
  <c r="E45" i="20"/>
  <c r="N45" i="20" s="1"/>
  <c r="C45" i="20"/>
  <c r="P44" i="20"/>
  <c r="G44" i="20"/>
  <c r="C44" i="20"/>
  <c r="E44" i="20" s="1"/>
  <c r="N44" i="20" s="1"/>
  <c r="P43" i="20"/>
  <c r="G43" i="20"/>
  <c r="C43" i="20"/>
  <c r="E43" i="20" s="1"/>
  <c r="N43" i="20" s="1"/>
  <c r="P42" i="20"/>
  <c r="K42" i="20"/>
  <c r="G42" i="20"/>
  <c r="E42" i="20"/>
  <c r="N42" i="20" s="1"/>
  <c r="C42" i="20"/>
  <c r="P41" i="20"/>
  <c r="G41" i="20"/>
  <c r="E41" i="20"/>
  <c r="N41" i="20" s="1"/>
  <c r="C41" i="20"/>
  <c r="P40" i="20"/>
  <c r="G40" i="20"/>
  <c r="E40" i="20"/>
  <c r="N40" i="20" s="1"/>
  <c r="C40" i="20"/>
  <c r="P39" i="20"/>
  <c r="G39" i="20"/>
  <c r="E39" i="20"/>
  <c r="N39" i="20" s="1"/>
  <c r="C39" i="20"/>
  <c r="P38" i="20"/>
  <c r="G38" i="20"/>
  <c r="C38" i="20"/>
  <c r="E38" i="20" s="1"/>
  <c r="P37" i="20"/>
  <c r="G37" i="20"/>
  <c r="C37" i="20"/>
  <c r="E37" i="20" s="1"/>
  <c r="N37" i="20" s="1"/>
  <c r="P36" i="20"/>
  <c r="G36" i="20"/>
  <c r="E36" i="20"/>
  <c r="C36" i="20"/>
  <c r="P35" i="20"/>
  <c r="G35" i="20"/>
  <c r="E35" i="20"/>
  <c r="N35" i="20" s="1"/>
  <c r="C35" i="20"/>
  <c r="P34" i="20"/>
  <c r="G34" i="20"/>
  <c r="C34" i="20"/>
  <c r="E34" i="20" s="1"/>
  <c r="N34" i="20" s="1"/>
  <c r="P33" i="20"/>
  <c r="G33" i="20"/>
  <c r="C33" i="20"/>
  <c r="E33" i="20" s="1"/>
  <c r="N33" i="20" s="1"/>
  <c r="P32" i="20"/>
  <c r="G32" i="20"/>
  <c r="C32" i="20"/>
  <c r="E32" i="20" s="1"/>
  <c r="N32" i="20" s="1"/>
  <c r="P31" i="20"/>
  <c r="G31" i="20"/>
  <c r="M31" i="20" s="1"/>
  <c r="C31" i="20"/>
  <c r="E31" i="20" s="1"/>
  <c r="N31" i="20" s="1"/>
  <c r="P30" i="20"/>
  <c r="K30" i="20"/>
  <c r="G30" i="20"/>
  <c r="E30" i="20"/>
  <c r="N30" i="20" s="1"/>
  <c r="C30" i="20"/>
  <c r="O22" i="20"/>
  <c r="O19" i="20"/>
  <c r="M64" i="20" s="1"/>
  <c r="O16" i="20"/>
  <c r="O13" i="20"/>
  <c r="O4" i="20"/>
  <c r="B34" i="6"/>
  <c r="B33" i="6"/>
  <c r="B32" i="6"/>
  <c r="B44" i="6"/>
  <c r="B43" i="6"/>
  <c r="B51" i="6"/>
  <c r="B52" i="6"/>
  <c r="B53" i="6"/>
  <c r="B54" i="6"/>
  <c r="B55" i="6"/>
  <c r="B56" i="6"/>
  <c r="B57" i="6"/>
  <c r="B58" i="6"/>
  <c r="B59" i="6"/>
  <c r="B60" i="6"/>
  <c r="B49" i="6"/>
  <c r="D50" i="6"/>
  <c r="D51" i="6"/>
  <c r="D52" i="6"/>
  <c r="D53" i="6"/>
  <c r="D54" i="6"/>
  <c r="D55" i="6"/>
  <c r="D56" i="6"/>
  <c r="D57" i="6"/>
  <c r="D58" i="6"/>
  <c r="D59" i="6"/>
  <c r="D60" i="6"/>
  <c r="F51" i="6"/>
  <c r="G51" i="6" s="1"/>
  <c r="A51" i="6"/>
  <c r="G65" i="6"/>
  <c r="A65" i="6"/>
  <c r="A60" i="6"/>
  <c r="A59" i="6"/>
  <c r="A58" i="6"/>
  <c r="A57" i="6"/>
  <c r="A56" i="6"/>
  <c r="A55" i="6"/>
  <c r="A54" i="6"/>
  <c r="A53" i="6"/>
  <c r="A52" i="6"/>
  <c r="A50" i="6"/>
  <c r="A49" i="6"/>
  <c r="A44" i="6"/>
  <c r="A43" i="6"/>
  <c r="A42" i="6"/>
  <c r="A41" i="6"/>
  <c r="A40" i="6"/>
  <c r="A39" i="6"/>
  <c r="A28" i="6"/>
  <c r="A29" i="6"/>
  <c r="A30" i="6"/>
  <c r="A31" i="6"/>
  <c r="A32" i="6"/>
  <c r="A33" i="6"/>
  <c r="A34" i="6"/>
  <c r="A27" i="6"/>
  <c r="F50" i="6"/>
  <c r="F52" i="6"/>
  <c r="F53" i="6"/>
  <c r="F54" i="6"/>
  <c r="F55" i="6"/>
  <c r="F56" i="6"/>
  <c r="F57" i="6"/>
  <c r="F58" i="6"/>
  <c r="F59" i="6"/>
  <c r="F60" i="6"/>
  <c r="F49" i="6"/>
  <c r="D49" i="6"/>
  <c r="E40" i="6"/>
  <c r="E41" i="6"/>
  <c r="E42" i="6"/>
  <c r="E43" i="6"/>
  <c r="E44" i="6"/>
  <c r="E39" i="6"/>
  <c r="D32" i="6"/>
  <c r="D33" i="6"/>
  <c r="D34" i="6"/>
  <c r="E51" i="19"/>
  <c r="C26" i="14" s="1"/>
  <c r="E48" i="19"/>
  <c r="C25" i="14" s="1"/>
  <c r="E45" i="19"/>
  <c r="C24" i="14" s="1"/>
  <c r="E42" i="19"/>
  <c r="C23" i="14" s="1"/>
  <c r="E39" i="19"/>
  <c r="C22" i="14" s="1"/>
  <c r="E36" i="19"/>
  <c r="C21" i="14" s="1"/>
  <c r="D22" i="19"/>
  <c r="C20" i="14" s="1"/>
  <c r="D31" i="6" s="1"/>
  <c r="D19" i="19"/>
  <c r="C19" i="14" s="1"/>
  <c r="D30" i="6" s="1"/>
  <c r="D16" i="19"/>
  <c r="C17" i="14" s="1"/>
  <c r="D29" i="6" s="1"/>
  <c r="D13" i="19"/>
  <c r="D10" i="19"/>
  <c r="C15" i="14" s="1"/>
  <c r="D27" i="6" s="1"/>
  <c r="B5" i="19"/>
  <c r="E4" i="19"/>
  <c r="B4" i="19"/>
  <c r="B3" i="19"/>
  <c r="B2" i="19"/>
  <c r="F27" i="6"/>
  <c r="F28" i="6" s="1"/>
  <c r="F29" i="6" s="1"/>
  <c r="F30" i="6" s="1"/>
  <c r="F31" i="6" s="1"/>
  <c r="F32" i="6"/>
  <c r="F33" i="6"/>
  <c r="F34" i="6"/>
  <c r="G669" i="6" l="1"/>
  <c r="G670" i="6"/>
  <c r="G671" i="6"/>
  <c r="G673" i="6"/>
  <c r="G674" i="6"/>
  <c r="N36" i="20"/>
  <c r="K36" i="20"/>
  <c r="I63" i="21"/>
  <c r="N63" i="21"/>
  <c r="N47" i="21"/>
  <c r="L62" i="20"/>
  <c r="N38" i="20"/>
  <c r="K38" i="20"/>
  <c r="N35" i="21"/>
  <c r="K35" i="21"/>
  <c r="K51" i="20"/>
  <c r="K34" i="20"/>
  <c r="K44" i="20"/>
  <c r="J32" i="21"/>
  <c r="O49" i="21"/>
  <c r="I39" i="21"/>
  <c r="K41" i="21"/>
  <c r="M39" i="20"/>
  <c r="G319" i="6"/>
  <c r="G320" i="6"/>
  <c r="G322" i="6"/>
  <c r="G323" i="6"/>
  <c r="G324" i="6"/>
  <c r="G249" i="6"/>
  <c r="G250" i="6"/>
  <c r="G251" i="6"/>
  <c r="G255" i="6" s="1"/>
  <c r="G253" i="6"/>
  <c r="G254" i="6"/>
  <c r="G740" i="6"/>
  <c r="G742" i="6"/>
  <c r="G744" i="6"/>
  <c r="G109" i="6"/>
  <c r="G110" i="6"/>
  <c r="G111" i="6"/>
  <c r="G115" i="6" s="1"/>
  <c r="G113" i="6"/>
  <c r="G114" i="6"/>
  <c r="G529" i="6"/>
  <c r="G530" i="6"/>
  <c r="G531" i="6"/>
  <c r="G533" i="6"/>
  <c r="G534" i="6"/>
  <c r="G179" i="6"/>
  <c r="G180" i="6"/>
  <c r="G181" i="6"/>
  <c r="G183" i="6"/>
  <c r="G184" i="6"/>
  <c r="G599" i="6"/>
  <c r="G600" i="6"/>
  <c r="G601" i="6"/>
  <c r="G603" i="6"/>
  <c r="G604" i="6"/>
  <c r="G389" i="6"/>
  <c r="G390" i="6"/>
  <c r="G391" i="6"/>
  <c r="G395" i="6" s="1"/>
  <c r="G393" i="6"/>
  <c r="G394" i="6"/>
  <c r="G459" i="6"/>
  <c r="G460" i="6"/>
  <c r="G465" i="6" s="1"/>
  <c r="G461" i="6"/>
  <c r="G463" i="6"/>
  <c r="G464" i="6"/>
  <c r="E301" i="6"/>
  <c r="E231" i="6"/>
  <c r="E161" i="6"/>
  <c r="M35" i="20"/>
  <c r="M43" i="20"/>
  <c r="O64" i="21"/>
  <c r="G161" i="6"/>
  <c r="G231" i="6"/>
  <c r="E721" i="6"/>
  <c r="M37" i="20"/>
  <c r="M45" i="20"/>
  <c r="E91" i="6"/>
  <c r="H40" i="21"/>
  <c r="O42" i="21"/>
  <c r="G371" i="6"/>
  <c r="G441" i="6"/>
  <c r="K32" i="20"/>
  <c r="M33" i="20"/>
  <c r="K40" i="20"/>
  <c r="M41" i="20"/>
  <c r="K52" i="20"/>
  <c r="M53" i="20"/>
  <c r="K54" i="21"/>
  <c r="E511" i="6"/>
  <c r="E651" i="6"/>
  <c r="G462" i="6"/>
  <c r="G602" i="6"/>
  <c r="G112" i="6"/>
  <c r="G182" i="6"/>
  <c r="G392" i="6"/>
  <c r="C14" i="14"/>
  <c r="G672" i="6"/>
  <c r="G675" i="6" s="1"/>
  <c r="G481" i="6"/>
  <c r="G131" i="6"/>
  <c r="G201" i="6"/>
  <c r="G321" i="6"/>
  <c r="G325" i="6" s="1"/>
  <c r="G691" i="6"/>
  <c r="G741" i="6"/>
  <c r="G252" i="6"/>
  <c r="G271" i="6"/>
  <c r="G341" i="6"/>
  <c r="G532" i="6"/>
  <c r="G761" i="6"/>
  <c r="G721" i="6"/>
  <c r="G743" i="6"/>
  <c r="G739" i="6"/>
  <c r="E371" i="6"/>
  <c r="G411" i="6"/>
  <c r="E441" i="6"/>
  <c r="G551" i="6"/>
  <c r="G581" i="6"/>
  <c r="G511" i="6"/>
  <c r="E581" i="6"/>
  <c r="G621" i="6"/>
  <c r="G651" i="6"/>
  <c r="G301" i="6"/>
  <c r="G185" i="6"/>
  <c r="G91" i="6"/>
  <c r="B11" i="18"/>
  <c r="H60" i="20"/>
  <c r="H62" i="20"/>
  <c r="H58" i="20"/>
  <c r="M30" i="20"/>
  <c r="K33" i="20"/>
  <c r="M34" i="20"/>
  <c r="K37" i="20"/>
  <c r="M38" i="20"/>
  <c r="K41" i="20"/>
  <c r="M42" i="20"/>
  <c r="K45" i="20"/>
  <c r="M46" i="20"/>
  <c r="K49" i="20"/>
  <c r="M50" i="20"/>
  <c r="K53" i="20"/>
  <c r="H54" i="20"/>
  <c r="K46" i="20"/>
  <c r="M47" i="20"/>
  <c r="K50" i="20"/>
  <c r="M51" i="20"/>
  <c r="K31" i="20"/>
  <c r="M32" i="20"/>
  <c r="K35" i="20"/>
  <c r="M36" i="20"/>
  <c r="K39" i="20"/>
  <c r="M40" i="20"/>
  <c r="K43" i="20"/>
  <c r="M44" i="20"/>
  <c r="K47" i="20"/>
  <c r="M48" i="20"/>
  <c r="M52" i="20"/>
  <c r="O57" i="20"/>
  <c r="H32" i="21"/>
  <c r="M32" i="21"/>
  <c r="H36" i="21"/>
  <c r="M43" i="21"/>
  <c r="O45" i="21"/>
  <c r="M56" i="21"/>
  <c r="O62" i="21"/>
  <c r="O61" i="20"/>
  <c r="O30" i="21"/>
  <c r="O34" i="21"/>
  <c r="M36" i="21"/>
  <c r="K43" i="21"/>
  <c r="M47" i="21"/>
  <c r="O58" i="21"/>
  <c r="K62" i="21"/>
  <c r="J30" i="21"/>
  <c r="M30" i="21"/>
  <c r="M31" i="21"/>
  <c r="M35" i="21"/>
  <c r="O37" i="21"/>
  <c r="O55" i="21"/>
  <c r="C16" i="14"/>
  <c r="D28" i="6" s="1"/>
  <c r="O30" i="20"/>
  <c r="O31" i="20"/>
  <c r="O32" i="20"/>
  <c r="O33" i="20"/>
  <c r="O34" i="20"/>
  <c r="O35" i="20"/>
  <c r="O36" i="20"/>
  <c r="O37" i="20"/>
  <c r="O38" i="20"/>
  <c r="O39" i="20"/>
  <c r="O40" i="20"/>
  <c r="O41" i="20"/>
  <c r="O42" i="20"/>
  <c r="O43" i="20"/>
  <c r="O44" i="20"/>
  <c r="O45" i="20"/>
  <c r="O46" i="20"/>
  <c r="O47" i="20"/>
  <c r="O48" i="20"/>
  <c r="O49" i="20"/>
  <c r="O50" i="20"/>
  <c r="O51" i="20"/>
  <c r="O52" i="20"/>
  <c r="O53" i="20"/>
  <c r="I55" i="20"/>
  <c r="L56" i="20"/>
  <c r="M57" i="20"/>
  <c r="I59" i="20"/>
  <c r="L60" i="20"/>
  <c r="M61" i="20"/>
  <c r="I63" i="20"/>
  <c r="L44" i="21"/>
  <c r="L36" i="21"/>
  <c r="L30" i="21"/>
  <c r="H30" i="21"/>
  <c r="K30" i="21"/>
  <c r="N30" i="21"/>
  <c r="I34" i="21"/>
  <c r="N34" i="21"/>
  <c r="H34" i="21"/>
  <c r="L34" i="21"/>
  <c r="K34" i="21"/>
  <c r="K52" i="21"/>
  <c r="N52" i="21"/>
  <c r="H52" i="21"/>
  <c r="L52" i="21"/>
  <c r="L56" i="21"/>
  <c r="H56" i="21"/>
  <c r="K56" i="21"/>
  <c r="N56" i="21"/>
  <c r="I56" i="21"/>
  <c r="C18" i="14"/>
  <c r="O10" i="20"/>
  <c r="H30" i="20"/>
  <c r="L30" i="20"/>
  <c r="H31" i="20"/>
  <c r="L31" i="20"/>
  <c r="H32" i="20"/>
  <c r="L32" i="20"/>
  <c r="H33" i="20"/>
  <c r="L33" i="20"/>
  <c r="H34" i="20"/>
  <c r="L34" i="20"/>
  <c r="H35" i="20"/>
  <c r="L35" i="20"/>
  <c r="H36" i="20"/>
  <c r="L36" i="20"/>
  <c r="H37" i="20"/>
  <c r="L37" i="20"/>
  <c r="H38" i="20"/>
  <c r="L38" i="20"/>
  <c r="H39" i="20"/>
  <c r="L39" i="20"/>
  <c r="H40" i="20"/>
  <c r="L40" i="20"/>
  <c r="H41" i="20"/>
  <c r="L41" i="20"/>
  <c r="H42" i="20"/>
  <c r="L42" i="20"/>
  <c r="H43" i="20"/>
  <c r="L43" i="20"/>
  <c r="H44" i="20"/>
  <c r="L44" i="20"/>
  <c r="H45" i="20"/>
  <c r="L45" i="20"/>
  <c r="H46" i="20"/>
  <c r="L46" i="20"/>
  <c r="H47" i="20"/>
  <c r="L47" i="20"/>
  <c r="H48" i="20"/>
  <c r="L48" i="20"/>
  <c r="H49" i="20"/>
  <c r="L49" i="20"/>
  <c r="H50" i="20"/>
  <c r="L50" i="20"/>
  <c r="H51" i="20"/>
  <c r="L51" i="20"/>
  <c r="H52" i="20"/>
  <c r="L52" i="20"/>
  <c r="H53" i="20"/>
  <c r="L53" i="20"/>
  <c r="I54" i="20"/>
  <c r="L55" i="20"/>
  <c r="O56" i="20"/>
  <c r="M56" i="20"/>
  <c r="H57" i="20"/>
  <c r="I58" i="20"/>
  <c r="L59" i="20"/>
  <c r="O60" i="20"/>
  <c r="M60" i="20"/>
  <c r="H61" i="20"/>
  <c r="I62" i="20"/>
  <c r="L63" i="20"/>
  <c r="O64" i="20"/>
  <c r="J62" i="21"/>
  <c r="J58" i="21"/>
  <c r="J54" i="21"/>
  <c r="J64" i="21"/>
  <c r="J60" i="21"/>
  <c r="J56" i="21"/>
  <c r="J52" i="21"/>
  <c r="J48" i="21"/>
  <c r="J63" i="21"/>
  <c r="J43" i="21"/>
  <c r="J35" i="21"/>
  <c r="J59" i="21"/>
  <c r="J50" i="21"/>
  <c r="J44" i="21"/>
  <c r="J36" i="21"/>
  <c r="J55" i="21"/>
  <c r="J47" i="21"/>
  <c r="J39" i="21"/>
  <c r="L41" i="21"/>
  <c r="N45" i="21"/>
  <c r="H45" i="21"/>
  <c r="L45" i="21"/>
  <c r="K45" i="21"/>
  <c r="M46" i="21"/>
  <c r="O46" i="21"/>
  <c r="J53" i="21"/>
  <c r="E53" i="21"/>
  <c r="N58" i="21"/>
  <c r="I58" i="21"/>
  <c r="L58" i="21"/>
  <c r="H58" i="21"/>
  <c r="K58" i="21"/>
  <c r="K64" i="20"/>
  <c r="K63" i="20"/>
  <c r="K62" i="20"/>
  <c r="K61" i="20"/>
  <c r="K60" i="20"/>
  <c r="K59" i="20"/>
  <c r="K58" i="20"/>
  <c r="K57" i="20"/>
  <c r="K56" i="20"/>
  <c r="K55" i="20"/>
  <c r="K54" i="20"/>
  <c r="I30" i="20"/>
  <c r="I31" i="20"/>
  <c r="I32" i="20"/>
  <c r="I33" i="20"/>
  <c r="I34" i="20"/>
  <c r="I35" i="20"/>
  <c r="I36" i="20"/>
  <c r="I37" i="20"/>
  <c r="I38" i="20"/>
  <c r="I39" i="20"/>
  <c r="I40" i="20"/>
  <c r="I41" i="20"/>
  <c r="I42" i="20"/>
  <c r="I43" i="20"/>
  <c r="I44" i="20"/>
  <c r="I45" i="20"/>
  <c r="I46" i="20"/>
  <c r="I47" i="20"/>
  <c r="I48" i="20"/>
  <c r="I49" i="20"/>
  <c r="I50" i="20"/>
  <c r="I51" i="20"/>
  <c r="I52" i="20"/>
  <c r="I53" i="20"/>
  <c r="L54" i="20"/>
  <c r="O55" i="20"/>
  <c r="M55" i="20"/>
  <c r="H56" i="20"/>
  <c r="I57" i="20"/>
  <c r="L58" i="20"/>
  <c r="O59" i="20"/>
  <c r="M59" i="20"/>
  <c r="I61" i="20"/>
  <c r="O63" i="20"/>
  <c r="M63" i="20"/>
  <c r="I64" i="20"/>
  <c r="J31" i="21"/>
  <c r="E31" i="21"/>
  <c r="L33" i="21"/>
  <c r="N37" i="21"/>
  <c r="H37" i="21"/>
  <c r="L37" i="21"/>
  <c r="K37" i="21"/>
  <c r="M38" i="21"/>
  <c r="O38" i="21"/>
  <c r="J42" i="21"/>
  <c r="H44" i="21"/>
  <c r="L46" i="21"/>
  <c r="L48" i="21"/>
  <c r="J51" i="21"/>
  <c r="H64" i="20"/>
  <c r="L64" i="20"/>
  <c r="O54" i="20"/>
  <c r="M54" i="20"/>
  <c r="H55" i="20"/>
  <c r="I56" i="20"/>
  <c r="L57" i="20"/>
  <c r="O58" i="20"/>
  <c r="M58" i="20"/>
  <c r="H59" i="20"/>
  <c r="L61" i="20"/>
  <c r="O62" i="20"/>
  <c r="M62" i="20"/>
  <c r="H63" i="20"/>
  <c r="I30" i="21"/>
  <c r="J34" i="21"/>
  <c r="L38" i="21"/>
  <c r="J40" i="21"/>
  <c r="I42" i="21"/>
  <c r="N42" i="21"/>
  <c r="H42" i="21"/>
  <c r="L42" i="21"/>
  <c r="K42" i="21"/>
  <c r="H48" i="21"/>
  <c r="L51" i="21"/>
  <c r="H51" i="21"/>
  <c r="K51" i="21"/>
  <c r="I51" i="21"/>
  <c r="N51" i="21"/>
  <c r="I52" i="21"/>
  <c r="M63" i="21"/>
  <c r="M59" i="21"/>
  <c r="M55" i="21"/>
  <c r="M61" i="21"/>
  <c r="M57" i="21"/>
  <c r="M53" i="21"/>
  <c r="M49" i="21"/>
  <c r="O31" i="21"/>
  <c r="O32" i="21"/>
  <c r="L32" i="21"/>
  <c r="J33" i="21"/>
  <c r="H33" i="21"/>
  <c r="M33" i="21"/>
  <c r="K36" i="21"/>
  <c r="I36" i="21"/>
  <c r="N36" i="21"/>
  <c r="H38" i="21"/>
  <c r="L39" i="21"/>
  <c r="H39" i="21"/>
  <c r="O39" i="21"/>
  <c r="O40" i="21"/>
  <c r="L40" i="21"/>
  <c r="J41" i="21"/>
  <c r="H41" i="21"/>
  <c r="M41" i="21"/>
  <c r="K44" i="21"/>
  <c r="I44" i="21"/>
  <c r="N44" i="21"/>
  <c r="H46" i="21"/>
  <c r="L47" i="21"/>
  <c r="H47" i="21"/>
  <c r="O47" i="21"/>
  <c r="O48" i="21"/>
  <c r="M48" i="21"/>
  <c r="M50" i="21"/>
  <c r="O50" i="21"/>
  <c r="M51" i="21"/>
  <c r="M54" i="21"/>
  <c r="O59" i="21"/>
  <c r="L60" i="21"/>
  <c r="H60" i="21"/>
  <c r="K60" i="21"/>
  <c r="N60" i="21"/>
  <c r="M60" i="21"/>
  <c r="N62" i="21"/>
  <c r="I62" i="21"/>
  <c r="L62" i="21"/>
  <c r="H62" i="21"/>
  <c r="O61" i="21"/>
  <c r="O57" i="21"/>
  <c r="O53" i="21"/>
  <c r="I33" i="21"/>
  <c r="O33" i="21"/>
  <c r="M34" i="21"/>
  <c r="I35" i="21"/>
  <c r="I38" i="21"/>
  <c r="J38" i="21"/>
  <c r="K39" i="21"/>
  <c r="M40" i="21"/>
  <c r="I41" i="21"/>
  <c r="O41" i="21"/>
  <c r="M42" i="21"/>
  <c r="I43" i="21"/>
  <c r="I46" i="21"/>
  <c r="J46" i="21"/>
  <c r="K47" i="21"/>
  <c r="O51" i="21"/>
  <c r="O52" i="21"/>
  <c r="M52" i="21"/>
  <c r="I55" i="21"/>
  <c r="O56" i="21"/>
  <c r="J57" i="21"/>
  <c r="E57" i="21"/>
  <c r="M58" i="21"/>
  <c r="O63" i="21"/>
  <c r="L64" i="21"/>
  <c r="H64" i="21"/>
  <c r="K64" i="21"/>
  <c r="N64" i="21"/>
  <c r="M64" i="21"/>
  <c r="K32" i="21"/>
  <c r="I32" i="21"/>
  <c r="N32" i="21"/>
  <c r="K33" i="21"/>
  <c r="L35" i="21"/>
  <c r="H35" i="21"/>
  <c r="O35" i="21"/>
  <c r="O36" i="21"/>
  <c r="J37" i="21"/>
  <c r="M37" i="21"/>
  <c r="K38" i="21"/>
  <c r="K40" i="21"/>
  <c r="I40" i="21"/>
  <c r="N40" i="21"/>
  <c r="L43" i="21"/>
  <c r="H43" i="21"/>
  <c r="O43" i="21"/>
  <c r="O44" i="21"/>
  <c r="J45" i="21"/>
  <c r="M45" i="21"/>
  <c r="K46" i="21"/>
  <c r="K48" i="21"/>
  <c r="N48" i="21"/>
  <c r="I48" i="21"/>
  <c r="J49" i="21"/>
  <c r="E49" i="21"/>
  <c r="I50" i="21"/>
  <c r="L50" i="21"/>
  <c r="H50" i="21"/>
  <c r="K50" i="21"/>
  <c r="N54" i="21"/>
  <c r="I54" i="21"/>
  <c r="L54" i="21"/>
  <c r="H54" i="21"/>
  <c r="O54" i="21"/>
  <c r="I59" i="21"/>
  <c r="O60" i="21"/>
  <c r="J61" i="21"/>
  <c r="E61" i="21"/>
  <c r="M62" i="21"/>
  <c r="K55" i="21"/>
  <c r="K59" i="21"/>
  <c r="K63" i="21"/>
  <c r="H55" i="21"/>
  <c r="L55" i="21"/>
  <c r="H59" i="21"/>
  <c r="L59" i="21"/>
  <c r="H63" i="21"/>
  <c r="L63" i="21"/>
  <c r="G535" i="6" l="1"/>
  <c r="G605" i="6"/>
  <c r="G745" i="6"/>
  <c r="N49" i="21"/>
  <c r="I49" i="21"/>
  <c r="K49" i="21"/>
  <c r="H49" i="21"/>
  <c r="L49" i="21"/>
  <c r="L31" i="21"/>
  <c r="H31" i="21"/>
  <c r="K31" i="21"/>
  <c r="N31" i="21"/>
  <c r="I31" i="21"/>
  <c r="K57" i="21"/>
  <c r="N57" i="21"/>
  <c r="I57" i="21"/>
  <c r="L57" i="21"/>
  <c r="H57" i="21"/>
  <c r="N53" i="21"/>
  <c r="I53" i="21"/>
  <c r="H53" i="21"/>
  <c r="L53" i="21"/>
  <c r="K53" i="21"/>
  <c r="J64" i="20"/>
  <c r="J63" i="20"/>
  <c r="J62" i="20"/>
  <c r="J61" i="20"/>
  <c r="J60" i="20"/>
  <c r="J59" i="20"/>
  <c r="J58" i="20"/>
  <c r="J57" i="20"/>
  <c r="J56" i="20"/>
  <c r="J55" i="20"/>
  <c r="J54" i="20"/>
  <c r="J53" i="20"/>
  <c r="J52" i="20"/>
  <c r="J51" i="20"/>
  <c r="J50" i="20"/>
  <c r="J49" i="20"/>
  <c r="J48" i="20"/>
  <c r="J47" i="20"/>
  <c r="J46" i="20"/>
  <c r="J45" i="20"/>
  <c r="J44" i="20"/>
  <c r="J43" i="20"/>
  <c r="J42" i="20"/>
  <c r="J41" i="20"/>
  <c r="J40" i="20"/>
  <c r="J39" i="20"/>
  <c r="J38" i="20"/>
  <c r="J37" i="20"/>
  <c r="J36" i="20"/>
  <c r="J35" i="20"/>
  <c r="J34" i="20"/>
  <c r="J33" i="20"/>
  <c r="J32" i="20"/>
  <c r="J31" i="20"/>
  <c r="J30" i="20"/>
  <c r="K61" i="21"/>
  <c r="N61" i="21"/>
  <c r="I61" i="21"/>
  <c r="L61" i="21"/>
  <c r="H61" i="21"/>
  <c r="S703" i="12" l="1"/>
  <c r="Q703" i="12"/>
  <c r="R703" i="12" s="1"/>
  <c r="S702" i="12"/>
  <c r="R702" i="12"/>
  <c r="Q702" i="12"/>
  <c r="S699" i="12"/>
  <c r="Q699" i="12"/>
  <c r="R699" i="12" s="1"/>
  <c r="S691" i="12"/>
  <c r="Q691" i="12"/>
  <c r="R691" i="12" s="1"/>
  <c r="B690" i="12"/>
  <c r="B689" i="12"/>
  <c r="S688" i="12"/>
  <c r="R688" i="12"/>
  <c r="Q688" i="12"/>
  <c r="S685" i="12"/>
  <c r="Q685" i="12"/>
  <c r="R685" i="12" s="1"/>
  <c r="S678" i="12"/>
  <c r="Q678" i="12"/>
  <c r="R678" i="12" s="1"/>
  <c r="S677" i="12"/>
  <c r="R677" i="12"/>
  <c r="Q677" i="12"/>
  <c r="S670" i="12"/>
  <c r="Q670" i="12"/>
  <c r="R670" i="12" s="1"/>
  <c r="S662" i="12"/>
  <c r="Q662" i="12"/>
  <c r="R662" i="12" s="1"/>
  <c r="S658" i="12"/>
  <c r="R658" i="12"/>
  <c r="Q658" i="12"/>
  <c r="S647" i="12"/>
  <c r="Q647" i="12"/>
  <c r="R647" i="12" s="1"/>
  <c r="S645" i="12"/>
  <c r="R645" i="12"/>
  <c r="Q645" i="12"/>
  <c r="S644" i="12"/>
  <c r="Q644" i="12"/>
  <c r="R644" i="12" s="1"/>
  <c r="S641" i="12"/>
  <c r="Q641" i="12"/>
  <c r="R641" i="12" s="1"/>
  <c r="S638" i="12"/>
  <c r="Q638" i="12"/>
  <c r="R638" i="12" s="1"/>
  <c r="S620" i="12"/>
  <c r="R620" i="12"/>
  <c r="Q620" i="12"/>
  <c r="S617" i="12"/>
  <c r="Q617" i="12"/>
  <c r="R617" i="12" s="1"/>
  <c r="S616" i="12"/>
  <c r="Q616" i="12"/>
  <c r="R616" i="12" s="1"/>
  <c r="S611" i="12"/>
  <c r="Q611" i="12"/>
  <c r="R611" i="12" s="1"/>
  <c r="S607" i="12"/>
  <c r="R607" i="12"/>
  <c r="Q607" i="12"/>
  <c r="S605" i="12"/>
  <c r="Q605" i="12"/>
  <c r="R605" i="12" s="1"/>
  <c r="S599" i="12"/>
  <c r="Q599" i="12"/>
  <c r="R599" i="12" s="1"/>
  <c r="S592" i="12"/>
  <c r="Q592" i="12"/>
  <c r="R592" i="12" s="1"/>
  <c r="S590" i="12"/>
  <c r="R590" i="12"/>
  <c r="Q590" i="12"/>
  <c r="S587" i="12"/>
  <c r="Q587" i="12"/>
  <c r="R587" i="12" s="1"/>
  <c r="S583" i="12"/>
  <c r="Q583" i="12"/>
  <c r="R583" i="12" s="1"/>
  <c r="S582" i="12"/>
  <c r="Q582" i="12"/>
  <c r="R582" i="12" s="1"/>
  <c r="S578" i="12"/>
  <c r="R578" i="12"/>
  <c r="Q578" i="12"/>
  <c r="S577" i="12"/>
  <c r="Q577" i="12"/>
  <c r="R577" i="12" s="1"/>
  <c r="S572" i="12"/>
  <c r="Q572" i="12"/>
  <c r="R572" i="12" s="1"/>
  <c r="S570" i="12"/>
  <c r="Q570" i="12"/>
  <c r="R570" i="12" s="1"/>
  <c r="S563" i="12"/>
  <c r="R563" i="12"/>
  <c r="Q563" i="12"/>
  <c r="S562" i="12"/>
  <c r="Q562" i="12"/>
  <c r="R562" i="12" s="1"/>
  <c r="C561" i="12"/>
  <c r="B561" i="12"/>
  <c r="C560" i="12"/>
  <c r="B560" i="12"/>
  <c r="S559" i="12"/>
  <c r="Q559" i="12"/>
  <c r="R559" i="12" s="1"/>
  <c r="S554" i="12"/>
  <c r="Q554" i="12"/>
  <c r="R554" i="12" s="1"/>
  <c r="S551" i="12"/>
  <c r="R551" i="12"/>
  <c r="Q551" i="12"/>
  <c r="S550" i="12"/>
  <c r="Q550" i="12"/>
  <c r="R550" i="12" s="1"/>
  <c r="S541" i="12"/>
  <c r="Q541" i="12"/>
  <c r="R541" i="12" s="1"/>
  <c r="S539" i="12"/>
  <c r="Q539" i="12"/>
  <c r="R539" i="12" s="1"/>
  <c r="S530" i="12"/>
  <c r="R530" i="12"/>
  <c r="Q530" i="12"/>
  <c r="S525" i="12"/>
  <c r="Q525" i="12"/>
  <c r="R525" i="12" s="1"/>
  <c r="S520" i="12"/>
  <c r="Q520" i="12"/>
  <c r="R520" i="12" s="1"/>
  <c r="S482" i="12"/>
  <c r="Q482" i="12"/>
  <c r="R482" i="12" s="1"/>
  <c r="S434" i="12"/>
  <c r="R434" i="12"/>
  <c r="Q434" i="12"/>
  <c r="S404" i="12"/>
  <c r="Q404" i="12"/>
  <c r="R404" i="12" s="1"/>
  <c r="S386" i="12"/>
  <c r="Q386" i="12"/>
  <c r="R386" i="12" s="1"/>
  <c r="S325" i="12"/>
  <c r="Q325" i="12"/>
  <c r="R325" i="12" s="1"/>
  <c r="S324" i="12"/>
  <c r="R324" i="12"/>
  <c r="Q324" i="12"/>
  <c r="S315" i="12"/>
  <c r="Q315" i="12"/>
  <c r="R315" i="12" s="1"/>
  <c r="S313" i="12"/>
  <c r="Q313" i="12"/>
  <c r="R313" i="12" s="1"/>
  <c r="S302" i="12"/>
  <c r="Q302" i="12"/>
  <c r="R302" i="12" s="1"/>
  <c r="S301" i="12"/>
  <c r="R301" i="12"/>
  <c r="Q301" i="12"/>
  <c r="S300" i="12"/>
  <c r="Q300" i="12"/>
  <c r="R300" i="12" s="1"/>
  <c r="S299" i="12"/>
  <c r="Q299" i="12"/>
  <c r="R299" i="12" s="1"/>
  <c r="S293" i="12"/>
  <c r="Q293" i="12"/>
  <c r="R293" i="12" s="1"/>
  <c r="S291" i="12"/>
  <c r="R291" i="12"/>
  <c r="Q291" i="12"/>
  <c r="S278" i="12"/>
  <c r="Q278" i="12"/>
  <c r="R278" i="12" s="1"/>
  <c r="S277" i="12"/>
  <c r="Q277" i="12"/>
  <c r="R277" i="12" s="1"/>
  <c r="S276" i="12"/>
  <c r="Q276" i="12"/>
  <c r="R276" i="12" s="1"/>
  <c r="S275" i="12"/>
  <c r="R275" i="12"/>
  <c r="Q275" i="12"/>
  <c r="S274" i="12"/>
  <c r="Q274" i="12"/>
  <c r="R274" i="12" s="1"/>
  <c r="S273" i="12"/>
  <c r="Q273" i="12"/>
  <c r="R273" i="12" s="1"/>
  <c r="S264" i="12"/>
  <c r="Q264" i="12"/>
  <c r="R264" i="12" s="1"/>
  <c r="S261" i="12"/>
  <c r="R261" i="12"/>
  <c r="Q261" i="12"/>
  <c r="S252" i="12"/>
  <c r="Q252" i="12"/>
  <c r="R252" i="12" s="1"/>
  <c r="S245" i="12"/>
  <c r="Q245" i="12"/>
  <c r="R245" i="12" s="1"/>
  <c r="S236" i="12"/>
  <c r="Q236" i="12"/>
  <c r="R236" i="12" s="1"/>
  <c r="S235" i="12"/>
  <c r="R235" i="12"/>
  <c r="Q235" i="12"/>
  <c r="S228" i="12"/>
  <c r="Q228" i="12"/>
  <c r="R228" i="12" s="1"/>
  <c r="S227" i="12"/>
  <c r="Q227" i="12"/>
  <c r="R227" i="12" s="1"/>
  <c r="C202" i="12"/>
  <c r="C201" i="12"/>
  <c r="C200" i="12"/>
  <c r="S198" i="12"/>
  <c r="Q198" i="12"/>
  <c r="R198" i="12" s="1"/>
  <c r="C196" i="12"/>
  <c r="B196" i="12"/>
  <c r="C195" i="12"/>
  <c r="B195" i="12"/>
  <c r="C194" i="12"/>
  <c r="B194" i="12"/>
  <c r="C193" i="12"/>
  <c r="B193" i="12"/>
  <c r="S192" i="12"/>
  <c r="Q192" i="12"/>
  <c r="R192" i="12" s="1"/>
  <c r="C191" i="12"/>
  <c r="B191" i="12"/>
  <c r="C190" i="12"/>
  <c r="B190" i="12"/>
  <c r="C189" i="12"/>
  <c r="B189" i="12"/>
  <c r="C187" i="12"/>
  <c r="B187" i="12"/>
  <c r="C186" i="12"/>
  <c r="B186" i="12"/>
  <c r="S184" i="12"/>
  <c r="R184" i="12"/>
  <c r="Q184" i="12"/>
  <c r="C183" i="12"/>
  <c r="B183" i="12"/>
  <c r="S182" i="12"/>
  <c r="Q182" i="12"/>
  <c r="R182" i="12" s="1"/>
  <c r="C180" i="12"/>
  <c r="B180" i="12"/>
  <c r="C179" i="12"/>
  <c r="B179" i="12"/>
  <c r="C178" i="12"/>
  <c r="B178" i="12"/>
  <c r="C177" i="12"/>
  <c r="B177" i="12"/>
  <c r="C176" i="12"/>
  <c r="B176" i="12"/>
  <c r="C174" i="12"/>
  <c r="B174" i="12"/>
  <c r="C173" i="12"/>
  <c r="B173" i="12"/>
  <c r="C172" i="12"/>
  <c r="B172" i="12"/>
  <c r="C171" i="12"/>
  <c r="B171" i="12"/>
  <c r="C170" i="12"/>
  <c r="B170" i="12"/>
  <c r="S168" i="12"/>
  <c r="Q168" i="12"/>
  <c r="R168" i="12" s="1"/>
  <c r="S166" i="12"/>
  <c r="R166" i="12"/>
  <c r="C166" i="12"/>
  <c r="B166" i="12"/>
  <c r="S165" i="12"/>
  <c r="R165" i="12"/>
  <c r="C165" i="12"/>
  <c r="B165" i="12"/>
  <c r="S164" i="12"/>
  <c r="R164" i="12"/>
  <c r="C164" i="12"/>
  <c r="B164" i="12"/>
  <c r="S163" i="12"/>
  <c r="R163" i="12"/>
  <c r="C163" i="12"/>
  <c r="B163" i="12"/>
  <c r="S162" i="12"/>
  <c r="R162" i="12"/>
  <c r="C162" i="12"/>
  <c r="B162" i="12"/>
  <c r="S161" i="12"/>
  <c r="R161" i="12"/>
  <c r="C161" i="12"/>
  <c r="B161" i="12"/>
  <c r="S160" i="12"/>
  <c r="R160" i="12"/>
  <c r="C160" i="12"/>
  <c r="B160" i="12"/>
  <c r="S159" i="12"/>
  <c r="R159" i="12"/>
  <c r="C159" i="12"/>
  <c r="B159" i="12"/>
  <c r="S158" i="12"/>
  <c r="R158" i="12"/>
  <c r="C158" i="12"/>
  <c r="B158" i="12"/>
  <c r="S156" i="12"/>
  <c r="R156" i="12"/>
  <c r="C156" i="12"/>
  <c r="B156" i="12"/>
  <c r="S153" i="12"/>
  <c r="R153" i="12"/>
  <c r="C153" i="12"/>
  <c r="B153" i="12"/>
  <c r="S152" i="12"/>
  <c r="R152" i="12"/>
  <c r="C152" i="12"/>
  <c r="B152" i="12"/>
  <c r="S151" i="12"/>
  <c r="R151" i="12"/>
  <c r="C151" i="12"/>
  <c r="B151" i="12"/>
  <c r="S149" i="12"/>
  <c r="R149" i="12"/>
  <c r="B149" i="12"/>
  <c r="S148" i="12"/>
  <c r="R148" i="12"/>
  <c r="B148" i="12"/>
  <c r="S147" i="12"/>
  <c r="Q147" i="12"/>
  <c r="R147" i="12" s="1"/>
  <c r="S145" i="12"/>
  <c r="R145" i="12"/>
  <c r="C145" i="12"/>
  <c r="B145" i="12"/>
  <c r="S144" i="12"/>
  <c r="R144" i="12"/>
  <c r="C144" i="12"/>
  <c r="B144" i="12"/>
  <c r="S143" i="12"/>
  <c r="R143" i="12"/>
  <c r="C143" i="12"/>
  <c r="B143" i="12"/>
  <c r="S142" i="12"/>
  <c r="R142" i="12"/>
  <c r="C142" i="12"/>
  <c r="B142" i="12"/>
  <c r="S140" i="12"/>
  <c r="R140" i="12"/>
  <c r="C140" i="12"/>
  <c r="B140" i="12"/>
  <c r="S139" i="12"/>
  <c r="R139" i="12"/>
  <c r="C139" i="12"/>
  <c r="B139" i="12"/>
  <c r="S137" i="12"/>
  <c r="R137" i="12"/>
  <c r="Q137" i="12"/>
  <c r="S135" i="12"/>
  <c r="R135" i="12"/>
  <c r="C135" i="12"/>
  <c r="B135" i="12"/>
  <c r="S134" i="12"/>
  <c r="R134" i="12"/>
  <c r="C134" i="12"/>
  <c r="B134" i="12"/>
  <c r="S132" i="12"/>
  <c r="R132" i="12"/>
  <c r="C132" i="12"/>
  <c r="B132" i="12"/>
  <c r="S131" i="12"/>
  <c r="R131" i="12"/>
  <c r="C131" i="12"/>
  <c r="B131" i="12"/>
  <c r="S130" i="12"/>
  <c r="Q130" i="12"/>
  <c r="R130" i="12" s="1"/>
  <c r="S128" i="12"/>
  <c r="S127" i="12"/>
  <c r="S126" i="12"/>
  <c r="S125" i="12"/>
  <c r="S124" i="12"/>
  <c r="S122" i="12"/>
  <c r="S121" i="12"/>
  <c r="R121" i="12"/>
  <c r="R128" i="12" s="1"/>
  <c r="Q121" i="12"/>
  <c r="S119" i="12"/>
  <c r="S117" i="12"/>
  <c r="S116" i="12"/>
  <c r="S114" i="12"/>
  <c r="Q114" i="12"/>
  <c r="R114" i="12" s="1"/>
  <c r="S112" i="12"/>
  <c r="S110" i="12"/>
  <c r="S109" i="12"/>
  <c r="S108" i="12"/>
  <c r="S107" i="12"/>
  <c r="S106" i="12"/>
  <c r="S105" i="12"/>
  <c r="S103" i="12"/>
  <c r="Q103" i="12"/>
  <c r="R103" i="12" s="1"/>
  <c r="R112" i="12" s="1"/>
  <c r="S99" i="12"/>
  <c r="Q99" i="12"/>
  <c r="R99" i="12" s="1"/>
  <c r="S97" i="12"/>
  <c r="S96" i="12"/>
  <c r="S95" i="12"/>
  <c r="Q95" i="12"/>
  <c r="R95" i="12" s="1"/>
  <c r="S93" i="12"/>
  <c r="S92" i="12"/>
  <c r="S91" i="12"/>
  <c r="Q91" i="12"/>
  <c r="R91" i="12" s="1"/>
  <c r="S89" i="12"/>
  <c r="S88" i="12"/>
  <c r="S87" i="12"/>
  <c r="S86" i="12"/>
  <c r="S85" i="12"/>
  <c r="S84" i="12"/>
  <c r="S83" i="12"/>
  <c r="S82" i="12"/>
  <c r="S81" i="12"/>
  <c r="S80" i="12"/>
  <c r="S79" i="12"/>
  <c r="S78" i="12"/>
  <c r="S77" i="12"/>
  <c r="S76" i="12"/>
  <c r="S75" i="12"/>
  <c r="S74" i="12"/>
  <c r="S73" i="12"/>
  <c r="S71" i="12"/>
  <c r="S70" i="12"/>
  <c r="S68" i="12"/>
  <c r="Q68" i="12"/>
  <c r="R68" i="12" s="1"/>
  <c r="S66" i="12"/>
  <c r="S65" i="12"/>
  <c r="S64" i="12"/>
  <c r="S63" i="12"/>
  <c r="S62" i="12"/>
  <c r="S61" i="12"/>
  <c r="S60" i="12"/>
  <c r="S59" i="12"/>
  <c r="S58" i="12"/>
  <c r="S57" i="12"/>
  <c r="S56" i="12"/>
  <c r="S54" i="12"/>
  <c r="Q54" i="12"/>
  <c r="R54" i="12" s="1"/>
  <c r="S52" i="12"/>
  <c r="S50" i="12"/>
  <c r="S49" i="12"/>
  <c r="S47" i="12"/>
  <c r="S46" i="12"/>
  <c r="S44" i="12"/>
  <c r="R44" i="12"/>
  <c r="R66" i="12" s="1"/>
  <c r="Q44" i="12"/>
  <c r="S42" i="12"/>
  <c r="S41" i="12"/>
  <c r="S40" i="12"/>
  <c r="S39" i="12"/>
  <c r="S38" i="12"/>
  <c r="S37" i="12"/>
  <c r="S35" i="12"/>
  <c r="Q35" i="12"/>
  <c r="R35" i="12" s="1"/>
  <c r="S33" i="12"/>
  <c r="S32" i="12"/>
  <c r="R32" i="12"/>
  <c r="R33" i="12" s="1"/>
  <c r="Q32" i="12"/>
  <c r="S30" i="12"/>
  <c r="S29" i="12"/>
  <c r="S28" i="12"/>
  <c r="S27" i="12"/>
  <c r="S26" i="12"/>
  <c r="S25" i="12"/>
  <c r="S24" i="12"/>
  <c r="S23" i="12"/>
  <c r="S21" i="12"/>
  <c r="S20" i="12"/>
  <c r="S19" i="12"/>
  <c r="S18" i="12"/>
  <c r="S17" i="12"/>
  <c r="S16" i="12"/>
  <c r="S15" i="12"/>
  <c r="S14" i="12"/>
  <c r="S12" i="12"/>
  <c r="S11" i="12"/>
  <c r="S10" i="12"/>
  <c r="S9" i="12"/>
  <c r="S8" i="12"/>
  <c r="S7" i="12"/>
  <c r="S6" i="12"/>
  <c r="S5" i="12"/>
  <c r="S3" i="12"/>
  <c r="Q3" i="12"/>
  <c r="R3" i="12" s="1"/>
  <c r="G50" i="6"/>
  <c r="G66" i="6"/>
  <c r="G60" i="6"/>
  <c r="G59" i="6"/>
  <c r="G58" i="6"/>
  <c r="G57" i="6"/>
  <c r="G56" i="6"/>
  <c r="G55" i="6"/>
  <c r="G54" i="6"/>
  <c r="G53" i="6"/>
  <c r="G52" i="6"/>
  <c r="G49" i="6"/>
  <c r="F44" i="6"/>
  <c r="G44" i="6" s="1"/>
  <c r="F39" i="6"/>
  <c r="G34" i="6"/>
  <c r="G33" i="6"/>
  <c r="G32" i="6"/>
  <c r="F20" i="6"/>
  <c r="G20" i="6" s="1"/>
  <c r="E20" i="6"/>
  <c r="F19" i="6"/>
  <c r="G19" i="6" s="1"/>
  <c r="E19" i="6"/>
  <c r="F18" i="6"/>
  <c r="G18" i="6" s="1"/>
  <c r="E18" i="6"/>
  <c r="F17" i="6"/>
  <c r="G17" i="6" s="1"/>
  <c r="E17" i="6"/>
  <c r="F16" i="6"/>
  <c r="G16" i="6" s="1"/>
  <c r="E16" i="6"/>
  <c r="F15" i="6"/>
  <c r="G15" i="6" s="1"/>
  <c r="E15" i="6"/>
  <c r="F14" i="6"/>
  <c r="G14" i="6" s="1"/>
  <c r="E14" i="6"/>
  <c r="F13" i="6"/>
  <c r="G13" i="6" s="1"/>
  <c r="E13" i="6"/>
  <c r="G12" i="6"/>
  <c r="G11" i="6"/>
  <c r="B5" i="6"/>
  <c r="G4" i="6"/>
  <c r="B4" i="6"/>
  <c r="B3" i="6"/>
  <c r="B2" i="6"/>
  <c r="E9" i="18"/>
  <c r="A42" i="18"/>
  <c r="R88" i="12" l="1"/>
  <c r="R87" i="12"/>
  <c r="R79" i="12"/>
  <c r="R70" i="12"/>
  <c r="R89" i="12"/>
  <c r="R81" i="12"/>
  <c r="R73" i="12"/>
  <c r="R85" i="12"/>
  <c r="R83" i="12"/>
  <c r="R75" i="12"/>
  <c r="R77" i="12"/>
  <c r="R97" i="12"/>
  <c r="R96" i="12"/>
  <c r="R127" i="12"/>
  <c r="R125" i="12"/>
  <c r="R122" i="12"/>
  <c r="B35" i="15"/>
  <c r="C35" i="15"/>
  <c r="G39" i="6"/>
  <c r="R41" i="12"/>
  <c r="R39" i="12"/>
  <c r="R37" i="12"/>
  <c r="R42" i="12"/>
  <c r="R40" i="12"/>
  <c r="R38" i="12"/>
  <c r="R93" i="12"/>
  <c r="R92" i="12"/>
  <c r="R119" i="12"/>
  <c r="R116" i="12"/>
  <c r="R117" i="12"/>
  <c r="R29" i="12"/>
  <c r="R27" i="12"/>
  <c r="R25" i="12"/>
  <c r="R23" i="12"/>
  <c r="R20" i="12"/>
  <c r="R18" i="12"/>
  <c r="R16" i="12"/>
  <c r="R14" i="12"/>
  <c r="R11" i="12"/>
  <c r="R9" i="12"/>
  <c r="R7" i="12"/>
  <c r="R5" i="12"/>
  <c r="R30" i="12"/>
  <c r="R28" i="12"/>
  <c r="R26" i="12"/>
  <c r="R24" i="12"/>
  <c r="R21" i="12"/>
  <c r="R19" i="12"/>
  <c r="R17" i="12"/>
  <c r="R15" i="12"/>
  <c r="R12" i="12"/>
  <c r="R10" i="12"/>
  <c r="R8" i="12"/>
  <c r="R6" i="12"/>
  <c r="R57" i="12"/>
  <c r="R59" i="12"/>
  <c r="R61" i="12"/>
  <c r="R63" i="12"/>
  <c r="R65" i="12"/>
  <c r="R50" i="12"/>
  <c r="R106" i="12"/>
  <c r="R108" i="12"/>
  <c r="R110" i="12"/>
  <c r="R105" i="12"/>
  <c r="R107" i="12"/>
  <c r="R109" i="12"/>
  <c r="R126" i="12"/>
  <c r="R47" i="12"/>
  <c r="R46" i="12"/>
  <c r="R49" i="12"/>
  <c r="R52" i="12"/>
  <c r="R71" i="12"/>
  <c r="R74" i="12"/>
  <c r="R76" i="12"/>
  <c r="R78" i="12"/>
  <c r="R80" i="12"/>
  <c r="R82" i="12"/>
  <c r="R84" i="12"/>
  <c r="R86" i="12"/>
  <c r="R124" i="12"/>
  <c r="R56" i="12"/>
  <c r="R58" i="12"/>
  <c r="R60" i="12"/>
  <c r="R62" i="12"/>
  <c r="R64" i="12"/>
  <c r="G61" i="6"/>
  <c r="E21" i="6"/>
  <c r="F40" i="6"/>
  <c r="F41" i="6" s="1"/>
  <c r="F42" i="6" s="1"/>
  <c r="G21" i="6"/>
  <c r="E167" i="6" l="1"/>
  <c r="G167" i="6" s="1"/>
  <c r="E239" i="6"/>
  <c r="G239" i="6" s="1"/>
  <c r="E379" i="6"/>
  <c r="G379" i="6" s="1"/>
  <c r="E448" i="6"/>
  <c r="G448" i="6" s="1"/>
  <c r="E517" i="6"/>
  <c r="G517" i="6" s="1"/>
  <c r="E587" i="6"/>
  <c r="G587" i="6" s="1"/>
  <c r="E659" i="6"/>
  <c r="G659" i="6" s="1"/>
  <c r="E168" i="6"/>
  <c r="G168" i="6" s="1"/>
  <c r="E97" i="6"/>
  <c r="G97" i="6" s="1"/>
  <c r="E449" i="6"/>
  <c r="G449" i="6" s="1"/>
  <c r="E518" i="6"/>
  <c r="G518" i="6" s="1"/>
  <c r="E727" i="6"/>
  <c r="G727" i="6" s="1"/>
  <c r="E307" i="6"/>
  <c r="G307" i="6" s="1"/>
  <c r="E588" i="6"/>
  <c r="G588" i="6" s="1"/>
  <c r="E169" i="6"/>
  <c r="G169" i="6" s="1"/>
  <c r="E237" i="6"/>
  <c r="G237" i="6" s="1"/>
  <c r="E98" i="6"/>
  <c r="G98" i="6" s="1"/>
  <c r="E377" i="6"/>
  <c r="G377" i="6" s="1"/>
  <c r="E519" i="6"/>
  <c r="G519" i="6" s="1"/>
  <c r="E728" i="6"/>
  <c r="G728" i="6" s="1"/>
  <c r="E308" i="6"/>
  <c r="G308" i="6" s="1"/>
  <c r="E589" i="6"/>
  <c r="G589" i="6" s="1"/>
  <c r="E657" i="6"/>
  <c r="G657" i="6" s="1"/>
  <c r="E238" i="6"/>
  <c r="G238" i="6" s="1"/>
  <c r="E99" i="6"/>
  <c r="G99" i="6" s="1"/>
  <c r="E378" i="6"/>
  <c r="G378" i="6" s="1"/>
  <c r="E447" i="6"/>
  <c r="G447" i="6" s="1"/>
  <c r="E729" i="6"/>
  <c r="G729" i="6" s="1"/>
  <c r="E309" i="6"/>
  <c r="G309" i="6" s="1"/>
  <c r="E658" i="6"/>
  <c r="G658" i="6" s="1"/>
  <c r="E171" i="6"/>
  <c r="G171" i="6" s="1"/>
  <c r="E100" i="6"/>
  <c r="G100" i="6" s="1"/>
  <c r="E521" i="6"/>
  <c r="G521" i="6" s="1"/>
  <c r="E730" i="6"/>
  <c r="G730" i="6" s="1"/>
  <c r="E310" i="6"/>
  <c r="G310" i="6" s="1"/>
  <c r="E591" i="6"/>
  <c r="G591" i="6" s="1"/>
  <c r="E240" i="6"/>
  <c r="G240" i="6" s="1"/>
  <c r="E101" i="6"/>
  <c r="G101" i="6" s="1"/>
  <c r="E380" i="6"/>
  <c r="G380" i="6" s="1"/>
  <c r="E731" i="6"/>
  <c r="G731" i="6" s="1"/>
  <c r="E311" i="6"/>
  <c r="G311" i="6" s="1"/>
  <c r="E660" i="6"/>
  <c r="G660" i="6" s="1"/>
  <c r="E241" i="6"/>
  <c r="G241" i="6" s="1"/>
  <c r="E381" i="6"/>
  <c r="G381" i="6" s="1"/>
  <c r="E450" i="6"/>
  <c r="G450" i="6" s="1"/>
  <c r="E661" i="6"/>
  <c r="G661" i="6" s="1"/>
  <c r="E170" i="6"/>
  <c r="G170" i="6" s="1"/>
  <c r="E451" i="6"/>
  <c r="G451" i="6" s="1"/>
  <c r="E520" i="6"/>
  <c r="G520" i="6" s="1"/>
  <c r="E590" i="6"/>
  <c r="G590" i="6" s="1"/>
  <c r="E29" i="6"/>
  <c r="G29" i="6" s="1"/>
  <c r="E27" i="6"/>
  <c r="G27" i="6" s="1"/>
  <c r="E28" i="6"/>
  <c r="G28" i="6" s="1"/>
  <c r="E30" i="6"/>
  <c r="E31" i="6"/>
  <c r="G40" i="6"/>
  <c r="G41" i="6"/>
  <c r="F43" i="6"/>
  <c r="G43" i="6" s="1"/>
  <c r="G42" i="6"/>
  <c r="G735" i="6" l="1"/>
  <c r="G768" i="6" s="1"/>
  <c r="G455" i="6"/>
  <c r="G488" i="6" s="1"/>
  <c r="G525" i="6"/>
  <c r="G558" i="6" s="1"/>
  <c r="G385" i="6"/>
  <c r="G418" i="6" s="1"/>
  <c r="G665" i="6"/>
  <c r="G698" i="6" s="1"/>
  <c r="G245" i="6"/>
  <c r="G278" i="6" s="1"/>
  <c r="G315" i="6"/>
  <c r="G348" i="6" s="1"/>
  <c r="G105" i="6"/>
  <c r="G138" i="6" s="1"/>
  <c r="G595" i="6"/>
  <c r="G628" i="6" s="1"/>
  <c r="G175" i="6"/>
  <c r="G208" i="6" s="1"/>
  <c r="G31" i="6"/>
  <c r="G30" i="6"/>
  <c r="G45" i="6"/>
  <c r="G35" i="6" l="1"/>
  <c r="G68" i="6" s="1"/>
  <c r="H1" i="6" l="1"/>
  <c r="C36" i="8"/>
  <c r="C11" i="8"/>
  <c r="C75" i="8" s="1"/>
  <c r="B36" i="15"/>
  <c r="C36" i="15"/>
  <c r="B37" i="15"/>
  <c r="C37" i="15"/>
  <c r="B38" i="15"/>
  <c r="C38" i="15"/>
  <c r="B39" i="15"/>
  <c r="C39" i="15"/>
  <c r="B40" i="15"/>
  <c r="C40" i="15"/>
  <c r="B41" i="15"/>
  <c r="C41" i="15"/>
  <c r="B42" i="15"/>
  <c r="C42" i="15"/>
  <c r="B43" i="15"/>
  <c r="C43" i="15"/>
  <c r="B44" i="15"/>
  <c r="C44" i="15"/>
  <c r="B45" i="15"/>
  <c r="C45" i="15"/>
  <c r="N44" i="15" l="1"/>
  <c r="N45" i="15" s="1"/>
  <c r="N42" i="15"/>
  <c r="N43" i="15"/>
  <c r="C1" i="5"/>
  <c r="C1" i="4"/>
  <c r="E38" i="2" l="1"/>
  <c r="E37" i="2"/>
  <c r="B37" i="2" s="1"/>
  <c r="E35" i="2"/>
  <c r="B35" i="2" s="1"/>
  <c r="C10" i="2"/>
  <c r="C9" i="2"/>
  <c r="C8" i="2"/>
  <c r="C7" i="2"/>
  <c r="C6" i="2"/>
  <c r="C5" i="2"/>
  <c r="C4" i="2"/>
  <c r="C3" i="2"/>
  <c r="C2" i="2"/>
  <c r="C1" i="2"/>
  <c r="A546" i="11" l="1"/>
  <c r="B1" i="8" l="1"/>
  <c r="B34" i="15" l="1"/>
  <c r="C34" i="15" l="1"/>
  <c r="A297" i="11"/>
  <c r="A969" i="11"/>
  <c r="A968" i="11"/>
  <c r="A967" i="11"/>
  <c r="A966" i="11"/>
  <c r="A965" i="11"/>
  <c r="A964" i="11"/>
  <c r="A963" i="11"/>
  <c r="A962" i="11"/>
  <c r="A960" i="11"/>
  <c r="A959" i="11"/>
  <c r="A958" i="11"/>
  <c r="A957" i="11"/>
  <c r="A956" i="11"/>
  <c r="A955" i="11"/>
  <c r="A953" i="11"/>
  <c r="A952" i="11"/>
  <c r="A951" i="11"/>
  <c r="A949" i="11"/>
  <c r="A948" i="11"/>
  <c r="A947" i="11"/>
  <c r="A945" i="11"/>
  <c r="A944" i="11"/>
  <c r="A943" i="11"/>
  <c r="A942" i="11"/>
  <c r="A941" i="11"/>
  <c r="A940" i="11"/>
  <c r="A939" i="11"/>
  <c r="A938" i="11"/>
  <c r="A937" i="11"/>
  <c r="A936" i="11"/>
  <c r="A935" i="11"/>
  <c r="A933" i="11"/>
  <c r="A932" i="11"/>
  <c r="A931" i="11"/>
  <c r="A930" i="11"/>
  <c r="A929" i="11"/>
  <c r="A928" i="11"/>
  <c r="A927" i="11"/>
  <c r="A926" i="11"/>
  <c r="A925" i="11"/>
  <c r="A924" i="11"/>
  <c r="A923" i="11"/>
  <c r="A922" i="11"/>
  <c r="A921" i="11"/>
  <c r="A920" i="11"/>
  <c r="A919" i="11"/>
  <c r="A918" i="11"/>
  <c r="A917" i="11"/>
  <c r="A915" i="11"/>
  <c r="A914" i="11"/>
  <c r="A913" i="11"/>
  <c r="A912" i="11"/>
  <c r="A911" i="11"/>
  <c r="A910" i="11"/>
  <c r="A909" i="11"/>
  <c r="A907" i="11"/>
  <c r="A906" i="11"/>
  <c r="A905" i="11"/>
  <c r="A904" i="11"/>
  <c r="A903" i="11"/>
  <c r="A902" i="11"/>
  <c r="A901" i="11"/>
  <c r="A899" i="11"/>
  <c r="A898" i="11"/>
  <c r="A897" i="11"/>
  <c r="A896" i="11"/>
  <c r="A895" i="11"/>
  <c r="A894" i="11"/>
  <c r="A892" i="11"/>
  <c r="A891" i="11"/>
  <c r="A890" i="11"/>
  <c r="A889" i="11"/>
  <c r="A887" i="11"/>
  <c r="A886" i="11"/>
  <c r="A885" i="11"/>
  <c r="A883" i="11"/>
  <c r="A882" i="11"/>
  <c r="A881" i="11"/>
  <c r="A880" i="11"/>
  <c r="A879" i="11"/>
  <c r="A878" i="11"/>
  <c r="A876" i="11"/>
  <c r="A875" i="11"/>
  <c r="A874" i="11"/>
  <c r="A873" i="11"/>
  <c r="A872" i="11"/>
  <c r="A871" i="11"/>
  <c r="A870" i="11"/>
  <c r="A868" i="11"/>
  <c r="A867" i="11"/>
  <c r="A866" i="11"/>
  <c r="A865" i="11"/>
  <c r="A864" i="11"/>
  <c r="A863" i="11"/>
  <c r="A862" i="11"/>
  <c r="A860" i="11"/>
  <c r="A859" i="11"/>
  <c r="A858" i="11"/>
  <c r="A857" i="11"/>
  <c r="A856" i="11"/>
  <c r="A855" i="11"/>
  <c r="A854" i="11"/>
  <c r="A853" i="11"/>
  <c r="A852" i="11"/>
  <c r="A850" i="11"/>
  <c r="A849" i="11"/>
  <c r="A848" i="11"/>
  <c r="A847" i="11"/>
  <c r="A846" i="11"/>
  <c r="A844" i="11"/>
  <c r="A843" i="11"/>
  <c r="A842" i="11"/>
  <c r="A841" i="11"/>
  <c r="A840" i="11"/>
  <c r="A839" i="11"/>
  <c r="A838" i="11"/>
  <c r="A837" i="11"/>
  <c r="A836" i="11"/>
  <c r="A835" i="11"/>
  <c r="A833" i="11"/>
  <c r="A832" i="11"/>
  <c r="A831" i="11"/>
  <c r="A830" i="11"/>
  <c r="A829" i="11"/>
  <c r="A828" i="11"/>
  <c r="A827" i="11"/>
  <c r="A826" i="11"/>
  <c r="A825" i="11"/>
  <c r="A823" i="11"/>
  <c r="A822" i="11"/>
  <c r="A821" i="11"/>
  <c r="A820" i="11"/>
  <c r="A819" i="11"/>
  <c r="A818" i="11"/>
  <c r="A817" i="11"/>
  <c r="A816" i="11"/>
  <c r="A815" i="11"/>
  <c r="A813" i="11"/>
  <c r="A812" i="11"/>
  <c r="A811" i="11"/>
  <c r="A809" i="11"/>
  <c r="A808" i="11"/>
  <c r="A807" i="11"/>
  <c r="A806" i="11"/>
  <c r="A805" i="11"/>
  <c r="A803" i="11"/>
  <c r="A802" i="11"/>
  <c r="A801" i="11"/>
  <c r="A800" i="11"/>
  <c r="A799" i="11"/>
  <c r="A797" i="11"/>
  <c r="A796" i="11"/>
  <c r="A795" i="11"/>
  <c r="A794" i="11"/>
  <c r="A793" i="11"/>
  <c r="A792" i="11"/>
  <c r="A790" i="11"/>
  <c r="A789" i="11"/>
  <c r="A788" i="11"/>
  <c r="A787" i="11"/>
  <c r="A786" i="11"/>
  <c r="A785" i="11"/>
  <c r="A783" i="11"/>
  <c r="A782" i="11"/>
  <c r="A781" i="11"/>
  <c r="A779" i="11"/>
  <c r="A778" i="11"/>
  <c r="A777" i="11"/>
  <c r="A776" i="11"/>
  <c r="A775" i="11"/>
  <c r="A773" i="11"/>
  <c r="A772" i="11"/>
  <c r="A771" i="11"/>
  <c r="A770" i="11"/>
  <c r="A769" i="11"/>
  <c r="A767" i="11"/>
  <c r="A765" i="11"/>
  <c r="A764" i="11"/>
  <c r="A763" i="11"/>
  <c r="A762" i="11"/>
  <c r="A754" i="11"/>
  <c r="A753" i="11"/>
  <c r="A752" i="11"/>
  <c r="A751" i="11"/>
  <c r="A750" i="11"/>
  <c r="A749" i="11"/>
  <c r="A748" i="11"/>
  <c r="A747" i="11"/>
  <c r="A746" i="11"/>
  <c r="A745" i="11"/>
  <c r="A744" i="11"/>
  <c r="A743" i="11"/>
  <c r="A742" i="11"/>
  <c r="A741" i="11"/>
  <c r="A740" i="11"/>
  <c r="A739" i="11"/>
  <c r="A738" i="11"/>
  <c r="A737" i="11"/>
  <c r="A736" i="11"/>
  <c r="A735" i="11"/>
  <c r="A734" i="11"/>
  <c r="A733" i="11"/>
  <c r="A732" i="11"/>
  <c r="A731" i="11"/>
  <c r="A730" i="11"/>
  <c r="A729" i="11"/>
  <c r="A728" i="11"/>
  <c r="A727" i="11"/>
  <c r="A726" i="11"/>
  <c r="A725" i="11"/>
  <c r="A724" i="11"/>
  <c r="A723" i="11"/>
  <c r="A722" i="11"/>
  <c r="A721" i="11"/>
  <c r="A720" i="11"/>
  <c r="A716" i="11"/>
  <c r="A715" i="11"/>
  <c r="A714" i="11"/>
  <c r="A713" i="11"/>
  <c r="A712" i="11"/>
  <c r="A711" i="11"/>
  <c r="A710" i="11"/>
  <c r="A709" i="11"/>
  <c r="A708" i="11"/>
  <c r="A707" i="11"/>
  <c r="A706" i="11"/>
  <c r="A705" i="11"/>
  <c r="A704" i="11"/>
  <c r="A703" i="11"/>
  <c r="A702" i="11"/>
  <c r="A701" i="11"/>
  <c r="A700" i="11"/>
  <c r="A699" i="11"/>
  <c r="A698" i="11"/>
  <c r="A697" i="11"/>
  <c r="A696" i="11"/>
  <c r="A695" i="11"/>
  <c r="A694" i="11"/>
  <c r="A693" i="11"/>
  <c r="A692" i="11"/>
  <c r="A691" i="11"/>
  <c r="A690" i="11"/>
  <c r="A689" i="11"/>
  <c r="A688" i="11"/>
  <c r="A687" i="11"/>
  <c r="A686" i="11"/>
  <c r="A685" i="11"/>
  <c r="A684" i="11"/>
  <c r="A683" i="11"/>
  <c r="A682" i="11"/>
  <c r="A679" i="11"/>
  <c r="A678" i="11"/>
  <c r="A677" i="11"/>
  <c r="A676" i="11"/>
  <c r="A675" i="11"/>
  <c r="A674" i="11"/>
  <c r="A673" i="11"/>
  <c r="A672" i="11"/>
  <c r="A671" i="11"/>
  <c r="A670" i="11"/>
  <c r="A669" i="11"/>
  <c r="A668" i="11"/>
  <c r="A667" i="11"/>
  <c r="A666" i="11"/>
  <c r="A665" i="11"/>
  <c r="A664" i="11"/>
  <c r="A663" i="11"/>
  <c r="A662" i="11"/>
  <c r="A661" i="11"/>
  <c r="A660" i="11"/>
  <c r="A659" i="11"/>
  <c r="A658" i="11"/>
  <c r="A657" i="11"/>
  <c r="A656" i="11"/>
  <c r="A655" i="11"/>
  <c r="A654" i="11"/>
  <c r="A653" i="11"/>
  <c r="A652" i="11"/>
  <c r="A651" i="11"/>
  <c r="A650" i="11"/>
  <c r="A649" i="11"/>
  <c r="A648" i="11"/>
  <c r="A647" i="11"/>
  <c r="A646" i="11"/>
  <c r="A645" i="11"/>
  <c r="A644" i="11"/>
  <c r="A643" i="11"/>
  <c r="A642" i="11"/>
  <c r="A641" i="11"/>
  <c r="A640" i="11"/>
  <c r="A639" i="11"/>
  <c r="A638" i="11"/>
  <c r="A637" i="11"/>
  <c r="A636" i="11"/>
  <c r="A635" i="11"/>
  <c r="A634" i="11"/>
  <c r="A633" i="11"/>
  <c r="A632" i="11"/>
  <c r="A631" i="11"/>
  <c r="A630" i="11"/>
  <c r="A629" i="11"/>
  <c r="A628" i="11"/>
  <c r="A627" i="11"/>
  <c r="A626" i="11"/>
  <c r="A625" i="11"/>
  <c r="A624" i="11"/>
  <c r="A623" i="11"/>
  <c r="A622" i="11"/>
  <c r="A621" i="11"/>
  <c r="A620" i="11"/>
  <c r="A619" i="11"/>
  <c r="A618" i="11"/>
  <c r="A617" i="11"/>
  <c r="A616" i="11"/>
  <c r="A615" i="11"/>
  <c r="A614" i="11"/>
  <c r="A613" i="11"/>
  <c r="A612" i="11"/>
  <c r="A611" i="11"/>
  <c r="A610" i="11"/>
  <c r="A609" i="11"/>
  <c r="A608" i="11"/>
  <c r="A607" i="11"/>
  <c r="A606" i="11"/>
  <c r="A605" i="11"/>
  <c r="A604" i="11"/>
  <c r="A603" i="11"/>
  <c r="A602" i="11"/>
  <c r="A601" i="11"/>
  <c r="A600" i="11"/>
  <c r="A599" i="11"/>
  <c r="A598" i="11"/>
  <c r="A597" i="11"/>
  <c r="A596" i="11"/>
  <c r="A595" i="11"/>
  <c r="A594" i="11"/>
  <c r="A593" i="11"/>
  <c r="A592" i="11"/>
  <c r="A591" i="11"/>
  <c r="A590" i="11"/>
  <c r="A589" i="11"/>
  <c r="A588" i="11"/>
  <c r="A587" i="11"/>
  <c r="A586" i="11"/>
  <c r="A585" i="11"/>
  <c r="A584" i="11"/>
  <c r="A583" i="11"/>
  <c r="A582" i="11"/>
  <c r="A581" i="11"/>
  <c r="A580" i="11"/>
  <c r="A579" i="11"/>
  <c r="A578" i="11"/>
  <c r="A577" i="11"/>
  <c r="A576" i="11"/>
  <c r="A575" i="11"/>
  <c r="A574" i="11"/>
  <c r="A573" i="11"/>
  <c r="A572" i="11"/>
  <c r="A571" i="11"/>
  <c r="A570" i="11"/>
  <c r="A569" i="11"/>
  <c r="A568" i="11"/>
  <c r="A567" i="11"/>
  <c r="A566" i="11"/>
  <c r="A565" i="11"/>
  <c r="A564" i="11"/>
  <c r="A563" i="11"/>
  <c r="A562" i="11"/>
  <c r="A561" i="11"/>
  <c r="A560" i="11"/>
  <c r="A559" i="11"/>
  <c r="A553" i="11"/>
  <c r="A552" i="11"/>
  <c r="A551" i="11"/>
  <c r="A550" i="11"/>
  <c r="A549" i="11"/>
  <c r="A548" i="11"/>
  <c r="A547" i="11"/>
  <c r="A545" i="11"/>
  <c r="A544" i="11"/>
  <c r="A543" i="11"/>
  <c r="A542" i="11"/>
  <c r="A541" i="11"/>
  <c r="A540" i="11"/>
  <c r="A539" i="11"/>
  <c r="A538" i="11"/>
  <c r="A537" i="11"/>
  <c r="A536" i="11"/>
  <c r="A535" i="11"/>
  <c r="A534" i="11"/>
  <c r="A533" i="11"/>
  <c r="A532" i="11"/>
  <c r="A522" i="11"/>
  <c r="A519" i="11"/>
  <c r="A518" i="11"/>
  <c r="A517" i="11"/>
  <c r="A516" i="11"/>
  <c r="A515" i="11"/>
  <c r="A505" i="11"/>
  <c r="A504" i="11"/>
  <c r="A503" i="11"/>
  <c r="A502" i="11"/>
  <c r="A500" i="11"/>
  <c r="A499" i="11"/>
  <c r="A498" i="11"/>
  <c r="A497" i="11"/>
  <c r="A496" i="11"/>
  <c r="A495" i="11"/>
  <c r="A494" i="11"/>
  <c r="A493" i="11"/>
  <c r="A492" i="11"/>
  <c r="A491" i="11"/>
  <c r="A490" i="11"/>
  <c r="A482" i="11"/>
  <c r="A481" i="11"/>
  <c r="A480" i="11"/>
  <c r="A479" i="11"/>
  <c r="A478" i="11"/>
  <c r="A477" i="11"/>
  <c r="A474" i="11"/>
  <c r="A473" i="11"/>
  <c r="A472" i="11"/>
  <c r="A471" i="11"/>
  <c r="A470" i="11"/>
  <c r="A469" i="11"/>
  <c r="A468" i="11"/>
  <c r="A467" i="11"/>
  <c r="A466" i="11"/>
  <c r="A465" i="11"/>
  <c r="A464" i="11"/>
  <c r="A463" i="11"/>
  <c r="A462" i="11"/>
  <c r="A461" i="11"/>
  <c r="A460" i="11"/>
  <c r="A459" i="11"/>
  <c r="A458" i="11"/>
  <c r="A457" i="11"/>
  <c r="A456" i="11"/>
  <c r="A455" i="11"/>
  <c r="A454" i="11"/>
  <c r="A445" i="11"/>
  <c r="A444" i="11"/>
  <c r="A443" i="11"/>
  <c r="A442" i="11"/>
  <c r="A441" i="11"/>
  <c r="A440" i="11"/>
  <c r="A439" i="11"/>
  <c r="A438" i="11"/>
  <c r="A437" i="11"/>
  <c r="A436" i="11"/>
  <c r="A435" i="11"/>
  <c r="A434" i="11"/>
  <c r="A433" i="11"/>
  <c r="A432" i="11"/>
  <c r="A431" i="11"/>
  <c r="A430" i="11"/>
  <c r="A429" i="11"/>
  <c r="A428" i="11"/>
  <c r="A425" i="11"/>
  <c r="A424" i="11"/>
  <c r="A423" i="11"/>
  <c r="A422" i="11"/>
  <c r="A421" i="11"/>
  <c r="A420" i="11"/>
  <c r="A419" i="11"/>
  <c r="A418" i="11"/>
  <c r="A417" i="11"/>
  <c r="A416" i="11"/>
  <c r="A415" i="11"/>
  <c r="A414" i="11"/>
  <c r="A413" i="11"/>
  <c r="A412" i="11"/>
  <c r="A411" i="11"/>
  <c r="A410" i="11"/>
  <c r="A409" i="11"/>
  <c r="A408" i="11"/>
  <c r="A407" i="11"/>
  <c r="A406" i="11"/>
  <c r="A405" i="11"/>
  <c r="A404" i="11"/>
  <c r="A403" i="11"/>
  <c r="A402" i="11"/>
  <c r="A401" i="11"/>
  <c r="A400" i="11"/>
  <c r="A399" i="11"/>
  <c r="A398" i="11"/>
  <c r="A397" i="11"/>
  <c r="A396" i="11"/>
  <c r="A395" i="11"/>
  <c r="A394" i="11"/>
  <c r="A393" i="11"/>
  <c r="A392" i="11"/>
  <c r="A391" i="11"/>
  <c r="A390" i="11"/>
  <c r="A389" i="11"/>
  <c r="A388" i="11"/>
  <c r="A387" i="11"/>
  <c r="A386" i="11"/>
  <c r="A385" i="11"/>
  <c r="A384" i="11"/>
  <c r="A383" i="11"/>
  <c r="A382" i="11"/>
  <c r="A381" i="11"/>
  <c r="A380" i="11"/>
  <c r="A379" i="11"/>
  <c r="A378" i="11"/>
  <c r="A377" i="11"/>
  <c r="A376" i="11"/>
  <c r="A375" i="11"/>
  <c r="A374" i="11"/>
  <c r="A373" i="11"/>
  <c r="A372" i="11"/>
  <c r="A371" i="11"/>
  <c r="A370" i="11"/>
  <c r="A369" i="11"/>
  <c r="A368" i="11"/>
  <c r="A367" i="11"/>
  <c r="A366" i="11"/>
  <c r="A365" i="11"/>
  <c r="A364" i="11"/>
  <c r="A363" i="11"/>
  <c r="A362" i="11"/>
  <c r="A361" i="11"/>
  <c r="A360" i="11"/>
  <c r="A359" i="11"/>
  <c r="A358" i="11"/>
  <c r="A357" i="11"/>
  <c r="A356" i="11"/>
  <c r="A355" i="11"/>
  <c r="A354" i="11"/>
  <c r="A353" i="11"/>
  <c r="A352" i="11"/>
  <c r="A351" i="11"/>
  <c r="A350" i="11"/>
  <c r="A349" i="11"/>
  <c r="A348" i="11"/>
  <c r="A347" i="11"/>
  <c r="A346" i="11"/>
  <c r="A345" i="11"/>
  <c r="A344" i="11"/>
  <c r="A343" i="11"/>
  <c r="A342" i="11"/>
  <c r="A341" i="11"/>
  <c r="A340" i="11"/>
  <c r="A339" i="11"/>
  <c r="A338" i="11"/>
  <c r="A337" i="11"/>
  <c r="A336" i="11"/>
  <c r="A335" i="11"/>
  <c r="A334" i="11"/>
  <c r="A333" i="11"/>
  <c r="A332" i="11"/>
  <c r="A331" i="11"/>
  <c r="A330" i="11"/>
  <c r="A329" i="11"/>
  <c r="A328" i="11"/>
  <c r="A327" i="11"/>
  <c r="A326" i="11"/>
  <c r="A325" i="11"/>
  <c r="A324" i="11"/>
  <c r="A323" i="11"/>
  <c r="A322" i="11"/>
  <c r="A321" i="11"/>
  <c r="A320" i="11"/>
  <c r="A319" i="11"/>
  <c r="A318" i="11"/>
  <c r="A317" i="11"/>
  <c r="A316" i="11"/>
  <c r="A315" i="11"/>
  <c r="A314" i="11"/>
  <c r="A313" i="11"/>
  <c r="A312" i="11"/>
  <c r="A311" i="11"/>
  <c r="A310" i="11"/>
  <c r="A309" i="11"/>
  <c r="A308" i="11"/>
  <c r="A307" i="11"/>
  <c r="A306" i="11"/>
  <c r="A298" i="11"/>
  <c r="A296" i="11"/>
  <c r="A295" i="11"/>
  <c r="A294" i="11"/>
  <c r="A293" i="11"/>
  <c r="A292" i="11"/>
  <c r="A291" i="11"/>
  <c r="A283" i="11"/>
  <c r="A282" i="11"/>
  <c r="A281" i="11"/>
  <c r="A280" i="11"/>
  <c r="A279" i="11"/>
  <c r="A278" i="11"/>
  <c r="A277" i="11"/>
  <c r="A276" i="11"/>
  <c r="A267" i="11"/>
  <c r="A259" i="11"/>
  <c r="A258" i="11"/>
  <c r="A257" i="11"/>
  <c r="A256" i="11"/>
  <c r="A255" i="11"/>
  <c r="A254" i="11"/>
  <c r="A253" i="11"/>
  <c r="A252" i="11"/>
  <c r="A251" i="11"/>
  <c r="A250" i="11"/>
  <c r="A249" i="11"/>
  <c r="A248" i="11"/>
  <c r="A247" i="11"/>
  <c r="A246" i="11"/>
  <c r="A245" i="11"/>
  <c r="A244" i="11"/>
  <c r="A232" i="11"/>
  <c r="A231" i="11"/>
  <c r="A230" i="11"/>
  <c r="A229" i="11"/>
  <c r="A228" i="11"/>
  <c r="A227" i="11"/>
  <c r="A220" i="11"/>
  <c r="A219" i="11"/>
  <c r="A218" i="11"/>
  <c r="A217" i="11"/>
  <c r="A216" i="11"/>
  <c r="A215" i="11"/>
  <c r="A214" i="11"/>
  <c r="A213" i="11"/>
  <c r="A212" i="11"/>
  <c r="A211" i="11"/>
  <c r="A210" i="11"/>
  <c r="A209" i="11"/>
  <c r="A208" i="11"/>
  <c r="A207" i="11"/>
  <c r="A206" i="11"/>
  <c r="A205" i="11"/>
  <c r="A204" i="11"/>
  <c r="A203" i="11"/>
  <c r="A202" i="11"/>
  <c r="A201" i="11"/>
  <c r="A200" i="11"/>
  <c r="A199" i="11"/>
  <c r="A198" i="11"/>
  <c r="A197" i="11"/>
  <c r="A196" i="11"/>
  <c r="A195" i="11"/>
  <c r="A194" i="11"/>
  <c r="A193" i="11"/>
  <c r="A192" i="11"/>
  <c r="A191" i="11"/>
  <c r="A190" i="11"/>
  <c r="A189" i="11"/>
  <c r="A188" i="11"/>
  <c r="A187" i="11"/>
  <c r="A186" i="11"/>
  <c r="A185" i="11"/>
  <c r="A184" i="11"/>
  <c r="A183" i="11"/>
  <c r="A182" i="11"/>
  <c r="A181" i="11"/>
  <c r="A180" i="11"/>
  <c r="A179" i="11"/>
  <c r="A178" i="11"/>
  <c r="A177" i="11"/>
  <c r="A176" i="11"/>
  <c r="A175" i="11"/>
  <c r="A174" i="11"/>
  <c r="A173" i="11"/>
  <c r="A172" i="11"/>
  <c r="A171" i="11"/>
  <c r="A170" i="11"/>
  <c r="A169" i="11"/>
  <c r="A168" i="11"/>
  <c r="A167" i="11"/>
  <c r="A166" i="11"/>
  <c r="A165" i="11"/>
  <c r="A164" i="11"/>
  <c r="A163" i="11"/>
  <c r="A162" i="11"/>
  <c r="A161" i="11"/>
  <c r="A160" i="11"/>
  <c r="A159" i="11"/>
  <c r="A158" i="11"/>
  <c r="A157" i="11"/>
  <c r="A156" i="11"/>
  <c r="A155" i="11"/>
  <c r="A154" i="11"/>
  <c r="A153" i="11"/>
  <c r="A152" i="11"/>
  <c r="A151" i="11"/>
  <c r="A150" i="11"/>
  <c r="A149" i="11"/>
  <c r="A148" i="11"/>
  <c r="A147" i="11"/>
  <c r="A146" i="11"/>
  <c r="A145" i="11"/>
  <c r="A144" i="11"/>
  <c r="A143" i="11"/>
  <c r="A142" i="11"/>
  <c r="A141" i="11"/>
  <c r="A140" i="11"/>
  <c r="A139" i="11"/>
  <c r="A138" i="11"/>
  <c r="A137" i="11"/>
  <c r="A136" i="11"/>
  <c r="A135" i="11"/>
  <c r="A134" i="11"/>
  <c r="A133" i="11"/>
  <c r="A132" i="11"/>
  <c r="A131" i="11"/>
  <c r="A130" i="11"/>
  <c r="A129" i="11"/>
  <c r="A128" i="11"/>
  <c r="A127" i="11"/>
  <c r="A126" i="11"/>
  <c r="A125" i="11"/>
  <c r="A124" i="11"/>
  <c r="A123" i="11"/>
  <c r="A122" i="11"/>
  <c r="A121" i="11"/>
  <c r="A120" i="11"/>
  <c r="A119" i="11"/>
  <c r="A118" i="11"/>
  <c r="A117" i="11"/>
  <c r="A116" i="11"/>
  <c r="A115" i="11"/>
  <c r="A114" i="11"/>
  <c r="A113" i="11"/>
  <c r="A112" i="11"/>
  <c r="A111" i="11"/>
  <c r="A110" i="11"/>
  <c r="A109" i="11"/>
  <c r="A108" i="11"/>
  <c r="A107" i="11"/>
  <c r="A106" i="11"/>
  <c r="A105" i="11"/>
  <c r="A104" i="11"/>
  <c r="A103" i="11"/>
  <c r="A102" i="11"/>
  <c r="A101" i="11"/>
  <c r="A100" i="11"/>
  <c r="A99" i="11"/>
  <c r="A98" i="11"/>
  <c r="A97" i="11"/>
  <c r="A96" i="11"/>
  <c r="A95" i="11"/>
  <c r="A94" i="11"/>
  <c r="A93" i="11"/>
  <c r="A92" i="11"/>
  <c r="A91" i="11"/>
  <c r="A90" i="11"/>
  <c r="A89" i="11"/>
  <c r="A88" i="11"/>
  <c r="A87" i="11"/>
  <c r="A86" i="11"/>
  <c r="A85" i="11"/>
  <c r="A84" i="11"/>
  <c r="A83" i="11"/>
  <c r="A82" i="11"/>
  <c r="A81" i="11"/>
  <c r="A80" i="11"/>
  <c r="A79" i="11"/>
  <c r="A78" i="11"/>
  <c r="A77" i="11"/>
  <c r="A76" i="11"/>
  <c r="A75" i="11"/>
  <c r="A74" i="11"/>
  <c r="A73" i="11"/>
  <c r="A72" i="11"/>
  <c r="A71" i="11"/>
  <c r="A70" i="11"/>
  <c r="A69" i="11"/>
  <c r="A68" i="11"/>
  <c r="A67" i="11"/>
  <c r="A66" i="11"/>
  <c r="A65" i="11"/>
  <c r="A64" i="11"/>
  <c r="A63" i="11"/>
  <c r="A62" i="11"/>
  <c r="A61" i="11"/>
  <c r="A60" i="11"/>
  <c r="A59" i="11"/>
  <c r="A58" i="11"/>
  <c r="A57" i="11"/>
  <c r="A56" i="11"/>
  <c r="A55" i="11"/>
  <c r="A54" i="11"/>
  <c r="A53" i="11"/>
  <c r="A52" i="11"/>
  <c r="A51" i="11"/>
  <c r="A50" i="11"/>
  <c r="A49" i="11"/>
  <c r="A48" i="11"/>
  <c r="A47" i="11"/>
  <c r="A46" i="11"/>
  <c r="A45" i="11"/>
  <c r="A44" i="11"/>
  <c r="A43" i="11"/>
  <c r="A42" i="11"/>
  <c r="A41" i="11"/>
  <c r="A40" i="11"/>
  <c r="A39" i="11"/>
  <c r="A38" i="11"/>
  <c r="A37" i="11"/>
  <c r="A36" i="11"/>
  <c r="A35" i="11"/>
  <c r="A34" i="11"/>
  <c r="A33" i="11"/>
  <c r="A32" i="11"/>
  <c r="A31" i="11"/>
  <c r="A30" i="11"/>
  <c r="A29" i="11"/>
  <c r="A28" i="11"/>
  <c r="A27" i="11"/>
  <c r="A26" i="11"/>
  <c r="A25" i="11"/>
  <c r="A24" i="11"/>
  <c r="A23" i="11"/>
  <c r="A22" i="11"/>
  <c r="A21" i="11"/>
  <c r="A20" i="11"/>
  <c r="A19" i="11"/>
  <c r="A18" i="11"/>
  <c r="A17" i="11"/>
  <c r="A16" i="11"/>
  <c r="A15" i="11"/>
  <c r="A14" i="11"/>
  <c r="A13" i="11"/>
  <c r="A12" i="11"/>
  <c r="A11" i="11"/>
  <c r="A10" i="11"/>
  <c r="A9" i="11"/>
  <c r="A8" i="11"/>
  <c r="A7" i="11"/>
  <c r="A6" i="11"/>
  <c r="E17" i="14" l="1"/>
  <c r="B29" i="6" s="1"/>
  <c r="E21" i="14"/>
  <c r="E25" i="14"/>
  <c r="E29" i="14"/>
  <c r="E33" i="14"/>
  <c r="E37" i="14"/>
  <c r="E41" i="14"/>
  <c r="E45" i="14"/>
  <c r="E49" i="14"/>
  <c r="E53" i="14"/>
  <c r="E57" i="14"/>
  <c r="E61" i="14"/>
  <c r="E65" i="14"/>
  <c r="E69" i="14"/>
  <c r="E73" i="14"/>
  <c r="E77" i="14"/>
  <c r="E81" i="14"/>
  <c r="E85" i="14"/>
  <c r="E89" i="14"/>
  <c r="E93" i="14"/>
  <c r="E97" i="14"/>
  <c r="E101" i="14"/>
  <c r="E105" i="14"/>
  <c r="E109" i="14"/>
  <c r="E113" i="14"/>
  <c r="E117" i="14"/>
  <c r="E121" i="14"/>
  <c r="E125" i="14"/>
  <c r="E129" i="14"/>
  <c r="E133" i="14"/>
  <c r="E137" i="14"/>
  <c r="E141" i="14"/>
  <c r="E145" i="14"/>
  <c r="E149" i="14"/>
  <c r="E153" i="14"/>
  <c r="E157" i="14"/>
  <c r="E161" i="14"/>
  <c r="E165" i="14"/>
  <c r="E169" i="14"/>
  <c r="E173" i="14"/>
  <c r="E177" i="14"/>
  <c r="E181" i="14"/>
  <c r="E185" i="14"/>
  <c r="E189" i="14"/>
  <c r="E193" i="14"/>
  <c r="E197" i="14"/>
  <c r="E201" i="14"/>
  <c r="E205" i="14"/>
  <c r="E209" i="14"/>
  <c r="E213" i="14"/>
  <c r="E217" i="14"/>
  <c r="E221" i="14"/>
  <c r="E225" i="14"/>
  <c r="E229" i="14"/>
  <c r="E233" i="14"/>
  <c r="E237" i="14"/>
  <c r="E241" i="14"/>
  <c r="E245" i="14"/>
  <c r="E249" i="14"/>
  <c r="E253" i="14"/>
  <c r="E257" i="14"/>
  <c r="E261" i="14"/>
  <c r="E265" i="14"/>
  <c r="E269" i="14"/>
  <c r="E15" i="14"/>
  <c r="B27" i="6" s="1"/>
  <c r="E19" i="14"/>
  <c r="B30" i="6" s="1"/>
  <c r="E23" i="14"/>
  <c r="E27" i="14"/>
  <c r="E31" i="14"/>
  <c r="E35" i="14"/>
  <c r="E39" i="14"/>
  <c r="E43" i="14"/>
  <c r="E47" i="14"/>
  <c r="E51" i="14"/>
  <c r="E55" i="14"/>
  <c r="E59" i="14"/>
  <c r="E63" i="14"/>
  <c r="E67" i="14"/>
  <c r="E71" i="14"/>
  <c r="E75" i="14"/>
  <c r="E79" i="14"/>
  <c r="E83" i="14"/>
  <c r="E87" i="14"/>
  <c r="E91" i="14"/>
  <c r="E95" i="14"/>
  <c r="E99" i="14"/>
  <c r="E103" i="14"/>
  <c r="E107" i="14"/>
  <c r="E111" i="14"/>
  <c r="E115" i="14"/>
  <c r="E119" i="14"/>
  <c r="E123" i="14"/>
  <c r="E127" i="14"/>
  <c r="E131" i="14"/>
  <c r="E135" i="14"/>
  <c r="E139" i="14"/>
  <c r="E143" i="14"/>
  <c r="E147" i="14"/>
  <c r="E151" i="14"/>
  <c r="E155" i="14"/>
  <c r="E159" i="14"/>
  <c r="E163" i="14"/>
  <c r="E167" i="14"/>
  <c r="E171" i="14"/>
  <c r="E175" i="14"/>
  <c r="E179" i="14"/>
  <c r="E183" i="14"/>
  <c r="E187" i="14"/>
  <c r="E191" i="14"/>
  <c r="E195" i="14"/>
  <c r="E199" i="14"/>
  <c r="E203" i="14"/>
  <c r="E207" i="14"/>
  <c r="E211" i="14"/>
  <c r="E215" i="14"/>
  <c r="E219" i="14"/>
  <c r="E223" i="14"/>
  <c r="E227" i="14"/>
  <c r="E231" i="14"/>
  <c r="E235" i="14"/>
  <c r="E239" i="14"/>
  <c r="E243" i="14"/>
  <c r="E247" i="14"/>
  <c r="E251" i="14"/>
  <c r="E255" i="14"/>
  <c r="E259" i="14"/>
  <c r="E263" i="14"/>
  <c r="E267" i="14"/>
  <c r="E22" i="14"/>
  <c r="E30" i="14"/>
  <c r="E38" i="14"/>
  <c r="E46" i="14"/>
  <c r="E54" i="14"/>
  <c r="B50" i="6" s="1"/>
  <c r="E62" i="14"/>
  <c r="E70" i="14"/>
  <c r="E78" i="14"/>
  <c r="E86" i="14"/>
  <c r="E94" i="14"/>
  <c r="E102" i="14"/>
  <c r="E110" i="14"/>
  <c r="E118" i="14"/>
  <c r="E126" i="14"/>
  <c r="E134" i="14"/>
  <c r="E142" i="14"/>
  <c r="E150" i="14"/>
  <c r="E158" i="14"/>
  <c r="E166" i="14"/>
  <c r="E174" i="14"/>
  <c r="E182" i="14"/>
  <c r="E190" i="14"/>
  <c r="E198" i="14"/>
  <c r="E206" i="14"/>
  <c r="E214" i="14"/>
  <c r="E222" i="14"/>
  <c r="E230" i="14"/>
  <c r="E238" i="14"/>
  <c r="E246" i="14"/>
  <c r="E254" i="14"/>
  <c r="E262" i="14"/>
  <c r="E270" i="14"/>
  <c r="E274" i="14"/>
  <c r="E278" i="14"/>
  <c r="E282" i="14"/>
  <c r="E286" i="14"/>
  <c r="E290" i="14"/>
  <c r="E294" i="14"/>
  <c r="E298" i="14"/>
  <c r="E302" i="14"/>
  <c r="E306" i="14"/>
  <c r="E310" i="14"/>
  <c r="E314" i="14"/>
  <c r="E318" i="14"/>
  <c r="E322" i="14"/>
  <c r="E326" i="14"/>
  <c r="E330" i="14"/>
  <c r="E334" i="14"/>
  <c r="E338" i="14"/>
  <c r="E342" i="14"/>
  <c r="E346" i="14"/>
  <c r="E350" i="14"/>
  <c r="E354" i="14"/>
  <c r="E358" i="14"/>
  <c r="E362" i="14"/>
  <c r="E366" i="14"/>
  <c r="E370" i="14"/>
  <c r="E374" i="14"/>
  <c r="E378" i="14"/>
  <c r="E382" i="14"/>
  <c r="E386" i="14"/>
  <c r="E390" i="14"/>
  <c r="E394" i="14"/>
  <c r="E398" i="14"/>
  <c r="E402" i="14"/>
  <c r="E406" i="14"/>
  <c r="E410" i="14"/>
  <c r="E414" i="14"/>
  <c r="E418" i="14"/>
  <c r="E422" i="14"/>
  <c r="E426" i="14"/>
  <c r="E430" i="14"/>
  <c r="E434" i="14"/>
  <c r="E438" i="14"/>
  <c r="E442" i="14"/>
  <c r="E446" i="14"/>
  <c r="E450" i="14"/>
  <c r="E454" i="14"/>
  <c r="E458" i="14"/>
  <c r="E462" i="14"/>
  <c r="E466" i="14"/>
  <c r="E470" i="14"/>
  <c r="E16" i="14"/>
  <c r="B28" i="6" s="1"/>
  <c r="E24" i="14"/>
  <c r="E32" i="14"/>
  <c r="E40" i="14"/>
  <c r="E48" i="14"/>
  <c r="E56" i="14"/>
  <c r="E64" i="14"/>
  <c r="E72" i="14"/>
  <c r="E80" i="14"/>
  <c r="E88" i="14"/>
  <c r="E96" i="14"/>
  <c r="E104" i="14"/>
  <c r="E112" i="14"/>
  <c r="E120" i="14"/>
  <c r="E128" i="14"/>
  <c r="E136" i="14"/>
  <c r="E144" i="14"/>
  <c r="E152" i="14"/>
  <c r="E160" i="14"/>
  <c r="E168" i="14"/>
  <c r="E176" i="14"/>
  <c r="E184" i="14"/>
  <c r="E192" i="14"/>
  <c r="E200" i="14"/>
  <c r="E208" i="14"/>
  <c r="E216" i="14"/>
  <c r="E224" i="14"/>
  <c r="E232" i="14"/>
  <c r="E240" i="14"/>
  <c r="E248" i="14"/>
  <c r="E256" i="14"/>
  <c r="E264" i="14"/>
  <c r="E271" i="14"/>
  <c r="E275" i="14"/>
  <c r="E279" i="14"/>
  <c r="E283" i="14"/>
  <c r="E287" i="14"/>
  <c r="E291" i="14"/>
  <c r="E295" i="14"/>
  <c r="E299" i="14"/>
  <c r="E303" i="14"/>
  <c r="E307" i="14"/>
  <c r="E311" i="14"/>
  <c r="E315" i="14"/>
  <c r="E319" i="14"/>
  <c r="E323" i="14"/>
  <c r="E327" i="14"/>
  <c r="E331" i="14"/>
  <c r="E335" i="14"/>
  <c r="E339" i="14"/>
  <c r="E343" i="14"/>
  <c r="E347" i="14"/>
  <c r="E351" i="14"/>
  <c r="E355" i="14"/>
  <c r="E359" i="14"/>
  <c r="E363" i="14"/>
  <c r="E367" i="14"/>
  <c r="E371" i="14"/>
  <c r="E375" i="14"/>
  <c r="E379" i="14"/>
  <c r="E383" i="14"/>
  <c r="E387" i="14"/>
  <c r="E391" i="14"/>
  <c r="E395" i="14"/>
  <c r="E399" i="14"/>
  <c r="E403" i="14"/>
  <c r="E407" i="14"/>
  <c r="E411" i="14"/>
  <c r="E415" i="14"/>
  <c r="E419" i="14"/>
  <c r="E423" i="14"/>
  <c r="E427" i="14"/>
  <c r="E431" i="14"/>
  <c r="E435" i="14"/>
  <c r="E439" i="14"/>
  <c r="E443" i="14"/>
  <c r="E447" i="14"/>
  <c r="E451" i="14"/>
  <c r="E455" i="14"/>
  <c r="E459" i="14"/>
  <c r="E463" i="14"/>
  <c r="E467" i="14"/>
  <c r="E471" i="14"/>
  <c r="E475" i="14"/>
  <c r="E479" i="14"/>
  <c r="E483" i="14"/>
  <c r="E487" i="14"/>
  <c r="E491" i="14"/>
  <c r="E495" i="14"/>
  <c r="E499" i="14"/>
  <c r="E503" i="14"/>
  <c r="E507" i="14"/>
  <c r="E511" i="14"/>
  <c r="E515" i="14"/>
  <c r="E519" i="14"/>
  <c r="E523" i="14"/>
  <c r="E527" i="14"/>
  <c r="E531" i="14"/>
  <c r="E535" i="14"/>
  <c r="E539" i="14"/>
  <c r="E543" i="14"/>
  <c r="E6" i="14"/>
  <c r="B41" i="6" s="1"/>
  <c r="E10" i="14"/>
  <c r="E14" i="14"/>
  <c r="E26" i="14"/>
  <c r="E34" i="14"/>
  <c r="E50" i="14"/>
  <c r="E66" i="14"/>
  <c r="E82" i="14"/>
  <c r="E98" i="14"/>
  <c r="E114" i="14"/>
  <c r="E130" i="14"/>
  <c r="E146" i="14"/>
  <c r="E162" i="14"/>
  <c r="E178" i="14"/>
  <c r="E194" i="14"/>
  <c r="E210" i="14"/>
  <c r="E226" i="14"/>
  <c r="E242" i="14"/>
  <c r="E258" i="14"/>
  <c r="E272" i="14"/>
  <c r="E280" i="14"/>
  <c r="E288" i="14"/>
  <c r="E296" i="14"/>
  <c r="E304" i="14"/>
  <c r="E312" i="14"/>
  <c r="E320" i="14"/>
  <c r="E328" i="14"/>
  <c r="E336" i="14"/>
  <c r="E344" i="14"/>
  <c r="E352" i="14"/>
  <c r="E360" i="14"/>
  <c r="E364" i="14"/>
  <c r="E372" i="14"/>
  <c r="E380" i="14"/>
  <c r="E388" i="14"/>
  <c r="E396" i="14"/>
  <c r="E404" i="14"/>
  <c r="E412" i="14"/>
  <c r="E420" i="14"/>
  <c r="E428" i="14"/>
  <c r="E432" i="14"/>
  <c r="E440" i="14"/>
  <c r="E448" i="14"/>
  <c r="E456" i="14"/>
  <c r="E464" i="14"/>
  <c r="E472" i="14"/>
  <c r="E480" i="14"/>
  <c r="E488" i="14"/>
  <c r="E492" i="14"/>
  <c r="E500" i="14"/>
  <c r="E508" i="14"/>
  <c r="E516" i="14"/>
  <c r="E524" i="14"/>
  <c r="E532" i="14"/>
  <c r="E540" i="14"/>
  <c r="E7" i="14"/>
  <c r="B42" i="6" s="1"/>
  <c r="E18" i="14"/>
  <c r="E42" i="14"/>
  <c r="E58" i="14"/>
  <c r="E74" i="14"/>
  <c r="E90" i="14"/>
  <c r="E106" i="14"/>
  <c r="E122" i="14"/>
  <c r="E138" i="14"/>
  <c r="E154" i="14"/>
  <c r="E170" i="14"/>
  <c r="E186" i="14"/>
  <c r="E202" i="14"/>
  <c r="E218" i="14"/>
  <c r="E234" i="14"/>
  <c r="E250" i="14"/>
  <c r="E266" i="14"/>
  <c r="E276" i="14"/>
  <c r="E284" i="14"/>
  <c r="E292" i="14"/>
  <c r="E300" i="14"/>
  <c r="E308" i="14"/>
  <c r="E316" i="14"/>
  <c r="E324" i="14"/>
  <c r="E332" i="14"/>
  <c r="E340" i="14"/>
  <c r="E348" i="14"/>
  <c r="E356" i="14"/>
  <c r="E368" i="14"/>
  <c r="E376" i="14"/>
  <c r="E384" i="14"/>
  <c r="E392" i="14"/>
  <c r="E400" i="14"/>
  <c r="E408" i="14"/>
  <c r="E416" i="14"/>
  <c r="E424" i="14"/>
  <c r="E436" i="14"/>
  <c r="E444" i="14"/>
  <c r="E452" i="14"/>
  <c r="E460" i="14"/>
  <c r="E468" i="14"/>
  <c r="E476" i="14"/>
  <c r="E484" i="14"/>
  <c r="E496" i="14"/>
  <c r="E504" i="14"/>
  <c r="E512" i="14"/>
  <c r="E520" i="14"/>
  <c r="E528" i="14"/>
  <c r="E536" i="14"/>
  <c r="E544" i="14"/>
  <c r="E11" i="14"/>
  <c r="E36" i="14"/>
  <c r="E196" i="14"/>
  <c r="E297" i="14"/>
  <c r="E361" i="14"/>
  <c r="E393" i="14"/>
  <c r="E425" i="14"/>
  <c r="E457" i="14"/>
  <c r="E481" i="14"/>
  <c r="E497" i="14"/>
  <c r="E513" i="14"/>
  <c r="E529" i="14"/>
  <c r="E4" i="14"/>
  <c r="B39" i="6" s="1"/>
  <c r="E44" i="14"/>
  <c r="E76" i="14"/>
  <c r="E108" i="14"/>
  <c r="E140" i="14"/>
  <c r="E172" i="14"/>
  <c r="E204" i="14"/>
  <c r="E236" i="14"/>
  <c r="E268" i="14"/>
  <c r="E285" i="14"/>
  <c r="E301" i="14"/>
  <c r="E317" i="14"/>
  <c r="E333" i="14"/>
  <c r="E349" i="14"/>
  <c r="E365" i="14"/>
  <c r="E381" i="14"/>
  <c r="E397" i="14"/>
  <c r="E413" i="14"/>
  <c r="E429" i="14"/>
  <c r="E445" i="14"/>
  <c r="E461" i="14"/>
  <c r="E474" i="14"/>
  <c r="E482" i="14"/>
  <c r="E490" i="14"/>
  <c r="E498" i="14"/>
  <c r="E506" i="14"/>
  <c r="E514" i="14"/>
  <c r="E522" i="14"/>
  <c r="E530" i="14"/>
  <c r="E538" i="14"/>
  <c r="E5" i="14"/>
  <c r="B40" i="6" s="1"/>
  <c r="E13" i="14"/>
  <c r="E541" i="14"/>
  <c r="E526" i="14"/>
  <c r="E9" i="14"/>
  <c r="E68" i="14"/>
  <c r="E132" i="14"/>
  <c r="E164" i="14"/>
  <c r="E228" i="14"/>
  <c r="E281" i="14"/>
  <c r="E313" i="14"/>
  <c r="E329" i="14"/>
  <c r="E377" i="14"/>
  <c r="E409" i="14"/>
  <c r="E441" i="14"/>
  <c r="E473" i="14"/>
  <c r="E489" i="14"/>
  <c r="E505" i="14"/>
  <c r="E521" i="14"/>
  <c r="E537" i="14"/>
  <c r="E12" i="14"/>
  <c r="E20" i="14"/>
  <c r="B31" i="6" s="1"/>
  <c r="E52" i="14"/>
  <c r="E84" i="14"/>
  <c r="E116" i="14"/>
  <c r="E148" i="14"/>
  <c r="E180" i="14"/>
  <c r="E212" i="14"/>
  <c r="E244" i="14"/>
  <c r="E273" i="14"/>
  <c r="E289" i="14"/>
  <c r="E305" i="14"/>
  <c r="E321" i="14"/>
  <c r="E337" i="14"/>
  <c r="E353" i="14"/>
  <c r="E369" i="14"/>
  <c r="E385" i="14"/>
  <c r="E401" i="14"/>
  <c r="E417" i="14"/>
  <c r="E433" i="14"/>
  <c r="E449" i="14"/>
  <c r="E465" i="14"/>
  <c r="E477" i="14"/>
  <c r="E485" i="14"/>
  <c r="E493" i="14"/>
  <c r="E501" i="14"/>
  <c r="E509" i="14"/>
  <c r="E517" i="14"/>
  <c r="E525" i="14"/>
  <c r="E533" i="14"/>
  <c r="E8" i="14"/>
  <c r="E534" i="14"/>
  <c r="E345" i="14"/>
  <c r="E28" i="14"/>
  <c r="E60" i="14"/>
  <c r="E92" i="14"/>
  <c r="E124" i="14"/>
  <c r="E156" i="14"/>
  <c r="E188" i="14"/>
  <c r="E220" i="14"/>
  <c r="E252" i="14"/>
  <c r="E277" i="14"/>
  <c r="E293" i="14"/>
  <c r="E309" i="14"/>
  <c r="E325" i="14"/>
  <c r="E341" i="14"/>
  <c r="E357" i="14"/>
  <c r="E373" i="14"/>
  <c r="E389" i="14"/>
  <c r="E405" i="14"/>
  <c r="E421" i="14"/>
  <c r="E437" i="14"/>
  <c r="E453" i="14"/>
  <c r="E469" i="14"/>
  <c r="E478" i="14"/>
  <c r="E486" i="14"/>
  <c r="E494" i="14"/>
  <c r="E502" i="14"/>
  <c r="E510" i="14"/>
  <c r="E518" i="14"/>
  <c r="E542" i="14"/>
  <c r="E100" i="14"/>
  <c r="E260" i="14"/>
  <c r="L34" i="15"/>
  <c r="L35" i="15" s="1"/>
  <c r="L36" i="15" s="1"/>
  <c r="L37" i="15" s="1"/>
  <c r="L38" i="15" s="1"/>
  <c r="L39" i="15" s="1"/>
  <c r="L40" i="15" s="1"/>
  <c r="L41" i="15" s="1"/>
  <c r="L42" i="15" s="1"/>
  <c r="L43" i="15" s="1"/>
  <c r="L44" i="15" s="1"/>
  <c r="L45" i="15" s="1"/>
  <c r="N34" i="15"/>
  <c r="N35" i="15" s="1"/>
  <c r="N36" i="15" s="1"/>
  <c r="N37" i="15" s="1"/>
  <c r="N38" i="15" s="1"/>
  <c r="N39" i="15" s="1"/>
  <c r="N40" i="15" s="1"/>
  <c r="N41" i="15" s="1"/>
  <c r="M34" i="15"/>
  <c r="M35" i="15" s="1"/>
  <c r="BC13" i="9"/>
  <c r="BC14" i="9"/>
  <c r="M36" i="15" l="1"/>
  <c r="A18" i="2"/>
  <c r="A16" i="18" s="1"/>
  <c r="G11" i="9"/>
  <c r="H11" i="9" s="1"/>
  <c r="I11" i="9" s="1"/>
  <c r="J11" i="9" s="1"/>
  <c r="K11" i="9" s="1"/>
  <c r="L11" i="9" s="1"/>
  <c r="M11" i="9" s="1"/>
  <c r="N11" i="9" s="1"/>
  <c r="O11" i="9" s="1"/>
  <c r="P11" i="9" s="1"/>
  <c r="Q11" i="9" s="1"/>
  <c r="R11" i="9" s="1"/>
  <c r="S11" i="9" s="1"/>
  <c r="T11" i="9" s="1"/>
  <c r="U11" i="9" s="1"/>
  <c r="V11" i="9" s="1"/>
  <c r="W11" i="9" s="1"/>
  <c r="X11" i="9" s="1"/>
  <c r="Y11" i="9" s="1"/>
  <c r="Z11" i="9" s="1"/>
  <c r="AA11" i="9" s="1"/>
  <c r="AB11" i="9" s="1"/>
  <c r="AC11" i="9" s="1"/>
  <c r="AD11" i="9" s="1"/>
  <c r="AE11" i="9" s="1"/>
  <c r="M37" i="15" l="1"/>
  <c r="A20" i="2"/>
  <c r="A19" i="2"/>
  <c r="AF11" i="9"/>
  <c r="A13" i="9"/>
  <c r="B20" i="2" l="1"/>
  <c r="D20" i="2"/>
  <c r="E20" i="2"/>
  <c r="A18" i="18"/>
  <c r="B19" i="2"/>
  <c r="D19" i="2"/>
  <c r="E19" i="2"/>
  <c r="A17" i="18"/>
  <c r="M38" i="15"/>
  <c r="A21" i="2"/>
  <c r="A14" i="9"/>
  <c r="AG11" i="9"/>
  <c r="A15" i="9"/>
  <c r="D72" i="8"/>
  <c r="D70" i="8"/>
  <c r="D71" i="8"/>
  <c r="D60" i="8"/>
  <c r="D58" i="8"/>
  <c r="D56" i="8"/>
  <c r="D54" i="8"/>
  <c r="D52" i="8"/>
  <c r="D50" i="8"/>
  <c r="D48" i="8"/>
  <c r="D46" i="8"/>
  <c r="D44" i="8"/>
  <c r="D42" i="8"/>
  <c r="D59" i="8"/>
  <c r="D57" i="8"/>
  <c r="D55" i="8"/>
  <c r="D53" i="8"/>
  <c r="D51" i="8"/>
  <c r="D49" i="8"/>
  <c r="D47" i="8"/>
  <c r="D45" i="8"/>
  <c r="D43" i="8"/>
  <c r="D41" i="8"/>
  <c r="D38" i="8"/>
  <c r="D62" i="8"/>
  <c r="D66" i="8"/>
  <c r="D39" i="8"/>
  <c r="D63" i="8"/>
  <c r="D67" i="8"/>
  <c r="D37" i="8"/>
  <c r="D40" i="8"/>
  <c r="D64" i="8"/>
  <c r="D68" i="8"/>
  <c r="D61" i="8"/>
  <c r="D65" i="8"/>
  <c r="D69" i="8"/>
  <c r="D73" i="8"/>
  <c r="D28" i="8"/>
  <c r="D26" i="8"/>
  <c r="D25" i="8"/>
  <c r="D27" i="8"/>
  <c r="D13" i="8"/>
  <c r="D21" i="8"/>
  <c r="D31" i="8"/>
  <c r="D12" i="8"/>
  <c r="D16" i="8"/>
  <c r="D18" i="8"/>
  <c r="D20" i="8"/>
  <c r="D24" i="8"/>
  <c r="D30" i="8"/>
  <c r="D34" i="8"/>
  <c r="D14" i="8"/>
  <c r="D22" i="8"/>
  <c r="D32" i="8"/>
  <c r="D15" i="8"/>
  <c r="D17" i="8"/>
  <c r="D19" i="8"/>
  <c r="D23" i="8"/>
  <c r="D29" i="8"/>
  <c r="D33" i="8"/>
  <c r="B21" i="2" l="1"/>
  <c r="D21" i="2"/>
  <c r="E21" i="2"/>
  <c r="A19" i="18"/>
  <c r="M39" i="15"/>
  <c r="A22" i="2"/>
  <c r="B17" i="18"/>
  <c r="D17" i="18"/>
  <c r="C17" i="18"/>
  <c r="D18" i="18"/>
  <c r="B18" i="18"/>
  <c r="C18" i="18"/>
  <c r="A16" i="9"/>
  <c r="AH11" i="9"/>
  <c r="E72" i="8"/>
  <c r="E70" i="8"/>
  <c r="E71" i="8"/>
  <c r="E60" i="8"/>
  <c r="E59" i="8"/>
  <c r="E57" i="8"/>
  <c r="E55" i="8"/>
  <c r="E53" i="8"/>
  <c r="E51" i="8"/>
  <c r="E49" i="8"/>
  <c r="E47" i="8"/>
  <c r="E45" i="8"/>
  <c r="E43" i="8"/>
  <c r="E41" i="8"/>
  <c r="E58" i="8"/>
  <c r="E56" i="8"/>
  <c r="E54" i="8"/>
  <c r="E52" i="8"/>
  <c r="E50" i="8"/>
  <c r="E48" i="8"/>
  <c r="E46" i="8"/>
  <c r="E44" i="8"/>
  <c r="E42" i="8"/>
  <c r="E28" i="8"/>
  <c r="E26" i="8"/>
  <c r="E27" i="8"/>
  <c r="E25" i="8"/>
  <c r="E38" i="8"/>
  <c r="E40" i="8"/>
  <c r="E62" i="8"/>
  <c r="E64" i="8"/>
  <c r="E66" i="8"/>
  <c r="E68" i="8"/>
  <c r="E73" i="8"/>
  <c r="E13" i="8"/>
  <c r="E15" i="8"/>
  <c r="E17" i="8"/>
  <c r="E19" i="8"/>
  <c r="E21" i="8"/>
  <c r="E23" i="8"/>
  <c r="E29" i="8"/>
  <c r="E31" i="8"/>
  <c r="E33" i="8"/>
  <c r="E39" i="8"/>
  <c r="E61" i="8"/>
  <c r="E63" i="8"/>
  <c r="E65" i="8"/>
  <c r="E67" i="8"/>
  <c r="E69" i="8"/>
  <c r="E37" i="8"/>
  <c r="E14" i="8"/>
  <c r="E16" i="8"/>
  <c r="E18" i="8"/>
  <c r="E20" i="8"/>
  <c r="E22" i="8"/>
  <c r="E24" i="8"/>
  <c r="E30" i="8"/>
  <c r="E32" i="8"/>
  <c r="E34" i="8"/>
  <c r="E12" i="8"/>
  <c r="D11" i="8"/>
  <c r="C19" i="18" l="1"/>
  <c r="D19" i="18"/>
  <c r="B19" i="18"/>
  <c r="D22" i="2"/>
  <c r="A20" i="18"/>
  <c r="B22" i="2"/>
  <c r="E22" i="2"/>
  <c r="M40" i="15"/>
  <c r="A23" i="2"/>
  <c r="A17" i="9"/>
  <c r="AI11" i="9"/>
  <c r="E75" i="8"/>
  <c r="B20" i="18" l="1"/>
  <c r="B23" i="2"/>
  <c r="E23" i="2"/>
  <c r="D23" i="2"/>
  <c r="A21" i="18"/>
  <c r="M41" i="15"/>
  <c r="A24" i="2"/>
  <c r="C20" i="18"/>
  <c r="D20" i="18"/>
  <c r="A18" i="9"/>
  <c r="AJ11" i="9"/>
  <c r="D36" i="8"/>
  <c r="D24" i="2" l="1"/>
  <c r="A22" i="18"/>
  <c r="E24" i="2"/>
  <c r="B24" i="2"/>
  <c r="A19" i="9"/>
  <c r="M42" i="15"/>
  <c r="A25" i="2"/>
  <c r="B21" i="18"/>
  <c r="C21" i="18"/>
  <c r="D21" i="18"/>
  <c r="AK11" i="9"/>
  <c r="B5" i="8"/>
  <c r="B4" i="8"/>
  <c r="B3" i="8"/>
  <c r="B2" i="8"/>
  <c r="M43" i="15" l="1"/>
  <c r="A26" i="2"/>
  <c r="C22" i="18"/>
  <c r="B22" i="18"/>
  <c r="D22" i="18"/>
  <c r="B25" i="2"/>
  <c r="D25" i="2"/>
  <c r="E25" i="2"/>
  <c r="A23" i="18"/>
  <c r="A20" i="9"/>
  <c r="AL11" i="9"/>
  <c r="AM11" i="9" s="1"/>
  <c r="AN11" i="9" s="1"/>
  <c r="AO11" i="9" s="1"/>
  <c r="AP11" i="9" s="1"/>
  <c r="AQ11" i="9" s="1"/>
  <c r="AR11" i="9" s="1"/>
  <c r="AS11" i="9" s="1"/>
  <c r="AT11" i="9" s="1"/>
  <c r="AU11" i="9" s="1"/>
  <c r="AV11" i="9" s="1"/>
  <c r="AW11" i="9" s="1"/>
  <c r="AX11" i="9" s="1"/>
  <c r="AY11" i="9" s="1"/>
  <c r="AZ11" i="9" s="1"/>
  <c r="BA11" i="9" s="1"/>
  <c r="C6" i="9"/>
  <c r="C4" i="9"/>
  <c r="C3" i="9"/>
  <c r="C2" i="9"/>
  <c r="C1" i="9"/>
  <c r="C5" i="9"/>
  <c r="B38" i="2"/>
  <c r="B23" i="18" l="1"/>
  <c r="C23" i="18"/>
  <c r="D23" i="18"/>
  <c r="D26" i="2"/>
  <c r="A24" i="18"/>
  <c r="B26" i="2"/>
  <c r="E26" i="2"/>
  <c r="A21" i="9"/>
  <c r="M44" i="15"/>
  <c r="A27" i="2"/>
  <c r="BC25" i="9"/>
  <c r="BC24" i="9"/>
  <c r="BC23" i="9"/>
  <c r="BC22" i="9"/>
  <c r="BC21" i="9"/>
  <c r="BC20" i="9"/>
  <c r="BC19" i="9"/>
  <c r="BC18" i="9"/>
  <c r="BC17" i="9"/>
  <c r="BC16" i="9"/>
  <c r="BC15" i="9"/>
  <c r="M45" i="15" l="1"/>
  <c r="A28" i="2"/>
  <c r="B27" i="2"/>
  <c r="E27" i="2"/>
  <c r="A25" i="18"/>
  <c r="D27" i="2"/>
  <c r="A22" i="9"/>
  <c r="A26" i="18" l="1"/>
  <c r="D28" i="2"/>
  <c r="E28" i="2"/>
  <c r="B28" i="2"/>
  <c r="A23" i="9"/>
  <c r="D25" i="18"/>
  <c r="B25" i="18"/>
  <c r="C25" i="18"/>
  <c r="A29" i="2"/>
  <c r="B26" i="18" l="1"/>
  <c r="B29" i="2"/>
  <c r="D29" i="2"/>
  <c r="E29" i="2"/>
  <c r="A27" i="18"/>
  <c r="A24" i="9"/>
  <c r="C26" i="18"/>
  <c r="D26" i="18"/>
  <c r="D27" i="18" l="1"/>
  <c r="B27" i="18"/>
  <c r="C27" i="18"/>
  <c r="B957" i="2" l="1"/>
  <c r="B891" i="15" l="1"/>
  <c r="B941" i="15" l="1"/>
  <c r="B1007" i="2"/>
  <c r="B7" i="6"/>
  <c r="B991" i="15" l="1"/>
  <c r="B1057" i="2"/>
  <c r="B6" i="6"/>
  <c r="A68" i="6"/>
  <c r="B1107" i="2" l="1"/>
  <c r="B1041" i="15"/>
  <c r="B77" i="6"/>
  <c r="H71" i="6"/>
  <c r="B1091" i="15" l="1"/>
  <c r="B1157" i="2"/>
  <c r="B76" i="6"/>
  <c r="A138" i="6"/>
  <c r="B1207" i="2" l="1"/>
  <c r="B147" i="6"/>
  <c r="H141" i="6"/>
  <c r="B1141" i="15" l="1"/>
  <c r="B146" i="6"/>
  <c r="A208" i="6"/>
  <c r="B1257" i="2" l="1"/>
  <c r="B1191" i="15"/>
  <c r="H211" i="6"/>
  <c r="B217" i="6"/>
  <c r="B1307" i="2" l="1"/>
  <c r="B216" i="6"/>
  <c r="A278" i="6"/>
  <c r="B1241" i="15" l="1"/>
  <c r="H281" i="6"/>
  <c r="B287" i="6"/>
  <c r="B1291" i="15" l="1"/>
  <c r="B1357" i="2"/>
  <c r="B286" i="6"/>
  <c r="A348" i="6"/>
  <c r="B1341" i="15" l="1"/>
  <c r="B1407" i="2"/>
  <c r="B357" i="6"/>
  <c r="H351" i="6"/>
  <c r="B1391" i="15" l="1"/>
  <c r="B1457" i="2"/>
  <c r="B356" i="6"/>
  <c r="A418" i="6"/>
  <c r="B1507" i="2" l="1"/>
  <c r="B1441" i="15"/>
  <c r="B427" i="6"/>
  <c r="H421" i="6"/>
  <c r="B1491" i="15" l="1"/>
  <c r="B1557" i="2"/>
  <c r="B426" i="6"/>
  <c r="A488" i="6"/>
  <c r="B1541" i="15" l="1"/>
  <c r="B1607" i="2"/>
  <c r="H491" i="6"/>
  <c r="B497" i="6"/>
  <c r="B1591" i="15" l="1"/>
  <c r="B1657" i="2"/>
  <c r="B496" i="6"/>
  <c r="A558" i="6"/>
  <c r="B1707" i="2" l="1"/>
  <c r="H561" i="6"/>
  <c r="B567" i="6"/>
  <c r="B1641" i="15" l="1"/>
  <c r="A628" i="6"/>
  <c r="B566" i="6"/>
  <c r="B1691" i="15" l="1"/>
  <c r="B1757" i="2"/>
  <c r="B637" i="6"/>
  <c r="H631" i="6"/>
  <c r="B1741" i="15" l="1"/>
  <c r="B1807" i="2"/>
  <c r="A698" i="6"/>
  <c r="B636" i="6"/>
  <c r="B1791" i="15" l="1"/>
  <c r="B1857" i="2"/>
  <c r="H701" i="6"/>
  <c r="B707" i="6"/>
  <c r="B1841" i="15" l="1"/>
  <c r="B1907" i="2"/>
  <c r="B706" i="6"/>
  <c r="A768" i="6"/>
  <c r="B1957" i="2" l="1"/>
  <c r="B1891" i="15" l="1"/>
  <c r="B1941" i="15" l="1"/>
  <c r="B2007" i="2"/>
  <c r="D18" i="2" l="1"/>
  <c r="B18" i="2"/>
  <c r="C16" i="18" l="1"/>
  <c r="C24" i="18"/>
  <c r="B16" i="18"/>
  <c r="B24" i="18"/>
  <c r="B14" i="9"/>
  <c r="C7" i="6"/>
  <c r="B68" i="6" s="1"/>
  <c r="G7" i="6"/>
  <c r="E22" i="6" s="1"/>
  <c r="B24" i="9"/>
  <c r="B23" i="9"/>
  <c r="B22" i="9"/>
  <c r="B19" i="9"/>
  <c r="B18" i="9"/>
  <c r="B16" i="9"/>
  <c r="B15" i="9"/>
  <c r="B17" i="9"/>
  <c r="B20" i="9"/>
  <c r="B21" i="9"/>
  <c r="B13" i="9"/>
  <c r="E18" i="2"/>
  <c r="D16" i="18" l="1"/>
  <c r="D24" i="18"/>
  <c r="F68" i="6"/>
  <c r="F69" i="6"/>
  <c r="C6" i="6" l="1"/>
  <c r="H37" i="2" l="1"/>
  <c r="H38" i="2" l="1"/>
  <c r="C566" i="6" l="1"/>
  <c r="G567" i="6"/>
  <c r="F628" i="6" s="1"/>
  <c r="C147" i="6"/>
  <c r="B208" i="6" s="1"/>
  <c r="C77" i="6"/>
  <c r="B138" i="6" s="1"/>
  <c r="C496" i="6"/>
  <c r="C637" i="6"/>
  <c r="B698" i="6" s="1"/>
  <c r="C356" i="6"/>
  <c r="G147" i="6"/>
  <c r="E162" i="6" s="1"/>
  <c r="C706" i="6"/>
  <c r="G217" i="6"/>
  <c r="C217" i="6"/>
  <c r="B278" i="6" s="1"/>
  <c r="C146" i="6"/>
  <c r="C286" i="6"/>
  <c r="C636" i="6"/>
  <c r="G357" i="6"/>
  <c r="F419" i="6" s="1"/>
  <c r="C426" i="6"/>
  <c r="G707" i="6"/>
  <c r="E722" i="6" s="1"/>
  <c r="G497" i="6"/>
  <c r="F558" i="6" s="1"/>
  <c r="C497" i="6"/>
  <c r="B558" i="6" s="1"/>
  <c r="G637" i="6"/>
  <c r="E652" i="6" s="1"/>
  <c r="C357" i="6"/>
  <c r="B418" i="6" s="1"/>
  <c r="C567" i="6"/>
  <c r="B628" i="6" s="1"/>
  <c r="C76" i="6"/>
  <c r="C216" i="6"/>
  <c r="C707" i="6"/>
  <c r="B768" i="6" s="1"/>
  <c r="C427" i="6"/>
  <c r="B488" i="6" s="1"/>
  <c r="C287" i="6"/>
  <c r="B348" i="6" s="1"/>
  <c r="G287" i="6"/>
  <c r="F349" i="6" s="1"/>
  <c r="G427" i="6"/>
  <c r="F488" i="6" s="1"/>
  <c r="G77" i="6"/>
  <c r="F138" i="6" s="1"/>
  <c r="F348" i="6" l="1"/>
  <c r="F768" i="6"/>
  <c r="E302" i="6"/>
  <c r="F769" i="6"/>
  <c r="F139" i="6"/>
  <c r="F629" i="6"/>
  <c r="E582" i="6"/>
  <c r="F209" i="6"/>
  <c r="E372" i="6"/>
  <c r="F699" i="6"/>
  <c r="E232" i="6"/>
  <c r="F279" i="6"/>
  <c r="F208" i="6"/>
  <c r="E442" i="6"/>
  <c r="F418" i="6"/>
  <c r="E92" i="6"/>
  <c r="F278" i="6"/>
  <c r="E512" i="6"/>
  <c r="F698" i="6"/>
  <c r="F489" i="6"/>
  <c r="F559" i="6"/>
  <c r="F18" i="2" l="1"/>
  <c r="F19" i="2" l="1"/>
  <c r="F20" i="2"/>
  <c r="F21" i="2"/>
  <c r="F22" i="2"/>
  <c r="F23" i="2"/>
  <c r="F24" i="2"/>
  <c r="F25" i="2"/>
  <c r="F26" i="2"/>
  <c r="F27" i="2"/>
  <c r="F28" i="2"/>
  <c r="F29" i="2"/>
  <c r="F31" i="2" l="1"/>
  <c r="B23" i="15" s="1"/>
  <c r="G18" i="2"/>
  <c r="G19" i="2"/>
  <c r="F17" i="18" l="1"/>
  <c r="G17" i="18" s="1"/>
  <c r="F16" i="18"/>
  <c r="H18" i="2"/>
  <c r="H19" i="2"/>
  <c r="G23" i="2"/>
  <c r="G769" i="6"/>
  <c r="G21" i="2"/>
  <c r="G489" i="6"/>
  <c r="G279" i="6"/>
  <c r="G349" i="6"/>
  <c r="G209" i="6"/>
  <c r="G629" i="6"/>
  <c r="G27" i="2"/>
  <c r="G24" i="2"/>
  <c r="G22" i="2"/>
  <c r="G69" i="6"/>
  <c r="G20" i="2"/>
  <c r="G139" i="6"/>
  <c r="G26" i="2"/>
  <c r="G28" i="2"/>
  <c r="G699" i="6"/>
  <c r="G559" i="6"/>
  <c r="G419" i="6"/>
  <c r="G29" i="2"/>
  <c r="B27" i="15"/>
  <c r="G25" i="2"/>
  <c r="F20" i="18" l="1"/>
  <c r="G20" i="18" s="1"/>
  <c r="F21" i="18"/>
  <c r="G21" i="18" s="1"/>
  <c r="F26" i="18"/>
  <c r="G26" i="18" s="1"/>
  <c r="F19" i="18"/>
  <c r="G19" i="18" s="1"/>
  <c r="F24" i="18"/>
  <c r="G24" i="18" s="1"/>
  <c r="F25" i="18"/>
  <c r="G25" i="18" s="1"/>
  <c r="F18" i="18"/>
  <c r="G18" i="18" s="1"/>
  <c r="F27" i="18"/>
  <c r="G27" i="18" s="1"/>
  <c r="F22" i="18"/>
  <c r="G22" i="18" s="1"/>
  <c r="F23" i="18"/>
  <c r="G23" i="18" s="1"/>
  <c r="G16" i="18"/>
  <c r="H28" i="2"/>
  <c r="H26" i="2"/>
  <c r="H24" i="2"/>
  <c r="H22" i="2"/>
  <c r="H20" i="2"/>
  <c r="H29" i="2"/>
  <c r="H27" i="2"/>
  <c r="H25" i="2"/>
  <c r="H23" i="2"/>
  <c r="H21" i="2"/>
  <c r="E34" i="2"/>
  <c r="B34" i="2" s="1"/>
  <c r="H34" i="2"/>
  <c r="E17" i="18"/>
  <c r="E18" i="18"/>
  <c r="E16" i="18"/>
  <c r="E22" i="18"/>
  <c r="G29" i="18" l="1"/>
  <c r="H31" i="2"/>
  <c r="E19" i="18"/>
  <c r="E21" i="18"/>
  <c r="E25" i="18"/>
  <c r="B42" i="2"/>
  <c r="E26" i="18"/>
  <c r="E23" i="18"/>
  <c r="E24" i="18"/>
  <c r="E27" i="18"/>
  <c r="E20" i="18"/>
  <c r="I20" i="2" l="1"/>
  <c r="D15" i="9" s="1"/>
  <c r="I21" i="2"/>
  <c r="D16" i="9" s="1"/>
  <c r="I24" i="2"/>
  <c r="D19" i="9" s="1"/>
  <c r="I25" i="2"/>
  <c r="D20" i="9" s="1"/>
  <c r="I19" i="2"/>
  <c r="D14" i="9" s="1"/>
  <c r="B31" i="18"/>
  <c r="C11" i="2"/>
  <c r="H36" i="2"/>
  <c r="H33" i="2" s="1"/>
  <c r="H40" i="2"/>
  <c r="E31" i="9"/>
  <c r="E32" i="9" s="1"/>
  <c r="I26" i="2"/>
  <c r="I27" i="2"/>
  <c r="D22" i="9" s="1"/>
  <c r="I22" i="2"/>
  <c r="D17" i="9" s="1"/>
  <c r="I23" i="2"/>
  <c r="D18" i="9" s="1"/>
  <c r="I18" i="2"/>
  <c r="I28" i="2"/>
  <c r="D23" i="9" s="1"/>
  <c r="I29" i="2"/>
  <c r="D24" i="9" s="1"/>
  <c r="D21" i="9" l="1"/>
  <c r="I31" i="2"/>
  <c r="D13" i="9"/>
  <c r="H28" i="9" l="1"/>
  <c r="H31" i="9" s="1"/>
  <c r="X28" i="9"/>
  <c r="X31" i="9" s="1"/>
  <c r="AN28" i="9"/>
  <c r="AN31" i="9" s="1"/>
  <c r="BA28" i="9"/>
  <c r="BA31" i="9" s="1"/>
  <c r="S28" i="9"/>
  <c r="S31" i="9" s="1"/>
  <c r="AI28" i="9"/>
  <c r="AI31" i="9" s="1"/>
  <c r="AY28" i="9"/>
  <c r="AY31" i="9" s="1"/>
  <c r="N28" i="9"/>
  <c r="N31" i="9" s="1"/>
  <c r="AD28" i="9"/>
  <c r="AD31" i="9" s="1"/>
  <c r="AT28" i="9"/>
  <c r="AT31" i="9" s="1"/>
  <c r="M28" i="9"/>
  <c r="M31" i="9" s="1"/>
  <c r="AC28" i="9"/>
  <c r="AC31" i="9" s="1"/>
  <c r="AU28" i="9"/>
  <c r="AU31" i="9" s="1"/>
  <c r="AP28" i="9"/>
  <c r="AP31" i="9" s="1"/>
  <c r="L28" i="9"/>
  <c r="L31" i="9" s="1"/>
  <c r="AB28" i="9"/>
  <c r="AB31" i="9" s="1"/>
  <c r="AR28" i="9"/>
  <c r="AR31" i="9" s="1"/>
  <c r="G28" i="9"/>
  <c r="G31" i="9" s="1"/>
  <c r="W28" i="9"/>
  <c r="W31" i="9" s="1"/>
  <c r="AM28" i="9"/>
  <c r="AM31" i="9" s="1"/>
  <c r="AW28" i="9"/>
  <c r="AW31" i="9" s="1"/>
  <c r="R28" i="9"/>
  <c r="R31" i="9" s="1"/>
  <c r="AH28" i="9"/>
  <c r="AH31" i="9" s="1"/>
  <c r="AX28" i="9"/>
  <c r="AX31" i="9" s="1"/>
  <c r="Q28" i="9"/>
  <c r="Q31" i="9" s="1"/>
  <c r="AG28" i="9"/>
  <c r="AG31" i="9" s="1"/>
  <c r="Z28" i="9"/>
  <c r="Z31" i="9" s="1"/>
  <c r="Y28" i="9"/>
  <c r="Y31" i="9" s="1"/>
  <c r="P28" i="9"/>
  <c r="P31" i="9" s="1"/>
  <c r="AF28" i="9"/>
  <c r="AF31" i="9" s="1"/>
  <c r="AV28" i="9"/>
  <c r="AV31" i="9" s="1"/>
  <c r="K28" i="9"/>
  <c r="K31" i="9" s="1"/>
  <c r="AA28" i="9"/>
  <c r="AA31" i="9" s="1"/>
  <c r="AQ28" i="9"/>
  <c r="AQ31" i="9" s="1"/>
  <c r="F28" i="9"/>
  <c r="V28" i="9"/>
  <c r="V31" i="9" s="1"/>
  <c r="AL28" i="9"/>
  <c r="AL31" i="9" s="1"/>
  <c r="AS28" i="9"/>
  <c r="AS31" i="9" s="1"/>
  <c r="U28" i="9"/>
  <c r="U31" i="9" s="1"/>
  <c r="AK28" i="9"/>
  <c r="AK31" i="9" s="1"/>
  <c r="D26" i="9"/>
  <c r="T28" i="9"/>
  <c r="T31" i="9" s="1"/>
  <c r="AJ28" i="9"/>
  <c r="AJ31" i="9" s="1"/>
  <c r="AZ28" i="9"/>
  <c r="AZ31" i="9" s="1"/>
  <c r="O28" i="9"/>
  <c r="O31" i="9" s="1"/>
  <c r="AE28" i="9"/>
  <c r="AE31" i="9" s="1"/>
  <c r="J28" i="9"/>
  <c r="J31" i="9" s="1"/>
  <c r="I28" i="9"/>
  <c r="I31" i="9" s="1"/>
  <c r="AO28" i="9"/>
  <c r="AO31" i="9" s="1"/>
  <c r="F29" i="9" l="1"/>
  <c r="G29" i="9" s="1"/>
  <c r="H29" i="9" s="1"/>
  <c r="I29" i="9" s="1"/>
  <c r="J29" i="9" s="1"/>
  <c r="K29" i="9" s="1"/>
  <c r="L29" i="9" s="1"/>
  <c r="M29" i="9" s="1"/>
  <c r="N29" i="9" s="1"/>
  <c r="O29" i="9" s="1"/>
  <c r="P29" i="9" s="1"/>
  <c r="Q29" i="9" s="1"/>
  <c r="R29" i="9" s="1"/>
  <c r="S29" i="9" s="1"/>
  <c r="T29" i="9" s="1"/>
  <c r="U29" i="9" s="1"/>
  <c r="V29" i="9" s="1"/>
  <c r="W29" i="9" s="1"/>
  <c r="X29" i="9" s="1"/>
  <c r="Y29" i="9" s="1"/>
  <c r="Z29" i="9" s="1"/>
  <c r="AA29" i="9" s="1"/>
  <c r="AB29" i="9" s="1"/>
  <c r="AC29" i="9" s="1"/>
  <c r="AD29" i="9" s="1"/>
  <c r="AE29" i="9" s="1"/>
  <c r="F31" i="9"/>
  <c r="F32" i="9" l="1"/>
  <c r="G32" i="9" s="1"/>
  <c r="H32" i="9" s="1"/>
  <c r="I32" i="9" s="1"/>
  <c r="J32" i="9" s="1"/>
  <c r="K32" i="9" s="1"/>
  <c r="L32" i="9" s="1"/>
  <c r="M32" i="9" s="1"/>
  <c r="N32" i="9" s="1"/>
  <c r="O32" i="9" s="1"/>
  <c r="P32" i="9" s="1"/>
  <c r="Q32" i="9" s="1"/>
  <c r="R32" i="9" s="1"/>
  <c r="S32" i="9" s="1"/>
  <c r="T32" i="9" s="1"/>
  <c r="U32" i="9" s="1"/>
  <c r="V32" i="9" s="1"/>
  <c r="W32" i="9" s="1"/>
  <c r="X32" i="9" s="1"/>
  <c r="Y32" i="9" s="1"/>
  <c r="Z32" i="9" s="1"/>
  <c r="AA32" i="9" s="1"/>
  <c r="AB32" i="9" s="1"/>
  <c r="AC32" i="9" s="1"/>
  <c r="AD32" i="9" s="1"/>
  <c r="AE32" i="9" s="1"/>
  <c r="AF32" i="9" s="1"/>
  <c r="AG32" i="9" s="1"/>
  <c r="AH32" i="9" s="1"/>
  <c r="AI32" i="9" s="1"/>
  <c r="AJ32" i="9" s="1"/>
  <c r="AK32" i="9" s="1"/>
  <c r="AL32" i="9" s="1"/>
  <c r="AM32" i="9" s="1"/>
  <c r="AN32" i="9" s="1"/>
  <c r="AO32" i="9" s="1"/>
  <c r="AP32" i="9" s="1"/>
  <c r="AQ32" i="9" s="1"/>
  <c r="AR32" i="9" s="1"/>
  <c r="AS32" i="9" s="1"/>
  <c r="AT32" i="9" s="1"/>
  <c r="AU32" i="9" s="1"/>
  <c r="AV32" i="9" s="1"/>
  <c r="AW32" i="9" s="1"/>
  <c r="AX32" i="9" s="1"/>
  <c r="AY32" i="9" s="1"/>
  <c r="AZ32" i="9" s="1"/>
  <c r="BA32" i="9" s="1"/>
  <c r="AN29" i="9"/>
  <c r="AF29" i="9"/>
  <c r="AO29" i="9" l="1"/>
  <c r="AG29" i="9"/>
  <c r="AH29" i="9" l="1"/>
  <c r="AP29" i="9"/>
  <c r="AI29" i="9" l="1"/>
  <c r="AQ29" i="9"/>
  <c r="AR29" i="9" l="1"/>
  <c r="AJ29" i="9"/>
  <c r="AS29" i="9" l="1"/>
  <c r="AK29" i="9"/>
  <c r="AT29" i="9" l="1"/>
  <c r="AL29" i="9"/>
  <c r="AU29" i="9" l="1"/>
  <c r="AM29" i="9"/>
  <c r="AV29" i="9" s="1"/>
  <c r="AW29" i="9" s="1"/>
  <c r="AX29" i="9" s="1"/>
  <c r="AY29" i="9" s="1"/>
  <c r="AZ29" i="9" s="1"/>
  <c r="BA29" i="9" s="1"/>
</calcChain>
</file>

<file path=xl/comments1.xml><?xml version="1.0" encoding="utf-8"?>
<comments xmlns="http://schemas.openxmlformats.org/spreadsheetml/2006/main">
  <authors>
    <author>Secretaria Servicios</author>
  </authors>
  <commentList>
    <comment ref="B23" authorId="0">
      <text>
        <r>
          <rPr>
            <sz val="9"/>
            <color indexed="81"/>
            <rFont val="Tahoma"/>
            <family val="2"/>
          </rPr>
          <t>Este valor se calcula automáticamente completando la planilla Gastos Generales</t>
        </r>
      </text>
    </comment>
    <comment ref="B27" authorId="0">
      <text>
        <r>
          <rPr>
            <sz val="9"/>
            <color indexed="81"/>
            <rFont val="Tahoma"/>
            <family val="2"/>
          </rPr>
          <t>Esto valor se calcula autómaticamente una vez definido los Gastos Generales, Beneficio, Ingreso Brutos e IVA por parte del oferente</t>
        </r>
      </text>
    </comment>
  </commentList>
</comments>
</file>

<file path=xl/sharedStrings.xml><?xml version="1.0" encoding="utf-8"?>
<sst xmlns="http://schemas.openxmlformats.org/spreadsheetml/2006/main" count="4974" uniqueCount="1892">
  <si>
    <t>DESIGNACION</t>
  </si>
  <si>
    <t>UN.</t>
  </si>
  <si>
    <t>CANT.</t>
  </si>
  <si>
    <t xml:space="preserve"> </t>
  </si>
  <si>
    <t/>
  </si>
  <si>
    <t>gl</t>
  </si>
  <si>
    <t>m2</t>
  </si>
  <si>
    <t xml:space="preserve">TOTAL </t>
  </si>
  <si>
    <t xml:space="preserve">COMITENTE : </t>
  </si>
  <si>
    <t>OBRA :</t>
  </si>
  <si>
    <t xml:space="preserve">EMPRESA CONSTRUCTORA:  </t>
  </si>
  <si>
    <t>SUB TOTAL ( 4 )</t>
  </si>
  <si>
    <t>TOTAL ( 4 + 5 + 6 )</t>
  </si>
  <si>
    <t>PORCENTAJE INCIDENCIA DEL ITEM</t>
  </si>
  <si>
    <t>LICITACIÓN N°:</t>
  </si>
  <si>
    <t>UBICACION:</t>
  </si>
  <si>
    <t>PLAZO DE OBRA:</t>
  </si>
  <si>
    <t>PRESUPUESTO OFICIAL:</t>
  </si>
  <si>
    <t>TOTAL PARA CONTROL</t>
  </si>
  <si>
    <t>MESES</t>
  </si>
  <si>
    <t>Avance Mensual</t>
  </si>
  <si>
    <t>Avance Acumulado</t>
  </si>
  <si>
    <t>Inversión Mensual</t>
  </si>
  <si>
    <t>OBRA:</t>
  </si>
  <si>
    <t>ITEM:</t>
  </si>
  <si>
    <t>UNIDAD:</t>
  </si>
  <si>
    <t>Cantidad</t>
  </si>
  <si>
    <t>$ Unitarios</t>
  </si>
  <si>
    <t>$ Parcial</t>
  </si>
  <si>
    <t>Total A</t>
  </si>
  <si>
    <t>Total B</t>
  </si>
  <si>
    <t>Total C</t>
  </si>
  <si>
    <t>EXPEDIENTE N°:</t>
  </si>
  <si>
    <t>ANALISIS DE PRECIOS</t>
  </si>
  <si>
    <t>PRECIOS A:</t>
  </si>
  <si>
    <t>RUBRO:</t>
  </si>
  <si>
    <t>COMPOSICION DE GASTOS GENERALES</t>
  </si>
  <si>
    <t>% Incidencia</t>
  </si>
  <si>
    <t>% Incid. Rubro</t>
  </si>
  <si>
    <t>Gastos Generales de la Empresa</t>
  </si>
  <si>
    <t>Importe</t>
  </si>
  <si>
    <t>PLAN DE TRABAJO Y CURVA DE INVERSIONES</t>
  </si>
  <si>
    <t xml:space="preserve">COMPUTO Y PRESUPUESTO </t>
  </si>
  <si>
    <t>MONTO DE LA OFERTA:</t>
  </si>
  <si>
    <t>Código</t>
  </si>
  <si>
    <t>Descripción</t>
  </si>
  <si>
    <r>
      <t>CPC</t>
    </r>
    <r>
      <rPr>
        <vertAlign val="superscript"/>
        <sz val="8"/>
        <rFont val="Arial"/>
        <family val="2"/>
      </rPr>
      <t>1</t>
    </r>
  </si>
  <si>
    <t>-</t>
  </si>
  <si>
    <t>Accesorios de  loza para baño de calidad media</t>
  </si>
  <si>
    <t>Accesorios de loza para baño de calidad inferior</t>
  </si>
  <si>
    <t>Accesorios metálicos para baño</t>
  </si>
  <si>
    <t>Acero aletado conformado, en barra</t>
  </si>
  <si>
    <t>Adhesivo para pisos y revestimientos cerámicos</t>
  </si>
  <si>
    <t>Alacena de cocina de madera, de calidad inferior</t>
  </si>
  <si>
    <t>Alacena de cocina de madera, de calidad media</t>
  </si>
  <si>
    <t>Alacena de cocina de madera, de calidad superior</t>
  </si>
  <si>
    <t>Alfombra de pelo cortado de material sintético, con colocación</t>
  </si>
  <si>
    <t>Anafe a gas</t>
  </si>
  <si>
    <t>Anillo para cámara de inspección de PVC</t>
  </si>
  <si>
    <t>Arcilla expandida</t>
  </si>
  <si>
    <t xml:space="preserve">Arena fina </t>
  </si>
  <si>
    <t>Artefacto de iluminación</t>
  </si>
  <si>
    <t>Ascensor  de 15 paradas</t>
  </si>
  <si>
    <t>Ascensor  de 7 paradas</t>
  </si>
  <si>
    <t>Azulejo</t>
  </si>
  <si>
    <t>Baldosa cerámica esmaltada</t>
  </si>
  <si>
    <t>Baldosa cerámica roja</t>
  </si>
  <si>
    <t>Baldosa de laja negra</t>
  </si>
  <si>
    <t>Bañera de chapa porcelanizada</t>
  </si>
  <si>
    <t>Bañera de plástico reforzado con fibra de vidrio</t>
  </si>
  <si>
    <t>Barniz con poliuretano</t>
  </si>
  <si>
    <t>Bidé de calidad inferior</t>
  </si>
  <si>
    <t>Bidé de calidad media</t>
  </si>
  <si>
    <t>Bidé de calidad superior</t>
  </si>
  <si>
    <t xml:space="preserve">Boca de acceso de plomo </t>
  </si>
  <si>
    <t>Cable  con conductor unipolar</t>
  </si>
  <si>
    <t>Cable coaxil 75 ohms</t>
  </si>
  <si>
    <t>Cable telefónico de 1 par</t>
  </si>
  <si>
    <t>Cable telefónico de 101 pares</t>
  </si>
  <si>
    <t>Cable tipo Sintenax</t>
  </si>
  <si>
    <t>Caja de chapa con tablero trifásico</t>
  </si>
  <si>
    <t>Caja de chapa para tablero</t>
  </si>
  <si>
    <t>Caja octogonal de chapa para instalación eléctrica</t>
  </si>
  <si>
    <t>Caja para pares telefónicos</t>
  </si>
  <si>
    <t>Caja rectangular de chapa para instalación eléctrica</t>
  </si>
  <si>
    <t>Cajonera para placard, de calidad inferior</t>
  </si>
  <si>
    <t>Cajonera para placard, de calidad media</t>
  </si>
  <si>
    <t>Cajonera para placard, de calidad superior</t>
  </si>
  <si>
    <t>Cal área hidratada</t>
  </si>
  <si>
    <t>Cal hidráulica hidratada</t>
  </si>
  <si>
    <t>Calefactor de tiro balanceado</t>
  </si>
  <si>
    <t>Calefón de tiro balanceado</t>
  </si>
  <si>
    <t>Calefón de tiro natural</t>
  </si>
  <si>
    <t>Canilla de bronce</t>
  </si>
  <si>
    <t>Caño de acero para instalaciones eléctricas</t>
  </si>
  <si>
    <t>Caño de chapa galvanizada</t>
  </si>
  <si>
    <t>Caño de cobre de  0,013 m</t>
  </si>
  <si>
    <t>Caño de cobre de 0,019 m</t>
  </si>
  <si>
    <t>Caño de hierro fundido de  0,064 m</t>
  </si>
  <si>
    <t>Caño de hierro fundido de  0,100 m</t>
  </si>
  <si>
    <t>Caño de hierro galvanizado</t>
  </si>
  <si>
    <t>Caño de hierro negro con revestimiento epoxi</t>
  </si>
  <si>
    <t xml:space="preserve">Caño de plomo </t>
  </si>
  <si>
    <t>Caño de polipropileno de 0,013 m</t>
  </si>
  <si>
    <t>Caño de polipropileno de 0,019 m</t>
  </si>
  <si>
    <t>Caño de PVC de 0,063 m</t>
  </si>
  <si>
    <t>Caño de PVC de 0,110 m</t>
  </si>
  <si>
    <t xml:space="preserve">Canto rodado natural </t>
  </si>
  <si>
    <t>Cascote</t>
  </si>
  <si>
    <t>Cemento de albañilería</t>
  </si>
  <si>
    <t>Cemento portland normal, en bolsa</t>
  </si>
  <si>
    <t>Cocina a gas</t>
  </si>
  <si>
    <t>Codo con base de PVC</t>
  </si>
  <si>
    <t>Codo de hierro negro con revestimiento epoxi de 0,013 m</t>
  </si>
  <si>
    <t>Codo de hierro negro con revestimiento epoxi de 0,025 m</t>
  </si>
  <si>
    <t xml:space="preserve">Codo de polipropileno  </t>
  </si>
  <si>
    <t xml:space="preserve">Codo para caño de cobre </t>
  </si>
  <si>
    <t>Codo tipo PROSA</t>
  </si>
  <si>
    <t>Conductor revestido para puesta a tierra</t>
  </si>
  <si>
    <t>Conector de chapa cincada</t>
  </si>
  <si>
    <t>Conexión flexible cromada</t>
  </si>
  <si>
    <t xml:space="preserve">Conexión flexible de plástico  </t>
  </si>
  <si>
    <t>Cortina de enrollar común de madera</t>
  </si>
  <si>
    <t>Cortina de enrollar de PVC</t>
  </si>
  <si>
    <t>Cortina de enrollar regulable de madera</t>
  </si>
  <si>
    <t>Cristal transparente de 4mm, con colocación</t>
  </si>
  <si>
    <t>Curva de hierro fundido</t>
  </si>
  <si>
    <t>Curva de hierro negro con revestimiento epoxi</t>
  </si>
  <si>
    <t>Depósito de fibrocemento para inodoro</t>
  </si>
  <si>
    <t>Electrobomba monofásica 1/3 HP</t>
  </si>
  <si>
    <t>Electrobomba monofásica 3/4 HP</t>
  </si>
  <si>
    <t>Electrobomba monofásica cloacal 1/3 HP</t>
  </si>
  <si>
    <t>Electrobomba monofásica pluvial 1/3 HP</t>
  </si>
  <si>
    <t>Electrobomba monofásica pluvial 3/4 HP</t>
  </si>
  <si>
    <t>Electrobomba trifásica 1,5 HP</t>
  </si>
  <si>
    <t>Electrobomba trifásica 7,5 HP</t>
  </si>
  <si>
    <t>Embudo de hierro fundido</t>
  </si>
  <si>
    <t>Embudo de PVC</t>
  </si>
  <si>
    <t>Empalme tipo  PROSA</t>
  </si>
  <si>
    <t>Enduído plástico al agua para exteriores</t>
  </si>
  <si>
    <t>Enduído plástico al agua para interiores</t>
  </si>
  <si>
    <t>Esmalte sintético brillante</t>
  </si>
  <si>
    <t>Esmalte sintético semimate</t>
  </si>
  <si>
    <t>Estaño al 50%</t>
  </si>
  <si>
    <t>Estantes y divisiones para placard, de calidad inferior</t>
  </si>
  <si>
    <t>Estantes y divisiones para placard, de calidad media</t>
  </si>
  <si>
    <t>Estantes y divisiones para placard, de calidad superior</t>
  </si>
  <si>
    <t>Fijador  al agua</t>
  </si>
  <si>
    <t>Frente de placard de madera, de calidad inferior</t>
  </si>
  <si>
    <t>Frente de placard de madera, de calidad superior</t>
  </si>
  <si>
    <t>Gabinete para medidor de gas</t>
  </si>
  <si>
    <t>Gabinete para medidor monofásico</t>
  </si>
  <si>
    <t>Grifería para bidé de calidad inferior</t>
  </si>
  <si>
    <t>Grifería para bidé de calidad media</t>
  </si>
  <si>
    <t>Grifería para bidé de calidad superior</t>
  </si>
  <si>
    <t>Grifería para cocina de calidad inferior</t>
  </si>
  <si>
    <t>Grifería para cocina de calidad media</t>
  </si>
  <si>
    <t>Grifería para cocina, monocomando, de calidad superior</t>
  </si>
  <si>
    <t>Grifería para ducha de calidad inferior</t>
  </si>
  <si>
    <t>Grifería para ducha de calidad media</t>
  </si>
  <si>
    <t>Grifería para ducha de calidad superior</t>
  </si>
  <si>
    <t>Grifería para lavadero de calidad inferior</t>
  </si>
  <si>
    <t>Grifería para lavadero de calidad media</t>
  </si>
  <si>
    <t>Grifería para lavatorio de calidad inferior</t>
  </si>
  <si>
    <t>Grifería para lavatorio de calidad media</t>
  </si>
  <si>
    <t>Grifería para lavatorio de calidad superior</t>
  </si>
  <si>
    <t>Hidrante completo, con manguera y gabinete</t>
  </si>
  <si>
    <t>Hormigón elaborado</t>
  </si>
  <si>
    <t>Horno a gas</t>
  </si>
  <si>
    <t>Iluminación de emergencia</t>
  </si>
  <si>
    <t>Inodoro de calidad inferior</t>
  </si>
  <si>
    <t>Inodoro de calidad media</t>
  </si>
  <si>
    <t>Inodoro de calidad superior con mochila</t>
  </si>
  <si>
    <t>Interruptor automático para tanque</t>
  </si>
  <si>
    <t>Interruptor de un  punto</t>
  </si>
  <si>
    <t>Interruptor diferencial</t>
  </si>
  <si>
    <t xml:space="preserve">Interruptor termomagnético </t>
  </si>
  <si>
    <t>Jabalina</t>
  </si>
  <si>
    <t>Laca poliuretánica</t>
  </si>
  <si>
    <t>Ladrillo cerámico hueco</t>
  </si>
  <si>
    <t>Ladrillo cerámico para entrepisos</t>
  </si>
  <si>
    <t>Ladrillo común</t>
  </si>
  <si>
    <t>Ladrillo de media máquina</t>
  </si>
  <si>
    <t>Lavatorio con columna de calidad media</t>
  </si>
  <si>
    <t>Lavatorio con columna de calidad superior</t>
  </si>
  <si>
    <t>Lavatorio sin columna de calidad inferior</t>
  </si>
  <si>
    <t>Listón yesero</t>
  </si>
  <si>
    <t>Llave candado para gas</t>
  </si>
  <si>
    <t>Llave de paso para agua</t>
  </si>
  <si>
    <t>Llave de paso para gas</t>
  </si>
  <si>
    <t>Llave esclusa de bronce</t>
  </si>
  <si>
    <t>Loseta calcárea para vereda</t>
  </si>
  <si>
    <t>Loseta de piedra lavada</t>
  </si>
  <si>
    <t>Machimbre con una cara cepillada</t>
  </si>
  <si>
    <t>Marco y tapa con cierre hermético, de bronce, de 0,20 x 0,20 m</t>
  </si>
  <si>
    <t>Matafuego de polvo químico</t>
  </si>
  <si>
    <t>Membrana asfáltica común</t>
  </si>
  <si>
    <t>Membrana asfáltica con folio de aluminio</t>
  </si>
  <si>
    <t>Mesada de acero inoxidable con bacha doble</t>
  </si>
  <si>
    <t>Mesada de acero inoxidable lisa</t>
  </si>
  <si>
    <t>Mesada de granito</t>
  </si>
  <si>
    <t>Mesada de granito con perforación para bacha</t>
  </si>
  <si>
    <t>Metal desplegado</t>
  </si>
  <si>
    <t xml:space="preserve">Mosaico granítico          </t>
  </si>
  <si>
    <t>Mueble de cocina bajo mesada, de madera, de calidad inferior</t>
  </si>
  <si>
    <t>Mueble de cocina bajo mesada, de madera, de calidad media</t>
  </si>
  <si>
    <t>Mueble de cocina bajo mesada, de madera, de calidad superior</t>
  </si>
  <si>
    <t xml:space="preserve">Pegamento para PVC </t>
  </si>
  <si>
    <t>Perfil normal doble T</t>
  </si>
  <si>
    <t>Pileta  de piso tipo PROSA</t>
  </si>
  <si>
    <t>Pileta de cocina de acero inoxidable</t>
  </si>
  <si>
    <t>Pileta de lavar de loza, chica</t>
  </si>
  <si>
    <t>Pileta de lavar de loza, grande o mediana</t>
  </si>
  <si>
    <t>Pileta de lavar de plástico</t>
  </si>
  <si>
    <t xml:space="preserve">Pileta de piso de PVC  </t>
  </si>
  <si>
    <t>Pintura al látex para interiores</t>
  </si>
  <si>
    <t>Pintura al látex para exteriores</t>
  </si>
  <si>
    <t xml:space="preserve">Pintura asfáltica </t>
  </si>
  <si>
    <t>Pintura transparente para ladrillo visto</t>
  </si>
  <si>
    <t>Piso de entablonado, con colocación</t>
  </si>
  <si>
    <t>Piso de parquet, con colocación</t>
  </si>
  <si>
    <t>Plomo para fundir</t>
  </si>
  <si>
    <t>Poliestireno expandido en placas</t>
  </si>
  <si>
    <t>Portero eléctrico</t>
  </si>
  <si>
    <t xml:space="preserve">Portón levadizo de madera </t>
  </si>
  <si>
    <t>Portón levadizo metálico</t>
  </si>
  <si>
    <t>Preservador para madera</t>
  </si>
  <si>
    <t>Puerta balcón corrediza de madera</t>
  </si>
  <si>
    <t>Puerta balcón corrediza metálica de calidad media</t>
  </si>
  <si>
    <t>Puerta balcón corrediza metálica de calidad superior</t>
  </si>
  <si>
    <t>Puerta de entrada de madera con tableros, de calidad inferior</t>
  </si>
  <si>
    <t>Puerta de entrada de madera con tableros, de calidad media</t>
  </si>
  <si>
    <t>Puerta de entrada de madera con tableros, de calidad superior</t>
  </si>
  <si>
    <t>Puerta metálica vidriada</t>
  </si>
  <si>
    <t>Puerta placa de madera, de calidad inferior</t>
  </si>
  <si>
    <t>Puerta placa de madera, de calidad media</t>
  </si>
  <si>
    <t>Puerta placa de madera, de calidad superior</t>
  </si>
  <si>
    <t>Ramal de hierro fundido</t>
  </si>
  <si>
    <t>Ramal de PVC</t>
  </si>
  <si>
    <t>Regulador de gas</t>
  </si>
  <si>
    <t>Reja de barrotes</t>
  </si>
  <si>
    <t>Rociador de techo tipo Spray</t>
  </si>
  <si>
    <t>Tabla con una cara cepillada para encofrado</t>
  </si>
  <si>
    <t>Tanque para agua de polietileno tricapa, aprobado, de 1000 litros de capacidad</t>
  </si>
  <si>
    <t>Tapa de chapa para cámara de inspección</t>
  </si>
  <si>
    <t>Tapa sumergida para tanque</t>
  </si>
  <si>
    <t>Te para caño de cobre</t>
  </si>
  <si>
    <t>Teja francesa</t>
  </si>
  <si>
    <t>Termotanque a gas</t>
  </si>
  <si>
    <t>Tirante  cepillado</t>
  </si>
  <si>
    <t>Tirante  sin cepillar</t>
  </si>
  <si>
    <t>Toma TV</t>
  </si>
  <si>
    <t>Tomacorriente con toma a tierra</t>
  </si>
  <si>
    <t xml:space="preserve">Tosca  </t>
  </si>
  <si>
    <t>Válvula a flotante</t>
  </si>
  <si>
    <t>Ventana corrediza de madera</t>
  </si>
  <si>
    <t>Ventana corrediza metálica</t>
  </si>
  <si>
    <t>Ventana corrediza metálica con vidrio repartido</t>
  </si>
  <si>
    <t>Ventiluz metálico</t>
  </si>
  <si>
    <t>Vigueta de hormigón pretensado</t>
  </si>
  <si>
    <t>Yeso blanco</t>
  </si>
  <si>
    <t>Zócalo de madera</t>
  </si>
  <si>
    <t xml:space="preserve">Zócalo granítico             </t>
  </si>
  <si>
    <t>Decreto 1295/2002 Artículo 15 Inciso</t>
  </si>
  <si>
    <t>Insumos</t>
  </si>
  <si>
    <r>
      <t>INDEC INFORMA Cuadro ó código CPC</t>
    </r>
    <r>
      <rPr>
        <vertAlign val="superscript"/>
        <sz val="8"/>
        <rFont val="Arial"/>
        <family val="2"/>
      </rPr>
      <t>1</t>
    </r>
  </si>
  <si>
    <t>Descripción de la apertura ICC</t>
  </si>
  <si>
    <t>Revista Indec Informa/código CPC</t>
  </si>
  <si>
    <t>a)</t>
  </si>
  <si>
    <t>Mano de obra</t>
  </si>
  <si>
    <t>Cuadro 1.4</t>
  </si>
  <si>
    <t>Capítulo Mano de obra</t>
  </si>
  <si>
    <t>b)</t>
  </si>
  <si>
    <t>Albañilería</t>
  </si>
  <si>
    <t>Cuadro 1.5</t>
  </si>
  <si>
    <t>Ítem albañilería</t>
  </si>
  <si>
    <t>d)</t>
  </si>
  <si>
    <t>Carpinterías</t>
  </si>
  <si>
    <t>Ítem Carpintería metálica y herrería</t>
  </si>
  <si>
    <t>f)</t>
  </si>
  <si>
    <r>
      <t>Andamios</t>
    </r>
    <r>
      <rPr>
        <vertAlign val="superscript"/>
        <sz val="8"/>
        <rFont val="Arial"/>
        <family val="2"/>
      </rPr>
      <t>2</t>
    </r>
  </si>
  <si>
    <t>Cuadro 1.6</t>
  </si>
  <si>
    <t>Alquiler de Andamios</t>
  </si>
  <si>
    <t>g)</t>
  </si>
  <si>
    <t>Artefactos de iluminación y cableado</t>
  </si>
  <si>
    <t>Ítem Instalación eléctrica</t>
  </si>
  <si>
    <t>h)</t>
  </si>
  <si>
    <t>Caños de PVC para instalaciones varias</t>
  </si>
  <si>
    <t>Cuadro 1.9</t>
  </si>
  <si>
    <t>Caños de PVC</t>
  </si>
  <si>
    <t>p)</t>
  </si>
  <si>
    <t>Gastos generales</t>
  </si>
  <si>
    <t>Capítulo Gastos generales</t>
  </si>
  <si>
    <t>r)</t>
  </si>
  <si>
    <t>Artefactos para baño y grifería</t>
  </si>
  <si>
    <t>Ítem Instalación sanitaria y contra incendio</t>
  </si>
  <si>
    <t>s)</t>
  </si>
  <si>
    <t>Hormigón</t>
  </si>
  <si>
    <t>u)</t>
  </si>
  <si>
    <t>Válvulas de bronce</t>
  </si>
  <si>
    <t>v)</t>
  </si>
  <si>
    <t>Electrobombas</t>
  </si>
  <si>
    <t>c)</t>
  </si>
  <si>
    <t>Pisos y revestimientos</t>
  </si>
  <si>
    <t>m)</t>
  </si>
  <si>
    <t>Aceros - Hierro aletado</t>
  </si>
  <si>
    <t>n)</t>
  </si>
  <si>
    <t>Cemento</t>
  </si>
  <si>
    <t>q)</t>
  </si>
  <si>
    <t>Arena</t>
  </si>
  <si>
    <t>Índices del Capítulo Gastos Generales</t>
  </si>
  <si>
    <t>Agua para construcción</t>
  </si>
  <si>
    <t>Alquiler de andamios</t>
  </si>
  <si>
    <t>Alquiler de camión volcador</t>
  </si>
  <si>
    <t>Alquiler de camioneta</t>
  </si>
  <si>
    <t>Alquiler de pala cargadora</t>
  </si>
  <si>
    <t>Alquiler de retroexcavadora</t>
  </si>
  <si>
    <t>Alquiler de volquete</t>
  </si>
  <si>
    <t>Capataz general de obra</t>
  </si>
  <si>
    <t>Casilla para obrador</t>
  </si>
  <si>
    <t>Cerco de obra</t>
  </si>
  <si>
    <t>Conexión de agua</t>
  </si>
  <si>
    <t>Conexión de desagüe cloacal</t>
  </si>
  <si>
    <t>Conexión de energía eléctrica</t>
  </si>
  <si>
    <t>Conexión de gas</t>
  </si>
  <si>
    <t>Depreciación de equipo</t>
  </si>
  <si>
    <t>Luz y fuerza motriz para obra</t>
  </si>
  <si>
    <t>Madera para encofrado</t>
  </si>
  <si>
    <t>Seguro de incendio de obra</t>
  </si>
  <si>
    <t>Seguro de Responsabilidad civil contra terceros</t>
  </si>
  <si>
    <t>Sereno</t>
  </si>
  <si>
    <t>Tirante sin cepillar</t>
  </si>
  <si>
    <t>Túnel peatonal</t>
  </si>
  <si>
    <t>Aperturas</t>
  </si>
  <si>
    <t xml:space="preserve">        Mano de obra asalariada</t>
  </si>
  <si>
    <r>
      <t>Mano de obra directa</t>
    </r>
    <r>
      <rPr>
        <sz val="8"/>
        <rFont val="Arial"/>
        <family val="2"/>
      </rPr>
      <t xml:space="preserve"> (en Albañilería y H. Armado)</t>
    </r>
  </si>
  <si>
    <t xml:space="preserve"> Oficial especializado</t>
  </si>
  <si>
    <t xml:space="preserve"> Oficial</t>
  </si>
  <si>
    <t xml:space="preserve"> Medio Oficial</t>
  </si>
  <si>
    <t xml:space="preserve"> Ayudante</t>
  </si>
  <si>
    <r>
      <t xml:space="preserve">Mano de obra indirecta </t>
    </r>
    <r>
      <rPr>
        <sz val="8"/>
        <rFont val="Arial"/>
        <family val="2"/>
      </rPr>
      <t>(capataz de primera</t>
    </r>
    <r>
      <rPr>
        <vertAlign val="superscript"/>
        <sz val="8"/>
        <rFont val="Arial"/>
        <family val="2"/>
      </rPr>
      <t>2</t>
    </r>
    <r>
      <rPr>
        <sz val="8"/>
        <rFont val="Arial"/>
        <family val="2"/>
      </rPr>
      <t xml:space="preserve">) </t>
    </r>
  </si>
  <si>
    <r>
      <t>Seguro de Accidentes de Trabajo</t>
    </r>
    <r>
      <rPr>
        <vertAlign val="superscript"/>
        <sz val="8"/>
        <rFont val="Arial"/>
        <family val="2"/>
      </rPr>
      <t>3</t>
    </r>
  </si>
  <si>
    <t xml:space="preserve">         Subcontratos de mano de obra</t>
  </si>
  <si>
    <t>Instalación eléctrica</t>
  </si>
  <si>
    <t xml:space="preserve">Instalación sanitaria </t>
  </si>
  <si>
    <t xml:space="preserve">Instalación contra incendio </t>
  </si>
  <si>
    <t>Instalación de gas</t>
  </si>
  <si>
    <t xml:space="preserve">Yesería </t>
  </si>
  <si>
    <t xml:space="preserve">Pintura </t>
  </si>
  <si>
    <t>Codigo Unificado</t>
  </si>
  <si>
    <t>Índice de precios de equipos para la construcción</t>
  </si>
  <si>
    <t>Concepto</t>
  </si>
  <si>
    <t>Guinche 1200 Kg.</t>
  </si>
  <si>
    <t>Hormigoneras de 130 a 300 litros</t>
  </si>
  <si>
    <t>Mesa de corte de cerámicos</t>
  </si>
  <si>
    <t>Mesa de corte de mosaicos</t>
  </si>
  <si>
    <t>Pluma 300 Kg.</t>
  </si>
  <si>
    <t>Taladro percutor</t>
  </si>
  <si>
    <t>Trituradora a mandíbula</t>
  </si>
  <si>
    <t>Vibrador a péndulo</t>
  </si>
  <si>
    <t xml:space="preserve">Índice de precios de algunos servicios </t>
  </si>
  <si>
    <t>Servicios de alquiler</t>
  </si>
  <si>
    <t>Andamios</t>
  </si>
  <si>
    <r>
      <t>Camión con acoplado</t>
    </r>
    <r>
      <rPr>
        <vertAlign val="superscript"/>
        <sz val="8"/>
        <rFont val="Arial"/>
        <family val="2"/>
      </rPr>
      <t>2</t>
    </r>
  </si>
  <si>
    <r>
      <t>Camión playo</t>
    </r>
    <r>
      <rPr>
        <vertAlign val="superscript"/>
        <sz val="8"/>
        <rFont val="Arial"/>
        <family val="2"/>
      </rPr>
      <t>2</t>
    </r>
  </si>
  <si>
    <t>Camión volcador</t>
  </si>
  <si>
    <t>Contenedor tipo volquete</t>
  </si>
  <si>
    <t>Camioneta</t>
  </si>
  <si>
    <t>Pala cargadora</t>
  </si>
  <si>
    <t>Retroexcavadora</t>
  </si>
  <si>
    <t xml:space="preserve">Aberturas de aluminio                                                  </t>
  </si>
  <si>
    <t xml:space="preserve">Aberturas de chapa de hierro                                           </t>
  </si>
  <si>
    <t xml:space="preserve">Abrasivos                                                              </t>
  </si>
  <si>
    <t xml:space="preserve">Abrazaderas                                                            </t>
  </si>
  <si>
    <t xml:space="preserve">Accesorio para máquinas herramientas                                   </t>
  </si>
  <si>
    <t xml:space="preserve">Accesorios para herramientas                                           </t>
  </si>
  <si>
    <t xml:space="preserve">Aceites lubricantes                                                    </t>
  </si>
  <si>
    <t xml:space="preserve">Acoplados                                                              </t>
  </si>
  <si>
    <t xml:space="preserve">Acumuladores eléctricos                                                </t>
  </si>
  <si>
    <t xml:space="preserve">Alambres de acero                                                      </t>
  </si>
  <si>
    <t xml:space="preserve">Alambrones de hierro                                                   </t>
  </si>
  <si>
    <t xml:space="preserve">Amoladoras                                                             </t>
  </si>
  <si>
    <t xml:space="preserve">Arcillas                                                               </t>
  </si>
  <si>
    <t xml:space="preserve">Arenas                                                                 </t>
  </si>
  <si>
    <t xml:space="preserve">Artefactos sanitarios                                                  </t>
  </si>
  <si>
    <t xml:space="preserve">Artículos pretensados                                                  </t>
  </si>
  <si>
    <t xml:space="preserve">Automóviles                                                            </t>
  </si>
  <si>
    <t xml:space="preserve">Autopartes de goma                                                     </t>
  </si>
  <si>
    <t xml:space="preserve">Balastos                                                               </t>
  </si>
  <si>
    <t xml:space="preserve">Baldosas cerámicas                                                     </t>
  </si>
  <si>
    <t xml:space="preserve">Barnices y protectores para madera                                     </t>
  </si>
  <si>
    <t xml:space="preserve">Barras de hierro y acero                                               </t>
  </si>
  <si>
    <t xml:space="preserve">Bolsas de plástico                                                     </t>
  </si>
  <si>
    <t xml:space="preserve">Bulones                                                                </t>
  </si>
  <si>
    <t xml:space="preserve">Calderas ( de gas y fuel oil)                                                              </t>
  </si>
  <si>
    <t xml:space="preserve">Cales                                                                  </t>
  </si>
  <si>
    <t xml:space="preserve">Camiones y sus chasis                                                  </t>
  </si>
  <si>
    <t xml:space="preserve">Caños y tubos de polietileno                                           </t>
  </si>
  <si>
    <t xml:space="preserve">Caños y tubos de polipropileno                                         </t>
  </si>
  <si>
    <t xml:space="preserve">Caños y tubos de PVC                                                   </t>
  </si>
  <si>
    <t xml:space="preserve">Capacitores electrolíticos                                             </t>
  </si>
  <si>
    <t xml:space="preserve">Cauchos sintéticos                                                     </t>
  </si>
  <si>
    <t xml:space="preserve">Cemento portland                                                       </t>
  </si>
  <si>
    <t xml:space="preserve">Cerraduras                                                             </t>
  </si>
  <si>
    <t xml:space="preserve">Chapas metálicas                                                       </t>
  </si>
  <si>
    <t xml:space="preserve">Clavos                                                                 </t>
  </si>
  <si>
    <t xml:space="preserve">Compresores y sus repuestos                                            </t>
  </si>
  <si>
    <t xml:space="preserve">Conductores eléctricos                                                 </t>
  </si>
  <si>
    <t xml:space="preserve">Correas de goma con refuerzo textil                                    </t>
  </si>
  <si>
    <t xml:space="preserve">Cortinas de aluminio                                                   </t>
  </si>
  <si>
    <t xml:space="preserve">Cortinas de enrrollar de PVC                                           </t>
  </si>
  <si>
    <t xml:space="preserve">Cortinas de madera                                                     </t>
  </si>
  <si>
    <t xml:space="preserve">Cuadernos y blocks                                                     </t>
  </si>
  <si>
    <t xml:space="preserve">Cubiertas agrícolas                                                    </t>
  </si>
  <si>
    <t xml:space="preserve">Cubiertas convencionales                                               </t>
  </si>
  <si>
    <t xml:space="preserve">Cubiertas radiales                                                     </t>
  </si>
  <si>
    <t xml:space="preserve">Cucharas de albañil                                                    </t>
  </si>
  <si>
    <t xml:space="preserve">Dispersiones de caucho (Pegamentos)                                                 </t>
  </si>
  <si>
    <t xml:space="preserve">Elásticos para autos                                                   </t>
  </si>
  <si>
    <t xml:space="preserve">Electrobombas                                                          </t>
  </si>
  <si>
    <t xml:space="preserve">Enduído para paredes                                                   </t>
  </si>
  <si>
    <t xml:space="preserve">Energía eléctrica                                                      </t>
  </si>
  <si>
    <t xml:space="preserve">Equipos de transmisión                                                 </t>
  </si>
  <si>
    <t xml:space="preserve">Esmaltes sintéticos                                                    </t>
  </si>
  <si>
    <t xml:space="preserve">Fibras minerales                                                       </t>
  </si>
  <si>
    <t xml:space="preserve">Film de polietileno                                                    </t>
  </si>
  <si>
    <t xml:space="preserve">Fuel oil                                                               </t>
  </si>
  <si>
    <t xml:space="preserve">Gas                                                                    </t>
  </si>
  <si>
    <t xml:space="preserve">Gas oil                                                                </t>
  </si>
  <si>
    <t xml:space="preserve">Gases de refinería (Butano. Propano)                                                     </t>
  </si>
  <si>
    <t xml:space="preserve">Grifería                                                               </t>
  </si>
  <si>
    <t xml:space="preserve">Grupos electrógenos                                                    </t>
  </si>
  <si>
    <t xml:space="preserve">Herramientas de mano                                                   </t>
  </si>
  <si>
    <t xml:space="preserve">Hidrófugos                                                             </t>
  </si>
  <si>
    <t xml:space="preserve">Hierros redondos                                                       </t>
  </si>
  <si>
    <t xml:space="preserve">Hormigón                                                               </t>
  </si>
  <si>
    <t xml:space="preserve">Hormigoneras                                                           </t>
  </si>
  <si>
    <t xml:space="preserve">Impermeabilizantes                                                     </t>
  </si>
  <si>
    <t xml:space="preserve">Interruptores eléctricos                                               </t>
  </si>
  <si>
    <t xml:space="preserve">Kerosene                                                               </t>
  </si>
  <si>
    <t xml:space="preserve">Ladrillos huecos                                                       </t>
  </si>
  <si>
    <t xml:space="preserve">Ladrillos refractarios                                                 </t>
  </si>
  <si>
    <t xml:space="preserve">Lingotes de aluminio y sus aleaciones                       </t>
  </si>
  <si>
    <t xml:space="preserve">Lingotes y perfiles de aluminio y sus aleaciones                       </t>
  </si>
  <si>
    <t xml:space="preserve">Maderas aglomeradas                                                    </t>
  </si>
  <si>
    <t xml:space="preserve">Maderas aserradas                                                      </t>
  </si>
  <si>
    <t xml:space="preserve">Maderas terciadas fenólicas                                            </t>
  </si>
  <si>
    <t xml:space="preserve">Maderas terciadas no fenólicas                                         </t>
  </si>
  <si>
    <t xml:space="preserve">Máquinas para carpintería                                              </t>
  </si>
  <si>
    <t xml:space="preserve">Máquinas viales autopropulsadas                                        </t>
  </si>
  <si>
    <t xml:space="preserve">Máquinas viales no autopropulsadas                                     </t>
  </si>
  <si>
    <t xml:space="preserve">Membranas asfálticas                                                   </t>
  </si>
  <si>
    <t xml:space="preserve">Morteros refractarios                                                  </t>
  </si>
  <si>
    <t xml:space="preserve">Mosaicos                                                               </t>
  </si>
  <si>
    <t xml:space="preserve">Motores a explosión de uso industrial                                  </t>
  </si>
  <si>
    <t xml:space="preserve">Motores eléctricos                                                     </t>
  </si>
  <si>
    <t xml:space="preserve">Motores para vehículos                                                 </t>
  </si>
  <si>
    <t xml:space="preserve">Motos                                                                  </t>
  </si>
  <si>
    <t xml:space="preserve">Naftas                                                                 </t>
  </si>
  <si>
    <t xml:space="preserve">Papel obra                                                             </t>
  </si>
  <si>
    <t xml:space="preserve">Pegamentos para revestimientos                                         </t>
  </si>
  <si>
    <t xml:space="preserve">Perfiles de hierro                                                     </t>
  </si>
  <si>
    <t xml:space="preserve">Petróleo crudo                                                         </t>
  </si>
  <si>
    <t xml:space="preserve">Piedras                                                                </t>
  </si>
  <si>
    <t xml:space="preserve">Piezas fundidas                                                         </t>
  </si>
  <si>
    <t xml:space="preserve">Piletas y mesadas de acero inoxidable                                  </t>
  </si>
  <si>
    <t xml:space="preserve">Pinturas al látex                                                      </t>
  </si>
  <si>
    <t>Plastificantes</t>
  </si>
  <si>
    <t xml:space="preserve">Polímeros del cloruro de vinilo                                        </t>
  </si>
  <si>
    <t xml:space="preserve">Polímeros del estireno                                                 </t>
  </si>
  <si>
    <t xml:space="preserve">Polímeros del etileno                                                  </t>
  </si>
  <si>
    <t xml:space="preserve">Productos básicos de aluminio                                  </t>
  </si>
  <si>
    <t xml:space="preserve">Productos básicos de cobre y latón                                     </t>
  </si>
  <si>
    <t xml:space="preserve">Puertas placa                                                          </t>
  </si>
  <si>
    <t xml:space="preserve">Radiadores                                                             </t>
  </si>
  <si>
    <t xml:space="preserve">Resinas plásticas                                                      </t>
  </si>
  <si>
    <t xml:space="preserve">Rodamientos                                                            </t>
  </si>
  <si>
    <t xml:space="preserve">Soldadoras eléctricas                                                  </t>
  </si>
  <si>
    <t xml:space="preserve">Subproductos de refinería (Coke. Parafina)                                              </t>
  </si>
  <si>
    <t xml:space="preserve">Taladros                                                               </t>
  </si>
  <si>
    <t xml:space="preserve">Tejas                                                                  </t>
  </si>
  <si>
    <t xml:space="preserve">Tejidos de alambre                                                     </t>
  </si>
  <si>
    <t xml:space="preserve">Telas plásticas                                                        </t>
  </si>
  <si>
    <t xml:space="preserve">Transformadores                                                        </t>
  </si>
  <si>
    <t xml:space="preserve">Utilitarios                                                            </t>
  </si>
  <si>
    <t xml:space="preserve">Vidrio plano                                                           </t>
  </si>
  <si>
    <t xml:space="preserve">Vidrios laminados                                                      </t>
  </si>
  <si>
    <t xml:space="preserve">Vidrios templados                                                      </t>
  </si>
  <si>
    <t xml:space="preserve">Vidrios térmicos                                                       </t>
  </si>
  <si>
    <t xml:space="preserve">Yesos y piedras calizas                                                </t>
  </si>
  <si>
    <t>IMPORTADOS</t>
  </si>
  <si>
    <t xml:space="preserve">Accesorios y repuestos para máquinas de uso especial                 </t>
  </si>
  <si>
    <t xml:space="preserve">Aceros aleados                                                       </t>
  </si>
  <si>
    <t xml:space="preserve">Chapas de hierro al silicio                                              </t>
  </si>
  <si>
    <t xml:space="preserve">Chapas de hierro/acero                                               </t>
  </si>
  <si>
    <t xml:space="preserve">Cobre                                                                </t>
  </si>
  <si>
    <t xml:space="preserve">Estaño                                                               </t>
  </si>
  <si>
    <t xml:space="preserve">Maderas aserradas                                                    </t>
  </si>
  <si>
    <t xml:space="preserve">Manganeso                                                            </t>
  </si>
  <si>
    <t xml:space="preserve">Máquinas para perforar, taladrar o fresar                            </t>
  </si>
  <si>
    <t xml:space="preserve">Máquinas para rebanar, afilar, amolar, pulir u otro acabado          </t>
  </si>
  <si>
    <t xml:space="preserve">Máquinas para uso general (Máquinas para soldar plásticos)                                        </t>
  </si>
  <si>
    <t xml:space="preserve">Papeles                                                              </t>
  </si>
  <si>
    <t xml:space="preserve">Perfiles de hierro / acero                                           </t>
  </si>
  <si>
    <t xml:space="preserve">Piezas y partes para máquinas de uso general (Rodamientos)                         </t>
  </si>
  <si>
    <t xml:space="preserve">Polietileno                                                          </t>
  </si>
  <si>
    <t xml:space="preserve">Polipropileno                                                        </t>
  </si>
  <si>
    <t xml:space="preserve">Soda solvay                                                          </t>
  </si>
  <si>
    <t xml:space="preserve">Toner                                                                </t>
  </si>
  <si>
    <t>Cuadro 1. Índice de Precios Internos Básicos al por Mayor (IPIB), mayor desagregación disponible</t>
  </si>
  <si>
    <t>Cuadro 2. Índice de Precios Internos Básicos al por Mayor (IPIB), desagregación inmediata superior disponible</t>
  </si>
  <si>
    <t>Clasificación</t>
  </si>
  <si>
    <r>
      <t>CIIU R3</t>
    </r>
    <r>
      <rPr>
        <b/>
        <vertAlign val="superscript"/>
        <sz val="8"/>
        <rFont val="Arial"/>
        <family val="2"/>
      </rPr>
      <t>1</t>
    </r>
  </si>
  <si>
    <t>NACIONALES</t>
  </si>
  <si>
    <t>Estructuras metálicas para construcción (incluye: Aberturas de aluminio, Aberturas de chapa de hierro y Cortinas de aluminio)</t>
  </si>
  <si>
    <t>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t>
  </si>
  <si>
    <t>Máquinas herramientas y sus accesorios (incluye: Tornos y sus partes y piezas, Taladros, Amoladoras, Máquinas para carpintería, Soldadoras eléctricas y Accesorio para máquinas herramientas)</t>
  </si>
  <si>
    <t>Productos de cerámica no refractaria para uso no estructural (incluye: Artefactos sanitarios y Platos playos de cerámica)</t>
  </si>
  <si>
    <t>Artículos de hormigón, de cemento y de yeso (incluye: Hormigón, Mosaicos y Artículos pretensados)</t>
  </si>
  <si>
    <t>Autos, utilitarios, camiones, colectivos y chasis (incluye: Automóviles, Utilitarios, Camiones y sus chasis y Colectivos, Chasis y carrocerías para ómnibus)</t>
  </si>
  <si>
    <t>Plásticos en formas básicas (incluye: Caños y tubos de PVC, Caños y tubos de polipropileno y Caños y tubos de polietileno)</t>
  </si>
  <si>
    <t>Cauchos (incluye: Cauchos sintéticos y Dispersiones de caucho)</t>
  </si>
  <si>
    <t>Otros productos de caucho (incluye: Autopartes de goma, Correas de goma con refuerzo textil y Otros artículos de goma)</t>
  </si>
  <si>
    <t>Otros productos plásticos (incluye: Telas plásticas, Cortinas de enrollar de PVC y Artículos de bazar de plástico)</t>
  </si>
  <si>
    <t>Carpintería de madera (incluye: Cortinas de madera y Puertas placa)</t>
  </si>
  <si>
    <t>Cubiertas de caucho (incluye: Cubiertas radiales, Cubiertas convencionales y Cubiertas agrícolas)</t>
  </si>
  <si>
    <t>Otros productos metálicos n.c.p. (incluye: Bulones, Clavos, Envases de hojalata, Recipientes para gases, Grifería, Cerraduras, Tejidos de alambre, Piletas y mesadas de acero inoxidable y Chapas metálicas)</t>
  </si>
  <si>
    <t>Motores, generadores y transformadores eláctricos (incluye: Motores eléctricos, Grupos electrógenos y Transformadores)</t>
  </si>
  <si>
    <t>Combustibles (Incluye: Naftas, Kerosene, Gas oil, Fuel oil y Gases de refinería)</t>
  </si>
  <si>
    <t>Máquinas viales para la construcción (incluye: Máquinas viales autopropulsadas, Máquinas viales no autopropulsadas y Hormigoneras)</t>
  </si>
  <si>
    <t>Productos refractarios (incluye: Ladrillos refractarios y Morteros refractarios)</t>
  </si>
  <si>
    <t>Automotores y sus motores (incluye: Motores para vehículos, Automóviles, Utilitarios, Camiones y sus chasis y Colectivos, chasis y carrocerías para ómnibus)</t>
  </si>
  <si>
    <t>Sustancias plásticas (incluye: Polímeros de etileno, Polímeros de estireno, Polímeros de cloruro de vinilo y Polímeros de propileno)</t>
  </si>
  <si>
    <t>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t>
  </si>
  <si>
    <t>Vidrios para construcción y automotores (incluye: Vidrio plano, Vidrios templados, Vidrios térmicos y Vidrios laminados)</t>
  </si>
  <si>
    <t>Hierros y aceros en formas básicas (incluye: Chapas de hierro/acero, Aceros aleados y Perfiles de hierro/acero)</t>
  </si>
  <si>
    <t>Minerales no ferrosos en formas básicas (incluye: Cobre, Estaño y Manganeso)</t>
  </si>
  <si>
    <t>Máquinas herramientas (incluye: Máquinas para perforar, taladrar o fresar y Máquinas para rebanar, afilar, amolar, pulir u otro acabado)</t>
  </si>
  <si>
    <t xml:space="preserve">Máquinas de uso general y sus partes y piezas (incluye: Piezas y partes para máquinas de uso general -Rodamientos- y Máquinas para uso general -Máquinas para soldar plásticos-)                             </t>
  </si>
  <si>
    <t>Sustancias plásticas (incluye: Polietileno y Polipropileno)</t>
  </si>
  <si>
    <t>Sustancias químicas básicas (incluye: Soda solvay y Pigmentos)</t>
  </si>
  <si>
    <t>Cuadro 2. Índices del Capítulo Materiales, desagregación inmediata superior disponible</t>
  </si>
  <si>
    <t>Baldosas y losas para pavimentos, cubos de mosaicos de cerámicos y artículos similares (incluye: Azulejo, Baldosa cerámica esmaltada y Baldosa cerámica roja)</t>
  </si>
  <si>
    <t>Cajonera para placard (incluye: Cajonera para placard de calidad inferior, media y superior)</t>
  </si>
  <si>
    <t>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t>
  </si>
  <si>
    <t>Estantes y divisiones para placard (incluye: Estantes y divisiones para placard de calidad inferior, media y superior)</t>
  </si>
  <si>
    <t>41/42/51</t>
  </si>
  <si>
    <t>Ventana corrediza metálica y ventiluz metálico (incluye: Ventana corrediza metálica, Ventana corrediza metálica con vidrio repartido y Ventiluz metálico)</t>
  </si>
  <si>
    <t>Cuadro 1. Índices del Capítulo Materiales, mayor desagregación disponible</t>
  </si>
  <si>
    <t>Cuadro 1. Índices del Capítulo Mano de Obra, mayor desagregación disponible</t>
  </si>
  <si>
    <t>Cuadro 2. Índices del Capítulo Mano de Obra, desagregación disponible</t>
  </si>
  <si>
    <t>Yesería (incluye: mano de obra de subcontrato de yesería y sus materiales intervinientes para dicho ítem)</t>
  </si>
  <si>
    <t>Productos químicos</t>
  </si>
  <si>
    <t>Cuadro 3.2-24</t>
  </si>
  <si>
    <t>Sustancias y productos químicos</t>
  </si>
  <si>
    <t>Motores eléctricos y equipos de aire acondicionado</t>
  </si>
  <si>
    <t>Cuadro 3.2-31</t>
  </si>
  <si>
    <t>Máquinas y aparatos eléctricos</t>
  </si>
  <si>
    <t>Asfaltos, combustibles y lubricantes</t>
  </si>
  <si>
    <t>Cuadro 3.2-23</t>
  </si>
  <si>
    <t>Productos refinados del petróleo</t>
  </si>
  <si>
    <t>Medidores de caudal</t>
  </si>
  <si>
    <t>Cuadro 3.2-292</t>
  </si>
  <si>
    <t>Máquinas de uso especial</t>
  </si>
  <si>
    <t>Membrana impermeabilizante</t>
  </si>
  <si>
    <t>Cuadro 3.2-252</t>
  </si>
  <si>
    <t>Productos de plástico</t>
  </si>
  <si>
    <t>Equipo - Amortización de equipo</t>
  </si>
  <si>
    <t>Cuadro 3.2-29</t>
  </si>
  <si>
    <t>Máquinas y equipos</t>
  </si>
  <si>
    <t>e)</t>
  </si>
  <si>
    <t>i)</t>
  </si>
  <si>
    <t>k)</t>
  </si>
  <si>
    <t>t)</t>
  </si>
  <si>
    <t>w)</t>
  </si>
  <si>
    <t>j)</t>
  </si>
  <si>
    <t>Índices de los componentes incluidos en el Decreto 1295/2002.</t>
  </si>
  <si>
    <t>Baldosa cerámica roja para azotea de 20 x 20 cm; por m2.</t>
  </si>
  <si>
    <t>Acero aletado conformado de dureza natural, tipo ADN 420 (IRAM-IAS U 500-528), tensión máxima admisible 2.400 kg/cm2, en barra de 10 mm de diámetro; por tonelada.</t>
  </si>
  <si>
    <t>Cemento portland normal; por bolsa de 50 kg.</t>
  </si>
  <si>
    <t>Arena fina; por m3.</t>
  </si>
  <si>
    <t>Índice de Precios Internos Básicos al por Mayor (IPIB).</t>
  </si>
  <si>
    <t>DATOS REDETERMINACION</t>
  </si>
  <si>
    <t>CÓDIGO</t>
  </si>
  <si>
    <t>DESCRIPCIÓN</t>
  </si>
  <si>
    <t>Terciado Fenólico e= 18mm.  Mts. 1,22x 2,44</t>
  </si>
  <si>
    <t>Alamo Tirante 3" X 3" x mt 2,25</t>
  </si>
  <si>
    <t>Puntales de Alamo de 8,5 cm x 2,5 m.</t>
  </si>
  <si>
    <t>Hierro Torcionado  8mm. "Acindar" x 12 mts</t>
  </si>
  <si>
    <t>Clavos Punta Paris 2"</t>
  </si>
  <si>
    <t>Alambre Nº 17</t>
  </si>
  <si>
    <t>Poliestireno expandido e = 1 cm.</t>
  </si>
  <si>
    <t>Esmalte sintetico blanco x 4 lts tipo ALBA</t>
  </si>
  <si>
    <t>Vidrio transparente de 3mm  precio x m2.</t>
  </si>
  <si>
    <t>Cable de Cobre aislado de 1,5mm tipo Pirelli</t>
  </si>
  <si>
    <t>Caja de Acero rectangular MOP</t>
  </si>
  <si>
    <t>Caño de Acero Semipesado 3/4"</t>
  </si>
  <si>
    <t>Tomacorriente de Embutir c/tapa tipo "Exul"</t>
  </si>
  <si>
    <t>Caño Negro c/expoxi de 3/4"</t>
  </si>
  <si>
    <t>Tubo de PVC 3,2mmdiam x 63mm x 4 mts</t>
  </si>
  <si>
    <t>Deposito de Fº Cº embutir de 16 lts.</t>
  </si>
  <si>
    <t>Llave de Bronce 3/4" Fv (paso)</t>
  </si>
  <si>
    <t>Inodoro Pedestal  blanco FERRUM ANDINA</t>
  </si>
  <si>
    <t>Tanque de Plastico para agua tricapa850lts. Aprobado.</t>
  </si>
  <si>
    <t>Portarrollo blanco FERRUM  FIX</t>
  </si>
  <si>
    <t>Llave de gas con roseta de 1/2"</t>
  </si>
  <si>
    <t>Chapadur superpuerta 1,22x2,13</t>
  </si>
  <si>
    <t xml:space="preserve">Alamo Tabla 1" X 4" </t>
  </si>
  <si>
    <t>Chapa de Hierro Nº 18 medidas (1,22x2,44)</t>
  </si>
  <si>
    <t>Pomela de Hierro re. 140x170</t>
  </si>
  <si>
    <t>Cerradura tipo kallay nº 4006</t>
  </si>
  <si>
    <t>Gas Oil</t>
  </si>
  <si>
    <t xml:space="preserve">Nafta Super </t>
  </si>
  <si>
    <t>Nafta Comun</t>
  </si>
  <si>
    <t>Aceite Diesel Movil extra 15/40</t>
  </si>
  <si>
    <t>Piedra Nº 1</t>
  </si>
  <si>
    <t>Piedra Nº 2</t>
  </si>
  <si>
    <t>Piedra Nº 3</t>
  </si>
  <si>
    <t>Arena para sellado</t>
  </si>
  <si>
    <t>Triturado 8 mm</t>
  </si>
  <si>
    <t>Triturado 20 mm</t>
  </si>
  <si>
    <t>Materia Granular p/sub-base bajo 3"</t>
  </si>
  <si>
    <t>Materia Granular p/base bajo 2"</t>
  </si>
  <si>
    <t>Cementi tipo 50/60</t>
  </si>
  <si>
    <t>Asfaliq EM1</t>
  </si>
  <si>
    <t>Asfaliq ER1</t>
  </si>
  <si>
    <t>Emulsion EBCR</t>
  </si>
  <si>
    <t>Bitalco 70/100</t>
  </si>
  <si>
    <t>Mezcla 70/30</t>
  </si>
  <si>
    <t>Defensas c/agujeros p/fijacion a poste a 3,810m y/o 1,905 e=3,2(7,62 m.util)</t>
  </si>
  <si>
    <t>Defensas de largo medio e=2,5 (7,62 m.util)</t>
  </si>
  <si>
    <t>Defensas c/agujeros p/fijacion a poste a 3,810m y/o 1,905 e=3,2(3,81 m.util)</t>
  </si>
  <si>
    <t>Postes metalicos pesados long. 1,50</t>
  </si>
  <si>
    <t>Alas terminales comunes (0,73 m)</t>
  </si>
  <si>
    <t>Caño Armco MP100 chapa ac. 2 mm Ondul. Y Galv.; 2mts. Diam.</t>
  </si>
  <si>
    <t>Powergel 800 encartuchado Kg</t>
  </si>
  <si>
    <t>Detonador Comun Nº 8  Kg.</t>
  </si>
  <si>
    <t>Mecha Lenta Kg.</t>
  </si>
  <si>
    <t>Detonador Noneles 1/15 seriados c/u</t>
  </si>
  <si>
    <t>Cordon Detonante 5 Grs/mts. Kg.</t>
  </si>
  <si>
    <t>Gav. Malla 6x8 alam.zinc 5% 3mm de ref. mt 1x1x1</t>
  </si>
  <si>
    <t>Alambre galvanizado para gavion</t>
  </si>
  <si>
    <t>180 X M3      H-8</t>
  </si>
  <si>
    <t>250 X M3      H-13</t>
  </si>
  <si>
    <t>310 X M3      H-17</t>
  </si>
  <si>
    <t>Señ.Vert. tipo c/sop. y bul.de alumin c/chapa alum.p/señal / vertical, espesor 4 mm</t>
  </si>
  <si>
    <t>Papel reflec. Señ/vert. reflec term x 42 mts.</t>
  </si>
  <si>
    <t>Microesferas de vidrio</t>
  </si>
  <si>
    <t>Pint/reflec p/demerc. Horiz. Temp.Amb.x 20 lts</t>
  </si>
  <si>
    <t>Diluyente para demarcación x 20 lts</t>
  </si>
  <si>
    <t>Pintura ligante imprimador x 20 lts</t>
  </si>
  <si>
    <t>Caño PVC  k10 DE 1/2"</t>
  </si>
  <si>
    <t>Acople Rapido 1/2"</t>
  </si>
  <si>
    <t>Estaño en Barra al 33%</t>
  </si>
  <si>
    <t>Caño Plomo pesado 1/2"</t>
  </si>
  <si>
    <t>Acople para Plomo PVC 1/2"</t>
  </si>
  <si>
    <t>Caño Hormigon comprimido 0,40 mts.</t>
  </si>
  <si>
    <t>Caño PVC R Diam. 75 mm</t>
  </si>
  <si>
    <t>Caño PVC R Diam. 150 mm</t>
  </si>
  <si>
    <t>Válv.esclusa sm de HºFº d/brida 75 mm *1</t>
  </si>
  <si>
    <t>Válv.esclusa sm de HºFº d/brida 250 mm *1</t>
  </si>
  <si>
    <t>Caño Polietileno al/dens MRS-80-K10- 20mm</t>
  </si>
  <si>
    <t>Kits completo conexión domiciliaria</t>
  </si>
  <si>
    <t>Caja para empotrar en vereda</t>
  </si>
  <si>
    <t>Caño PVC 40mm diam, 3,2mm esp.</t>
  </si>
  <si>
    <t>Caño PVC p/cloacas 160 mm diam. Reglam.</t>
  </si>
  <si>
    <t>Caño PVC p/cloacas 315 mm diam. Reglam.</t>
  </si>
  <si>
    <t>Marco y Tapa de HºFº pesado 600mm diam</t>
  </si>
  <si>
    <t>Marco y Tapa de HºFº ductil art. Clase 400</t>
  </si>
  <si>
    <t>Caño PVC Cloacas 110 mm</t>
  </si>
  <si>
    <t>Ramal PVC Cloacas 160x110mm a 45º c/ag</t>
  </si>
  <si>
    <t>Curva 110 mm diam. A 45º c/aro de goma</t>
  </si>
  <si>
    <t>Valvula de Hº ductil tipo euro 20 db 75 mm*1</t>
  </si>
  <si>
    <t>Brazo Metalico s/ CN 77 con collar y bulones</t>
  </si>
  <si>
    <t>Cable Cu  tipo talle 2x2x5 mm2</t>
  </si>
  <si>
    <t>Lampara de NA de 150 W</t>
  </si>
  <si>
    <t>Morseto bimetalico deriv. 1360/1 B</t>
  </si>
  <si>
    <t>Artefacto Meriza 66</t>
  </si>
  <si>
    <t>Balasto + Ignitor P/Interior de 150 W / 220 V</t>
  </si>
  <si>
    <t>Aislador MN17</t>
  </si>
  <si>
    <t>RACK 479</t>
  </si>
  <si>
    <t>Fleje Aluminio de 10 x 1 mm</t>
  </si>
  <si>
    <t>Morseto 1976/4  -  AL-AL</t>
  </si>
  <si>
    <t>Perfiles de hierro L- 8x6 mts.-(1x1x1/8)</t>
  </si>
  <si>
    <t>Membrana 4 mm c/aluminio tipo”Emapi”</t>
  </si>
  <si>
    <t>Pomeca</t>
  </si>
  <si>
    <t>Pintura al latex para interior env 20lts" Alba"</t>
  </si>
  <si>
    <t>Cerámica 30 x 40 p/paredes-Línea Económica SCOP</t>
  </si>
  <si>
    <t>Cerámica 20 x 20 p/piso-Línea Económica SCOP</t>
  </si>
  <si>
    <t>Enduído plastico (al agua para exteriores)x 4 lts,</t>
  </si>
  <si>
    <t>Vigueta Pretensada S3 x ML "Chirino"</t>
  </si>
  <si>
    <t>Ladrillo ceramico para Losa 12,5 cm x unid. "Chirino"</t>
  </si>
  <si>
    <t>Block de Hormigon 20 x 20 x 40</t>
  </si>
  <si>
    <t xml:space="preserve">Adhesivo p/cerámico impermeable–Bolsa x 30 Kg. </t>
  </si>
  <si>
    <t>Yeso blanco tuyango/Selenita</t>
  </si>
  <si>
    <t>Inodoro pedestal comun blanco tipo Ferrun Andina"</t>
  </si>
  <si>
    <t>Portarrollo</t>
  </si>
  <si>
    <t>Mochila para exterior PVC</t>
  </si>
  <si>
    <t>Tablero metálico de 10 módulos</t>
  </si>
  <si>
    <t>Caja metálica rectangular</t>
  </si>
  <si>
    <t>Llave de embutir punto y toma</t>
  </si>
  <si>
    <t>Tomacorriente de Embutir c/tapa tipo Exul</t>
  </si>
  <si>
    <t>Bomba 3/4 Hp</t>
  </si>
  <si>
    <t>Calefactor  tiro balanceado 2000 calorias</t>
  </si>
  <si>
    <t>Calefactor  tiro balanceado 3000 calorias</t>
  </si>
  <si>
    <t>Calefactor  sin salida 2000 calorias</t>
  </si>
  <si>
    <t>Calefactor  sin salida 3000 calorias</t>
  </si>
  <si>
    <t>Cocina blanca  56 cm, 4 hornallas</t>
  </si>
  <si>
    <t>Calefón linea económica 14 lts., blanco Instantáneo</t>
  </si>
  <si>
    <t>Mesada de granito gris mara- mts.2-</t>
  </si>
  <si>
    <t>Mesada de granito rosa- mts.2-</t>
  </si>
  <si>
    <t>Bacha para mesada de cocina simple -ZZ-52-</t>
  </si>
  <si>
    <t xml:space="preserve">Bacha para mesada de cocina doble </t>
  </si>
  <si>
    <t>Placa MDF 3 mm 160x213</t>
  </si>
  <si>
    <t>Marcos de chapa Nº 18 con puerta placa  en mdf liso 75x2,04 mts.</t>
  </si>
  <si>
    <t>Marcos de chapa Nº 18 con puerta placa  en madera 75x2,04 mts.</t>
  </si>
  <si>
    <t>Canto rodado clasificado</t>
  </si>
  <si>
    <t>(Valores Netos sin Impuestos)</t>
  </si>
  <si>
    <t>TOTAL GASTOS GENERALES</t>
  </si>
  <si>
    <t>UBICACIÓN:</t>
  </si>
  <si>
    <t>COMITENTE:</t>
  </si>
  <si>
    <t>CONTRATISTA:</t>
  </si>
  <si>
    <t>B - MANO DE OBRA</t>
  </si>
  <si>
    <t>ml</t>
  </si>
  <si>
    <t>Oficial Especializado</t>
  </si>
  <si>
    <t xml:space="preserve">Oficial </t>
  </si>
  <si>
    <t>Ayudante</t>
  </si>
  <si>
    <t>DIRECCIÓN NACIONAL DE VIALIDAD</t>
  </si>
  <si>
    <t>VALORES DE INSUMOS DE TABLA I</t>
  </si>
  <si>
    <t>Equipo nacional</t>
  </si>
  <si>
    <t>Gas  oil.</t>
  </si>
  <si>
    <t>Fuel oil.</t>
  </si>
  <si>
    <t>Nafta Común.</t>
  </si>
  <si>
    <t>Arenas.</t>
  </si>
  <si>
    <t>Cementos.</t>
  </si>
  <si>
    <t>Cales.</t>
  </si>
  <si>
    <t>Piedras.</t>
  </si>
  <si>
    <t>Acero dulce.</t>
  </si>
  <si>
    <t>Acero especial.</t>
  </si>
  <si>
    <t>Acero para pretensado.</t>
  </si>
  <si>
    <t>Acero laminado</t>
  </si>
  <si>
    <t>Camisas de acero para pilotes.</t>
  </si>
  <si>
    <t>Alambres para alambrados.</t>
  </si>
  <si>
    <t>Torniquetes.</t>
  </si>
  <si>
    <t>Caños de hierro galvanizado.</t>
  </si>
  <si>
    <t>Caños de hormigón armado.</t>
  </si>
  <si>
    <t>Alambre tejido p/ gaviones y colchonetas.</t>
  </si>
  <si>
    <t>Postes, varillones y varillas p/alambrados.</t>
  </si>
  <si>
    <t>Membrana de polietileno o geotextil</t>
  </si>
  <si>
    <t>Tranqueras de madera.</t>
  </si>
  <si>
    <t>Luminarias.</t>
  </si>
  <si>
    <t>Lámparas.</t>
  </si>
  <si>
    <t>Balastos (electricidad).</t>
  </si>
  <si>
    <t>Conductores eléctricos.</t>
  </si>
  <si>
    <t>Tableros.</t>
  </si>
  <si>
    <t>Aluminio en chapa p/ señalamiento</t>
  </si>
  <si>
    <t>Filler calcáreo.</t>
  </si>
  <si>
    <t>Madera para encofrado.</t>
  </si>
  <si>
    <t>Mejorador de adherencia.</t>
  </si>
  <si>
    <t>Aditivos para hormigones.</t>
  </si>
  <si>
    <t>Gelinita.</t>
  </si>
  <si>
    <t>Mechas.</t>
  </si>
  <si>
    <t>Gelamón.</t>
  </si>
  <si>
    <t>Nagovil.</t>
  </si>
  <si>
    <t>Apoyos de neopreno.</t>
  </si>
  <si>
    <t>Columnas para iluminación.</t>
  </si>
  <si>
    <t>Baranda metálica peatonal.</t>
  </si>
  <si>
    <t>Pintura termoplástica reflectante.</t>
  </si>
  <si>
    <t>Esferillas de vidrio.</t>
  </si>
  <si>
    <t>Tachas reflectantes.</t>
  </si>
  <si>
    <t>Esmalte sintético.</t>
  </si>
  <si>
    <t>Pórticos, ménsulas y carteles.</t>
  </si>
  <si>
    <t>Siliconas de bajo módulo.</t>
  </si>
  <si>
    <t>Resina Epoxi.</t>
  </si>
  <si>
    <t>Sellador de fisuras.</t>
  </si>
  <si>
    <t>Moldes metálicos.</t>
  </si>
  <si>
    <t>Accesorios para pretensado.</t>
  </si>
  <si>
    <t>Anclajes.</t>
  </si>
  <si>
    <t>Topes antisísmicos.</t>
  </si>
  <si>
    <t>Caños de PVC.</t>
  </si>
  <si>
    <t>Balasto.(FF.CC.)</t>
  </si>
  <si>
    <t>Durmientes.</t>
  </si>
  <si>
    <t>Rieles.</t>
  </si>
  <si>
    <t>Escamas para tierra armada.</t>
  </si>
  <si>
    <t>Mat. especiales p/tierra armada.</t>
  </si>
  <si>
    <t>Alquiler apuntalamientos.</t>
  </si>
  <si>
    <t>Alquiler equipos.</t>
  </si>
  <si>
    <t>Movilidad p/Supervisión.</t>
  </si>
  <si>
    <t>Cubiertas y cámaras p/movilidad</t>
  </si>
  <si>
    <t>Vivienda para Supervisión.</t>
  </si>
  <si>
    <t>Seguros y patente.</t>
  </si>
  <si>
    <t>Clavos y alambres p/ataduras.</t>
  </si>
  <si>
    <t>Flejes de hierro.</t>
  </si>
  <si>
    <t>Artículos pretensados.</t>
  </si>
  <si>
    <t>Tubos de acero.</t>
  </si>
  <si>
    <t>Transporte p/Var. Referencia.</t>
  </si>
  <si>
    <t>Asfaltos, comb. y lubr. p/Var. Referencia.</t>
  </si>
  <si>
    <t>Equipos p/Var. Referencia.</t>
  </si>
  <si>
    <t>Gastos generales p/Var. Referencia.</t>
  </si>
  <si>
    <t>Camiones y sus Chasis.</t>
  </si>
  <si>
    <t>Carrocerías y Remolques (Acoplados).</t>
  </si>
  <si>
    <t>Máquinas Viales Autopropulsadas.</t>
  </si>
  <si>
    <t>Máquinas Viales no Autopropulsadas.</t>
  </si>
  <si>
    <t>Movilización de obra.</t>
  </si>
  <si>
    <t>Expropiaciones.</t>
  </si>
  <si>
    <t>Costo financiero (Anual).</t>
  </si>
  <si>
    <t>Equipo importado.</t>
  </si>
  <si>
    <t>Cementos asfálticos C.A.</t>
  </si>
  <si>
    <t>Asfaltos diluídos E.M. - E.R.</t>
  </si>
  <si>
    <t>Emulsiones asfálticas.</t>
  </si>
  <si>
    <t>Asfaltos modificados c/polímeros.</t>
  </si>
  <si>
    <t>Caños y bóvedas de chapa ondulada y galvanizada.</t>
  </si>
  <si>
    <t>Materiales para baranda metálica cincada para defensa.</t>
  </si>
  <si>
    <t>TRANSPORTES:</t>
  </si>
  <si>
    <t>86.1</t>
  </si>
  <si>
    <t>CAMION SOLO:</t>
  </si>
  <si>
    <t>86.1.1</t>
  </si>
  <si>
    <t>Chasis.</t>
  </si>
  <si>
    <t>86.1.2</t>
  </si>
  <si>
    <t>Caja.</t>
  </si>
  <si>
    <t>86.1.3</t>
  </si>
  <si>
    <t>Cubiertas y cámaras.</t>
  </si>
  <si>
    <t>86.1.4</t>
  </si>
  <si>
    <t>Gas-oil</t>
  </si>
  <si>
    <t>86.1.5</t>
  </si>
  <si>
    <t>Chofer.</t>
  </si>
  <si>
    <t>86.2</t>
  </si>
  <si>
    <t>CAMION CON ACOPLADO:</t>
  </si>
  <si>
    <t>86.2.1</t>
  </si>
  <si>
    <t>86.2.2</t>
  </si>
  <si>
    <t>Acoplado.</t>
  </si>
  <si>
    <t>86.2.3</t>
  </si>
  <si>
    <t>86.2.4</t>
  </si>
  <si>
    <t>86.2.5</t>
  </si>
  <si>
    <t>86.2.6</t>
  </si>
  <si>
    <t>Hormigón Elaborado</t>
  </si>
  <si>
    <t>Bolsas de plástico</t>
  </si>
  <si>
    <t>Suelo seleccionado</t>
  </si>
  <si>
    <t>Lámina reflectiva p/señalamiento</t>
  </si>
  <si>
    <t>Pintura látex para exterior</t>
  </si>
  <si>
    <t>Puntas para fresado</t>
  </si>
  <si>
    <t>Provisón de agua</t>
  </si>
  <si>
    <t>Cloruro de sodio (Sal)</t>
  </si>
  <si>
    <t>Herramientas menores</t>
  </si>
  <si>
    <t>Mano de obra - p/Var. Referencia</t>
  </si>
  <si>
    <t>Gas Oil p/Var. Referencia</t>
  </si>
  <si>
    <t>Aceite lubricante p/Var. Referencia</t>
  </si>
  <si>
    <t>Mano de Obra - Oficial Especializado</t>
  </si>
  <si>
    <t xml:space="preserve">Mano de Obra - Oficial </t>
  </si>
  <si>
    <t>Mano de Obra - Medio Oficial</t>
  </si>
  <si>
    <t>Mano de Obra - Ayudante</t>
  </si>
  <si>
    <t>Mano de Obra - Arquitectura p/Var. Referencia</t>
  </si>
  <si>
    <t>GAS OIL TOTAL PROMEDIO PAIS S/IVA - ACA</t>
  </si>
  <si>
    <t>Costo Financiero (Mensual)</t>
  </si>
  <si>
    <t>T R A N S P O R T E S    C A R R E T E R O S  -   C A M I O N    S O L O</t>
  </si>
  <si>
    <t>T R A N S P O R T E S    C A R R E T E R O S  -   C A M I O N    C O N    A C O P L A D O</t>
  </si>
  <si>
    <t>INSTITUTO DE INVESTIGACIONES ECONÓMICAS Y ESTADÍSTICAS SJ</t>
  </si>
  <si>
    <t>Producto</t>
  </si>
  <si>
    <t>Mano de Obra</t>
  </si>
  <si>
    <t>Materiales</t>
  </si>
  <si>
    <t>Madera</t>
  </si>
  <si>
    <t>Hierros</t>
  </si>
  <si>
    <t>Áridos</t>
  </si>
  <si>
    <t>Arena clasificada lavada</t>
  </si>
  <si>
    <t>Aglomerantes</t>
  </si>
  <si>
    <t>Cemento aprobado con envase x 50 Kg. " Loma Negra"</t>
  </si>
  <si>
    <t>Calcemit c/env x 30 Kg.</t>
  </si>
  <si>
    <t>Cemento blanco bolsa de 42 Kg. "Pingüino"</t>
  </si>
  <si>
    <t>Ladrillos y Viguetas</t>
  </si>
  <si>
    <t>LADRILLO RECOCIDO</t>
  </si>
  <si>
    <t>LADRILLON 1°</t>
  </si>
  <si>
    <t>Aislantes</t>
  </si>
  <si>
    <t>Emulsión asfáltica envase x 18 lts. (RicAsfalt )</t>
  </si>
  <si>
    <t>Pinturas y afines</t>
  </si>
  <si>
    <t>Pintura al látex p/ exterior x 20 lts – “Alba”</t>
  </si>
  <si>
    <t>Vidrios y otros</t>
  </si>
  <si>
    <t>Policarbonato x m2</t>
  </si>
  <si>
    <t>Electricidad</t>
  </si>
  <si>
    <t>Instalaciones Sanitarias y Gas</t>
  </si>
  <si>
    <t>Carpintería Metálica y Madera</t>
  </si>
  <si>
    <t xml:space="preserve">Ventana de aluminio- corrediza  1,20x1,10 mts. con vidrio de 3 o 4 mm completa </t>
  </si>
  <si>
    <t xml:space="preserve">Ventana de aluminio de apertura con vidrio 3 o 4 mm  1,20x1,10 mts completa </t>
  </si>
  <si>
    <t>Combustibles</t>
  </si>
  <si>
    <t>Piedras y Triturados</t>
  </si>
  <si>
    <t>Asfaltos</t>
  </si>
  <si>
    <t>Defensas Viales de Seguridad</t>
  </si>
  <si>
    <t>Explosivos</t>
  </si>
  <si>
    <t>Gaviones</t>
  </si>
  <si>
    <t>Cubiertas</t>
  </si>
  <si>
    <t>CUBIERTA CON TACOS 1000 X 20 16 T.</t>
  </si>
  <si>
    <t>CUBIERTAS SIN TACOS 1000 X 20 16T</t>
  </si>
  <si>
    <t>CUBIERTA 1400 X 24 12 TELAS</t>
  </si>
  <si>
    <t>CUBIERTA 23,5 X 25 20 T</t>
  </si>
  <si>
    <t>CUBIERTA 26,5 X 25 20 T</t>
  </si>
  <si>
    <t>Señalamientos</t>
  </si>
  <si>
    <t>Ferretería</t>
  </si>
  <si>
    <t>Instalación agua y cloacas (OSSE)</t>
  </si>
  <si>
    <t>Electricidad externa (Energía San Juan)</t>
  </si>
  <si>
    <t>Mármoles y granitos</t>
  </si>
  <si>
    <t>Artefactos baño y cocina</t>
  </si>
  <si>
    <t xml:space="preserve">Equipamiento </t>
  </si>
  <si>
    <t>I</t>
  </si>
  <si>
    <t>un</t>
  </si>
  <si>
    <t>Inversión Acumulada</t>
  </si>
  <si>
    <t>FECHA APERTURA LICITACIÓN:</t>
  </si>
  <si>
    <t>ANTICIPO FINANCIERO/ACOPIO:</t>
  </si>
  <si>
    <t>RUBRO ITEM</t>
  </si>
  <si>
    <t>1-</t>
  </si>
  <si>
    <t>2-</t>
  </si>
  <si>
    <t>3-</t>
  </si>
  <si>
    <t>4-</t>
  </si>
  <si>
    <t>5-</t>
  </si>
  <si>
    <t>6-</t>
  </si>
  <si>
    <t>CODIGO</t>
  </si>
  <si>
    <t>DESCRIPCION</t>
  </si>
  <si>
    <t>IIEE-SJ - 103000</t>
  </si>
  <si>
    <t>Oficial</t>
  </si>
  <si>
    <t>IIEE-SJ - 102000</t>
  </si>
  <si>
    <t>IIEE-SJ - 101000</t>
  </si>
  <si>
    <t>PRECIO SIN IVA</t>
  </si>
  <si>
    <t>LISTADO DE INSUMOS - MANO DE OBRA, MATERIALES Y EQUIPOS - PARA LA OBRA</t>
  </si>
  <si>
    <t>hs</t>
  </si>
  <si>
    <t>Camion</t>
  </si>
  <si>
    <t>INDEC-SA - 51800-21</t>
  </si>
  <si>
    <t>INDEC-SA - 71240-11</t>
  </si>
  <si>
    <t>Martillo Percutor</t>
  </si>
  <si>
    <t>INDEC-EC - 44231-21</t>
  </si>
  <si>
    <t>Camion Regador</t>
  </si>
  <si>
    <t>Camion Volcador</t>
  </si>
  <si>
    <t>Cal</t>
  </si>
  <si>
    <t>Herramientas Menores</t>
  </si>
  <si>
    <t>INDEC-PB - 42921-2</t>
  </si>
  <si>
    <t>INDEC-CM - 37510-11</t>
  </si>
  <si>
    <t>INDEC-PB - 41263-1</t>
  </si>
  <si>
    <t>INDEC-CM - 41242-11</t>
  </si>
  <si>
    <t>Esmalte sintético</t>
  </si>
  <si>
    <t>Grúa</t>
  </si>
  <si>
    <t>INDEC-EC - 43520-21</t>
  </si>
  <si>
    <t>IIEE-SJ - 205002</t>
  </si>
  <si>
    <t>IIEE-SJ - 203002</t>
  </si>
  <si>
    <t>IIEE-SJ - 203001</t>
  </si>
  <si>
    <t>INDEC-CM - 37440-11</t>
  </si>
  <si>
    <t>INDEC-CM - 41277-41</t>
  </si>
  <si>
    <t>INDEC-PB - 41251-1</t>
  </si>
  <si>
    <t>INDEC-PB - 42999-2</t>
  </si>
  <si>
    <t>INDEC-PB - 46212-1</t>
  </si>
  <si>
    <t>INDEC-CM - 46531-11</t>
  </si>
  <si>
    <t>DEP-EQ</t>
  </si>
  <si>
    <t>IMPUESTO AL VALOR AGREGADO</t>
  </si>
  <si>
    <t>BENEFICIO</t>
  </si>
  <si>
    <t>GASTOS GENERALES</t>
  </si>
  <si>
    <t>PRECIO TOTAL DEL ITEM</t>
  </si>
  <si>
    <t>COEFICIENTE DE PASO</t>
  </si>
  <si>
    <t>FIN</t>
  </si>
  <si>
    <t>Anticipo Financiero</t>
  </si>
  <si>
    <t>DATOS A COMPLETAR POR LA REPARTICIÓN</t>
  </si>
  <si>
    <t>DATOS A COMPLETAR POR EL OFERENTE</t>
  </si>
  <si>
    <t>DENOMINACIÓN INSUMO</t>
  </si>
  <si>
    <t>Total Gastos Generales de Obra</t>
  </si>
  <si>
    <t>INSTRUCCIONES PARA EL LLENADO DE LA PLANILLA</t>
  </si>
  <si>
    <r>
      <rPr>
        <sz val="12"/>
        <rFont val="Arial"/>
        <family val="2"/>
      </rPr>
      <t>Pestaña</t>
    </r>
    <r>
      <rPr>
        <b/>
        <sz val="12"/>
        <rFont val="Arial"/>
        <family val="2"/>
      </rPr>
      <t xml:space="preserve"> Datos</t>
    </r>
  </si>
  <si>
    <r>
      <rPr>
        <sz val="12"/>
        <rFont val="Arial"/>
        <family val="2"/>
      </rPr>
      <t>Pestaña</t>
    </r>
    <r>
      <rPr>
        <b/>
        <sz val="12"/>
        <rFont val="Arial"/>
        <family val="2"/>
      </rPr>
      <t xml:space="preserve"> CyP</t>
    </r>
  </si>
  <si>
    <r>
      <rPr>
        <sz val="12"/>
        <rFont val="Arial"/>
        <family val="2"/>
      </rPr>
      <t>Pestaña</t>
    </r>
    <r>
      <rPr>
        <b/>
        <sz val="12"/>
        <rFont val="Arial"/>
        <family val="2"/>
      </rPr>
      <t xml:space="preserve"> AP</t>
    </r>
  </si>
  <si>
    <r>
      <rPr>
        <sz val="12"/>
        <rFont val="Arial"/>
        <family val="2"/>
      </rPr>
      <t>Pestaña</t>
    </r>
    <r>
      <rPr>
        <b/>
        <sz val="12"/>
        <rFont val="Arial"/>
        <family val="2"/>
      </rPr>
      <t xml:space="preserve"> Insumos</t>
    </r>
  </si>
  <si>
    <r>
      <t xml:space="preserve">Una vez que el oferente copia todos los insumos en esta misma planilla se agregar en la columna CÓDIGO, el código correspondiente para la redeterminación  a cada uno de los insumos. Este código deberá responder a la codificación presentada en la pestaña </t>
    </r>
    <r>
      <rPr>
        <b/>
        <sz val="12"/>
        <rFont val="Arial"/>
        <family val="2"/>
      </rPr>
      <t>Indices</t>
    </r>
    <r>
      <rPr>
        <sz val="12"/>
        <rFont val="Arial"/>
        <family val="2"/>
      </rPr>
      <t xml:space="preserve"> y se podrá copiar de ella y pegar en la columna correspondiente del insumo
Automáticamente se completara en la columa con la descripción de manera de poder verificar la correspondencia</t>
    </r>
  </si>
  <si>
    <r>
      <rPr>
        <sz val="12"/>
        <rFont val="Arial"/>
        <family val="2"/>
      </rPr>
      <t>Pestaña</t>
    </r>
    <r>
      <rPr>
        <b/>
        <sz val="12"/>
        <rFont val="Arial"/>
        <family val="2"/>
      </rPr>
      <t xml:space="preserve"> PTyCI</t>
    </r>
  </si>
  <si>
    <r>
      <rPr>
        <sz val="12"/>
        <rFont val="Arial"/>
        <family val="2"/>
      </rPr>
      <t>Pestaña</t>
    </r>
    <r>
      <rPr>
        <b/>
        <sz val="12"/>
        <rFont val="Arial"/>
        <family val="2"/>
      </rPr>
      <t xml:space="preserve"> Gastos Generales</t>
    </r>
  </si>
  <si>
    <t>El oferente debe completar la planilla ingresando la descripción del gasto y el monto del mismo.
Una vez completados todos los gastos, con este monto y una vez definido el costo de la obra se calculará inmediatamente el porcentaje que representa el gasto general en la obra</t>
  </si>
  <si>
    <t>PLAN DE TRABAJO</t>
  </si>
  <si>
    <t>AVANCE PORCENTUAL OBRA</t>
  </si>
  <si>
    <t>CURVA DE INVERSIÓN</t>
  </si>
  <si>
    <t>AVANCE MONETARIO</t>
  </si>
  <si>
    <t>COSTOS UNITARIO</t>
  </si>
  <si>
    <t>PRECIO UNITARIO</t>
  </si>
  <si>
    <t>TABLA DE ÍTEMS DEL PROYECTO</t>
  </si>
  <si>
    <t>INGRESOS BRUTOS Y L. HOGAR</t>
  </si>
  <si>
    <t>INGRESO DESIGNACIÓN POR
CÓDIGO RUBRO - ÍTEM</t>
  </si>
  <si>
    <t>INGRESO DESIGNACIÓN SIN CODIFICACIÓN</t>
  </si>
  <si>
    <t>DESIGNACIÓN ITEM</t>
  </si>
  <si>
    <t>RESERVADO PARA CÁLCULO DE N° RUBRO / ITEM</t>
  </si>
  <si>
    <t>TOTAL OFERTA</t>
  </si>
  <si>
    <t>COSTO OFERTA ( 1 )</t>
  </si>
  <si>
    <t>A COMPLETAR POR LA REPARTICIÓN PARA ENTREGAR PLANILLAS PARA LICITACIÓN</t>
  </si>
  <si>
    <t>Llenar todos los datos del encabezamiento de esta pestaña en los campos marcados con el color azul claro
COMITENTE : 
OBRA :
UBICACION:
LICITACIÓN N°:
EXPEDIENTE N°:
PRESUPUESTO OFICIAL:
ANTICIPO FINANCIERO/ACOPIO:
FECHA APERTURA LICITACIÓN:
PLAZO DE OBRA:</t>
  </si>
  <si>
    <t>Recordar que los Rubros no llevan ni unidades ni cantidades y por consiguiente no necesitan elaboración de Análisis de Precios</t>
  </si>
  <si>
    <r>
      <t xml:space="preserve">La repartición debe completar la columna B donde se indican Rubro/Item, siguiendo una de las dos opciones siguientes:
1 - Utilizando la columna F ingresando el código del ítem de acuerdo al listado de ítems que se tiene en la pestaña </t>
    </r>
    <r>
      <rPr>
        <b/>
        <sz val="12"/>
        <rFont val="Arial"/>
        <family val="2"/>
      </rPr>
      <t>Items - Códigos</t>
    </r>
    <r>
      <rPr>
        <sz val="12"/>
        <rFont val="Arial"/>
        <family val="2"/>
      </rPr>
      <t>, si el ítem necesario no se encuentra en el listado puede ser incorporado. Con ese código ingresado en la columna F se completarán automáticamente la columna B y C con la designación del ítem y su unidad de medida.
2 - En caso de no tener un listado codificado de Rubros / Items, se utilizarán las columnas H e I escribiendo en las mismas la designación y la unidad correspondiente. De igual manera que el anterior se completarán las columnas B y C
De esta manera la numeración de cada uno de los renglones de los Rubro/Items se generará automáticamente bajo la siguiente premisa:
El Rubro tendrá un número unicamente. Los ítems abarcados por dicho rubro contendrán el número del Rubro seguido de un guión medio y luego un número correlativo comenzando por el 1
Ejemplo: 
1          TRABAJOS PRELIMINARES
1-1       Preparación y limpieza de terrenos
Tener en cuenta que todos los ítems ingresados deben estar relacionados con un Rubro que los abarque. Los Rubros no tendrán unidad de medida y mucho menos tendrán asociado un Análisis de Precios. Si no se cumplen estas premisas no se generará la numeración automática de forma correcta</t>
    </r>
  </si>
  <si>
    <t xml:space="preserve">Para el caso de Licitaciones llamadas por el sistema de Unidad de Medida deberá completar la columna E con las cantidades previstas.
En el caso de Licitaciones llamadas por el sistema de Ajuste Alzado las cantidades deben ser calculadas por el Oferente y completadas por él. </t>
  </si>
  <si>
    <t>Este escrito intenta ser una guía para el uso de estas planillas por cada una de las reparticiones que realizan llamados a licitación.
El objetivo es que las mismas correctamente completadas estén adjuntas a la documentación de licitación correspondiente, permitiendo que los formatos digitales que entregan los oferentes puedan ser migrados de forma rápida y segura al sistema SIGOP que permitirá tener en forma actualizada toda la información necesaria no solo para el seguimiento de las obras en ejecución sino tambien de los proyectos en desarrollo por cada repartición.
Es importante comprender que las pestañas CyP, AP y PTyCI no deben ser modificadas en lo que respecta a la ubicación de las columnas ni en los criterios de redondeo a dos decimales en los costos y precios de manera de poder obtener una total correspondencia en el sistema. Si se podrá agregar o suprimir filas de las mismas de acuerdo a la cantidad de ítems que posea las mismas.
Las planillas en blanco se entregan con una cantidad de filas que permiten incorporar 200 renglones, en caso de ser necesario mas se deberán intercalar filas en la parte central de las mismas de manera de poder respetar las fórmulas que contienen ellas.
A continuación se indican los pasos a seguir:</t>
  </si>
  <si>
    <r>
      <t xml:space="preserve">Esta pestaña se completa automáticamente con los datos ingresados en la pestaña </t>
    </r>
    <r>
      <rPr>
        <b/>
        <sz val="12"/>
        <rFont val="Arial"/>
        <family val="2"/>
      </rPr>
      <t>Datos.</t>
    </r>
    <r>
      <rPr>
        <sz val="12"/>
        <rFont val="Arial"/>
        <family val="2"/>
      </rPr>
      <t xml:space="preserve">
La repartición solo deberá controlar que la planilla contengan tantas filas como rubros e ítems contenga la pestaña de </t>
    </r>
    <r>
      <rPr>
        <b/>
        <sz val="12"/>
        <rFont val="Arial"/>
        <family val="2"/>
      </rPr>
      <t>Datos</t>
    </r>
    <r>
      <rPr>
        <sz val="12"/>
        <rFont val="Arial"/>
        <family val="2"/>
      </rPr>
      <t>. En el caso de algún error deberá comunicarlo inmediatamente a la oficina de funcionales que posee el Ministerio.</t>
    </r>
  </si>
  <si>
    <t>Los datos del costo unitario se completa automáticamente a medida que se completan los datos de cada uno de los análisis de precio por parte del Oferente, asi como los calculos de los costos y porcentaje de incidencia.</t>
  </si>
  <si>
    <t>Si la Repartición para el ingreso de los datos de los Rubros e Items siguió el procedimiento indicado y se genero una numeración automática, el encabezado de cada uno de los análisis de precios se completará automáticamente con todos los datos ya completados, dejandole a cada uno de los Oferentes la base para que ellos completen dichos análisis con sus datos particulares.</t>
  </si>
  <si>
    <t>Las columnas L, M, N y O están reservadas para poder generar la numeración automática por lo que no deberán ser borradas y modificadas, solamente pueden ser copiadas y pegadas en caso de necesitar mas filas por la cantidad de ítems que posee la obra.</t>
  </si>
  <si>
    <t>Si es necesario agregar mas ítems, se deberá tomar una fila intermedia, copiarla y luego insertar en el mismo lugar la cantidad de filas necesarias. Luego se deberá revisar la columna A para que se actualicen correctamente los datos de designación, unidad y cantidad y las fórmulas de calculo del resto de las columnas.</t>
  </si>
  <si>
    <t>Esta pestaña resulta de fundamental importancia para generar los certificados de redeterminación de precios en caso de ser necesario.</t>
  </si>
  <si>
    <t>Al igual que la pestaña CyP se completa automáticamente la numeración y designación del Rubro/Item. Se deberá controlar la coincidencia y de ser necesario agregar una mayor cantidad de ítems (filas) proceder de manera similar a la anterior.
Se deberá ajustar las columnas a los meses previstos para la ejecución de la obra.</t>
  </si>
  <si>
    <r>
      <rPr>
        <sz val="12"/>
        <rFont val="Arial"/>
        <family val="2"/>
      </rPr>
      <t>Pestaña</t>
    </r>
    <r>
      <rPr>
        <b/>
        <sz val="12"/>
        <rFont val="Arial"/>
        <family val="2"/>
      </rPr>
      <t xml:space="preserve"> Items - Códigos</t>
    </r>
  </si>
  <si>
    <t>En esta pestaña se podrá realizar la estandarización de la denominación de los distintos ítems que forman parte de las futuras licitaciones. Esto posibilitará que todas las reparticiones puedan denominar los ítems de una manera única que despues pueda ser reflejada en las especificaciones técnicas particulares de las obras.</t>
  </si>
  <si>
    <t>A COMPLETAR POR EL OFERENTE PARA ENTREGAR PLANILLAS DE LICITACIÓN</t>
  </si>
  <si>
    <t>Este escrito intenta ser una guía para el uso de estas planillas por cada una de los Oferentes que se presentan en los llamados a licitación.
El objetivo es que las mismas correctamente completadas estén adjuntas a la documentación de licitación correspondiente, permitiendo que los formatos digitales que entregan los oferentes puedan ser migrados de forma rápida y segura al sistema SIGOP que permitirá tener en forma actualizada toda la información necesaria no solo para el seguimiento de las obras en ejecución sino tambien de los proyectos en desarrollo por cada repartición.
Es importante comprender que las pestañas CyP, AP y PTyCI no deben ser modificadas en lo que respecta a la ubicación de las columnas ni en los criterios de redondeo a dos decimales en los costos y precios de manera de poder obtener una total correspondencia en el sistema. El Oferente junto con la documentación licitatoria recibirá la misma con todos los datos necesarios para emitiri su oferta.
cesario mas se deberán intercalar filas en la parte central de las mismas de manera de poder respetar las fórmulas que contienen ellas.
A continuación se indican los pasos a seguir:</t>
  </si>
  <si>
    <t>En todos los casos es conveniente que una vez completos todos los datos se revisen las distintas pestañas de manera que no queden renglones en blanco</t>
  </si>
  <si>
    <t>Llenar todos los datos del encabezamiento de esta pestaña en los campos marcados con el color azul claro
EMPRESA CONSTRUCTORA:  Nombre de la empresa Oferente
GASTOS GENERALES: En esta pestaña se calculará el porcentaje que los gastos generales detallados en la pestaña Gastos Generales representa respecta al Costo de la Obra.
BENEFICIO: Deberá ingresar el porcentaje de beneficio que prevee tendrá en la obra respecto a la suma de Costo de la Obra mas Gastos Generales.
INGRESOS BRUTOS Y L. HOGAR: Ingresará el porcentaje que representa el impuesto a los ingresos brutos y lote hogar.
IMPUESTO AL VALOR AGREGADO: Ingresará el porcentaje que representa el impuesto al valor agregado.
COEFICIENTE DE PASO: se calculará automáticamente el valor del coeficiente de paso de Costo a Precio en función de los porcentajes anteriores.</t>
  </si>
  <si>
    <t xml:space="preserve">Para el caso de Licitaciones por Ajuste Alzado deberá completar la columna D (Cantidades para cada uno de los ítems) en función del computo métrico que el oferente realice para la obra.
Para Licitaciones por Unidad de Medida las cantidades serán parte de los datos entregados por la repartición. </t>
  </si>
  <si>
    <t>Recordar que los Rubros no llevan ni unidades ni cantidades y por consiguiente no necesitan elaboración de Análisis de Precios situación por la cual no aparence en las tablas de la pestaña AP.</t>
  </si>
  <si>
    <t>En esta pestaña el Oferente no deberá realizar acción alguna, todos los campos de la mismas o estarán completos o se completaran y calcularán en la medida que el Oferente complete los análisis de precios de cada uno de los ítems. Los datos del costo unitario se completa automáticamente a medida que se completan los datos de cada uno de los análisis de precio y los calculos del Precio Unitario, el Precio Total y el porcentaje de incidencia tambien se calculan en forma automática.</t>
  </si>
  <si>
    <t>El Oferente recibirá la planilla con la pestaña AP completa en lo que respecta a su encabezado, solamente quedará en blanco el campo CONTRATISTA, que se completará automáticamente una vez que se ingrese el dato correspondiente en la pestaña Datos.</t>
  </si>
  <si>
    <t>No podrá modificar de ninguna manera el orden en que se presentan los análisis de precios, ni el encabezado los campos:
RUBRO:     
ITEM: 
UNIDAD:
asi como el orden y ubicación de las columnas.</t>
  </si>
  <si>
    <t>El Oferente deberá completar los análisis de precios indicando insumo (Materiales - Mano de Obra y Equipos), su unidad, cantidad y precio unitario. Además de acuerdo a lo indicado en el Decreto 691/16 de redeterminación de precios deberá indicar el código a utilizar para poder elaborar, en caso de corresponder, la redeterminación de precios.</t>
  </si>
  <si>
    <r>
      <t xml:space="preserve">Para facilitar el llenado, las planillas están diseñadas para que el oferente, valiendose la pestaña </t>
    </r>
    <r>
      <rPr>
        <b/>
        <sz val="12"/>
        <rFont val="Arial"/>
        <family val="2"/>
      </rPr>
      <t>Insumos</t>
    </r>
    <r>
      <rPr>
        <sz val="12"/>
        <rFont val="Arial"/>
        <family val="2"/>
      </rPr>
      <t>, automatice la mayor cantidad de pasos, de esta manera procederá de la siguiente manera:
1 - Completará el campo de la columna Designación del análisis de precio con el insumo correspondiente, el que deberá coincidir exactamente con el detallado en la pestaña Insumos. Una vez ingresado el mismo se completar automáticamente la columna correspondiente a la Unidad y Precio para ese insumo, el que lo obtiene de la pestaña Insumos y las columnas correspondientes a los datos</t>
    </r>
    <r>
      <rPr>
        <b/>
        <sz val="12"/>
        <rFont val="Arial"/>
        <family val="2"/>
      </rPr>
      <t xml:space="preserve"> redeterminación</t>
    </r>
    <r>
      <rPr>
        <sz val="12"/>
        <rFont val="Arial"/>
        <family val="2"/>
      </rPr>
      <t>.
Posteriormente el oferente deberá completar la columna Cantidad correspondiente a cada insumo y se calcularán automaticamente todos los valores. 
2 - Si el Oferente no quiere utilizar esta metodología deberá completar todas las columnas desde la A a la F, no tocando la columna G que es la que realiza los cálculo finales redondeando a dos decimales.
En caso de que para algún Análisis de Precios el oferente necesite mayor cantidad de filas para colocar mas insumos podrá marcar una fila intermedia y realizar la acción de copiar e insertar fila copiada.</t>
    </r>
  </si>
  <si>
    <t>Esta pestaña se presenta solo como elemento de ayuda para el Oferente y es la que posee los datos de Unidad, Precio Unitario sin IVA y Código de redeterminación para completar los Análisis de Precios para utilizar el procedimiento 1 - indicado en la pestaña AP. 
La manera de trabajar con ella es la siguiente:
Esta pestaña presenta cinco columnas de acuerdo al siguiente detalle:
DENOMINACIÓN INSUMO - En esta columna el Oferente pondra la denominación de todos los insumos que utilizará para la confección de su análisis de precio.
UN. - En esta columna el Oferente pondra la unidad de todos los insumos que utilizará para la confección de su análisis de precio.
PRECIO SIN IVA - En esta columna el Oferente pondra el precio unitario de todos los insumos que utilizará para la confección de su análisis de precio. 
CODIGO - En esta columna el Oferente pondra el código que servirá para redeterminar el precio del insumos que utilizará para la confección de su análisis de precio. Este código debe responder a los entregados en la pestaña Indices.
DESCRIPCION - En esta columna aparecerá automaticamente la descripcion que corresponde al código utilizado en correspondencia con la planilla adjunta a la pestaña Indices.</t>
  </si>
  <si>
    <t>Todos estos datos pueden ser copiados y pegados de otra planilla que tenga el Oferente, teniendo el cuidado de no modificar el orden de las columnas y de que el pegado se haga solo texto.
Tener cuidado de que si dos insumos se denominas de igual manera y tienen diferentes precios en esta planilla, cuando sean ingresados en el Analisis de Precios, en forma automática se colocará el precio del insumo que este en la fila superior. Para ello conviene utilizar distintas denominaciones, por ejemplo:
Accesorios para baños
Accesorios para instalación sanitaria
Accesorios para instalación eléctrica.</t>
  </si>
  <si>
    <t>El Oferente deberácompletar el avance mensual previsto para cada uno de los ítems. La suma de los porcentajes de avance mensual de cada ítem debe totalizar el 100%</t>
  </si>
  <si>
    <t>El Avance Mensual, Acumulado, la Inversión Mensual y Acumulada se calcularan y completaran automáticamente en función de los avance previstos</t>
  </si>
  <si>
    <t>TRAMO:</t>
  </si>
  <si>
    <t xml:space="preserve">SECCION I: </t>
  </si>
  <si>
    <t xml:space="preserve">SECCION II: </t>
  </si>
  <si>
    <t xml:space="preserve">SECCION III: </t>
  </si>
  <si>
    <t>DOMICILIO LEGAL</t>
  </si>
  <si>
    <t>FIRMANTES DE LA PROPUESTA</t>
  </si>
  <si>
    <t>CARÁCTER DEL FIRMANTE</t>
  </si>
  <si>
    <t>PROPUESTA</t>
  </si>
  <si>
    <t>PRECIO UNITARIO COTIZADO</t>
  </si>
  <si>
    <t>EN LETRAS</t>
  </si>
  <si>
    <t>EN NÚMERO</t>
  </si>
  <si>
    <t>TOTAL PRECIO</t>
  </si>
  <si>
    <t>FIRMA DE LOS PROPONENTES:</t>
  </si>
  <si>
    <t>SR. DIRECTOR GENERAL DE LA DIRECCIÓN PROVINCIAL DE VIALIDAD SAN JUAN</t>
  </si>
  <si>
    <t>_____ que suscribe(n) ____________________  en su carácter de  ____________  declara(n) que ha(n) dado cumplimiento a lo establecido en la documentación correspondiente, ha examinado el terreno, los planos, cómputos métricos, Pliego de Condiciones y Especificaciones Técnicas relativas a las obras indicadas en el título y se compromete(n) a realizarla en un todo de acuerdo con los mencionados documentos que aclara(n) conocer en todas sus partes, ofreciendo ejecutar las obras correspondientes a los precios unitarios que consignan a continuación:</t>
  </si>
  <si>
    <t>Los que suscriben , en su carácter de  y  en su carácter de  declaran que han dado cumplimiento a lo establecido en la documentación correspondiente, han examinado el terreno, los planos, cómputos métricos, Pliego de Condiciones y Especificaciones Técnicas relativas a las obras indicadas en el título y se comprometen a realizarla en un todo de acuerdo con los mencionados documentos que aclaran conocer en todas sus partes, ofreciendo ejecutar las obras correspondientes a los precios unitarios que consignan a continuación:</t>
  </si>
  <si>
    <t>El que suscribe  en su carácter de,  declara que ha dado cumplimiento a lo establecido en la documentación correspondiente, ha examinado el terreno, los planos, cómputos métricos, Pliego de Condiciones y Especificaciones Técnicas relativas a las obras indicadas en el título y se compromete a realizarla en un todo de acuerdo con los mencionados documentos que aclara conocer en todas sus partes, ofreciendo ejecutar las obras correspondientes a los precios unitarios que consignan a continuación:</t>
  </si>
  <si>
    <t xml:space="preserve">DOMICILIO LEGAL: </t>
  </si>
  <si>
    <t>m</t>
  </si>
  <si>
    <t>ha</t>
  </si>
  <si>
    <t>DESCRIPCIÓN EQUIPO DE PRODUCCIÓN Y RENDIMIENTO</t>
  </si>
  <si>
    <t>Equipo</t>
  </si>
  <si>
    <t>Potencia</t>
  </si>
  <si>
    <t>Costo Unitario</t>
  </si>
  <si>
    <t>Costo Total</t>
  </si>
  <si>
    <t>TOTALES</t>
  </si>
  <si>
    <t>Costo Equipos</t>
  </si>
  <si>
    <t>Rendimiento equipo de producción</t>
  </si>
  <si>
    <t>Rendimiento</t>
  </si>
  <si>
    <t>A - EQUIPOS</t>
  </si>
  <si>
    <t>Amortizaciones</t>
  </si>
  <si>
    <t>Interés</t>
  </si>
  <si>
    <t>Reparaciones y Repuestos</t>
  </si>
  <si>
    <t>Lubricantes</t>
  </si>
  <si>
    <t>Medio Oficial</t>
  </si>
  <si>
    <t>C - MATERIALES</t>
  </si>
  <si>
    <t>D - TRANSPORTE</t>
  </si>
  <si>
    <t>Total D</t>
  </si>
  <si>
    <t>Costo</t>
  </si>
  <si>
    <t>Precio</t>
  </si>
  <si>
    <t>DIRECCIÓN PROVINCIAL DE VIALIDAD</t>
  </si>
  <si>
    <t>Coeficiente Equipo</t>
  </si>
  <si>
    <t>Rendimiento Diario Equipo Producción</t>
  </si>
  <si>
    <t>$ Parcial por unidad ítem (Coef x Costo o HP / Rend)</t>
  </si>
  <si>
    <t>II</t>
  </si>
  <si>
    <t>OBRAS VIALES</t>
  </si>
  <si>
    <t>II-0001</t>
  </si>
  <si>
    <t xml:space="preserve"> ACERO EN BARRA COLOCADO</t>
  </si>
  <si>
    <t>A</t>
  </si>
  <si>
    <t xml:space="preserve">LAMINADO </t>
  </si>
  <si>
    <t>II-0001.0001</t>
  </si>
  <si>
    <t xml:space="preserve"> Ø4</t>
  </si>
  <si>
    <t xml:space="preserve">t </t>
  </si>
  <si>
    <t>Ø4</t>
  </si>
  <si>
    <t>II-0001.0002</t>
  </si>
  <si>
    <t xml:space="preserve"> Ø6</t>
  </si>
  <si>
    <t>Ø6</t>
  </si>
  <si>
    <t>II-0001.0003</t>
  </si>
  <si>
    <t xml:space="preserve"> Ø8</t>
  </si>
  <si>
    <t>Ø8</t>
  </si>
  <si>
    <t>II-0001.0004</t>
  </si>
  <si>
    <t xml:space="preserve"> Ø10</t>
  </si>
  <si>
    <t>Ø10</t>
  </si>
  <si>
    <t>II-0001.0005</t>
  </si>
  <si>
    <t xml:space="preserve"> Ø12</t>
  </si>
  <si>
    <t>Ø12</t>
  </si>
  <si>
    <t>II-0001.0006</t>
  </si>
  <si>
    <t xml:space="preserve"> Ø16</t>
  </si>
  <si>
    <t>Ø16</t>
  </si>
  <si>
    <t>II-0001.0007</t>
  </si>
  <si>
    <t xml:space="preserve"> Ø18</t>
  </si>
  <si>
    <t>Ø18</t>
  </si>
  <si>
    <t>II-0001.0008</t>
  </si>
  <si>
    <t xml:space="preserve"> Ø20</t>
  </si>
  <si>
    <t>Ø20</t>
  </si>
  <si>
    <t>B</t>
  </si>
  <si>
    <t>ESPECIAL</t>
  </si>
  <si>
    <t>II-0001.0020</t>
  </si>
  <si>
    <t>II-0001.0021</t>
  </si>
  <si>
    <t>II-0001.0022</t>
  </si>
  <si>
    <t>II-0001.0023</t>
  </si>
  <si>
    <t>II-0001.0024</t>
  </si>
  <si>
    <t>II-0001.0025</t>
  </si>
  <si>
    <t>II-0001.0026</t>
  </si>
  <si>
    <t>II-0001.0027</t>
  </si>
  <si>
    <t>C</t>
  </si>
  <si>
    <t>PRETENSADO</t>
  </si>
  <si>
    <t>II-0001.0030</t>
  </si>
  <si>
    <t>II-0001.0031</t>
  </si>
  <si>
    <t>II-0001.0032</t>
  </si>
  <si>
    <t>II-0001.0033</t>
  </si>
  <si>
    <t>II-0001.0034</t>
  </si>
  <si>
    <t>II-0001.0035</t>
  </si>
  <si>
    <t>II-0001.0036</t>
  </si>
  <si>
    <t>II-0001.0037</t>
  </si>
  <si>
    <t>II-0002</t>
  </si>
  <si>
    <t>ABOVEDAMIENTO  REACONDICIONAMIENTO</t>
  </si>
  <si>
    <t>II-0002.0001</t>
  </si>
  <si>
    <t xml:space="preserve">V-384 </t>
  </si>
  <si>
    <t>V-384</t>
  </si>
  <si>
    <t>II-0003</t>
  </si>
  <si>
    <t>ALAMBRADO</t>
  </si>
  <si>
    <t>H-2840-I</t>
  </si>
  <si>
    <t>II-0003.0001</t>
  </si>
  <si>
    <t>S/PLANO H-2840-I - TIPO A</t>
  </si>
  <si>
    <t>II-0003.0002</t>
  </si>
  <si>
    <t>S/PLANO H-2840-I - TIPO B</t>
  </si>
  <si>
    <t>II-0003.0003</t>
  </si>
  <si>
    <t>S/PLANO H-2840-I - TIPO C</t>
  </si>
  <si>
    <t>II-0003.0004</t>
  </si>
  <si>
    <t>S/PLANO H-2840-I - TIPO D</t>
  </si>
  <si>
    <t>D</t>
  </si>
  <si>
    <t>II-0003.0005</t>
  </si>
  <si>
    <t>OLIMPICO H-9830</t>
  </si>
  <si>
    <t>II-0003.0006</t>
  </si>
  <si>
    <t>TRAZADO C/ REPOSICION  (%)</t>
  </si>
  <si>
    <t>II-0003.0007</t>
  </si>
  <si>
    <t>RETIRO</t>
  </si>
  <si>
    <t>II-0004</t>
  </si>
  <si>
    <t>ALCANTARILLAS METALICAS ACERO CORRUGADO</t>
  </si>
  <si>
    <t>H-10209</t>
  </si>
  <si>
    <t>II-0004.0001</t>
  </si>
  <si>
    <t>S/PLANO H-10209 - TIPO H-9987</t>
  </si>
  <si>
    <t>H-9987</t>
  </si>
  <si>
    <t>II-0004.0002</t>
  </si>
  <si>
    <t>S/PLANO H-10209 - TIPO H-2993</t>
  </si>
  <si>
    <t>H-2993</t>
  </si>
  <si>
    <t>H-10235</t>
  </si>
  <si>
    <t>II-0004.0003</t>
  </si>
  <si>
    <t>S/PLANO H-10235 - TIPO H-9987</t>
  </si>
  <si>
    <t>II-0004.0004</t>
  </si>
  <si>
    <t>S/PLANO H-10235 - TIPO H-2993</t>
  </si>
  <si>
    <t>H-10236</t>
  </si>
  <si>
    <t>II-0004.0005</t>
  </si>
  <si>
    <t>S/PLANO H-10236 - TIPO H-2553</t>
  </si>
  <si>
    <t>H-2553</t>
  </si>
  <si>
    <t>II-0004.0010</t>
  </si>
  <si>
    <t>ESPECIAL - TIPO BOVEDA PERFIL ALTO Z-6584</t>
  </si>
  <si>
    <t>BOVEDA PERFIL ALTO Z-6584</t>
  </si>
  <si>
    <t>II-0004.0011</t>
  </si>
  <si>
    <t>ESPECIAL - TIPO BOVEDA PERFIL BAJO Z-6584</t>
  </si>
  <si>
    <t>BOVEDA PERFIL BAJO Z-6584</t>
  </si>
  <si>
    <t>II-0004.0012</t>
  </si>
  <si>
    <t>ESPECIAL - TIPO CIRCULAR</t>
  </si>
  <si>
    <t>CIRCULAR</t>
  </si>
  <si>
    <t>II-0004.0013</t>
  </si>
  <si>
    <t>ESPECIAL - TIPO ELIPTICA</t>
  </si>
  <si>
    <t>ELIPTICA</t>
  </si>
  <si>
    <t>II-0004.0014</t>
  </si>
  <si>
    <t>ESPECIAL - TIPO ELIPTICA P/ FERROCARRIL Z-6584</t>
  </si>
  <si>
    <t>ELIPTICA P/ FERROCARRIL Z-6584</t>
  </si>
  <si>
    <t>II-0004.0020</t>
  </si>
  <si>
    <t>PINTURA</t>
  </si>
  <si>
    <t>E</t>
  </si>
  <si>
    <t>II-0004.0021</t>
  </si>
  <si>
    <t>COLOCACION</t>
  </si>
  <si>
    <t>F</t>
  </si>
  <si>
    <t>II-0004.0022</t>
  </si>
  <si>
    <t>RELLENO DE SOCAVACION</t>
  </si>
  <si>
    <t>m³</t>
  </si>
  <si>
    <t>G</t>
  </si>
  <si>
    <t>II-0004.0023</t>
  </si>
  <si>
    <t>REPARACION</t>
  </si>
  <si>
    <t>H</t>
  </si>
  <si>
    <t>II-0004.0024</t>
  </si>
  <si>
    <t>RETIRO Y RECOLOCACION</t>
  </si>
  <si>
    <t>II-0004.0025</t>
  </si>
  <si>
    <t xml:space="preserve">RETIRO </t>
  </si>
  <si>
    <t>J</t>
  </si>
  <si>
    <t>II-0005</t>
  </si>
  <si>
    <t>ALCANTARILLAS HORMIGON</t>
  </si>
  <si>
    <t>II-0005.0001</t>
  </si>
  <si>
    <t>CIRCULAR - TIPO A-82</t>
  </si>
  <si>
    <t>A-82</t>
  </si>
  <si>
    <t>II-0005.0002</t>
  </si>
  <si>
    <t>CIRCULAR - TIPO H-2993</t>
  </si>
  <si>
    <t>RECTANGULAR</t>
  </si>
  <si>
    <t>II-0005.0010</t>
  </si>
  <si>
    <t>RECTANGULAR - TIPO H-1900-BIS-1</t>
  </si>
  <si>
    <t>H-1900-BIS-1</t>
  </si>
  <si>
    <t>II-0005.0011</t>
  </si>
  <si>
    <t>RECTANGULAR - TIPO O-41211-I</t>
  </si>
  <si>
    <t>O-41211-I</t>
  </si>
  <si>
    <t>II-0005.0012</t>
  </si>
  <si>
    <t>RECTANGULAR - TIPO Z-959</t>
  </si>
  <si>
    <t>Z-959</t>
  </si>
  <si>
    <t>II-0005.0013</t>
  </si>
  <si>
    <t>RECTANGULAR - TIPO Z-2915-I</t>
  </si>
  <si>
    <t>Z-2915-I</t>
  </si>
  <si>
    <t>II-0005.0014</t>
  </si>
  <si>
    <t>RECTANGULAR - TIPO Z-2916-I</t>
  </si>
  <si>
    <t>Z-2916-I</t>
  </si>
  <si>
    <t>II-0005.0015</t>
  </si>
  <si>
    <t>RECTANGULAR - TIPO A-505</t>
  </si>
  <si>
    <t>A-505</t>
  </si>
  <si>
    <t>II-0005.0016</t>
  </si>
  <si>
    <t>RECTANGULAR - TIPO A-660</t>
  </si>
  <si>
    <t>A-660</t>
  </si>
  <si>
    <t>II-0005.0017</t>
  </si>
  <si>
    <t>RECTANGULAR - TIPO O-41211-MODIFICADA</t>
  </si>
  <si>
    <t>O-41211-MODIFICADA</t>
  </si>
  <si>
    <t>II-0005.0018</t>
  </si>
  <si>
    <t>RECTANGULAR - TIPO X-1113</t>
  </si>
  <si>
    <t>X-1113</t>
  </si>
  <si>
    <t>II-0005.0019</t>
  </si>
  <si>
    <t>RECTANGULAR - TIPO 0-52229</t>
  </si>
  <si>
    <t>0-52229</t>
  </si>
  <si>
    <t>II-0005.0020</t>
  </si>
  <si>
    <t>RECTANGULAR - TIPO 0-52233</t>
  </si>
  <si>
    <t>0-52233</t>
  </si>
  <si>
    <t>II-0005.0021</t>
  </si>
  <si>
    <t>RECTANGULAR - TIPO 0-52241</t>
  </si>
  <si>
    <t>0-52241</t>
  </si>
  <si>
    <t>II-0005.0030</t>
  </si>
  <si>
    <t>II-0005.0031</t>
  </si>
  <si>
    <t>II-0005.0032</t>
  </si>
  <si>
    <t>RELLENO SOCAVACION</t>
  </si>
  <si>
    <t>II-0005.0033</t>
  </si>
  <si>
    <t>II-0005.0034</t>
  </si>
  <si>
    <t>II-0006</t>
  </si>
  <si>
    <t>APERTURA DE CAJA P/ ENSANCHE</t>
  </si>
  <si>
    <t>II-0006.0001</t>
  </si>
  <si>
    <t>II-0006.0002</t>
  </si>
  <si>
    <t>RETIRO Y COLOCACION</t>
  </si>
  <si>
    <t>II-0007</t>
  </si>
  <si>
    <t>APOYO DE POLICLOROPENO SHARE 60</t>
  </si>
  <si>
    <t>II-0007.0001</t>
  </si>
  <si>
    <t>Nº</t>
  </si>
  <si>
    <t>II-0007.0002</t>
  </si>
  <si>
    <t>II-0008</t>
  </si>
  <si>
    <t>ARIDOS</t>
  </si>
  <si>
    <t>II-0009</t>
  </si>
  <si>
    <t>BACHEO DE PAVIMENTO ASFALTICO</t>
  </si>
  <si>
    <t>PROFUNDO</t>
  </si>
  <si>
    <t>II-0009.0001</t>
  </si>
  <si>
    <t>PROFUNDO CON MATERIAL PETREO Y SUELO</t>
  </si>
  <si>
    <t>MATERIAL PETREO Y SUELO</t>
  </si>
  <si>
    <t>II-0009.0002</t>
  </si>
  <si>
    <t>PROFUNDO CON MEZCLA ASFALTICA</t>
  </si>
  <si>
    <t>MEZCLA ASFALTICA</t>
  </si>
  <si>
    <t>II-0009.0003</t>
  </si>
  <si>
    <t>PROFUNDO CON SUELO CAL</t>
  </si>
  <si>
    <t>m²</t>
  </si>
  <si>
    <t>SUELO CAL</t>
  </si>
  <si>
    <t>II-0009.0004</t>
  </si>
  <si>
    <t>PROFUNDO CON SUELO CEMENTO</t>
  </si>
  <si>
    <t>SUELO CEMENTO</t>
  </si>
  <si>
    <t>II-0009.0005</t>
  </si>
  <si>
    <t>PROFUNDO CON SUELO SELECCIONADO</t>
  </si>
  <si>
    <t>SUELO SELECCIONADO</t>
  </si>
  <si>
    <t>II-0009.0006</t>
  </si>
  <si>
    <t>PROFUNDO CON SUELO TRATADO C / CAL</t>
  </si>
  <si>
    <t>SUELO TRATADO C / CAL</t>
  </si>
  <si>
    <t>SUPERFICIAL</t>
  </si>
  <si>
    <t>II-0009.0010</t>
  </si>
  <si>
    <t>SUPERFICIAL CON MEZCLA ASFALTICA</t>
  </si>
  <si>
    <t>II-0010</t>
  </si>
  <si>
    <t>BADEN</t>
  </si>
  <si>
    <t>Hº  SIMPLE</t>
  </si>
  <si>
    <t>II-0010.0001</t>
  </si>
  <si>
    <t>Hº  SIMPLE - TIPO A-2862</t>
  </si>
  <si>
    <t>A-2862</t>
  </si>
  <si>
    <t>II-0010.0002</t>
  </si>
  <si>
    <t>Hº  SIMPLE - TIPO H-8621</t>
  </si>
  <si>
    <t>H-8621</t>
  </si>
  <si>
    <t>Hº ARMADO</t>
  </si>
  <si>
    <t>II-0010.0010</t>
  </si>
  <si>
    <t>Hº ARMADO - TIPO V-331</t>
  </si>
  <si>
    <t>V-331</t>
  </si>
  <si>
    <t>II-0011</t>
  </si>
  <si>
    <t>BAJADA DE AGUA</t>
  </si>
  <si>
    <t>II-0011.0001</t>
  </si>
  <si>
    <t>METALICA</t>
  </si>
  <si>
    <t>HORMIGON</t>
  </si>
  <si>
    <t>II-0011.0010</t>
  </si>
  <si>
    <t>HORMIGON - TIPO H-8558</t>
  </si>
  <si>
    <t>nº</t>
  </si>
  <si>
    <t>H-8558</t>
  </si>
  <si>
    <t>II-0011.0011</t>
  </si>
  <si>
    <t>HORMIGON - TIPO H-2350</t>
  </si>
  <si>
    <t>H-2350</t>
  </si>
  <si>
    <t>II-0011.0012</t>
  </si>
  <si>
    <t>HORMIGON - TIPO H-7691</t>
  </si>
  <si>
    <t>H-7691</t>
  </si>
  <si>
    <t xml:space="preserve">m </t>
  </si>
  <si>
    <t>RETIRO,REPARACION, RECOLOCACION</t>
  </si>
  <si>
    <t>II-0012</t>
  </si>
  <si>
    <t>BANQUINA</t>
  </si>
  <si>
    <t xml:space="preserve">SUELO </t>
  </si>
  <si>
    <t>RIPIO</t>
  </si>
  <si>
    <t>PAVIMENTO</t>
  </si>
  <si>
    <t xml:space="preserve">CARPETA </t>
  </si>
  <si>
    <t>TRATAMIENTO</t>
  </si>
  <si>
    <t>II-0013</t>
  </si>
  <si>
    <t>BARANDA METALICA DE DEFENSA</t>
  </si>
  <si>
    <t>VEHICULAR  H-10237</t>
  </si>
  <si>
    <t>LIVIANA  ( A )</t>
  </si>
  <si>
    <t>PESADA ( B )</t>
  </si>
  <si>
    <t>PEATONAL  H-10237</t>
  </si>
  <si>
    <t>RETIRO Y REPARACION</t>
  </si>
  <si>
    <t>II-0014</t>
  </si>
  <si>
    <t>BASE</t>
  </si>
  <si>
    <t>ARENA ASFALTO</t>
  </si>
  <si>
    <t>CONCRETO ASFALTICO BITUMINOSO</t>
  </si>
  <si>
    <t>GRANULAR</t>
  </si>
  <si>
    <t>ANTICOGELANTES</t>
  </si>
  <si>
    <t>DRENANTES</t>
  </si>
  <si>
    <t>AGREGADO PETREO Y SUELO</t>
  </si>
  <si>
    <t>SUELO ESCORIA</t>
  </si>
  <si>
    <t>II-0015</t>
  </si>
  <si>
    <t>CALZADA</t>
  </si>
  <si>
    <t>CORRECCION DE AHUELLAMIENTO</t>
  </si>
  <si>
    <t>FRESADO</t>
  </si>
  <si>
    <t>MICROAGLOMERADO</t>
  </si>
  <si>
    <t>CORRECCION DE DEPRESIONES Y DEFORMACIONES</t>
  </si>
  <si>
    <t>SELLADO DE FISURA TIPO PUENTE</t>
  </si>
  <si>
    <t>II-0016</t>
  </si>
  <si>
    <t>CAMARA DE INSPECCION</t>
  </si>
  <si>
    <t>H-2465</t>
  </si>
  <si>
    <t>II-0017</t>
  </si>
  <si>
    <t>CARPETA</t>
  </si>
  <si>
    <t>MEZCLA BITUMINOSA DE CONCRETO ASFALTICO</t>
  </si>
  <si>
    <t>MEZCLA EN CALIENTE</t>
  </si>
  <si>
    <t>MEZCLA EN FRIO</t>
  </si>
  <si>
    <t>CARPETA DE BAJO ESPESOR</t>
  </si>
  <si>
    <t>II-0018</t>
  </si>
  <si>
    <t>COLCHONETA ( PIEDRA EMBOLSADA)</t>
  </si>
  <si>
    <t>ELECTROSOLDADA</t>
  </si>
  <si>
    <t>MALLA HEXAGONAL</t>
  </si>
  <si>
    <t>II-0019</t>
  </si>
  <si>
    <t>CORDONES</t>
  </si>
  <si>
    <t>H-8431</t>
  </si>
  <si>
    <t>H-9121</t>
  </si>
  <si>
    <t>DEFENSA BORDE PAVIMENTO</t>
  </si>
  <si>
    <t>RETIRO, REPARACION, RECOLOCACION</t>
  </si>
  <si>
    <t>II-0020</t>
  </si>
  <si>
    <t>CORTE DE PASTO</t>
  </si>
  <si>
    <t>II-0021</t>
  </si>
  <si>
    <t xml:space="preserve">CUNETA </t>
  </si>
  <si>
    <t>PREMOLDEADA</t>
  </si>
  <si>
    <t>REVESTIDA A-2731</t>
  </si>
  <si>
    <t>SIMPLE</t>
  </si>
  <si>
    <t>II-0022</t>
  </si>
  <si>
    <t>DARSENA DE DETENCION DE VEHICULOS</t>
  </si>
  <si>
    <t>II-0023</t>
  </si>
  <si>
    <t>DEFENSA CAMINOS</t>
  </si>
  <si>
    <t xml:space="preserve">CAUCE </t>
  </si>
  <si>
    <t>CONTRATALUDES</t>
  </si>
  <si>
    <t>CUNETAS</t>
  </si>
  <si>
    <t>ENROCADO</t>
  </si>
  <si>
    <t>TALUDES</t>
  </si>
  <si>
    <t>II-0024</t>
  </si>
  <si>
    <t>DEFENSA DE MARGENES</t>
  </si>
  <si>
    <t>COLCHONETAS</t>
  </si>
  <si>
    <t>EMBOLSADAS</t>
  </si>
  <si>
    <t>GAVIONES</t>
  </si>
  <si>
    <t>MUROS</t>
  </si>
  <si>
    <t>TABLESTACADOS</t>
  </si>
  <si>
    <t>II-0025</t>
  </si>
  <si>
    <t>DEFENSA VEHICULAR</t>
  </si>
  <si>
    <t>LIVIANA H-10237</t>
  </si>
  <si>
    <t>PESADA H-10237</t>
  </si>
  <si>
    <t>NEW JERSEY H-9197</t>
  </si>
  <si>
    <t>NEW JERSEY H-2551</t>
  </si>
  <si>
    <t>II-0026</t>
  </si>
  <si>
    <t xml:space="preserve">DEMOLICION </t>
  </si>
  <si>
    <t>VARIOS</t>
  </si>
  <si>
    <t>II-0027</t>
  </si>
  <si>
    <t>DESAGUES</t>
  </si>
  <si>
    <t>CIELO ABIERTO</t>
  </si>
  <si>
    <t>ENTUBADO</t>
  </si>
  <si>
    <t>CAIDA DE  ALCANTARILLA</t>
  </si>
  <si>
    <t>II-0028</t>
  </si>
  <si>
    <t>DESBOSQUE / DESTRONQUE LIMPIEZA</t>
  </si>
  <si>
    <t>II-0029</t>
  </si>
  <si>
    <t>DESCARGA</t>
  </si>
  <si>
    <t>II-0030</t>
  </si>
  <si>
    <t>DESEMBARRO P/ SANEAMIENTO</t>
  </si>
  <si>
    <t>II-0031</t>
  </si>
  <si>
    <t>DESPEDRADO DE LADERAS</t>
  </si>
  <si>
    <t>II-0032</t>
  </si>
  <si>
    <t>DESVIO</t>
  </si>
  <si>
    <t>II-0033</t>
  </si>
  <si>
    <t>DRENES</t>
  </si>
  <si>
    <t>TRANSVERSALES</t>
  </si>
  <si>
    <t>GEOSINTETICO</t>
  </si>
  <si>
    <t>PIEDRA</t>
  </si>
  <si>
    <t>PVC</t>
  </si>
  <si>
    <t>LONGITUDINALES</t>
  </si>
  <si>
    <t>SUBTERRANEOS</t>
  </si>
  <si>
    <t>J-7841</t>
  </si>
  <si>
    <t>II-0034</t>
  </si>
  <si>
    <t>ELEVACION DE GUARDARUEDAS</t>
  </si>
  <si>
    <t>J-7003</t>
  </si>
  <si>
    <t>II-0035</t>
  </si>
  <si>
    <t>ENCAUZAMIENTO</t>
  </si>
  <si>
    <t>C / DEFENSA</t>
  </si>
  <si>
    <t xml:space="preserve">FLEXIBLE </t>
  </si>
  <si>
    <t>II-0036</t>
  </si>
  <si>
    <t>ENROCADOS</t>
  </si>
  <si>
    <t>II-0037</t>
  </si>
  <si>
    <t>ENRIPIADO</t>
  </si>
  <si>
    <t>II-0038</t>
  </si>
  <si>
    <t>ESCARIFICADO</t>
  </si>
  <si>
    <t>II-0039</t>
  </si>
  <si>
    <t>EXCAVACIONES</t>
  </si>
  <si>
    <t>EXCAVACION P/TUNELES</t>
  </si>
  <si>
    <t>EXCAVACION TUNEL ( LINER )</t>
  </si>
  <si>
    <t>FUNDACIONES</t>
  </si>
  <si>
    <t>LIMPIEZA DE CAUCE</t>
  </si>
  <si>
    <t>ÑAU / TURBA / MALLIN</t>
  </si>
  <si>
    <t>NO CLASIFICADAS</t>
  </si>
  <si>
    <t>RECTIFICACION DE CAUCE</t>
  </si>
  <si>
    <t>ROCA</t>
  </si>
  <si>
    <t>SUELO</t>
  </si>
  <si>
    <t>ZANJA DE DESAGUE</t>
  </si>
  <si>
    <t>II-0040</t>
  </si>
  <si>
    <t>CONCRETO ASFALTICO</t>
  </si>
  <si>
    <t>II-0041</t>
  </si>
  <si>
    <t>GAVIONES (PIEDRA EMBOLSADA)</t>
  </si>
  <si>
    <t>ESTRIBO</t>
  </si>
  <si>
    <t>PILA</t>
  </si>
  <si>
    <t>II-0042</t>
  </si>
  <si>
    <t>GUARDAGANADO</t>
  </si>
  <si>
    <t>II-0043</t>
  </si>
  <si>
    <t>HORMIGON CEMENTO PORTLAND EXCLUIDA LA ARAMDURA</t>
  </si>
  <si>
    <t>H-4</t>
  </si>
  <si>
    <t xml:space="preserve"> Hº DE LIMPIEZA PARA FUND</t>
  </si>
  <si>
    <t>DESAGUES DE ESTRIBOS</t>
  </si>
  <si>
    <t>SUBDRENES</t>
  </si>
  <si>
    <t>H-8</t>
  </si>
  <si>
    <t>CONTRAPISOS</t>
  </si>
  <si>
    <t>PASARELA</t>
  </si>
  <si>
    <t>POZOS DE FUNDACION</t>
  </si>
  <si>
    <t>REVESTIMIENTO DE CUNETAS</t>
  </si>
  <si>
    <t>H-13</t>
  </si>
  <si>
    <t>ALCANTARILLAS</t>
  </si>
  <si>
    <t>CARPETA DE DESGASTE</t>
  </si>
  <si>
    <t>H-17</t>
  </si>
  <si>
    <t>BARANDAS VEHICULARES</t>
  </si>
  <si>
    <t>MURO DE CONTENCION</t>
  </si>
  <si>
    <t>PILAS</t>
  </si>
  <si>
    <t>REVESTIMIENTO DE CANALES</t>
  </si>
  <si>
    <t>H-21</t>
  </si>
  <si>
    <t>BARANDAS</t>
  </si>
  <si>
    <t>CABEZALES DE ESTRIBO</t>
  </si>
  <si>
    <t>CABEZALES DE PILOTES</t>
  </si>
  <si>
    <t>DADOS</t>
  </si>
  <si>
    <t>LOZA DE TABLERO</t>
  </si>
  <si>
    <t>PILARES</t>
  </si>
  <si>
    <t>PILOTES</t>
  </si>
  <si>
    <t>VIGUETAS</t>
  </si>
  <si>
    <t>H-25</t>
  </si>
  <si>
    <t>LOSA DE TABLERO</t>
  </si>
  <si>
    <t>H-30</t>
  </si>
  <si>
    <t>II-0044</t>
  </si>
  <si>
    <t>HORMIGON  ARS EXCLUIDA LA ARAMDURA</t>
  </si>
  <si>
    <t>FUNDACION DE Hº DE LIMPIEZA</t>
  </si>
  <si>
    <t>CARPETA DE DESAGUE</t>
  </si>
  <si>
    <t>II-0045</t>
  </si>
  <si>
    <t>HORMIGON  PUZOLANICO EXCLUIDA LA ARAMDURA</t>
  </si>
  <si>
    <t>REVESTIMIENTOS DE PILOTES</t>
  </si>
  <si>
    <t>II-0046</t>
  </si>
  <si>
    <t>IMPERMEABILIZACION</t>
  </si>
  <si>
    <t>SINTETICO</t>
  </si>
  <si>
    <t>BITUNMINOSO (ASFALTICO)</t>
  </si>
  <si>
    <t>ASFALTO EMULSIONADO</t>
  </si>
  <si>
    <t>ASFALTO DILUIDO</t>
  </si>
  <si>
    <t>II-0047</t>
  </si>
  <si>
    <t>IMPRIMACIÒN CON MATERIAL BITUMINOSO</t>
  </si>
  <si>
    <t>II-0048</t>
  </si>
  <si>
    <t>LIMPIEZA</t>
  </si>
  <si>
    <t xml:space="preserve">nº </t>
  </si>
  <si>
    <t>ALCANTARILLA</t>
  </si>
  <si>
    <t>CAUCES (RECTIFICACION)</t>
  </si>
  <si>
    <t>CUNETA / SANGRIAS (ZONA ESCURRIMIENTO)</t>
  </si>
  <si>
    <t>MATERIAL ALUVIONAL</t>
  </si>
  <si>
    <t>OBRAS DE ARTE (DESEMBANQUE)</t>
  </si>
  <si>
    <t>SEÑALAMIENTO VERTICAL</t>
  </si>
  <si>
    <t>TERRENO</t>
  </si>
  <si>
    <t>ZONA DE CAMINO</t>
  </si>
  <si>
    <t>II-0049</t>
  </si>
  <si>
    <t>LOSA DE HORMIGON</t>
  </si>
  <si>
    <t>II-0050</t>
  </si>
  <si>
    <t>LOSETAS DE HORMIGON</t>
  </si>
  <si>
    <t>REVESTIMENTO</t>
  </si>
  <si>
    <t>CANALES</t>
  </si>
  <si>
    <t xml:space="preserve">TALUDES </t>
  </si>
  <si>
    <t>ZANJAS</t>
  </si>
  <si>
    <t>II-0051</t>
  </si>
  <si>
    <t>MAMPOSTERIA DE PIEDRA</t>
  </si>
  <si>
    <t>II-0052</t>
  </si>
  <si>
    <t>MANTENIMIENTO INVERNAL</t>
  </si>
  <si>
    <t>DESPEJE DE NIEVE EN CALZADA</t>
  </si>
  <si>
    <t>día</t>
  </si>
  <si>
    <t>EQUIPO AUXILIO</t>
  </si>
  <si>
    <t>II-0053</t>
  </si>
  <si>
    <t>MEMBRANA PVC</t>
  </si>
  <si>
    <t>GEOTEXTIL FILTRANTES</t>
  </si>
  <si>
    <t>IMPERMEABLE (DESPLAZAMIENTO DE SALES)</t>
  </si>
  <si>
    <t>II-0054</t>
  </si>
  <si>
    <t>MOVILIDAD PARA EL PERSONAL AUXILIAR DE SUPERVISION</t>
  </si>
  <si>
    <t>mes</t>
  </si>
  <si>
    <t xml:space="preserve">CUOTA FIJA </t>
  </si>
  <si>
    <t>km</t>
  </si>
  <si>
    <t>ADICIONAL POR KM</t>
  </si>
  <si>
    <t>II-0055</t>
  </si>
  <si>
    <t>MOVILIZACION DE OBRA</t>
  </si>
  <si>
    <t>II-0056</t>
  </si>
  <si>
    <t xml:space="preserve">PASARELA </t>
  </si>
  <si>
    <t>Z-6152</t>
  </si>
  <si>
    <t>Z-6153</t>
  </si>
  <si>
    <t>Z-6589</t>
  </si>
  <si>
    <t>ESPECIALES</t>
  </si>
  <si>
    <t>II-0057</t>
  </si>
  <si>
    <t>PASO A NIVEL</t>
  </si>
  <si>
    <t>Z-10045</t>
  </si>
  <si>
    <t>II-0058</t>
  </si>
  <si>
    <t>PAVIMENTO DE HORMIGON</t>
  </si>
  <si>
    <t>CONSTRUCCION</t>
  </si>
  <si>
    <t>RECONSTRUCCION DE LOZAS</t>
  </si>
  <si>
    <t>II-0059</t>
  </si>
  <si>
    <t>PEDRAPLEN</t>
  </si>
  <si>
    <t>II-0060</t>
  </si>
  <si>
    <t>PERFILADO</t>
  </si>
  <si>
    <t>BANQUINAS</t>
  </si>
  <si>
    <t>II-0061</t>
  </si>
  <si>
    <t>PIEDRA COLOCADA</t>
  </si>
  <si>
    <t>II-0062</t>
  </si>
  <si>
    <t>PRADERIZACION</t>
  </si>
  <si>
    <t>HIDROSIEMBRA</t>
  </si>
  <si>
    <t>PANES</t>
  </si>
  <si>
    <t>Ha</t>
  </si>
  <si>
    <t>SIEMBRA</t>
  </si>
  <si>
    <t>II-0063</t>
  </si>
  <si>
    <t>PRETILES</t>
  </si>
  <si>
    <t>A-500</t>
  </si>
  <si>
    <t>A-500-BIS</t>
  </si>
  <si>
    <t>II-0064</t>
  </si>
  <si>
    <t>PROTECCION DE DUCTOS</t>
  </si>
  <si>
    <t>ALCANTARILLA DE PROTECCION S/PLANO 0-73214</t>
  </si>
  <si>
    <t>II-0065</t>
  </si>
  <si>
    <t xml:space="preserve">PUENTE </t>
  </si>
  <si>
    <t>CONSTRUCCION DE CONO DE DEFENSA</t>
  </si>
  <si>
    <t>TRATAMIENTO SUPERFICIAL</t>
  </si>
  <si>
    <t>gr / m²</t>
  </si>
  <si>
    <t>ZINCADO</t>
  </si>
  <si>
    <t>II-0066</t>
  </si>
  <si>
    <t>PUENTE BAYLEY / FM</t>
  </si>
  <si>
    <t>PUENTE BAYLEY</t>
  </si>
  <si>
    <t>DESARME, RETIRO</t>
  </si>
  <si>
    <t>II-0067</t>
  </si>
  <si>
    <t>PUENTE CANAL</t>
  </si>
  <si>
    <t>R-257</t>
  </si>
  <si>
    <t>II-0068</t>
  </si>
  <si>
    <t>REACONDICIONAMIENTO</t>
  </si>
  <si>
    <t xml:space="preserve">ALCANTARILLA </t>
  </si>
  <si>
    <t>CUNETA</t>
  </si>
  <si>
    <t>II-0069</t>
  </si>
  <si>
    <t>RECICLADO DE PAVIMENTO</t>
  </si>
  <si>
    <t>FRIO</t>
  </si>
  <si>
    <t>CALIENTE</t>
  </si>
  <si>
    <t>PLANTA</t>
  </si>
  <si>
    <t>CAMINO</t>
  </si>
  <si>
    <t>II-0070</t>
  </si>
  <si>
    <t>RECLAMADO</t>
  </si>
  <si>
    <t>II-0071</t>
  </si>
  <si>
    <t>RECUBRIMIENTO VEGETAL</t>
  </si>
  <si>
    <t>II-0072</t>
  </si>
  <si>
    <t>RESTITUCION DE GALIVO</t>
  </si>
  <si>
    <t>REVESTIMIENTO</t>
  </si>
  <si>
    <t>ENTEPADOS</t>
  </si>
  <si>
    <t>GUNITADO</t>
  </si>
  <si>
    <t>LOSETAS DE Hº</t>
  </si>
  <si>
    <t>SUELO VEGETAL</t>
  </si>
  <si>
    <t>II-0074</t>
  </si>
  <si>
    <t>RIEGO</t>
  </si>
  <si>
    <t>LIGA</t>
  </si>
  <si>
    <t>CURADO</t>
  </si>
  <si>
    <t>II-0075</t>
  </si>
  <si>
    <t>SALTO</t>
  </si>
  <si>
    <t>X-536</t>
  </si>
  <si>
    <t>II-0076</t>
  </si>
  <si>
    <t>SELLADO DE FISURA</t>
  </si>
  <si>
    <t>II-0077</t>
  </si>
  <si>
    <t>SIFON</t>
  </si>
  <si>
    <t>J-3800</t>
  </si>
  <si>
    <t>II-0078</t>
  </si>
  <si>
    <t>SUB BASE</t>
  </si>
  <si>
    <t>ANTICOGELANTE</t>
  </si>
  <si>
    <t xml:space="preserve">DRENANTES </t>
  </si>
  <si>
    <t>II-0079</t>
  </si>
  <si>
    <t>CAL</t>
  </si>
  <si>
    <t>SELECCIONADO</t>
  </si>
  <si>
    <t>TRATADO C / CAL</t>
  </si>
  <si>
    <t>II-0080</t>
  </si>
  <si>
    <t>SUMIDEROS</t>
  </si>
  <si>
    <t>Z-2881</t>
  </si>
  <si>
    <t>Z-2882</t>
  </si>
  <si>
    <t>Z-2883</t>
  </si>
  <si>
    <t>Z-2884</t>
  </si>
  <si>
    <t>II-0081</t>
  </si>
  <si>
    <t>TERRAPLEN</t>
  </si>
  <si>
    <t>CON COMPACTACION ESPECIAL</t>
  </si>
  <si>
    <t>OBRA     NUEVA</t>
  </si>
  <si>
    <t>RECONSTRUCCION DE TALUDES Y TERRAPLEN</t>
  </si>
  <si>
    <t>SIN COMPACTACION ESPECIAL</t>
  </si>
  <si>
    <t>OBRA NUEVA</t>
  </si>
  <si>
    <t>II-0082</t>
  </si>
  <si>
    <t>TEXTURIZADO (SUPERFICIE DE RODAMIENTO)</t>
  </si>
  <si>
    <t>II-0083</t>
  </si>
  <si>
    <t>TRABAJOS NO ESPECIFICADOS O DE EMERGENCIA</t>
  </si>
  <si>
    <t>CUADRILLA PARA TRABAJOS</t>
  </si>
  <si>
    <t>CAMION VOLCADOR</t>
  </si>
  <si>
    <t>RETROEXCAVADORA</t>
  </si>
  <si>
    <t>CARGADORA</t>
  </si>
  <si>
    <t>MOTONIVELADORA</t>
  </si>
  <si>
    <t>TOPADORA</t>
  </si>
  <si>
    <t>II-0084</t>
  </si>
  <si>
    <t xml:space="preserve">TRANSPORTE </t>
  </si>
  <si>
    <t>t . Km</t>
  </si>
  <si>
    <t>t . km</t>
  </si>
  <si>
    <t>II-0085</t>
  </si>
  <si>
    <t>TRANQUERA</t>
  </si>
  <si>
    <t>S/PLANO J-5084 - TIPO A</t>
  </si>
  <si>
    <t>COMUN J-5084</t>
  </si>
  <si>
    <t>S/PLANO J-5084 - TIPO B</t>
  </si>
  <si>
    <t>VOLTEO A-180</t>
  </si>
  <si>
    <t>II-0086</t>
  </si>
  <si>
    <t>TRATAMIENTO BITUMINOSO</t>
  </si>
  <si>
    <t>DOBLE</t>
  </si>
  <si>
    <t>LECHADA ASFALTICA</t>
  </si>
  <si>
    <t>REFORZADO</t>
  </si>
  <si>
    <t xml:space="preserve">SUPERFICIAL </t>
  </si>
  <si>
    <t>SUPERFICIAL DE SELLADO</t>
  </si>
  <si>
    <t>TRIPLE</t>
  </si>
  <si>
    <t>II-0087</t>
  </si>
  <si>
    <t>TOMA DE JUNTA</t>
  </si>
  <si>
    <t>ASFALTICO</t>
  </si>
  <si>
    <t>II-0088</t>
  </si>
  <si>
    <t>TOSCAPLEN</t>
  </si>
  <si>
    <t>II-0089</t>
  </si>
  <si>
    <t>VIVENDA PERSONAL DE SUPERVICION</t>
  </si>
  <si>
    <t>Un</t>
  </si>
  <si>
    <t>INDEC-DCTO - Inciso j)</t>
  </si>
  <si>
    <t>INDEC-PB - 33360-1</t>
  </si>
  <si>
    <t>Combustibles y Lubricantes</t>
  </si>
  <si>
    <t>INDEC-PB - 33380-1</t>
  </si>
  <si>
    <t>INDEC-PB - 44427-1</t>
  </si>
  <si>
    <t>INDEC-PB - 44430-1</t>
  </si>
  <si>
    <t>INDEC-PB - 94920-1</t>
  </si>
  <si>
    <t>INDEC-DCTO - Inciso e)</t>
  </si>
  <si>
    <t>INDEC-PB - 42943-1</t>
  </si>
  <si>
    <t>INDEC-PB - 41532-1</t>
  </si>
  <si>
    <t>INDEC-PB - 34800-1</t>
  </si>
  <si>
    <t>Arena  mediana</t>
  </si>
  <si>
    <t>Arena Gruesa Lavada</t>
  </si>
  <si>
    <t>Arena para Sellado</t>
  </si>
  <si>
    <t>IIEE-SJ - 214002</t>
  </si>
  <si>
    <t>INDEC-PB - 46539-1</t>
  </si>
  <si>
    <t>INDEC-CM - 37420-12</t>
  </si>
  <si>
    <t>Camisas de acero para pilotes</t>
  </si>
  <si>
    <t>INDEC-PB - 37510-1</t>
  </si>
  <si>
    <t>Cemento Asfáltico (50-60)</t>
  </si>
  <si>
    <t>INDEC-DCTO - Inciso k)</t>
  </si>
  <si>
    <t>INDEC-PB - 42944-2</t>
  </si>
  <si>
    <t>INDEC-PB - 46340-1</t>
  </si>
  <si>
    <t>Costo de Agua</t>
  </si>
  <si>
    <t>INDEC-GG 18000-1</t>
  </si>
  <si>
    <t>INDEC-PB - 36111-2</t>
  </si>
  <si>
    <t>EMULSIÓN CATIÓNICA CRL</t>
  </si>
  <si>
    <t>EMULSIÓN CATIÓNICA CRR</t>
  </si>
  <si>
    <t>IIEE-SJ - 214004</t>
  </si>
  <si>
    <t>INDEC-PB - 35110-2</t>
  </si>
  <si>
    <t>Filler calcáreo</t>
  </si>
  <si>
    <t>INDEC-PB - 37420-1</t>
  </si>
  <si>
    <t>Fuel oil</t>
  </si>
  <si>
    <t>INDEC-PB - 33370-1</t>
  </si>
  <si>
    <t>Hierro de construcción en barras</t>
  </si>
  <si>
    <t>Hº Elaborado H-30</t>
  </si>
  <si>
    <t>Hº Elaborado H-8</t>
  </si>
  <si>
    <t>Ladrillones</t>
  </si>
  <si>
    <t>INDEC-GG 31210-11</t>
  </si>
  <si>
    <t>Material granular clasificado para Base (puesto en obra)</t>
  </si>
  <si>
    <t>Material granular clasificado para Sub-Base (puesto en obra)</t>
  </si>
  <si>
    <t>Material granular sin clasificar para terraplén (puesto en obra)</t>
  </si>
  <si>
    <t>INDEC-CM - 15320-11</t>
  </si>
  <si>
    <t>INDEC-PB - 37930-1</t>
  </si>
  <si>
    <t>Mezcla 70-30</t>
  </si>
  <si>
    <t>IIEE-SJ - 214006</t>
  </si>
  <si>
    <t>INDEC-PB - 33310-1</t>
  </si>
  <si>
    <t>Piedra Granítica 6-19</t>
  </si>
  <si>
    <t>INDEC-PB - 31100-1</t>
  </si>
  <si>
    <t>Triturado granítico 0-6</t>
  </si>
  <si>
    <t>Costo Diario
Coef x Costo Eq.
Coef x Total HP</t>
  </si>
  <si>
    <t>$ Unitarios
por día</t>
  </si>
  <si>
    <t>PAUTAS BÁSICAS PARA ANÁLISIS DE PRECIOS</t>
  </si>
  <si>
    <t>EQUIPOS</t>
  </si>
  <si>
    <t>Coeficientes</t>
  </si>
  <si>
    <t>Amortización</t>
  </si>
  <si>
    <t>DATOS</t>
  </si>
  <si>
    <t>Vida útil equipo en horas</t>
  </si>
  <si>
    <t>% Eq. a Amortizar</t>
  </si>
  <si>
    <t>Interés Anual</t>
  </si>
  <si>
    <t>% Reparación y Repuestos de la Amortización</t>
  </si>
  <si>
    <t>Consumo de combustible por hora/HP</t>
  </si>
  <si>
    <t>Precio gasoil</t>
  </si>
  <si>
    <t>% Lubricantes del Combustible</t>
  </si>
  <si>
    <t>CAMIONETAS</t>
  </si>
  <si>
    <t>Patente</t>
  </si>
  <si>
    <t>Cámaras y Cubiertas</t>
  </si>
  <si>
    <t xml:space="preserve">Valor porcentual de la camioneta a amortizar </t>
  </si>
  <si>
    <t>Vida útil camioneta en kilómetros</t>
  </si>
  <si>
    <t>Recorrido estimado por mes</t>
  </si>
  <si>
    <t>Vida útil camioneta en meses</t>
  </si>
  <si>
    <t>Costo anual en % del seguro para la camioneta -</t>
  </si>
  <si>
    <t xml:space="preserve">Costo anual en % de patente para la camioneta </t>
  </si>
  <si>
    <t>Consumo de gasoil por km para la camioneta</t>
  </si>
  <si>
    <t>Costo en % para Lubricantes respecto al combustible</t>
  </si>
  <si>
    <t>Cantidad de cubiertas para la camioneta</t>
  </si>
  <si>
    <t>Costo unitario de cámaras y cubiertas</t>
  </si>
  <si>
    <t>Vida útil cámara y cubiertas en km</t>
  </si>
  <si>
    <t>Seguros</t>
  </si>
  <si>
    <t>Coef</t>
  </si>
  <si>
    <t>Amortización e Interés equipos</t>
  </si>
  <si>
    <t>Amortizaciones equipos</t>
  </si>
  <si>
    <t>Interés equipos</t>
  </si>
  <si>
    <t>Reparaciones y Repuestos equipos</t>
  </si>
  <si>
    <t>Combustibles y Lubricantes equipos</t>
  </si>
  <si>
    <t>Combustibles equipos</t>
  </si>
  <si>
    <t>Lubricantes equipos</t>
  </si>
  <si>
    <t>Amortizaciones camioneta</t>
  </si>
  <si>
    <t>Interés camioneta</t>
  </si>
  <si>
    <t>Seguros camioneta</t>
  </si>
  <si>
    <t>Patente camioneta</t>
  </si>
  <si>
    <t>Combustibles y Lubricantes camioneta</t>
  </si>
  <si>
    <t>Cámaras y Cubiertas camioneta</t>
  </si>
  <si>
    <t>INDEC-PB - 36111-1</t>
  </si>
  <si>
    <t>Uni</t>
  </si>
  <si>
    <t>TRANSPORTE CARRETERO</t>
  </si>
  <si>
    <t>CAMIÓN SOLO</t>
  </si>
  <si>
    <t>AL MES  DE SEPTIEMBRE DE 2016</t>
  </si>
  <si>
    <t>DATOS  A  INGRESAR</t>
  </si>
  <si>
    <t>A=</t>
  </si>
  <si>
    <t>Valor del equipo: ($)</t>
  </si>
  <si>
    <t>B=</t>
  </si>
  <si>
    <t>Horas amortización equipo</t>
  </si>
  <si>
    <t>Porcentaje equipo a amortizar</t>
  </si>
  <si>
    <t>Interés Anual (%)</t>
  </si>
  <si>
    <t>C=</t>
  </si>
  <si>
    <t>Reparaciones y Repuestos (%)</t>
  </si>
  <si>
    <t>Seguros, patente e impuestos: (%)</t>
  </si>
  <si>
    <t>Tiempo de lavado: (hs)</t>
  </si>
  <si>
    <t>D=</t>
  </si>
  <si>
    <t>Cantidad de lavado al mes</t>
  </si>
  <si>
    <t>Cantidad de cámaras y cubiertas:</t>
  </si>
  <si>
    <t>Valor de cámaras y cubiertas:</t>
  </si>
  <si>
    <t>E=</t>
  </si>
  <si>
    <t>Vida útil de cámaras y cubiertas:</t>
  </si>
  <si>
    <t>Consumo de gasoil: (lts/km)</t>
  </si>
  <si>
    <t>Costo del gasoil: ($)</t>
  </si>
  <si>
    <t>F=</t>
  </si>
  <si>
    <t>Lubricantes:</t>
  </si>
  <si>
    <t>H =</t>
  </si>
  <si>
    <t>I =</t>
  </si>
  <si>
    <t>G=</t>
  </si>
  <si>
    <t>D A T O S  -  C A L C U L O S</t>
  </si>
  <si>
    <t>C O S T O S    P A R C I A L E S  ($)</t>
  </si>
  <si>
    <t>Costo  ($/tnkm)</t>
  </si>
  <si>
    <t xml:space="preserve">Distancia </t>
  </si>
  <si>
    <t>Velocidad me-</t>
  </si>
  <si>
    <t>Tiempo viaje</t>
  </si>
  <si>
    <t>Tiempo carga</t>
  </si>
  <si>
    <t>Tiempo total</t>
  </si>
  <si>
    <t>Kilómetros</t>
  </si>
  <si>
    <t>Intereses</t>
  </si>
  <si>
    <t>Reparaciones</t>
  </si>
  <si>
    <t>Lavado de la</t>
  </si>
  <si>
    <t>Seguros, pa-</t>
  </si>
  <si>
    <t>Cámaras y</t>
  </si>
  <si>
    <t>Mano de</t>
  </si>
  <si>
    <t>Combustible</t>
  </si>
  <si>
    <t>media</t>
  </si>
  <si>
    <t>dia adoptada</t>
  </si>
  <si>
    <t>(ida y vuelta)</t>
  </si>
  <si>
    <t>y descarga</t>
  </si>
  <si>
    <t>del viaje</t>
  </si>
  <si>
    <t>t x km.</t>
  </si>
  <si>
    <t>recorridos</t>
  </si>
  <si>
    <t>y repuestos</t>
  </si>
  <si>
    <t xml:space="preserve">unidad </t>
  </si>
  <si>
    <t>tentes e imp.</t>
  </si>
  <si>
    <t>cubiertas</t>
  </si>
  <si>
    <t>obra</t>
  </si>
  <si>
    <t xml:space="preserve"> y lubricantes</t>
  </si>
  <si>
    <t>(1)</t>
  </si>
  <si>
    <t>(2)</t>
  </si>
  <si>
    <t>2 x (1) x 60/ (2)  = (3)</t>
  </si>
  <si>
    <t>(4)</t>
  </si>
  <si>
    <t>(3) + (4) = (5)</t>
  </si>
  <si>
    <t>(1) x (H) = (6)</t>
  </si>
  <si>
    <t>(1) x 2 = (7)</t>
  </si>
  <si>
    <t>(A) x (5)/60 = (8)</t>
  </si>
  <si>
    <t>(B)x (5)/60 = (9)</t>
  </si>
  <si>
    <t>(C) x (3)/60 =  (10)</t>
  </si>
  <si>
    <t>(D) x (5)/60   = (11)</t>
  </si>
  <si>
    <t>(E) x (5)/60 =  (12)</t>
  </si>
  <si>
    <t>(F) x (7) = (13)</t>
  </si>
  <si>
    <t>(I) x (5)/60 = (14)</t>
  </si>
  <si>
    <t>(G) x (7) = (15)</t>
  </si>
  <si>
    <t>Sumatoria (8) a (15) / (6) =  (16)</t>
  </si>
  <si>
    <t>CAMIÓN CON ACOPLADO</t>
  </si>
  <si>
    <t xml:space="preserve">Combust.  </t>
  </si>
  <si>
    <t>Capacidad de carga: (t)                        H =</t>
  </si>
  <si>
    <t>Mano de obra: ($/hs)                             I =</t>
  </si>
  <si>
    <t>Acero dulce</t>
  </si>
  <si>
    <t>Acero especial</t>
  </si>
  <si>
    <t>Acero para pretensado</t>
  </si>
  <si>
    <t>Aditivos para hormigones</t>
  </si>
  <si>
    <t>Alambre tejido p/ gaviones y colchonetas</t>
  </si>
  <si>
    <t>Alambres para alambrados</t>
  </si>
  <si>
    <t>Apoyos de neopreno</t>
  </si>
  <si>
    <t>Asfaltos diluídos EM - ER</t>
  </si>
  <si>
    <t>Balastos (electricidad)</t>
  </si>
  <si>
    <t>Caños de hierro galvanizado</t>
  </si>
  <si>
    <t>Caños de hormigón armado</t>
  </si>
  <si>
    <t>Clavos y alambres p/ataduras</t>
  </si>
  <si>
    <t>Columnas para iluminación</t>
  </si>
  <si>
    <t>Conductores eléctricos</t>
  </si>
  <si>
    <t>Emulsiones asfálticas</t>
  </si>
  <si>
    <t>Gas  oil</t>
  </si>
  <si>
    <t>Gelamón</t>
  </si>
  <si>
    <t>Gelinita</t>
  </si>
  <si>
    <t>Lámparas</t>
  </si>
  <si>
    <t>Luminarias</t>
  </si>
  <si>
    <t>Mechas</t>
  </si>
  <si>
    <t>Mejorador de adherencia</t>
  </si>
  <si>
    <t>Nafta Común</t>
  </si>
  <si>
    <t>Nagovil</t>
  </si>
  <si>
    <t>Pórticos, ménsulas y carteles</t>
  </si>
  <si>
    <t>Postes, varillones y varillas p/alambrados</t>
  </si>
  <si>
    <t>Resina Epoxi</t>
  </si>
  <si>
    <t>Sellador de fisuras</t>
  </si>
  <si>
    <t>Siliconas de bajo módulo</t>
  </si>
  <si>
    <t>Tableros</t>
  </si>
  <si>
    <t>Topes antisísmicos</t>
  </si>
  <si>
    <t>Torniquetes</t>
  </si>
  <si>
    <t>PLANILLA DE EQUIPOS DE LA EMPRESA A UTILIZAR EN OBRA</t>
  </si>
  <si>
    <t>N° DE ORDEN</t>
  </si>
  <si>
    <t>DESIGNACIÓN</t>
  </si>
  <si>
    <t>MARCA</t>
  </si>
  <si>
    <t>MODELO</t>
  </si>
  <si>
    <t>POTENCIA O CAPACIDAD</t>
  </si>
  <si>
    <t>HORAS DE TRABAJO</t>
  </si>
  <si>
    <t>N° MOTOR</t>
  </si>
  <si>
    <t>N° BASTIDOR O CHASIS</t>
  </si>
  <si>
    <t>UBICACIÓN ACTUAL</t>
  </si>
  <si>
    <t>FECHA PROBABLE DE DISPONIBILIDAD</t>
  </si>
  <si>
    <t>ESTADO</t>
  </si>
  <si>
    <t>COSTO UNITARIO</t>
  </si>
  <si>
    <t>PLANILLA DE EQUIPOS A ALQUILAR O IMPORTAR</t>
  </si>
  <si>
    <t>TOTAL COSTO</t>
  </si>
  <si>
    <t>PAVIMENTACION RUTAS VARIAS</t>
  </si>
  <si>
    <t>POCITO</t>
  </si>
  <si>
    <t>180 DIAS</t>
  </si>
  <si>
    <t>REACONDICIONAMIENTO DE BASE ESTABILIZADA GRANULAR</t>
  </si>
  <si>
    <t>IMPRIMACION CON MATERIAL BITUMINOSO</t>
  </si>
  <si>
    <t>RIEGO DE LIGA</t>
  </si>
  <si>
    <t>CARPETA CON MEZCLA BITUMINOSA TIPO CONCRETO ASFALTICO</t>
  </si>
  <si>
    <t>CONSTRUCCION DE BANQUINAS ENRIPIADAS</t>
  </si>
  <si>
    <t>DEMARCACION HORIZONTAL CON PINTURA ACRILICA APLICADA EN FRIO</t>
  </si>
  <si>
    <t>CUMPLIMIENTO DE MANEJO AMBIENTAL</t>
  </si>
  <si>
    <t>PROVISION DE MOVILIDAD PARA EL PERSONAL DE INSPECCION</t>
  </si>
  <si>
    <t>Cuota Fija</t>
  </si>
  <si>
    <t>Adicional por kilómetro</t>
  </si>
  <si>
    <t>m3</t>
  </si>
  <si>
    <t>Gl</t>
  </si>
  <si>
    <t>9,a</t>
  </si>
  <si>
    <t>9,b</t>
  </si>
  <si>
    <t>26/18</t>
  </si>
</sst>
</file>

<file path=xl/styles.xml><?xml version="1.0" encoding="utf-8"?>
<styleSheet xmlns="http://schemas.openxmlformats.org/spreadsheetml/2006/main" xmlns:mc="http://schemas.openxmlformats.org/markup-compatibility/2006" xmlns:x14ac="http://schemas.microsoft.com/office/spreadsheetml/2009/9/ac" mc:Ignorable="x14ac">
  <numFmts count="68">
    <numFmt numFmtId="5" formatCode="&quot;$&quot;\ #,##0;&quot;$&quot;\ \-#,##0"/>
    <numFmt numFmtId="7" formatCode="&quot;$&quot;\ #,##0.00;&quot;$&quot;\ \-#,##0.00"/>
    <numFmt numFmtId="44" formatCode="_ &quot;$&quot;\ * #,##0.00_ ;_ &quot;$&quot;\ * \-#,##0.00_ ;_ &quot;$&quot;\ * &quot;-&quot;??_ ;_ @_ "/>
    <numFmt numFmtId="43" formatCode="_ * #,##0.00_ ;_ * \-#,##0.00_ ;_ * &quot;-&quot;??_ ;_ @_ "/>
    <numFmt numFmtId="164" formatCode="_-&quot;$&quot;\ * #,##0.00_-;\-&quot;$&quot;\ * #,##0.00_-;_-&quot;$&quot;\ * &quot;-&quot;??_-;_-@_-"/>
    <numFmt numFmtId="165" formatCode="_-* #,##0.00_-;\-* #,##0.00_-;_-* &quot;-&quot;??_-;_-@_-"/>
    <numFmt numFmtId="166" formatCode="_-&quot;$&quot;* #,##0.00_-;\-&quot;$&quot;* #,##0.00_-;_-&quot;$&quot;* &quot;-&quot;??_-;_-@_-"/>
    <numFmt numFmtId="167" formatCode="0.0000%"/>
    <numFmt numFmtId="168" formatCode="#,"/>
    <numFmt numFmtId="169" formatCode="#,#00"/>
    <numFmt numFmtId="170" formatCode="#.##000"/>
    <numFmt numFmtId="171" formatCode="\$#,#00"/>
    <numFmt numFmtId="172" formatCode="#,#00\ &quot;dias corridos&quot;"/>
    <numFmt numFmtId="173" formatCode="0.000%"/>
    <numFmt numFmtId="174" formatCode="&quot;Mes &quot;#,#00\ "/>
    <numFmt numFmtId="175" formatCode="0.0\ &quot;km&quot;"/>
    <numFmt numFmtId="176" formatCode="_(* #,##0.00_);_(* \(#,##0.00\);_(* &quot;-&quot;??_);_(@_)"/>
    <numFmt numFmtId="177" formatCode="0000"/>
    <numFmt numFmtId="178" formatCode="&quot;$&quot;\ #,##0.00"/>
    <numFmt numFmtId="179" formatCode="_ &quot;$&quot;\ * #,##0.00_ ;_ &quot;$&quot;\ * \-#,##0.00_ ;_ @_ "/>
    <numFmt numFmtId="180" formatCode="_-&quot;$&quot;* #,##0.00_-;\-&quot;$&quot;* #,##0.00_-;_-@_-"/>
    <numFmt numFmtId="181" formatCode="_ [$€-2]\ * #,##0.00_ ;_ [$€-2]\ * \-#,##0.00_ ;_ [$€-2]\ * &quot;-&quot;??_ "/>
    <numFmt numFmtId="182" formatCode="d\-mmmm\-yyyy"/>
    <numFmt numFmtId="183" formatCode="_-* #,##0.00\ _€_-;\-* #,##0.00\ _€_-;_-* &quot;-&quot;??\ _€_-;_-@_-"/>
    <numFmt numFmtId="184" formatCode="&quot;$&quot;#,##0_);\(&quot;$&quot;#,##0\)"/>
    <numFmt numFmtId="185" formatCode="#,##0.0"/>
    <numFmt numFmtId="186" formatCode="0.00_)"/>
    <numFmt numFmtId="187" formatCode="#,#00\ &quot;HP&quot;"/>
    <numFmt numFmtId="188" formatCode="#,##0.00_ ;\-#,##0.00\ "/>
    <numFmt numFmtId="189" formatCode="0.000000"/>
    <numFmt numFmtId="190" formatCode="000"/>
    <numFmt numFmtId="191" formatCode="0.0000"/>
    <numFmt numFmtId="192" formatCode="0,000\ &quot;hs&quot;"/>
    <numFmt numFmtId="193" formatCode="0.00\ &quot;lts/HP&quot;"/>
    <numFmt numFmtId="194" formatCode="0.00000\ &quot;$/lts&quot;"/>
    <numFmt numFmtId="195" formatCode="0.000000\ &quot; /mes&quot;"/>
    <numFmt numFmtId="196" formatCode="0.00000\ &quot;$/km&quot;"/>
    <numFmt numFmtId="197" formatCode="0,000\ &quot;km&quot;"/>
    <numFmt numFmtId="198" formatCode="0,000\ &quot;km/mes&quot;"/>
    <numFmt numFmtId="199" formatCode="0.00\ &quot;lts/km&quot;"/>
    <numFmt numFmtId="200" formatCode="0\ &quot;un&quot;"/>
    <numFmt numFmtId="201" formatCode="#,000\ &quot;km&quot;"/>
    <numFmt numFmtId="202" formatCode="0.00\ &quot; /HP&quot;"/>
    <numFmt numFmtId="203" formatCode="0.00000\ &quot; /d&quot;"/>
    <numFmt numFmtId="204" formatCode="0.\ &quot;mes&quot;"/>
    <numFmt numFmtId="205" formatCode="0\ &quot;$/un&quot;"/>
    <numFmt numFmtId="206" formatCode="0.000"/>
    <numFmt numFmtId="207" formatCode="0.000\ &quot;$/hs&quot;"/>
    <numFmt numFmtId="208" formatCode="#,##0\ &quot;$ x &quot;"/>
    <numFmt numFmtId="209" formatCode="0.00\ &quot;$/hs&quot;"/>
    <numFmt numFmtId="210" formatCode="0.00&quot;/año&quot;"/>
    <numFmt numFmtId="211" formatCode="#,##0\ &quot;hs&quot;"/>
    <numFmt numFmtId="212" formatCode="0\ &quot;nº&quot;"/>
    <numFmt numFmtId="213" formatCode="0\ \ &quot;nº&quot;\ \ \ \x"/>
    <numFmt numFmtId="214" formatCode="0\ &quot;$/nº&quot;"/>
    <numFmt numFmtId="215" formatCode="0.000\ &quot;$/km&quot;"/>
    <numFmt numFmtId="216" formatCode="0.00\ &quot;$/lts&quot;"/>
    <numFmt numFmtId="217" formatCode="0.00\ &quot;lts/km&quot;\ \x"/>
    <numFmt numFmtId="218" formatCode="0.000\ &quot;$/lts&quot;\ \x"/>
    <numFmt numFmtId="219" formatCode="0.00\ &quot;= &quot;"/>
    <numFmt numFmtId="220" formatCode="0.0000\ &quot;$/km&quot;"/>
    <numFmt numFmtId="221" formatCode="0\ &quot;t&quot;"/>
    <numFmt numFmtId="222" formatCode="0\ &quot;km/h&quot;"/>
    <numFmt numFmtId="223" formatCode="0\ &quot;minutos&quot;"/>
    <numFmt numFmtId="224" formatCode="0\ &quot;tkm&quot;"/>
    <numFmt numFmtId="225" formatCode="0\ &quot;km&quot;"/>
    <numFmt numFmtId="226" formatCode="0.000\ "/>
    <numFmt numFmtId="227" formatCode="0\ &quot;$/hs&quot;"/>
  </numFmts>
  <fonts count="52"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4"/>
      <name val="Arial"/>
      <family val="2"/>
    </font>
    <font>
      <b/>
      <sz val="8"/>
      <name val="Arial"/>
      <family val="2"/>
    </font>
    <font>
      <b/>
      <sz val="10"/>
      <name val="Arial"/>
      <family val="2"/>
    </font>
    <font>
      <sz val="9"/>
      <name val="Arial"/>
      <family val="2"/>
    </font>
    <font>
      <b/>
      <sz val="12"/>
      <name val="Arial"/>
      <family val="2"/>
    </font>
    <font>
      <b/>
      <sz val="16"/>
      <name val="Arial"/>
      <family val="2"/>
    </font>
    <font>
      <sz val="10"/>
      <name val="Arial"/>
      <family val="2"/>
    </font>
    <font>
      <b/>
      <sz val="9"/>
      <name val="Arial"/>
      <family val="2"/>
    </font>
    <font>
      <sz val="11"/>
      <name val="Tahoma"/>
      <family val="2"/>
    </font>
    <font>
      <sz val="12"/>
      <name val="Arial"/>
      <family val="2"/>
    </font>
    <font>
      <sz val="1"/>
      <color indexed="8"/>
      <name val="Courier"/>
      <family val="3"/>
    </font>
    <font>
      <b/>
      <sz val="1"/>
      <color indexed="8"/>
      <name val="Courier"/>
      <family val="3"/>
    </font>
    <font>
      <sz val="10"/>
      <name val="Courier"/>
      <family val="3"/>
    </font>
    <font>
      <vertAlign val="superscript"/>
      <sz val="8"/>
      <name val="Arial"/>
      <family val="2"/>
    </font>
    <font>
      <b/>
      <vertAlign val="superscript"/>
      <sz val="8"/>
      <name val="Arial"/>
      <family val="2"/>
    </font>
    <font>
      <sz val="12"/>
      <name val="Times New Roman"/>
      <family val="1"/>
    </font>
    <font>
      <b/>
      <u/>
      <sz val="10"/>
      <name val="Arial"/>
      <family val="2"/>
    </font>
    <font>
      <sz val="9"/>
      <name val="Calibri"/>
      <family val="2"/>
      <scheme val="minor"/>
    </font>
    <font>
      <sz val="11"/>
      <color indexed="8"/>
      <name val="Calibri"/>
      <family val="2"/>
    </font>
    <font>
      <sz val="11"/>
      <name val="Calibri"/>
      <family val="2"/>
      <scheme val="minor"/>
    </font>
    <font>
      <sz val="11"/>
      <color theme="3"/>
      <name val="Calibri"/>
      <family val="2"/>
      <scheme val="minor"/>
    </font>
    <font>
      <sz val="9"/>
      <color indexed="81"/>
      <name val="Tahoma"/>
      <family val="2"/>
    </font>
    <font>
      <b/>
      <sz val="10"/>
      <color theme="0"/>
      <name val="Arial"/>
      <family val="2"/>
    </font>
    <font>
      <b/>
      <sz val="18"/>
      <name val="Arial"/>
      <family val="2"/>
    </font>
    <font>
      <i/>
      <sz val="1"/>
      <color indexed="8"/>
      <name val="Courier"/>
      <family val="3"/>
    </font>
    <font>
      <sz val="10"/>
      <color indexed="8"/>
      <name val="Arial"/>
      <family val="2"/>
    </font>
    <font>
      <sz val="11"/>
      <color theme="1"/>
      <name val="Calibri"/>
      <family val="2"/>
    </font>
    <font>
      <sz val="10"/>
      <color rgb="FF000000"/>
      <name val="Times New Roman"/>
      <family val="1"/>
    </font>
    <font>
      <sz val="10"/>
      <color theme="1"/>
      <name val="Arial"/>
      <family val="2"/>
    </font>
    <font>
      <sz val="18"/>
      <color theme="1"/>
      <name val="Calibri"/>
      <family val="2"/>
      <scheme val="minor"/>
    </font>
    <font>
      <sz val="10"/>
      <color theme="5" tint="0.39997558519241921"/>
      <name val="Arial"/>
      <family val="2"/>
    </font>
    <font>
      <b/>
      <sz val="10"/>
      <color indexed="8"/>
      <name val="Arial"/>
      <family val="2"/>
    </font>
    <font>
      <vertAlign val="superscript"/>
      <sz val="10"/>
      <name val="Arial"/>
      <family val="2"/>
    </font>
    <font>
      <b/>
      <vertAlign val="superscript"/>
      <sz val="10"/>
      <color indexed="8"/>
      <name val="Arial"/>
      <family val="2"/>
    </font>
    <font>
      <sz val="10"/>
      <color indexed="10"/>
      <name val="Arial"/>
      <family val="2"/>
    </font>
    <font>
      <sz val="10"/>
      <name val="Calibri"/>
      <family val="2"/>
      <scheme val="minor"/>
    </font>
    <font>
      <b/>
      <i/>
      <sz val="10"/>
      <name val="Arial"/>
      <family val="2"/>
    </font>
    <font>
      <b/>
      <sz val="8"/>
      <color theme="0"/>
      <name val="Arial"/>
      <family val="2"/>
    </font>
    <font>
      <sz val="8"/>
      <color theme="0"/>
      <name val="Arial"/>
      <family val="2"/>
    </font>
    <font>
      <b/>
      <u/>
      <sz val="12"/>
      <name val="Arial"/>
      <family val="2"/>
    </font>
    <font>
      <sz val="14"/>
      <name val="Arial"/>
      <family val="2"/>
    </font>
    <font>
      <sz val="10"/>
      <color theme="0" tint="-0.34998626667073579"/>
      <name val="Arial"/>
      <family val="2"/>
    </font>
    <font>
      <sz val="10"/>
      <color theme="0"/>
      <name val="Arial"/>
      <family val="2"/>
    </font>
  </fonts>
  <fills count="6">
    <fill>
      <patternFill patternType="none"/>
    </fill>
    <fill>
      <patternFill patternType="gray125"/>
    </fill>
    <fill>
      <patternFill patternType="solid">
        <fgColor indexed="9"/>
        <bgColor indexed="64"/>
      </patternFill>
    </fill>
    <fill>
      <patternFill patternType="solid">
        <fgColor rgb="FFFFFF00"/>
        <bgColor indexed="64"/>
      </patternFill>
    </fill>
    <fill>
      <patternFill patternType="solid">
        <fgColor rgb="FF00B0F0"/>
        <bgColor indexed="64"/>
      </patternFill>
    </fill>
    <fill>
      <patternFill patternType="solid">
        <fgColor indexed="22"/>
        <bgColor indexed="64"/>
      </patternFill>
    </fill>
  </fills>
  <borders count="84">
    <border>
      <left/>
      <right/>
      <top/>
      <bottom/>
      <diagonal/>
    </border>
    <border>
      <left/>
      <right style="double">
        <color indexed="64"/>
      </right>
      <top/>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thin">
        <color indexed="64"/>
      </left>
      <right style="thin">
        <color indexed="64"/>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top/>
      <bottom style="medium">
        <color indexed="64"/>
      </bottom>
      <diagonal/>
    </border>
    <border>
      <left/>
      <right style="thin">
        <color indexed="64"/>
      </right>
      <top style="thin">
        <color indexed="64"/>
      </top>
      <bottom style="thin">
        <color indexed="64"/>
      </bottom>
      <diagonal/>
    </border>
    <border>
      <left style="double">
        <color indexed="64"/>
      </left>
      <right/>
      <top/>
      <bottom style="medium">
        <color indexed="64"/>
      </bottom>
      <diagonal/>
    </border>
    <border>
      <left/>
      <right style="double">
        <color indexed="64"/>
      </right>
      <top/>
      <bottom style="medium">
        <color indexed="64"/>
      </bottom>
      <diagonal/>
    </border>
    <border>
      <left style="double">
        <color indexed="64"/>
      </left>
      <right/>
      <top style="thin">
        <color indexed="64"/>
      </top>
      <bottom style="thin">
        <color indexed="64"/>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bottom/>
      <diagonal/>
    </border>
    <border>
      <left style="thin">
        <color indexed="64"/>
      </left>
      <right style="double">
        <color indexed="64"/>
      </right>
      <top/>
      <bottom style="thin">
        <color indexed="64"/>
      </bottom>
      <diagonal/>
    </border>
    <border>
      <left style="thin">
        <color indexed="64"/>
      </left>
      <right style="thin">
        <color indexed="64"/>
      </right>
      <top style="thin">
        <color indexed="64"/>
      </top>
      <bottom/>
      <diagonal/>
    </border>
    <border>
      <left style="thin">
        <color indexed="64"/>
      </left>
      <right style="double">
        <color indexed="64"/>
      </right>
      <top style="thin">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double">
        <color auto="1"/>
      </right>
      <top style="medium">
        <color indexed="64"/>
      </top>
      <bottom style="medium">
        <color indexed="64"/>
      </bottom>
      <diagonal/>
    </border>
    <border>
      <left style="double">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double">
        <color indexed="64"/>
      </right>
      <top style="medium">
        <color indexed="64"/>
      </top>
      <bottom style="thin">
        <color indexed="64"/>
      </bottom>
      <diagonal/>
    </border>
    <border>
      <left style="double">
        <color indexed="64"/>
      </left>
      <right/>
      <top style="thin">
        <color indexed="64"/>
      </top>
      <bottom style="double">
        <color indexed="64"/>
      </bottom>
      <diagonal/>
    </border>
    <border>
      <left/>
      <right/>
      <top style="thin">
        <color indexed="64"/>
      </top>
      <bottom style="double">
        <color indexed="64"/>
      </bottom>
      <diagonal/>
    </border>
    <border>
      <left style="medium">
        <color indexed="64"/>
      </left>
      <right style="medium">
        <color indexed="64"/>
      </right>
      <top style="thin">
        <color indexed="64"/>
      </top>
      <bottom style="double">
        <color indexed="64"/>
      </bottom>
      <diagonal/>
    </border>
    <border>
      <left/>
      <right style="double">
        <color indexed="64"/>
      </right>
      <top style="thin">
        <color indexed="64"/>
      </top>
      <bottom style="double">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medium">
        <color indexed="64"/>
      </left>
      <right/>
      <top/>
      <bottom style="double">
        <color indexed="64"/>
      </bottom>
      <diagonal/>
    </border>
    <border>
      <left style="thin">
        <color indexed="64"/>
      </left>
      <right/>
      <top/>
      <bottom style="double">
        <color indexed="64"/>
      </bottom>
      <diagonal/>
    </border>
    <border>
      <left style="thin">
        <color indexed="64"/>
      </left>
      <right style="medium">
        <color indexed="64"/>
      </right>
      <top/>
      <bottom style="double">
        <color indexed="64"/>
      </bottom>
      <diagonal/>
    </border>
    <border>
      <left style="medium">
        <color indexed="64"/>
      </left>
      <right/>
      <top/>
      <bottom style="thin">
        <color indexed="64"/>
      </bottom>
      <diagonal/>
    </border>
    <border>
      <left/>
      <right/>
      <top style="double">
        <color indexed="64"/>
      </top>
      <bottom style="thin">
        <color indexed="64"/>
      </bottom>
      <diagonal/>
    </border>
    <border>
      <left/>
      <right style="medium">
        <color indexed="64"/>
      </right>
      <top style="double">
        <color indexed="64"/>
      </top>
      <bottom style="thin">
        <color indexed="64"/>
      </bottom>
      <diagonal/>
    </border>
    <border>
      <left style="medium">
        <color indexed="64"/>
      </left>
      <right/>
      <top style="thin">
        <color indexed="64"/>
      </top>
      <bottom style="double">
        <color indexed="64"/>
      </bottom>
      <diagonal/>
    </border>
    <border>
      <left style="thin">
        <color indexed="64"/>
      </left>
      <right/>
      <top style="thin">
        <color indexed="64"/>
      </top>
      <bottom style="double">
        <color indexed="64"/>
      </bottom>
      <diagonal/>
    </border>
    <border>
      <left/>
      <right style="medium">
        <color indexed="64"/>
      </right>
      <top style="thin">
        <color indexed="64"/>
      </top>
      <bottom style="double">
        <color indexed="64"/>
      </bottom>
      <diagonal/>
    </border>
    <border>
      <left style="medium">
        <color indexed="64"/>
      </left>
      <right/>
      <top style="thin">
        <color indexed="64"/>
      </top>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style="thin">
        <color indexed="64"/>
      </left>
      <right/>
      <top/>
      <bottom style="medium">
        <color indexed="64"/>
      </bottom>
      <diagonal/>
    </border>
    <border>
      <left style="medium">
        <color indexed="64"/>
      </left>
      <right style="thin">
        <color indexed="64"/>
      </right>
      <top/>
      <bottom/>
      <diagonal/>
    </border>
    <border>
      <left style="medium">
        <color indexed="64"/>
      </left>
      <right style="thin">
        <color indexed="64"/>
      </right>
      <top/>
      <bottom style="double">
        <color indexed="64"/>
      </bottom>
      <diagonal/>
    </border>
    <border>
      <left/>
      <right style="medium">
        <color indexed="64"/>
      </right>
      <top/>
      <bottom style="double">
        <color indexed="64"/>
      </bottom>
      <diagonal/>
    </border>
    <border>
      <left style="medium">
        <color indexed="64"/>
      </left>
      <right/>
      <top style="double">
        <color indexed="64"/>
      </top>
      <bottom style="thin">
        <color indexed="64"/>
      </bottom>
      <diagonal/>
    </border>
    <border>
      <left/>
      <right style="medium">
        <color indexed="64"/>
      </right>
      <top style="double">
        <color indexed="64"/>
      </top>
      <bottom/>
      <diagonal/>
    </border>
    <border>
      <left style="medium">
        <color indexed="64"/>
      </left>
      <right/>
      <top style="double">
        <color indexed="64"/>
      </top>
      <bottom style="medium">
        <color indexed="64"/>
      </bottom>
      <diagonal/>
    </border>
    <border>
      <left/>
      <right/>
      <top style="double">
        <color indexed="64"/>
      </top>
      <bottom style="medium">
        <color indexed="64"/>
      </bottom>
      <diagonal/>
    </border>
    <border>
      <left/>
      <right style="medium">
        <color indexed="64"/>
      </right>
      <top style="double">
        <color indexed="64"/>
      </top>
      <bottom style="medium">
        <color indexed="64"/>
      </bottom>
      <diagonal/>
    </border>
    <border>
      <left style="thin">
        <color indexed="64"/>
      </left>
      <right/>
      <top style="thin">
        <color indexed="64"/>
      </top>
      <bottom style="medium">
        <color indexed="64"/>
      </bottom>
      <diagonal/>
    </border>
    <border>
      <left/>
      <right style="thin">
        <color indexed="64"/>
      </right>
      <top/>
      <bottom style="medium">
        <color indexed="64"/>
      </bottom>
      <diagonal/>
    </border>
    <border>
      <left style="medium">
        <color indexed="64"/>
      </left>
      <right style="thin">
        <color indexed="64"/>
      </right>
      <top style="thin">
        <color indexed="64"/>
      </top>
      <bottom/>
      <diagonal/>
    </border>
    <border>
      <left style="medium">
        <color indexed="64"/>
      </left>
      <right/>
      <top style="double">
        <color indexed="64"/>
      </top>
      <bottom style="double">
        <color indexed="64"/>
      </bottom>
      <diagonal/>
    </border>
    <border>
      <left/>
      <right/>
      <top style="double">
        <color indexed="64"/>
      </top>
      <bottom style="double">
        <color indexed="64"/>
      </bottom>
      <diagonal/>
    </border>
    <border>
      <left/>
      <right style="medium">
        <color indexed="64"/>
      </right>
      <top style="double">
        <color indexed="64"/>
      </top>
      <bottom style="double">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top style="double">
        <color indexed="64"/>
      </top>
      <bottom/>
      <diagonal/>
    </border>
    <border>
      <left style="thin">
        <color indexed="64"/>
      </left>
      <right/>
      <top style="double">
        <color indexed="64"/>
      </top>
      <bottom style="thin">
        <color indexed="64"/>
      </bottom>
      <diagonal/>
    </border>
  </borders>
  <cellStyleXfs count="82">
    <xf numFmtId="0" fontId="0" fillId="0" borderId="0"/>
    <xf numFmtId="9" fontId="6" fillId="0" borderId="0" applyFont="0" applyFill="0" applyBorder="0" applyAlignment="0" applyProtection="0"/>
    <xf numFmtId="166" fontId="15" fillId="0" borderId="0" applyFont="0" applyFill="0" applyBorder="0" applyAlignment="0" applyProtection="0"/>
    <xf numFmtId="0" fontId="5" fillId="0" borderId="0"/>
    <xf numFmtId="9" fontId="5" fillId="0" borderId="0" applyFont="0" applyFill="0" applyBorder="0" applyAlignment="0" applyProtection="0"/>
    <xf numFmtId="0" fontId="7" fillId="0" borderId="0"/>
    <xf numFmtId="0" fontId="17" fillId="0" borderId="0"/>
    <xf numFmtId="0" fontId="7" fillId="0" borderId="0"/>
    <xf numFmtId="0" fontId="19" fillId="0" borderId="0">
      <protection locked="0"/>
    </xf>
    <xf numFmtId="168" fontId="20" fillId="0" borderId="0">
      <protection locked="0"/>
    </xf>
    <xf numFmtId="168" fontId="20" fillId="0" borderId="0">
      <protection locked="0"/>
    </xf>
    <xf numFmtId="0" fontId="7" fillId="0" borderId="0" applyFont="0" applyFill="0" applyBorder="0" applyAlignment="0" applyProtection="0"/>
    <xf numFmtId="169" fontId="19" fillId="0" borderId="0">
      <protection locked="0"/>
    </xf>
    <xf numFmtId="170" fontId="19" fillId="0" borderId="0">
      <protection locked="0"/>
    </xf>
    <xf numFmtId="171" fontId="19" fillId="0" borderId="0">
      <protection locked="0"/>
    </xf>
    <xf numFmtId="0" fontId="21" fillId="0" borderId="0"/>
    <xf numFmtId="9" fontId="4" fillId="0" borderId="0" applyFont="0" applyFill="0" applyBorder="0" applyAlignment="0" applyProtection="0"/>
    <xf numFmtId="4" fontId="24" fillId="0" borderId="0" applyFont="0" applyFill="0" applyBorder="0" applyAlignment="0" applyProtection="0"/>
    <xf numFmtId="3" fontId="24" fillId="0" borderId="0" applyFont="0" applyFill="0" applyBorder="0" applyAlignment="0" applyProtection="0"/>
    <xf numFmtId="0" fontId="3" fillId="0" borderId="0"/>
    <xf numFmtId="0" fontId="7" fillId="0" borderId="0"/>
    <xf numFmtId="165" fontId="7" fillId="0" borderId="0" applyFont="0" applyFill="0" applyBorder="0" applyAlignment="0" applyProtection="0"/>
    <xf numFmtId="43" fontId="27" fillId="0" borderId="0" applyFont="0" applyFill="0" applyBorder="0" applyAlignment="0" applyProtection="0"/>
    <xf numFmtId="176" fontId="7" fillId="0" borderId="0" applyFont="0" applyFill="0" applyBorder="0" applyAlignment="0" applyProtection="0"/>
    <xf numFmtId="176" fontId="7" fillId="0" borderId="0" applyFont="0" applyFill="0" applyBorder="0" applyAlignment="0" applyProtection="0"/>
    <xf numFmtId="176" fontId="7"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43" fontId="7" fillId="0" borderId="0" applyFont="0" applyFill="0" applyBorder="0" applyAlignment="0" applyProtection="0"/>
    <xf numFmtId="0" fontId="32" fillId="0" borderId="0" applyNumberFormat="0" applyFill="0" applyBorder="0" applyAlignment="0" applyProtection="0"/>
    <xf numFmtId="0" fontId="13" fillId="0" borderId="0" applyNumberFormat="0" applyFill="0" applyBorder="0" applyAlignment="0" applyProtection="0"/>
    <xf numFmtId="0" fontId="32" fillId="0" borderId="0" applyNumberFormat="0" applyFill="0" applyBorder="0" applyAlignment="0" applyProtection="0"/>
    <xf numFmtId="0" fontId="13" fillId="0" borderId="0" applyNumberFormat="0" applyFill="0" applyBorder="0" applyAlignment="0" applyProtection="0"/>
    <xf numFmtId="181" fontId="7" fillId="0" borderId="0" applyFont="0" applyFill="0" applyBorder="0" applyAlignment="0" applyProtection="0"/>
    <xf numFmtId="0" fontId="19" fillId="0" borderId="0">
      <protection locked="0"/>
    </xf>
    <xf numFmtId="0" fontId="19" fillId="0" borderId="0">
      <protection locked="0"/>
    </xf>
    <xf numFmtId="0" fontId="33" fillId="0" borderId="0">
      <protection locked="0"/>
    </xf>
    <xf numFmtId="0" fontId="19" fillId="0" borderId="0">
      <protection locked="0"/>
    </xf>
    <xf numFmtId="0" fontId="19" fillId="0" borderId="0">
      <protection locked="0"/>
    </xf>
    <xf numFmtId="0" fontId="19" fillId="0" borderId="0">
      <protection locked="0"/>
    </xf>
    <xf numFmtId="0" fontId="33" fillId="0" borderId="0">
      <protection locked="0"/>
    </xf>
    <xf numFmtId="182" fontId="7" fillId="0" borderId="0" applyFill="0" applyBorder="0" applyAlignment="0" applyProtection="0"/>
    <xf numFmtId="2" fontId="7" fillId="0" borderId="0" applyFill="0" applyBorder="0" applyAlignment="0" applyProtection="0"/>
    <xf numFmtId="43" fontId="27" fillId="0" borderId="0" applyFont="0" applyFill="0" applyBorder="0" applyAlignment="0" applyProtection="0"/>
    <xf numFmtId="183" fontId="7" fillId="0" borderId="0" applyFont="0" applyFill="0" applyBorder="0" applyAlignment="0" applyProtection="0"/>
    <xf numFmtId="43" fontId="27" fillId="0" borderId="0" applyFont="0" applyFill="0" applyBorder="0" applyAlignment="0" applyProtection="0"/>
    <xf numFmtId="165" fontId="2" fillId="0" borderId="0" applyFont="0" applyFill="0" applyBorder="0" applyAlignment="0" applyProtection="0"/>
    <xf numFmtId="44" fontId="27" fillId="0" borderId="0" applyFont="0" applyFill="0" applyBorder="0" applyAlignment="0" applyProtection="0"/>
    <xf numFmtId="166" fontId="7" fillId="0" borderId="0" applyFont="0" applyFill="0" applyBorder="0" applyAlignment="0" applyProtection="0"/>
    <xf numFmtId="166" fontId="2" fillId="0" borderId="0" applyFont="0" applyFill="0" applyBorder="0" applyAlignment="0" applyProtection="0"/>
    <xf numFmtId="44" fontId="34" fillId="0" borderId="0" applyFont="0" applyFill="0" applyBorder="0" applyAlignment="0" applyProtection="0"/>
    <xf numFmtId="44" fontId="7" fillId="0" borderId="0" applyFont="0" applyFill="0" applyBorder="0" applyAlignment="0" applyProtection="0"/>
    <xf numFmtId="166" fontId="2" fillId="0" borderId="0" applyFont="0" applyFill="0" applyBorder="0" applyAlignment="0" applyProtection="0"/>
    <xf numFmtId="184" fontId="7" fillId="0" borderId="0" applyFill="0" applyBorder="0" applyAlignment="0" applyProtection="0"/>
    <xf numFmtId="7" fontId="7" fillId="0" borderId="0" applyFill="0" applyBorder="0" applyAlignment="0" applyProtection="0"/>
    <xf numFmtId="5" fontId="7" fillId="0" borderId="0" applyFill="0" applyBorder="0" applyAlignment="0" applyProtection="0"/>
    <xf numFmtId="0" fontId="7" fillId="0" borderId="0"/>
    <xf numFmtId="0" fontId="2" fillId="0" borderId="0"/>
    <xf numFmtId="0" fontId="2" fillId="0" borderId="0"/>
    <xf numFmtId="0" fontId="35" fillId="0" borderId="0"/>
    <xf numFmtId="0" fontId="36" fillId="0" borderId="0"/>
    <xf numFmtId="0" fontId="35" fillId="0" borderId="0"/>
    <xf numFmtId="0" fontId="7" fillId="0" borderId="0"/>
    <xf numFmtId="0" fontId="37" fillId="0" borderId="0"/>
    <xf numFmtId="0" fontId="7" fillId="0" borderId="0"/>
    <xf numFmtId="0" fontId="7" fillId="0" borderId="0"/>
    <xf numFmtId="0" fontId="2" fillId="0" borderId="0"/>
    <xf numFmtId="0" fontId="2" fillId="0" borderId="0"/>
    <xf numFmtId="0" fontId="37" fillId="0" borderId="0"/>
    <xf numFmtId="0" fontId="2" fillId="0" borderId="0"/>
    <xf numFmtId="9" fontId="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4"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85" fontId="7" fillId="0" borderId="0" applyFill="0" applyBorder="0" applyAlignment="0" applyProtection="0"/>
    <xf numFmtId="3" fontId="7" fillId="0" borderId="0" applyFill="0" applyBorder="0" applyAlignment="0" applyProtection="0"/>
    <xf numFmtId="0" fontId="7" fillId="0" borderId="3" applyNumberFormat="0" applyFill="0" applyAlignment="0" applyProtection="0"/>
    <xf numFmtId="9" fontId="1" fillId="0" borderId="0" applyFont="0" applyFill="0" applyBorder="0" applyAlignment="0" applyProtection="0"/>
  </cellStyleXfs>
  <cellXfs count="787">
    <xf numFmtId="0" fontId="0" fillId="0" borderId="0" xfId="0"/>
    <xf numFmtId="0" fontId="5" fillId="0" borderId="0" xfId="3"/>
    <xf numFmtId="0" fontId="0" fillId="0" borderId="0" xfId="0" applyFill="1" applyAlignment="1" applyProtection="1">
      <alignment vertical="center"/>
      <protection hidden="1"/>
    </xf>
    <xf numFmtId="0" fontId="13" fillId="0" borderId="0" xfId="0" applyFont="1" applyFill="1" applyBorder="1" applyAlignment="1" applyProtection="1">
      <alignment vertical="center"/>
      <protection hidden="1"/>
    </xf>
    <xf numFmtId="0" fontId="9" fillId="0" borderId="0" xfId="0" applyFont="1" applyFill="1" applyBorder="1" applyAlignment="1" applyProtection="1">
      <alignment vertical="center"/>
      <protection hidden="1"/>
    </xf>
    <xf numFmtId="0" fontId="0" fillId="0" borderId="0" xfId="0" applyFill="1" applyBorder="1" applyAlignment="1" applyProtection="1">
      <alignment vertical="center"/>
      <protection hidden="1"/>
    </xf>
    <xf numFmtId="0" fontId="7" fillId="0" borderId="0" xfId="7" applyFill="1" applyBorder="1" applyAlignment="1" applyProtection="1">
      <alignment vertical="center"/>
      <protection hidden="1"/>
    </xf>
    <xf numFmtId="166" fontId="7" fillId="0" borderId="0" xfId="0" applyNumberFormat="1" applyFont="1" applyFill="1" applyBorder="1" applyAlignment="1" applyProtection="1">
      <alignment vertical="center"/>
      <protection hidden="1"/>
    </xf>
    <xf numFmtId="0" fontId="14" fillId="0" borderId="0" xfId="0" applyFont="1" applyFill="1" applyBorder="1" applyAlignment="1" applyProtection="1">
      <alignment vertical="center"/>
      <protection hidden="1"/>
    </xf>
    <xf numFmtId="0" fontId="12" fillId="0" borderId="0" xfId="7" applyFont="1" applyFill="1" applyAlignment="1" applyProtection="1">
      <alignment vertical="center"/>
      <protection hidden="1"/>
    </xf>
    <xf numFmtId="0" fontId="12" fillId="0" borderId="0" xfId="7" applyFont="1" applyFill="1" applyBorder="1" applyAlignment="1" applyProtection="1">
      <alignment vertical="center"/>
      <protection hidden="1"/>
    </xf>
    <xf numFmtId="166" fontId="12" fillId="0" borderId="0" xfId="7" applyNumberFormat="1" applyFont="1" applyFill="1" applyBorder="1" applyAlignment="1" applyProtection="1">
      <alignment vertical="center"/>
      <protection hidden="1"/>
    </xf>
    <xf numFmtId="0" fontId="0" fillId="0" borderId="9" xfId="0" applyFill="1" applyBorder="1" applyAlignment="1" applyProtection="1">
      <alignment vertical="center"/>
      <protection hidden="1"/>
    </xf>
    <xf numFmtId="0" fontId="13" fillId="0" borderId="0" xfId="7" applyFont="1" applyFill="1" applyBorder="1" applyAlignment="1" applyProtection="1">
      <alignment vertical="center"/>
      <protection hidden="1"/>
    </xf>
    <xf numFmtId="0" fontId="18" fillId="0" borderId="0" xfId="7" applyFont="1" applyFill="1" applyBorder="1" applyAlignment="1" applyProtection="1">
      <alignment vertical="center"/>
      <protection hidden="1"/>
    </xf>
    <xf numFmtId="167" fontId="7" fillId="0" borderId="9" xfId="1" applyNumberFormat="1" applyFont="1" applyFill="1" applyBorder="1" applyAlignment="1" applyProtection="1">
      <alignment vertical="center"/>
      <protection hidden="1"/>
    </xf>
    <xf numFmtId="167" fontId="11" fillId="0" borderId="9" xfId="1" applyNumberFormat="1" applyFont="1" applyFill="1" applyBorder="1" applyAlignment="1" applyProtection="1">
      <alignment vertical="center"/>
      <protection hidden="1"/>
    </xf>
    <xf numFmtId="0" fontId="10" fillId="0" borderId="0" xfId="7" applyFont="1" applyBorder="1" applyAlignment="1">
      <alignment vertical="center"/>
    </xf>
    <xf numFmtId="0" fontId="10" fillId="0" borderId="0" xfId="7" applyFont="1" applyBorder="1" applyAlignment="1">
      <alignment horizontal="center" vertical="center"/>
    </xf>
    <xf numFmtId="0" fontId="8" fillId="0" borderId="0" xfId="7" applyFont="1" applyBorder="1" applyAlignment="1">
      <alignment horizontal="center" vertical="center"/>
    </xf>
    <xf numFmtId="0" fontId="8" fillId="0" borderId="0" xfId="7" applyFont="1" applyBorder="1" applyAlignment="1">
      <alignment horizontal="center" vertical="center" wrapText="1"/>
    </xf>
    <xf numFmtId="0" fontId="8" fillId="0" borderId="0" xfId="7" applyFont="1" applyBorder="1" applyAlignment="1">
      <alignment vertical="center"/>
    </xf>
    <xf numFmtId="0" fontId="8" fillId="0" borderId="0" xfId="7" applyFont="1" applyBorder="1" applyAlignment="1">
      <alignment horizontal="right" vertical="center"/>
    </xf>
    <xf numFmtId="0" fontId="8" fillId="0" borderId="0" xfId="7" applyFont="1" applyBorder="1" applyAlignment="1">
      <alignment horizontal="left" vertical="center"/>
    </xf>
    <xf numFmtId="0" fontId="8" fillId="0" borderId="0" xfId="7" quotePrefix="1" applyFont="1" applyBorder="1" applyAlignment="1">
      <alignment horizontal="left" vertical="center"/>
    </xf>
    <xf numFmtId="0" fontId="8" fillId="0" borderId="0" xfId="19" applyFont="1" applyBorder="1" applyAlignment="1">
      <alignment vertical="center"/>
    </xf>
    <xf numFmtId="0" fontId="8" fillId="0" borderId="0" xfId="19" applyFont="1" applyBorder="1" applyAlignment="1">
      <alignment horizontal="center" vertical="center"/>
    </xf>
    <xf numFmtId="0" fontId="10" fillId="2" borderId="0" xfId="19" applyFont="1" applyFill="1" applyBorder="1" applyAlignment="1">
      <alignment vertical="center"/>
    </xf>
    <xf numFmtId="49" fontId="8" fillId="0" borderId="0" xfId="19" applyNumberFormat="1" applyFont="1" applyBorder="1" applyAlignment="1">
      <alignment vertical="center"/>
    </xf>
    <xf numFmtId="0" fontId="8" fillId="0" borderId="0" xfId="19" applyFont="1" applyBorder="1" applyAlignment="1">
      <alignment horizontal="left" vertical="center"/>
    </xf>
    <xf numFmtId="0" fontId="10" fillId="2" borderId="0" xfId="7" applyFont="1" applyFill="1" applyBorder="1" applyAlignment="1">
      <alignment vertical="center"/>
    </xf>
    <xf numFmtId="0" fontId="10" fillId="2" borderId="0" xfId="7" applyFont="1" applyFill="1" applyBorder="1" applyAlignment="1">
      <alignment horizontal="center" vertical="center"/>
    </xf>
    <xf numFmtId="0" fontId="8" fillId="2" borderId="0" xfId="7" applyFont="1" applyFill="1" applyBorder="1" applyAlignment="1">
      <alignment vertical="center"/>
    </xf>
    <xf numFmtId="0" fontId="8" fillId="2" borderId="0" xfId="7" quotePrefix="1" applyFont="1" applyFill="1" applyBorder="1" applyAlignment="1" applyProtection="1">
      <alignment horizontal="center" vertical="center"/>
    </xf>
    <xf numFmtId="0" fontId="8" fillId="2" borderId="0" xfId="7" quotePrefix="1" applyFont="1" applyFill="1" applyBorder="1" applyAlignment="1" applyProtection="1">
      <alignment horizontal="left" vertical="center"/>
    </xf>
    <xf numFmtId="0" fontId="8" fillId="2" borderId="0" xfId="7" applyFont="1" applyFill="1" applyBorder="1" applyAlignment="1">
      <alignment horizontal="center" vertical="center"/>
    </xf>
    <xf numFmtId="0" fontId="10" fillId="2" borderId="0" xfId="7" applyFont="1" applyFill="1" applyBorder="1" applyAlignment="1" applyProtection="1">
      <alignment horizontal="left" vertical="center"/>
    </xf>
    <xf numFmtId="0" fontId="8" fillId="2" borderId="0" xfId="7" applyFont="1" applyFill="1" applyBorder="1" applyAlignment="1">
      <alignment horizontal="right" vertical="center"/>
    </xf>
    <xf numFmtId="0" fontId="8" fillId="2" borderId="0" xfId="7" applyFont="1" applyFill="1" applyBorder="1" applyAlignment="1" applyProtection="1">
      <alignment horizontal="left" vertical="center"/>
    </xf>
    <xf numFmtId="0" fontId="8" fillId="2" borderId="0" xfId="19" applyFont="1" applyFill="1" applyBorder="1" applyAlignment="1">
      <alignment vertical="center"/>
    </xf>
    <xf numFmtId="0" fontId="8" fillId="2" borderId="0" xfId="19" applyFont="1" applyFill="1" applyBorder="1" applyAlignment="1">
      <alignment horizontal="center" vertical="center"/>
    </xf>
    <xf numFmtId="0" fontId="10" fillId="2" borderId="0" xfId="19" applyFont="1" applyFill="1" applyBorder="1" applyAlignment="1">
      <alignment horizontal="center" vertical="center"/>
    </xf>
    <xf numFmtId="0" fontId="8" fillId="2" borderId="0" xfId="19" quotePrefix="1" applyFont="1" applyFill="1" applyBorder="1" applyAlignment="1" applyProtection="1">
      <alignment horizontal="center" vertical="center"/>
    </xf>
    <xf numFmtId="0" fontId="8" fillId="2" borderId="0" xfId="19" quotePrefix="1" applyFont="1" applyFill="1" applyBorder="1" applyAlignment="1" applyProtection="1">
      <alignment horizontal="left" vertical="center"/>
    </xf>
    <xf numFmtId="0" fontId="10" fillId="2" borderId="0" xfId="19" applyFont="1" applyFill="1" applyBorder="1" applyAlignment="1">
      <alignment vertical="center" wrapText="1"/>
    </xf>
    <xf numFmtId="0" fontId="8" fillId="0" borderId="0" xfId="19" applyFont="1" applyFill="1" applyBorder="1" applyAlignment="1" applyProtection="1">
      <alignment horizontal="left" vertical="center"/>
    </xf>
    <xf numFmtId="0" fontId="8" fillId="2" borderId="0" xfId="7" applyFont="1" applyFill="1" applyBorder="1" applyAlignment="1">
      <alignment horizontal="center" vertical="center" wrapText="1"/>
    </xf>
    <xf numFmtId="0" fontId="8" fillId="2" borderId="0" xfId="7" applyFont="1" applyFill="1" applyBorder="1" applyAlignment="1">
      <alignment horizontal="left" vertical="center"/>
    </xf>
    <xf numFmtId="0" fontId="8" fillId="2" borderId="0" xfId="7" applyFont="1" applyFill="1" applyBorder="1" applyAlignment="1" applyProtection="1">
      <alignment vertical="center"/>
    </xf>
    <xf numFmtId="0" fontId="8" fillId="2" borderId="0" xfId="7" quotePrefix="1" applyFont="1" applyFill="1" applyBorder="1" applyAlignment="1" applyProtection="1">
      <alignment vertical="center"/>
    </xf>
    <xf numFmtId="1" fontId="10" fillId="2" borderId="0" xfId="19" applyNumberFormat="1" applyFont="1" applyFill="1" applyBorder="1" applyAlignment="1">
      <alignment vertical="center" wrapText="1"/>
    </xf>
    <xf numFmtId="1" fontId="10" fillId="2" borderId="0" xfId="19" applyNumberFormat="1" applyFont="1" applyFill="1" applyBorder="1" applyAlignment="1">
      <alignment horizontal="center" vertical="center" wrapText="1"/>
    </xf>
    <xf numFmtId="4" fontId="8" fillId="2" borderId="0" xfId="19" applyNumberFormat="1" applyFont="1" applyFill="1" applyBorder="1" applyAlignment="1">
      <alignment vertical="center"/>
    </xf>
    <xf numFmtId="1" fontId="10" fillId="2" borderId="0" xfId="19" applyNumberFormat="1" applyFont="1" applyFill="1" applyBorder="1" applyAlignment="1">
      <alignment horizontal="right" vertical="center"/>
    </xf>
    <xf numFmtId="4" fontId="10" fillId="2" borderId="0" xfId="19" applyNumberFormat="1" applyFont="1" applyFill="1" applyBorder="1" applyAlignment="1">
      <alignment vertical="center"/>
    </xf>
    <xf numFmtId="1" fontId="8" fillId="2" borderId="0" xfId="19" applyNumberFormat="1" applyFont="1" applyFill="1" applyBorder="1" applyAlignment="1">
      <alignment horizontal="right" vertical="center"/>
    </xf>
    <xf numFmtId="1" fontId="8" fillId="2" borderId="0" xfId="19" applyNumberFormat="1" applyFont="1" applyFill="1" applyBorder="1" applyAlignment="1">
      <alignment vertical="center"/>
    </xf>
    <xf numFmtId="1" fontId="8" fillId="2" borderId="0" xfId="19" applyNumberFormat="1" applyFont="1" applyFill="1" applyBorder="1" applyAlignment="1">
      <alignment horizontal="center" vertical="center"/>
    </xf>
    <xf numFmtId="0" fontId="8" fillId="0" borderId="0" xfId="19" applyFont="1" applyFill="1" applyBorder="1" applyAlignment="1">
      <alignment horizontal="center" vertical="center"/>
    </xf>
    <xf numFmtId="0" fontId="8" fillId="2" borderId="0" xfId="19" applyFont="1" applyFill="1" applyBorder="1" applyAlignment="1">
      <alignment horizontal="center" vertical="center" wrapText="1"/>
    </xf>
    <xf numFmtId="0" fontId="8" fillId="0" borderId="0" xfId="19" applyFont="1" applyFill="1" applyBorder="1" applyAlignment="1">
      <alignment vertical="center"/>
    </xf>
    <xf numFmtId="49" fontId="8" fillId="2" borderId="0" xfId="19" applyNumberFormat="1" applyFont="1" applyFill="1" applyBorder="1" applyAlignment="1">
      <alignment horizontal="center" vertical="center"/>
    </xf>
    <xf numFmtId="1" fontId="8" fillId="0" borderId="0" xfId="19" applyNumberFormat="1" applyFont="1" applyFill="1" applyBorder="1" applyAlignment="1">
      <alignment horizontal="center" vertical="center"/>
    </xf>
    <xf numFmtId="0" fontId="8" fillId="0" borderId="0" xfId="7" applyFont="1" applyBorder="1" applyAlignment="1"/>
    <xf numFmtId="0" fontId="8" fillId="0" borderId="0" xfId="7" applyFont="1" applyBorder="1" applyAlignment="1">
      <alignment horizontal="center"/>
    </xf>
    <xf numFmtId="0" fontId="25" fillId="0" borderId="0" xfId="20" applyFont="1" applyAlignment="1">
      <alignment horizontal="center"/>
    </xf>
    <xf numFmtId="0" fontId="25" fillId="0" borderId="0" xfId="20" applyFont="1" applyAlignment="1"/>
    <xf numFmtId="175" fontId="8" fillId="0" borderId="0" xfId="7" applyNumberFormat="1" applyFont="1" applyBorder="1" applyAlignment="1">
      <alignment horizontal="center" vertical="center"/>
    </xf>
    <xf numFmtId="0" fontId="26" fillId="0" borderId="0" xfId="20" applyFont="1" applyFill="1" applyAlignment="1">
      <alignment vertical="center"/>
    </xf>
    <xf numFmtId="0" fontId="16" fillId="0" borderId="12" xfId="7" applyFont="1" applyFill="1" applyBorder="1" applyAlignment="1" applyProtection="1">
      <alignment horizontal="center" vertical="center"/>
      <protection hidden="1"/>
    </xf>
    <xf numFmtId="0" fontId="16" fillId="0" borderId="14" xfId="7" applyFont="1" applyFill="1" applyBorder="1" applyAlignment="1" applyProtection="1">
      <alignment horizontal="center" vertical="center"/>
      <protection hidden="1"/>
    </xf>
    <xf numFmtId="0" fontId="12" fillId="0" borderId="14" xfId="7" applyFont="1" applyFill="1" applyBorder="1" applyAlignment="1" applyProtection="1">
      <alignment vertical="center"/>
      <protection hidden="1"/>
    </xf>
    <xf numFmtId="9" fontId="12" fillId="0" borderId="9" xfId="7" applyNumberFormat="1" applyFont="1" applyFill="1" applyBorder="1" applyAlignment="1" applyProtection="1">
      <alignment vertical="center"/>
      <protection hidden="1"/>
    </xf>
    <xf numFmtId="9" fontId="12" fillId="0" borderId="14" xfId="16" applyNumberFormat="1" applyFont="1" applyFill="1" applyBorder="1" applyAlignment="1" applyProtection="1">
      <alignment vertical="center"/>
      <protection hidden="1"/>
    </xf>
    <xf numFmtId="9" fontId="12" fillId="0" borderId="0" xfId="7" applyNumberFormat="1" applyFont="1" applyFill="1" applyBorder="1" applyAlignment="1" applyProtection="1">
      <alignment vertical="center"/>
      <protection hidden="1"/>
    </xf>
    <xf numFmtId="10" fontId="12" fillId="0" borderId="0" xfId="16" applyNumberFormat="1" applyFont="1" applyFill="1" applyBorder="1" applyAlignment="1" applyProtection="1">
      <alignment vertical="center"/>
      <protection hidden="1"/>
    </xf>
    <xf numFmtId="0" fontId="12" fillId="0" borderId="0" xfId="7" applyFont="1" applyFill="1" applyBorder="1" applyAlignment="1" applyProtection="1">
      <alignment horizontal="right" vertical="center"/>
      <protection hidden="1"/>
    </xf>
    <xf numFmtId="166" fontId="12" fillId="0" borderId="0" xfId="7" applyNumberFormat="1" applyFont="1" applyFill="1" applyAlignment="1" applyProtection="1">
      <alignment vertical="center"/>
      <protection hidden="1"/>
    </xf>
    <xf numFmtId="174" fontId="11" fillId="0" borderId="9" xfId="7" applyNumberFormat="1" applyFont="1" applyFill="1" applyBorder="1" applyAlignment="1" applyProtection="1">
      <alignment horizontal="center" vertical="center"/>
      <protection hidden="1"/>
    </xf>
    <xf numFmtId="0" fontId="11" fillId="0" borderId="13" xfId="7" applyFont="1" applyFill="1" applyBorder="1" applyAlignment="1" applyProtection="1">
      <alignment horizontal="center" vertical="center" wrapText="1"/>
      <protection hidden="1"/>
    </xf>
    <xf numFmtId="174" fontId="11" fillId="0" borderId="13" xfId="7" applyNumberFormat="1" applyFont="1" applyFill="1" applyBorder="1" applyAlignment="1" applyProtection="1">
      <alignment horizontal="center" vertical="center"/>
      <protection hidden="1"/>
    </xf>
    <xf numFmtId="0" fontId="7" fillId="0" borderId="13" xfId="7" applyFont="1" applyFill="1" applyBorder="1" applyAlignment="1" applyProtection="1">
      <alignment vertical="center"/>
      <protection hidden="1"/>
    </xf>
    <xf numFmtId="0" fontId="11" fillId="0" borderId="19" xfId="7" applyFont="1" applyFill="1" applyBorder="1" applyAlignment="1" applyProtection="1">
      <alignment horizontal="left" vertical="center" wrapText="1"/>
      <protection hidden="1"/>
    </xf>
    <xf numFmtId="0" fontId="7" fillId="0" borderId="16" xfId="7" applyFont="1" applyFill="1" applyBorder="1" applyAlignment="1" applyProtection="1">
      <alignment horizontal="left" vertical="center" wrapText="1"/>
      <protection hidden="1"/>
    </xf>
    <xf numFmtId="44" fontId="7" fillId="0" borderId="0" xfId="7" applyNumberFormat="1" applyFont="1" applyFill="1" applyBorder="1" applyAlignment="1" applyProtection="1">
      <alignment vertical="center"/>
      <protection hidden="1"/>
    </xf>
    <xf numFmtId="0" fontId="7" fillId="0" borderId="9" xfId="7" applyFont="1" applyFill="1" applyBorder="1" applyAlignment="1" applyProtection="1">
      <alignment vertical="center"/>
      <protection hidden="1"/>
    </xf>
    <xf numFmtId="0" fontId="7" fillId="0" borderId="0" xfId="7" applyFont="1" applyFill="1" applyAlignment="1" applyProtection="1">
      <alignment vertical="center"/>
      <protection hidden="1"/>
    </xf>
    <xf numFmtId="0" fontId="7" fillId="0" borderId="0" xfId="7" applyFont="1" applyFill="1" applyBorder="1" applyAlignment="1" applyProtection="1">
      <alignment vertical="center"/>
      <protection hidden="1"/>
    </xf>
    <xf numFmtId="0" fontId="7" fillId="0" borderId="9" xfId="7" applyFont="1" applyFill="1" applyBorder="1" applyAlignment="1" applyProtection="1">
      <alignment horizontal="right" vertical="center"/>
      <protection hidden="1"/>
    </xf>
    <xf numFmtId="10" fontId="7" fillId="0" borderId="9" xfId="16" applyNumberFormat="1" applyFont="1" applyFill="1" applyBorder="1" applyAlignment="1" applyProtection="1">
      <alignment vertical="center"/>
      <protection hidden="1"/>
    </xf>
    <xf numFmtId="0" fontId="7" fillId="0" borderId="0" xfId="7" applyFont="1" applyFill="1" applyAlignment="1" applyProtection="1">
      <alignment horizontal="center" vertical="center"/>
      <protection hidden="1"/>
    </xf>
    <xf numFmtId="0" fontId="7" fillId="0" borderId="0" xfId="7" applyFont="1" applyFill="1" applyBorder="1" applyAlignment="1" applyProtection="1">
      <alignment horizontal="right" vertical="center"/>
      <protection hidden="1"/>
    </xf>
    <xf numFmtId="166" fontId="7" fillId="0" borderId="13" xfId="7" applyNumberFormat="1" applyFont="1" applyFill="1" applyBorder="1" applyAlignment="1" applyProtection="1">
      <alignment vertical="center"/>
      <protection hidden="1"/>
    </xf>
    <xf numFmtId="0" fontId="28" fillId="0" borderId="0" xfId="19" applyFont="1" applyFill="1" applyBorder="1" applyAlignment="1">
      <alignment vertical="center"/>
    </xf>
    <xf numFmtId="0" fontId="29" fillId="0" borderId="0" xfId="19" applyFont="1" applyFill="1" applyBorder="1" applyAlignment="1">
      <alignment vertical="center"/>
    </xf>
    <xf numFmtId="0" fontId="11" fillId="0" borderId="0" xfId="7" applyFont="1" applyFill="1" applyBorder="1" applyAlignment="1" applyProtection="1">
      <alignment horizontal="center" vertical="center" wrapText="1"/>
      <protection hidden="1"/>
    </xf>
    <xf numFmtId="167" fontId="7" fillId="0" borderId="0" xfId="16" applyNumberFormat="1" applyFont="1" applyFill="1" applyBorder="1" applyAlignment="1" applyProtection="1">
      <alignment vertical="center"/>
      <protection hidden="1"/>
    </xf>
    <xf numFmtId="167" fontId="11" fillId="0" borderId="0" xfId="16" applyNumberFormat="1" applyFont="1" applyFill="1" applyBorder="1" applyAlignment="1" applyProtection="1">
      <alignment vertical="center"/>
      <protection hidden="1"/>
    </xf>
    <xf numFmtId="0" fontId="7" fillId="0" borderId="9" xfId="7" applyFont="1" applyFill="1" applyBorder="1" applyAlignment="1" applyProtection="1">
      <alignment horizontal="center" vertical="center"/>
      <protection hidden="1"/>
    </xf>
    <xf numFmtId="167" fontId="11" fillId="0" borderId="9" xfId="16" applyNumberFormat="1" applyFont="1" applyFill="1" applyBorder="1" applyAlignment="1" applyProtection="1">
      <alignment vertical="center"/>
      <protection hidden="1"/>
    </xf>
    <xf numFmtId="0" fontId="11" fillId="0" borderId="16" xfId="7" applyFont="1" applyFill="1" applyBorder="1" applyAlignment="1" applyProtection="1">
      <alignment horizontal="center" vertical="center"/>
      <protection hidden="1"/>
    </xf>
    <xf numFmtId="0" fontId="11" fillId="0" borderId="19" xfId="7" applyFont="1" applyFill="1" applyBorder="1" applyAlignment="1" applyProtection="1">
      <alignment horizontal="center" vertical="center" wrapText="1"/>
      <protection hidden="1"/>
    </xf>
    <xf numFmtId="0" fontId="7" fillId="0" borderId="13" xfId="7" applyFont="1" applyFill="1" applyBorder="1" applyAlignment="1" applyProtection="1">
      <alignment horizontal="center" vertical="center"/>
      <protection hidden="1"/>
    </xf>
    <xf numFmtId="167" fontId="7" fillId="0" borderId="19" xfId="7" applyNumberFormat="1" applyFont="1" applyFill="1" applyBorder="1" applyAlignment="1" applyProtection="1">
      <alignment vertical="center"/>
      <protection hidden="1"/>
    </xf>
    <xf numFmtId="0" fontId="11" fillId="0" borderId="19" xfId="7" applyFont="1" applyFill="1" applyBorder="1" applyAlignment="1" applyProtection="1">
      <alignment vertical="center"/>
      <protection hidden="1"/>
    </xf>
    <xf numFmtId="9" fontId="7" fillId="0" borderId="13" xfId="16" applyFont="1" applyFill="1" applyBorder="1" applyAlignment="1" applyProtection="1">
      <alignment vertical="center"/>
      <protection hidden="1"/>
    </xf>
    <xf numFmtId="9" fontId="7" fillId="0" borderId="16" xfId="16" applyFont="1" applyFill="1" applyBorder="1" applyAlignment="1" applyProtection="1">
      <alignment vertical="center"/>
      <protection hidden="1"/>
    </xf>
    <xf numFmtId="0" fontId="7" fillId="0" borderId="16" xfId="7" applyFont="1" applyFill="1" applyBorder="1" applyAlignment="1" applyProtection="1">
      <alignment vertical="center"/>
      <protection hidden="1"/>
    </xf>
    <xf numFmtId="0" fontId="7" fillId="0" borderId="19" xfId="7" applyFont="1" applyFill="1" applyBorder="1" applyAlignment="1" applyProtection="1">
      <alignment vertical="center"/>
      <protection hidden="1"/>
    </xf>
    <xf numFmtId="174" fontId="11" fillId="0" borderId="16" xfId="7" applyNumberFormat="1" applyFont="1" applyFill="1" applyBorder="1" applyAlignment="1" applyProtection="1">
      <alignment horizontal="center" vertical="center"/>
      <protection hidden="1"/>
    </xf>
    <xf numFmtId="174" fontId="11" fillId="0" borderId="19" xfId="7" applyNumberFormat="1" applyFont="1" applyFill="1" applyBorder="1" applyAlignment="1" applyProtection="1">
      <alignment horizontal="center" vertical="center"/>
      <protection hidden="1"/>
    </xf>
    <xf numFmtId="167" fontId="11" fillId="0" borderId="23" xfId="1" applyNumberFormat="1" applyFont="1" applyFill="1" applyBorder="1" applyAlignment="1" applyProtection="1">
      <alignment vertical="center"/>
      <protection hidden="1"/>
    </xf>
    <xf numFmtId="10" fontId="0" fillId="0" borderId="0" xfId="0" applyNumberFormat="1" applyFill="1" applyBorder="1" applyAlignment="1" applyProtection="1">
      <alignment vertical="center"/>
      <protection hidden="1"/>
    </xf>
    <xf numFmtId="10" fontId="0" fillId="0" borderId="0" xfId="0" applyNumberFormat="1" applyFill="1" applyAlignment="1" applyProtection="1">
      <alignment vertical="center"/>
      <protection hidden="1"/>
    </xf>
    <xf numFmtId="0" fontId="7" fillId="0" borderId="9" xfId="0" applyFont="1" applyFill="1" applyBorder="1" applyAlignment="1" applyProtection="1">
      <alignment horizontal="center" vertical="center"/>
      <protection hidden="1"/>
    </xf>
    <xf numFmtId="0" fontId="0" fillId="0" borderId="9" xfId="0" applyFill="1" applyBorder="1" applyAlignment="1" applyProtection="1">
      <alignment horizontal="center" vertical="center"/>
      <protection hidden="1"/>
    </xf>
    <xf numFmtId="0" fontId="0" fillId="0" borderId="14" xfId="0" applyFill="1" applyBorder="1" applyAlignment="1" applyProtection="1">
      <alignment vertical="center"/>
      <protection hidden="1"/>
    </xf>
    <xf numFmtId="0" fontId="0" fillId="0" borderId="28" xfId="0" applyFill="1" applyBorder="1" applyAlignment="1" applyProtection="1">
      <alignment vertical="center"/>
      <protection hidden="1"/>
    </xf>
    <xf numFmtId="0" fontId="0" fillId="0" borderId="16" xfId="0" applyFill="1" applyBorder="1" applyAlignment="1" applyProtection="1">
      <alignment vertical="center"/>
      <protection hidden="1"/>
    </xf>
    <xf numFmtId="173" fontId="11" fillId="0" borderId="19" xfId="1" applyNumberFormat="1" applyFont="1" applyFill="1" applyBorder="1" applyAlignment="1" applyProtection="1">
      <alignment vertical="center"/>
      <protection hidden="1"/>
    </xf>
    <xf numFmtId="0" fontId="18" fillId="0" borderId="0" xfId="7" quotePrefix="1" applyFont="1" applyFill="1" applyBorder="1" applyAlignment="1" applyProtection="1">
      <alignment horizontal="center" vertical="center"/>
      <protection hidden="1"/>
    </xf>
    <xf numFmtId="172" fontId="18" fillId="0" borderId="0" xfId="7" applyNumberFormat="1" applyFont="1" applyFill="1" applyBorder="1" applyAlignment="1" applyProtection="1">
      <alignment horizontal="center" vertical="center"/>
      <protection hidden="1"/>
    </xf>
    <xf numFmtId="0" fontId="16" fillId="0" borderId="0" xfId="0" applyFont="1" applyAlignment="1">
      <alignment vertical="center"/>
    </xf>
    <xf numFmtId="0" fontId="12" fillId="0" borderId="0" xfId="0" applyFont="1" applyAlignment="1">
      <alignment vertical="center"/>
    </xf>
    <xf numFmtId="0" fontId="12" fillId="0" borderId="9" xfId="0" applyFont="1" applyBorder="1" applyAlignment="1">
      <alignment horizontal="center" vertical="center"/>
    </xf>
    <xf numFmtId="0" fontId="12" fillId="0" borderId="0" xfId="0" applyFont="1" applyAlignment="1">
      <alignment horizontal="center" vertical="center"/>
    </xf>
    <xf numFmtId="0" fontId="12" fillId="0" borderId="9" xfId="0" applyFont="1" applyBorder="1" applyAlignment="1">
      <alignment vertical="center"/>
    </xf>
    <xf numFmtId="0" fontId="12" fillId="0" borderId="9" xfId="0" applyFont="1" applyFill="1" applyBorder="1" applyAlignment="1">
      <alignment vertical="center"/>
    </xf>
    <xf numFmtId="0" fontId="12" fillId="0" borderId="9" xfId="0" applyFont="1" applyFill="1" applyBorder="1" applyAlignment="1">
      <alignment horizontal="center" vertical="center"/>
    </xf>
    <xf numFmtId="2" fontId="12" fillId="0" borderId="9" xfId="0" applyNumberFormat="1" applyFont="1" applyBorder="1" applyAlignment="1">
      <alignment vertical="center"/>
    </xf>
    <xf numFmtId="2" fontId="12" fillId="0" borderId="9" xfId="0" applyNumberFormat="1" applyFont="1" applyFill="1" applyBorder="1" applyAlignment="1">
      <alignment vertical="center"/>
    </xf>
    <xf numFmtId="0" fontId="11" fillId="0" borderId="16" xfId="0" applyFont="1" applyFill="1" applyBorder="1" applyAlignment="1" applyProtection="1">
      <alignment horizontal="center" vertical="center" wrapText="1"/>
    </xf>
    <xf numFmtId="0" fontId="7" fillId="0" borderId="13" xfId="0" applyFont="1" applyFill="1" applyBorder="1" applyAlignment="1" applyProtection="1">
      <alignment horizontal="left" vertical="center"/>
    </xf>
    <xf numFmtId="0" fontId="11" fillId="0" borderId="0" xfId="0" applyFont="1" applyFill="1" applyBorder="1" applyAlignment="1" applyProtection="1">
      <alignment vertical="center"/>
    </xf>
    <xf numFmtId="0" fontId="7" fillId="0" borderId="0" xfId="0" applyFont="1" applyFill="1" applyAlignment="1" applyProtection="1">
      <alignment vertical="center"/>
    </xf>
    <xf numFmtId="0" fontId="16" fillId="0" borderId="9" xfId="7" applyFont="1" applyFill="1" applyBorder="1" applyAlignment="1" applyProtection="1">
      <alignment horizontal="center" vertical="center" wrapText="1"/>
      <protection hidden="1"/>
    </xf>
    <xf numFmtId="0" fontId="7" fillId="0" borderId="0" xfId="0" applyFont="1" applyFill="1" applyAlignment="1" applyProtection="1">
      <alignment horizontal="center" vertical="center"/>
    </xf>
    <xf numFmtId="180" fontId="11" fillId="0" borderId="9" xfId="2" applyNumberFormat="1" applyFont="1" applyFill="1" applyBorder="1" applyAlignment="1" applyProtection="1">
      <alignment vertical="center"/>
      <protection hidden="1"/>
    </xf>
    <xf numFmtId="180" fontId="7" fillId="0" borderId="9" xfId="2" applyNumberFormat="1" applyFont="1" applyFill="1" applyBorder="1" applyAlignment="1" applyProtection="1">
      <alignment vertical="center"/>
      <protection hidden="1"/>
    </xf>
    <xf numFmtId="16" fontId="10" fillId="0" borderId="0" xfId="0" applyNumberFormat="1" applyFont="1" applyFill="1" applyBorder="1" applyAlignment="1" applyProtection="1">
      <alignment vertical="center"/>
    </xf>
    <xf numFmtId="14" fontId="10" fillId="0" borderId="0" xfId="0" applyNumberFormat="1" applyFont="1" applyFill="1" applyBorder="1" applyAlignment="1" applyProtection="1">
      <alignment vertical="center" wrapText="1"/>
    </xf>
    <xf numFmtId="0" fontId="10" fillId="0" borderId="0" xfId="0" applyFont="1" applyFill="1" applyBorder="1" applyAlignment="1" applyProtection="1">
      <alignment vertical="center"/>
    </xf>
    <xf numFmtId="0" fontId="8" fillId="0" borderId="0" xfId="0" applyFont="1" applyFill="1" applyBorder="1" applyAlignment="1" applyProtection="1">
      <alignment vertical="center"/>
    </xf>
    <xf numFmtId="0" fontId="8" fillId="0" borderId="0" xfId="0" applyFont="1" applyFill="1" applyAlignment="1" applyProtection="1">
      <alignment vertical="center"/>
    </xf>
    <xf numFmtId="14" fontId="10" fillId="0" borderId="5" xfId="0" applyNumberFormat="1" applyFont="1" applyFill="1" applyBorder="1" applyAlignment="1" applyProtection="1">
      <alignment vertical="center"/>
    </xf>
    <xf numFmtId="14" fontId="10" fillId="0" borderId="0" xfId="0" applyNumberFormat="1" applyFont="1" applyFill="1" applyBorder="1" applyAlignment="1" applyProtection="1">
      <alignment vertical="center"/>
    </xf>
    <xf numFmtId="0" fontId="10" fillId="0" borderId="0" xfId="0" applyFont="1" applyFill="1" applyBorder="1" applyAlignment="1" applyProtection="1">
      <alignment horizontal="center" vertical="center"/>
    </xf>
    <xf numFmtId="14" fontId="10" fillId="0" borderId="1" xfId="0" applyNumberFormat="1" applyFont="1" applyFill="1" applyBorder="1" applyAlignment="1" applyProtection="1">
      <alignment vertical="center"/>
    </xf>
    <xf numFmtId="0" fontId="10" fillId="0" borderId="5" xfId="0" applyFont="1" applyFill="1" applyBorder="1" applyAlignment="1" applyProtection="1">
      <alignment vertical="center"/>
    </xf>
    <xf numFmtId="0" fontId="8" fillId="0" borderId="0" xfId="0" applyFont="1" applyFill="1" applyBorder="1" applyAlignment="1" applyProtection="1">
      <alignment horizontal="center" vertical="center"/>
    </xf>
    <xf numFmtId="2" fontId="8" fillId="0" borderId="0" xfId="0" applyNumberFormat="1" applyFont="1" applyFill="1" applyBorder="1" applyAlignment="1" applyProtection="1">
      <alignment horizontal="right" vertical="center"/>
    </xf>
    <xf numFmtId="0" fontId="8" fillId="0" borderId="0" xfId="7" applyNumberFormat="1" applyFont="1" applyFill="1" applyBorder="1" applyAlignment="1" applyProtection="1">
      <alignment horizontal="left" vertical="center"/>
    </xf>
    <xf numFmtId="0" fontId="8" fillId="0" borderId="0" xfId="0" quotePrefix="1" applyNumberFormat="1" applyFont="1" applyFill="1" applyBorder="1" applyAlignment="1" applyProtection="1">
      <alignment horizontal="left" vertical="center"/>
    </xf>
    <xf numFmtId="178" fontId="8" fillId="0" borderId="1" xfId="0" applyNumberFormat="1" applyFont="1" applyFill="1" applyBorder="1" applyAlignment="1" applyProtection="1">
      <alignment horizontal="center" vertical="center"/>
    </xf>
    <xf numFmtId="0" fontId="8" fillId="0" borderId="10" xfId="0" applyFont="1" applyFill="1" applyBorder="1" applyAlignment="1" applyProtection="1">
      <alignment horizontal="center" vertical="center" wrapText="1"/>
    </xf>
    <xf numFmtId="0" fontId="8" fillId="0" borderId="9" xfId="0" applyFont="1" applyFill="1" applyBorder="1" applyAlignment="1" applyProtection="1">
      <alignment horizontal="center" vertical="center" wrapText="1"/>
    </xf>
    <xf numFmtId="0" fontId="8" fillId="0" borderId="5" xfId="0" applyFont="1" applyFill="1" applyBorder="1" applyAlignment="1" applyProtection="1">
      <alignment vertical="center"/>
    </xf>
    <xf numFmtId="0" fontId="11" fillId="0" borderId="0" xfId="0" applyFont="1" applyFill="1" applyBorder="1" applyAlignment="1" applyProtection="1">
      <alignment horizontal="center" vertical="center"/>
    </xf>
    <xf numFmtId="0" fontId="8" fillId="0" borderId="20" xfId="0" applyFont="1" applyFill="1" applyBorder="1" applyAlignment="1" applyProtection="1">
      <alignment horizontal="center" vertical="center"/>
    </xf>
    <xf numFmtId="0" fontId="8" fillId="0" borderId="18" xfId="0" applyFont="1" applyFill="1" applyBorder="1" applyAlignment="1" applyProtection="1">
      <alignment horizontal="center" vertical="center"/>
    </xf>
    <xf numFmtId="0" fontId="8" fillId="0" borderId="18" xfId="0" applyFont="1" applyFill="1" applyBorder="1" applyAlignment="1" applyProtection="1">
      <alignment vertical="center"/>
    </xf>
    <xf numFmtId="2" fontId="8" fillId="0" borderId="18" xfId="0" applyNumberFormat="1" applyFont="1" applyFill="1" applyBorder="1" applyAlignment="1" applyProtection="1">
      <alignment horizontal="right" vertical="center"/>
    </xf>
    <xf numFmtId="9" fontId="7" fillId="0" borderId="13" xfId="16" applyNumberFormat="1" applyFont="1" applyFill="1" applyBorder="1" applyAlignment="1" applyProtection="1">
      <alignment vertical="center"/>
      <protection locked="0"/>
    </xf>
    <xf numFmtId="0" fontId="7" fillId="0" borderId="9" xfId="7" applyFont="1" applyFill="1" applyBorder="1" applyAlignment="1" applyProtection="1">
      <alignment vertical="center"/>
      <protection locked="0"/>
    </xf>
    <xf numFmtId="0" fontId="7" fillId="0" borderId="13" xfId="7" applyFont="1" applyFill="1" applyBorder="1" applyAlignment="1" applyProtection="1">
      <alignment vertical="center"/>
      <protection locked="0"/>
    </xf>
    <xf numFmtId="0" fontId="0" fillId="0" borderId="0" xfId="0" applyFill="1" applyBorder="1" applyAlignment="1" applyProtection="1">
      <alignment vertical="center"/>
      <protection locked="0"/>
    </xf>
    <xf numFmtId="0" fontId="7" fillId="0" borderId="0" xfId="7" applyFill="1" applyBorder="1" applyAlignment="1" applyProtection="1">
      <alignment vertical="center"/>
      <protection locked="0"/>
    </xf>
    <xf numFmtId="0" fontId="0" fillId="0" borderId="0" xfId="0" applyFill="1" applyAlignment="1" applyProtection="1">
      <alignment vertical="center"/>
      <protection locked="0"/>
    </xf>
    <xf numFmtId="0" fontId="12" fillId="0" borderId="0" xfId="7" applyFont="1" applyFill="1" applyAlignment="1" applyProtection="1">
      <alignment vertical="center"/>
      <protection locked="0"/>
    </xf>
    <xf numFmtId="0" fontId="12" fillId="0" borderId="0" xfId="7" applyFont="1" applyFill="1" applyBorder="1" applyAlignment="1" applyProtection="1">
      <alignment vertical="center"/>
      <protection locked="0"/>
    </xf>
    <xf numFmtId="0" fontId="7" fillId="0" borderId="0" xfId="0" applyFont="1" applyFill="1" applyBorder="1" applyAlignment="1" applyProtection="1">
      <alignment vertical="center"/>
    </xf>
    <xf numFmtId="0" fontId="11" fillId="0" borderId="0" xfId="7" applyFont="1" applyFill="1" applyBorder="1" applyAlignment="1" applyProtection="1">
      <alignment vertical="center"/>
    </xf>
    <xf numFmtId="0" fontId="7" fillId="0" borderId="0" xfId="7" applyFont="1" applyFill="1" applyBorder="1" applyAlignment="1" applyProtection="1">
      <alignment vertical="center"/>
    </xf>
    <xf numFmtId="0" fontId="11" fillId="4" borderId="0" xfId="0" applyFont="1" applyFill="1" applyBorder="1" applyAlignment="1" applyProtection="1">
      <alignment vertical="center"/>
    </xf>
    <xf numFmtId="0" fontId="11" fillId="0" borderId="0" xfId="7" applyFont="1" applyFill="1" applyBorder="1" applyAlignment="1" applyProtection="1">
      <alignment vertical="center" shrinkToFit="1"/>
    </xf>
    <xf numFmtId="0" fontId="11" fillId="4" borderId="0" xfId="7" applyFont="1" applyFill="1" applyBorder="1" applyAlignment="1" applyProtection="1">
      <alignment vertical="center" shrinkToFit="1"/>
    </xf>
    <xf numFmtId="49" fontId="7" fillId="4" borderId="0" xfId="7" quotePrefix="1" applyNumberFormat="1" applyFont="1" applyFill="1" applyBorder="1" applyAlignment="1" applyProtection="1">
      <alignment horizontal="center" vertical="center"/>
    </xf>
    <xf numFmtId="0" fontId="7" fillId="4" borderId="0" xfId="7" applyFont="1" applyFill="1" applyBorder="1" applyAlignment="1" applyProtection="1">
      <alignment horizontal="center" vertical="center"/>
    </xf>
    <xf numFmtId="166" fontId="11" fillId="4" borderId="0" xfId="7" applyNumberFormat="1" applyFont="1" applyFill="1" applyBorder="1" applyAlignment="1" applyProtection="1">
      <alignment horizontal="center" vertical="center"/>
    </xf>
    <xf numFmtId="9" fontId="7" fillId="4" borderId="0" xfId="1" applyFont="1" applyFill="1" applyBorder="1" applyAlignment="1" applyProtection="1">
      <alignment horizontal="center" vertical="center"/>
    </xf>
    <xf numFmtId="14" fontId="7" fillId="4" borderId="0" xfId="7" applyNumberFormat="1" applyFont="1" applyFill="1" applyBorder="1" applyAlignment="1" applyProtection="1">
      <alignment horizontal="center" vertical="center"/>
    </xf>
    <xf numFmtId="172" fontId="7" fillId="4" borderId="0" xfId="7" applyNumberFormat="1" applyFont="1" applyFill="1" applyBorder="1" applyAlignment="1" applyProtection="1">
      <alignment horizontal="center" vertical="center"/>
    </xf>
    <xf numFmtId="172" fontId="7" fillId="0" borderId="0" xfId="7" applyNumberFormat="1" applyFont="1" applyFill="1" applyBorder="1" applyAlignment="1" applyProtection="1">
      <alignment horizontal="center" vertical="center"/>
    </xf>
    <xf numFmtId="10" fontId="7" fillId="0" borderId="0" xfId="1" applyNumberFormat="1" applyFont="1" applyFill="1" applyBorder="1" applyAlignment="1" applyProtection="1">
      <alignment horizontal="center" vertical="center"/>
    </xf>
    <xf numFmtId="164" fontId="7" fillId="0" borderId="0" xfId="0" applyNumberFormat="1" applyFont="1" applyFill="1" applyAlignment="1" applyProtection="1">
      <alignment vertical="center"/>
    </xf>
    <xf numFmtId="0" fontId="7" fillId="0" borderId="13" xfId="0" applyFont="1" applyFill="1" applyBorder="1" applyAlignment="1" applyProtection="1">
      <alignment vertical="center"/>
    </xf>
    <xf numFmtId="4" fontId="7" fillId="3" borderId="9" xfId="0" applyNumberFormat="1" applyFont="1" applyFill="1" applyBorder="1" applyAlignment="1" applyProtection="1">
      <alignment vertical="center"/>
      <protection locked="0"/>
    </xf>
    <xf numFmtId="2" fontId="7" fillId="0" borderId="0" xfId="0" applyNumberFormat="1" applyFont="1" applyFill="1" applyAlignment="1" applyProtection="1">
      <alignment vertical="center"/>
    </xf>
    <xf numFmtId="178" fontId="7" fillId="0" borderId="0" xfId="0" applyNumberFormat="1" applyFont="1" applyFill="1" applyAlignment="1" applyProtection="1">
      <alignment vertical="center"/>
    </xf>
    <xf numFmtId="0" fontId="13" fillId="0" borderId="0" xfId="0" applyFont="1" applyAlignment="1">
      <alignment horizontal="center" vertical="center"/>
    </xf>
    <xf numFmtId="0" fontId="0" fillId="0" borderId="0" xfId="0" applyAlignment="1">
      <alignment horizontal="center" vertical="center"/>
    </xf>
    <xf numFmtId="0" fontId="18" fillId="0" borderId="0" xfId="0" applyFont="1" applyFill="1" applyAlignment="1" applyProtection="1">
      <alignment vertical="center" wrapText="1"/>
    </xf>
    <xf numFmtId="0" fontId="18" fillId="0" borderId="0" xfId="0" applyFont="1" applyFill="1" applyAlignment="1" applyProtection="1">
      <alignment horizontal="center" vertical="center" wrapText="1"/>
    </xf>
    <xf numFmtId="0" fontId="10" fillId="0" borderId="2" xfId="0" applyFont="1" applyFill="1" applyBorder="1" applyAlignment="1" applyProtection="1">
      <alignment horizontal="centerContinuous" vertical="center"/>
    </xf>
    <xf numFmtId="0" fontId="10" fillId="0" borderId="3" xfId="0" applyFont="1" applyFill="1" applyBorder="1" applyAlignment="1" applyProtection="1">
      <alignment horizontal="centerContinuous" vertical="center"/>
    </xf>
    <xf numFmtId="0" fontId="10" fillId="0" borderId="4" xfId="0" applyFont="1" applyFill="1" applyBorder="1" applyAlignment="1" applyProtection="1">
      <alignment horizontal="centerContinuous" vertical="center"/>
    </xf>
    <xf numFmtId="179" fontId="12" fillId="0" borderId="9" xfId="49" applyNumberFormat="1" applyFont="1" applyFill="1" applyBorder="1" applyAlignment="1" applyProtection="1">
      <alignment vertical="center"/>
    </xf>
    <xf numFmtId="0" fontId="7" fillId="0" borderId="13" xfId="6" applyFont="1" applyFill="1" applyBorder="1" applyAlignment="1" applyProtection="1">
      <alignment horizontal="left" vertical="center"/>
      <protection locked="0"/>
    </xf>
    <xf numFmtId="10" fontId="7" fillId="0" borderId="19" xfId="1" applyNumberFormat="1" applyFont="1" applyFill="1" applyBorder="1" applyAlignment="1" applyProtection="1">
      <alignment horizontal="left" vertical="center"/>
      <protection locked="0"/>
    </xf>
    <xf numFmtId="166" fontId="7" fillId="0" borderId="9" xfId="49" applyFont="1" applyFill="1" applyBorder="1" applyAlignment="1" applyProtection="1">
      <alignment vertical="center"/>
      <protection hidden="1"/>
    </xf>
    <xf numFmtId="0" fontId="7" fillId="0" borderId="19" xfId="6" applyFont="1" applyFill="1" applyBorder="1" applyAlignment="1" applyProtection="1">
      <alignment horizontal="left" vertical="center"/>
      <protection locked="0"/>
    </xf>
    <xf numFmtId="0" fontId="7" fillId="0" borderId="13" xfId="0" applyFont="1" applyFill="1" applyBorder="1" applyAlignment="1" applyProtection="1">
      <alignment vertical="center"/>
      <protection locked="0"/>
    </xf>
    <xf numFmtId="0" fontId="7" fillId="0" borderId="19" xfId="0" applyFont="1" applyFill="1" applyBorder="1" applyAlignment="1" applyProtection="1">
      <alignment vertical="center"/>
      <protection locked="0"/>
    </xf>
    <xf numFmtId="166" fontId="7" fillId="0" borderId="9" xfId="0" applyNumberFormat="1" applyFont="1" applyFill="1" applyBorder="1" applyAlignment="1" applyProtection="1">
      <alignment vertical="center"/>
      <protection locked="0"/>
    </xf>
    <xf numFmtId="9" fontId="7" fillId="0" borderId="0" xfId="1" applyFont="1" applyFill="1" applyAlignment="1" applyProtection="1">
      <alignment vertical="center"/>
    </xf>
    <xf numFmtId="0" fontId="11" fillId="0" borderId="16" xfId="0" applyFont="1" applyFill="1" applyBorder="1" applyAlignment="1" applyProtection="1">
      <alignment horizontal="center" vertical="center"/>
    </xf>
    <xf numFmtId="0" fontId="11" fillId="0" borderId="9" xfId="0" applyFont="1" applyFill="1" applyBorder="1" applyAlignment="1" applyProtection="1">
      <alignment horizontal="center" vertical="center" wrapText="1"/>
    </xf>
    <xf numFmtId="49" fontId="7" fillId="0" borderId="0" xfId="0" applyNumberFormat="1" applyFont="1" applyFill="1" applyAlignment="1" applyProtection="1">
      <alignment vertical="center"/>
    </xf>
    <xf numFmtId="49" fontId="11" fillId="0" borderId="0" xfId="0" applyNumberFormat="1" applyFont="1" applyFill="1" applyBorder="1" applyAlignment="1" applyProtection="1">
      <alignment vertical="center"/>
    </xf>
    <xf numFmtId="49" fontId="11" fillId="0" borderId="0" xfId="7" applyNumberFormat="1" applyFont="1" applyFill="1" applyBorder="1" applyAlignment="1" applyProtection="1">
      <alignment vertical="center" shrinkToFit="1"/>
    </xf>
    <xf numFmtId="49" fontId="7" fillId="0" borderId="0" xfId="7" applyNumberFormat="1" applyFont="1" applyFill="1" applyBorder="1" applyAlignment="1" applyProtection="1">
      <alignment vertical="center"/>
    </xf>
    <xf numFmtId="49" fontId="11" fillId="0" borderId="0" xfId="0" applyNumberFormat="1" applyFont="1" applyFill="1" applyBorder="1" applyAlignment="1" applyProtection="1">
      <alignment horizontal="right" vertical="center"/>
    </xf>
    <xf numFmtId="49" fontId="11" fillId="0" borderId="16" xfId="0" applyNumberFormat="1" applyFont="1" applyFill="1" applyBorder="1" applyAlignment="1" applyProtection="1">
      <alignment horizontal="center" vertical="center" wrapText="1"/>
    </xf>
    <xf numFmtId="49" fontId="7" fillId="0" borderId="9" xfId="0" applyNumberFormat="1" applyFont="1" applyFill="1" applyBorder="1" applyAlignment="1" applyProtection="1">
      <alignment horizontal="center" vertical="center"/>
    </xf>
    <xf numFmtId="0" fontId="11" fillId="0" borderId="0" xfId="0" applyFont="1" applyFill="1" applyBorder="1" applyAlignment="1" applyProtection="1">
      <alignment horizontal="center" vertical="center" wrapText="1"/>
    </xf>
    <xf numFmtId="0" fontId="7" fillId="0" borderId="0" xfId="0" applyFont="1" applyFill="1" applyAlignment="1" applyProtection="1">
      <alignment horizontal="center" vertical="center"/>
      <protection hidden="1"/>
    </xf>
    <xf numFmtId="0" fontId="7" fillId="0" borderId="0" xfId="0" applyFont="1" applyFill="1" applyBorder="1" applyAlignment="1" applyProtection="1">
      <alignment horizontal="center" vertical="center"/>
      <protection hidden="1"/>
    </xf>
    <xf numFmtId="0" fontId="7" fillId="0" borderId="0" xfId="7" applyFont="1" applyFill="1" applyBorder="1" applyAlignment="1" applyProtection="1">
      <alignment horizontal="center" vertical="center"/>
      <protection hidden="1"/>
    </xf>
    <xf numFmtId="0" fontId="7" fillId="0" borderId="9" xfId="0" applyNumberFormat="1" applyFont="1" applyFill="1" applyBorder="1" applyAlignment="1" applyProtection="1">
      <alignment horizontal="center" vertical="center"/>
    </xf>
    <xf numFmtId="0" fontId="18" fillId="0" borderId="0" xfId="0" applyFont="1" applyFill="1" applyAlignment="1" applyProtection="1">
      <alignment wrapText="1"/>
    </xf>
    <xf numFmtId="0" fontId="13" fillId="0" borderId="0" xfId="0" applyFont="1" applyFill="1" applyBorder="1" applyAlignment="1" applyProtection="1">
      <alignment vertical="center"/>
    </xf>
    <xf numFmtId="0" fontId="0" fillId="0" borderId="0" xfId="0" applyFill="1" applyBorder="1" applyAlignment="1" applyProtection="1">
      <alignment vertical="center"/>
    </xf>
    <xf numFmtId="0" fontId="9" fillId="0" borderId="0" xfId="0" applyFont="1" applyFill="1" applyBorder="1" applyAlignment="1" applyProtection="1">
      <alignment vertical="center"/>
    </xf>
    <xf numFmtId="0" fontId="13" fillId="0" borderId="0" xfId="7" applyFont="1" applyFill="1" applyBorder="1" applyAlignment="1" applyProtection="1">
      <alignment vertical="center"/>
    </xf>
    <xf numFmtId="0" fontId="13" fillId="0" borderId="0" xfId="7" applyFont="1" applyFill="1" applyBorder="1" applyAlignment="1" applyProtection="1">
      <alignment vertical="center" shrinkToFit="1"/>
    </xf>
    <xf numFmtId="0" fontId="7" fillId="0" borderId="0" xfId="7" applyFill="1" applyBorder="1" applyAlignment="1" applyProtection="1">
      <alignment vertical="center"/>
    </xf>
    <xf numFmtId="0" fontId="13" fillId="0" borderId="0" xfId="7" applyFont="1" applyFill="1" applyBorder="1" applyAlignment="1" applyProtection="1">
      <alignment horizontal="left" vertical="center" shrinkToFit="1"/>
    </xf>
    <xf numFmtId="0" fontId="18" fillId="0" borderId="0" xfId="7" applyFont="1" applyFill="1" applyBorder="1" applyAlignment="1" applyProtection="1">
      <alignment vertical="center"/>
    </xf>
    <xf numFmtId="0" fontId="18" fillId="0" borderId="0" xfId="7" quotePrefix="1" applyNumberFormat="1" applyFont="1" applyFill="1" applyBorder="1" applyAlignment="1" applyProtection="1">
      <alignment horizontal="center" vertical="center"/>
    </xf>
    <xf numFmtId="0" fontId="18" fillId="0" borderId="0" xfId="7" applyFont="1" applyFill="1" applyBorder="1" applyAlignment="1" applyProtection="1">
      <alignment horizontal="left" vertical="center"/>
    </xf>
    <xf numFmtId="166" fontId="13" fillId="0" borderId="0" xfId="7" applyNumberFormat="1" applyFont="1" applyFill="1" applyBorder="1" applyAlignment="1" applyProtection="1">
      <alignment horizontal="center" vertical="center"/>
    </xf>
    <xf numFmtId="9" fontId="18" fillId="0" borderId="0" xfId="1" applyFont="1" applyFill="1" applyBorder="1" applyAlignment="1" applyProtection="1">
      <alignment horizontal="center" vertical="center"/>
    </xf>
    <xf numFmtId="14" fontId="18" fillId="0" borderId="0" xfId="7" applyNumberFormat="1" applyFont="1" applyFill="1" applyBorder="1" applyAlignment="1" applyProtection="1">
      <alignment horizontal="center" vertical="center"/>
    </xf>
    <xf numFmtId="172" fontId="18" fillId="0" borderId="0" xfId="7" applyNumberFormat="1" applyFont="1" applyFill="1" applyBorder="1" applyAlignment="1" applyProtection="1">
      <alignment horizontal="center" vertical="center"/>
    </xf>
    <xf numFmtId="166" fontId="18" fillId="0" borderId="0" xfId="7" applyNumberFormat="1" applyFont="1" applyFill="1" applyBorder="1" applyAlignment="1" applyProtection="1">
      <alignment horizontal="center" vertical="center"/>
    </xf>
    <xf numFmtId="0" fontId="0" fillId="0" borderId="0" xfId="0" applyFill="1" applyAlignment="1" applyProtection="1">
      <alignment vertical="center"/>
    </xf>
    <xf numFmtId="0" fontId="14" fillId="0" borderId="13" xfId="0" applyFont="1" applyFill="1" applyBorder="1" applyAlignment="1" applyProtection="1">
      <alignment horizontal="centerContinuous" vertical="center"/>
    </xf>
    <xf numFmtId="0" fontId="14" fillId="0" borderId="16" xfId="0" applyFont="1" applyFill="1" applyBorder="1" applyAlignment="1" applyProtection="1">
      <alignment horizontal="centerContinuous" vertical="center"/>
    </xf>
    <xf numFmtId="0" fontId="0" fillId="0" borderId="16" xfId="0" applyFill="1" applyBorder="1" applyAlignment="1" applyProtection="1">
      <alignment horizontal="centerContinuous" vertical="center"/>
    </xf>
    <xf numFmtId="0" fontId="14" fillId="0" borderId="19" xfId="0" applyFont="1" applyFill="1" applyBorder="1" applyAlignment="1" applyProtection="1">
      <alignment horizontal="centerContinuous" vertical="center"/>
    </xf>
    <xf numFmtId="0" fontId="11" fillId="0" borderId="19" xfId="0" applyFont="1" applyFill="1" applyBorder="1" applyAlignment="1" applyProtection="1">
      <alignment horizontal="center" vertical="center" wrapText="1"/>
    </xf>
    <xf numFmtId="0" fontId="7" fillId="0" borderId="19" xfId="0" applyFont="1" applyFill="1" applyBorder="1" applyAlignment="1" applyProtection="1">
      <alignment horizontal="left" vertical="center" wrapText="1"/>
    </xf>
    <xf numFmtId="4" fontId="7" fillId="0" borderId="9" xfId="0" applyNumberFormat="1" applyFont="1" applyFill="1" applyBorder="1" applyAlignment="1" applyProtection="1">
      <alignment horizontal="center" vertical="center"/>
    </xf>
    <xf numFmtId="2" fontId="7" fillId="0" borderId="13" xfId="0" applyNumberFormat="1" applyFont="1" applyFill="1" applyBorder="1" applyAlignment="1" applyProtection="1">
      <alignment horizontal="right" vertical="center" indent="1"/>
    </xf>
    <xf numFmtId="179" fontId="7" fillId="0" borderId="9" xfId="2" applyNumberFormat="1" applyFont="1" applyFill="1" applyBorder="1" applyAlignment="1" applyProtection="1">
      <alignment vertical="center"/>
    </xf>
    <xf numFmtId="167" fontId="7" fillId="0" borderId="9" xfId="1" applyNumberFormat="1" applyFont="1" applyFill="1" applyBorder="1" applyAlignment="1" applyProtection="1">
      <alignment vertical="center"/>
    </xf>
    <xf numFmtId="49" fontId="7" fillId="0" borderId="16" xfId="0" applyNumberFormat="1" applyFont="1" applyFill="1" applyBorder="1" applyAlignment="1" applyProtection="1">
      <alignment horizontal="center" vertical="center"/>
    </xf>
    <xf numFmtId="0" fontId="7" fillId="0" borderId="16" xfId="0" applyFont="1" applyFill="1" applyBorder="1" applyAlignment="1" applyProtection="1">
      <alignment horizontal="left" vertical="center"/>
    </xf>
    <xf numFmtId="0" fontId="7" fillId="0" borderId="16" xfId="0" applyFont="1" applyFill="1" applyBorder="1" applyAlignment="1" applyProtection="1">
      <alignment horizontal="left" vertical="center" wrapText="1"/>
    </xf>
    <xf numFmtId="4" fontId="7" fillId="0" borderId="16" xfId="0" applyNumberFormat="1" applyFont="1" applyFill="1" applyBorder="1" applyAlignment="1" applyProtection="1">
      <alignment horizontal="center" vertical="center"/>
    </xf>
    <xf numFmtId="4" fontId="7" fillId="0" borderId="16" xfId="0" applyNumberFormat="1" applyFont="1" applyFill="1" applyBorder="1" applyAlignment="1" applyProtection="1">
      <alignment vertical="center"/>
    </xf>
    <xf numFmtId="166" fontId="7" fillId="0" borderId="16" xfId="0" applyNumberFormat="1" applyFont="1" applyFill="1" applyBorder="1" applyAlignment="1" applyProtection="1">
      <alignment vertical="center"/>
    </xf>
    <xf numFmtId="167" fontId="7" fillId="0" borderId="19" xfId="1" applyNumberFormat="1" applyFont="1" applyFill="1" applyBorder="1" applyAlignment="1" applyProtection="1">
      <alignment vertical="center"/>
    </xf>
    <xf numFmtId="0" fontId="12" fillId="0" borderId="24" xfId="0" applyFont="1" applyFill="1" applyBorder="1" applyAlignment="1" applyProtection="1">
      <alignment horizontal="center" vertical="center"/>
    </xf>
    <xf numFmtId="0" fontId="11" fillId="0" borderId="24" xfId="0" applyFont="1" applyFill="1" applyBorder="1" applyAlignment="1" applyProtection="1">
      <alignment horizontal="center" vertical="center"/>
    </xf>
    <xf numFmtId="167" fontId="11" fillId="0" borderId="9" xfId="1" applyNumberFormat="1" applyFont="1" applyFill="1" applyBorder="1" applyAlignment="1" applyProtection="1">
      <alignment vertical="center"/>
    </xf>
    <xf numFmtId="166" fontId="0" fillId="0" borderId="0" xfId="0" applyNumberFormat="1" applyFill="1" applyAlignment="1" applyProtection="1">
      <alignment vertical="center"/>
    </xf>
    <xf numFmtId="0" fontId="11" fillId="0" borderId="2" xfId="0" applyFont="1" applyFill="1" applyBorder="1" applyAlignment="1" applyProtection="1">
      <alignment horizontal="center" vertical="center"/>
    </xf>
    <xf numFmtId="0" fontId="11" fillId="0" borderId="3" xfId="0" applyFont="1" applyFill="1" applyBorder="1" applyAlignment="1" applyProtection="1">
      <alignment horizontal="left" vertical="center"/>
    </xf>
    <xf numFmtId="0" fontId="13" fillId="0" borderId="3" xfId="0" applyFont="1" applyFill="1" applyBorder="1" applyAlignment="1" applyProtection="1">
      <alignment horizontal="left" vertical="center"/>
    </xf>
    <xf numFmtId="0" fontId="11" fillId="0" borderId="3" xfId="0" applyFont="1" applyFill="1" applyBorder="1" applyAlignment="1" applyProtection="1">
      <alignment horizontal="right" vertical="center"/>
    </xf>
    <xf numFmtId="0" fontId="0" fillId="0" borderId="3" xfId="0" applyFill="1" applyBorder="1" applyAlignment="1" applyProtection="1">
      <alignment vertical="center"/>
    </xf>
    <xf numFmtId="0" fontId="11" fillId="0" borderId="3" xfId="0" applyFont="1" applyFill="1" applyBorder="1" applyAlignment="1" applyProtection="1">
      <alignment vertical="center"/>
    </xf>
    <xf numFmtId="166" fontId="11" fillId="0" borderId="4" xfId="0" applyNumberFormat="1" applyFont="1" applyFill="1" applyBorder="1" applyAlignment="1" applyProtection="1">
      <alignment vertical="center"/>
    </xf>
    <xf numFmtId="44" fontId="11" fillId="0" borderId="0" xfId="0" applyNumberFormat="1" applyFont="1" applyFill="1" applyBorder="1" applyAlignment="1" applyProtection="1">
      <alignment horizontal="right" vertical="center"/>
    </xf>
    <xf numFmtId="0" fontId="11" fillId="0" borderId="5" xfId="0" applyFont="1" applyFill="1" applyBorder="1" applyAlignment="1" applyProtection="1">
      <alignment horizontal="center" vertical="center"/>
    </xf>
    <xf numFmtId="10" fontId="11" fillId="0" borderId="0" xfId="0" applyNumberFormat="1" applyFont="1" applyFill="1" applyBorder="1" applyAlignment="1" applyProtection="1">
      <alignment horizontal="left" vertical="center"/>
    </xf>
    <xf numFmtId="10" fontId="11" fillId="0" borderId="0" xfId="0" applyNumberFormat="1" applyFont="1" applyFill="1" applyBorder="1" applyAlignment="1" applyProtection="1">
      <alignment horizontal="right" vertical="center"/>
    </xf>
    <xf numFmtId="10" fontId="0" fillId="0" borderId="0" xfId="1" applyNumberFormat="1" applyFont="1" applyFill="1" applyBorder="1" applyAlignment="1" applyProtection="1">
      <alignment vertical="center"/>
    </xf>
    <xf numFmtId="166" fontId="11" fillId="0" borderId="1" xfId="0" applyNumberFormat="1" applyFont="1" applyFill="1" applyBorder="1" applyAlignment="1" applyProtection="1">
      <alignment vertical="center"/>
    </xf>
    <xf numFmtId="0" fontId="11" fillId="0" borderId="0" xfId="0" applyFont="1" applyFill="1" applyBorder="1" applyAlignment="1" applyProtection="1">
      <alignment horizontal="left" vertical="center"/>
    </xf>
    <xf numFmtId="0" fontId="13" fillId="0" borderId="0" xfId="0" applyFont="1" applyFill="1" applyBorder="1" applyAlignment="1" applyProtection="1">
      <alignment horizontal="left" vertical="center"/>
    </xf>
    <xf numFmtId="0" fontId="11" fillId="0" borderId="6" xfId="0" applyFont="1" applyFill="1" applyBorder="1" applyAlignment="1" applyProtection="1">
      <alignment horizontal="center" vertical="center"/>
    </xf>
    <xf numFmtId="10" fontId="11" fillId="0" borderId="7" xfId="0" applyNumberFormat="1" applyFont="1" applyFill="1" applyBorder="1" applyAlignment="1" applyProtection="1">
      <alignment horizontal="left" vertical="center"/>
    </xf>
    <xf numFmtId="10" fontId="11" fillId="0" borderId="7" xfId="0" applyNumberFormat="1" applyFont="1" applyFill="1" applyBorder="1" applyAlignment="1" applyProtection="1">
      <alignment horizontal="right" vertical="center"/>
    </xf>
    <xf numFmtId="10" fontId="0" fillId="0" borderId="7" xfId="1" applyNumberFormat="1" applyFont="1" applyFill="1" applyBorder="1" applyAlignment="1" applyProtection="1">
      <alignment vertical="center"/>
    </xf>
    <xf numFmtId="0" fontId="11" fillId="0" borderId="7" xfId="0" applyFont="1" applyFill="1" applyBorder="1" applyAlignment="1" applyProtection="1">
      <alignment vertical="center"/>
    </xf>
    <xf numFmtId="0" fontId="0" fillId="0" borderId="7" xfId="0" applyFill="1" applyBorder="1" applyAlignment="1" applyProtection="1">
      <alignment vertical="center"/>
    </xf>
    <xf numFmtId="166" fontId="11" fillId="0" borderId="8" xfId="0" applyNumberFormat="1" applyFont="1" applyFill="1" applyBorder="1" applyAlignment="1" applyProtection="1">
      <alignment vertical="center"/>
    </xf>
    <xf numFmtId="0" fontId="13" fillId="0" borderId="0" xfId="0" applyFont="1" applyFill="1" applyBorder="1" applyAlignment="1" applyProtection="1">
      <alignment horizontal="right" vertical="center"/>
    </xf>
    <xf numFmtId="166" fontId="11" fillId="0" borderId="0" xfId="0" applyNumberFormat="1" applyFont="1" applyFill="1" applyBorder="1" applyAlignment="1" applyProtection="1">
      <alignment vertical="center"/>
    </xf>
    <xf numFmtId="0" fontId="9" fillId="0" borderId="0" xfId="0" applyFont="1" applyFill="1" applyBorder="1" applyAlignment="1" applyProtection="1">
      <alignment horizontal="left" vertical="center"/>
    </xf>
    <xf numFmtId="0" fontId="0" fillId="0" borderId="0" xfId="0" applyFill="1" applyAlignment="1" applyProtection="1">
      <alignment horizontal="right" vertical="center"/>
    </xf>
    <xf numFmtId="2" fontId="7" fillId="0" borderId="0" xfId="0" applyNumberFormat="1" applyFont="1" applyFill="1" applyBorder="1" applyAlignment="1" applyProtection="1">
      <alignment vertical="center"/>
    </xf>
    <xf numFmtId="0" fontId="7" fillId="4" borderId="9" xfId="0" applyFont="1" applyFill="1" applyBorder="1" applyAlignment="1" applyProtection="1">
      <alignment vertical="center"/>
    </xf>
    <xf numFmtId="0" fontId="7" fillId="4" borderId="0" xfId="0" applyFont="1" applyFill="1" applyAlignment="1" applyProtection="1">
      <alignment vertical="center"/>
    </xf>
    <xf numFmtId="4" fontId="7" fillId="0" borderId="0" xfId="0" applyNumberFormat="1" applyFont="1" applyFill="1" applyBorder="1" applyAlignment="1" applyProtection="1">
      <alignment vertical="center"/>
    </xf>
    <xf numFmtId="0" fontId="11" fillId="3" borderId="0" xfId="7" applyFont="1" applyFill="1" applyBorder="1" applyAlignment="1" applyProtection="1">
      <alignment horizontal="center" vertical="center"/>
      <protection locked="0"/>
    </xf>
    <xf numFmtId="10" fontId="7" fillId="3" borderId="0" xfId="1" applyNumberFormat="1" applyFont="1" applyFill="1" applyBorder="1" applyAlignment="1" applyProtection="1">
      <alignment horizontal="center" vertical="center"/>
      <protection locked="0"/>
    </xf>
    <xf numFmtId="0" fontId="8" fillId="0" borderId="9" xfId="0" applyFont="1" applyFill="1" applyBorder="1" applyAlignment="1" applyProtection="1">
      <alignment vertical="center"/>
      <protection locked="0"/>
    </xf>
    <xf numFmtId="0" fontId="8" fillId="0" borderId="9" xfId="5" applyFont="1" applyFill="1" applyBorder="1" applyAlignment="1" applyProtection="1">
      <alignment horizontal="left" vertical="center"/>
      <protection locked="0"/>
    </xf>
    <xf numFmtId="0" fontId="8" fillId="0" borderId="9" xfId="0" applyFont="1" applyFill="1" applyBorder="1" applyAlignment="1" applyProtection="1">
      <alignment horizontal="center" vertical="center"/>
      <protection locked="0"/>
    </xf>
    <xf numFmtId="2" fontId="8" fillId="0" borderId="9" xfId="0" applyNumberFormat="1" applyFont="1" applyFill="1" applyBorder="1" applyAlignment="1" applyProtection="1">
      <alignment horizontal="right" vertical="center"/>
      <protection locked="0"/>
    </xf>
    <xf numFmtId="0" fontId="8" fillId="0" borderId="0" xfId="0" applyFont="1" applyFill="1" applyAlignment="1" applyProtection="1">
      <alignment vertical="center"/>
      <protection locked="0"/>
    </xf>
    <xf numFmtId="0" fontId="8" fillId="0" borderId="0" xfId="0" applyFont="1" applyFill="1" applyAlignment="1" applyProtection="1">
      <alignment horizontal="center" vertical="center"/>
      <protection locked="0"/>
    </xf>
    <xf numFmtId="0" fontId="11" fillId="0" borderId="0" xfId="7" applyFont="1" applyFill="1" applyBorder="1" applyAlignment="1" applyProtection="1">
      <alignment vertical="center"/>
      <protection hidden="1"/>
    </xf>
    <xf numFmtId="0" fontId="11" fillId="4" borderId="0" xfId="0" applyFont="1" applyFill="1" applyBorder="1" applyAlignment="1" applyProtection="1">
      <alignment vertical="center"/>
      <protection hidden="1"/>
    </xf>
    <xf numFmtId="0" fontId="7" fillId="0" borderId="0" xfId="7" applyFont="1" applyFill="1" applyBorder="1" applyAlignment="1" applyProtection="1">
      <alignment vertical="center"/>
      <protection locked="0"/>
    </xf>
    <xf numFmtId="0" fontId="11" fillId="0" borderId="0" xfId="0" applyFont="1" applyFill="1" applyAlignment="1" applyProtection="1">
      <alignment horizontal="center" vertical="center"/>
      <protection hidden="1"/>
    </xf>
    <xf numFmtId="0" fontId="9" fillId="0" borderId="0" xfId="0" applyFont="1" applyFill="1" applyBorder="1" applyAlignment="1" applyProtection="1">
      <alignment horizontal="centerContinuous" vertical="center"/>
      <protection hidden="1"/>
    </xf>
    <xf numFmtId="0" fontId="13" fillId="0" borderId="0" xfId="0" applyFont="1" applyFill="1" applyBorder="1" applyAlignment="1" applyProtection="1">
      <alignment horizontal="centerContinuous" vertical="center"/>
      <protection hidden="1"/>
    </xf>
    <xf numFmtId="0" fontId="0" fillId="0" borderId="0" xfId="0" applyFill="1" applyBorder="1" applyAlignment="1" applyProtection="1">
      <alignment horizontal="centerContinuous" vertical="center"/>
      <protection hidden="1"/>
    </xf>
    <xf numFmtId="0" fontId="13" fillId="0" borderId="0" xfId="7" applyFont="1" applyFill="1" applyBorder="1" applyAlignment="1" applyProtection="1">
      <protection hidden="1"/>
    </xf>
    <xf numFmtId="0" fontId="7" fillId="0" borderId="0" xfId="7" applyFill="1" applyBorder="1" applyAlignment="1" applyProtection="1">
      <protection hidden="1"/>
    </xf>
    <xf numFmtId="0" fontId="13" fillId="0" borderId="0" xfId="7" applyFont="1" applyFill="1" applyBorder="1" applyAlignment="1" applyProtection="1">
      <alignment shrinkToFit="1"/>
      <protection hidden="1"/>
    </xf>
    <xf numFmtId="0" fontId="13" fillId="0" borderId="0" xfId="7" applyFont="1" applyFill="1" applyBorder="1" applyAlignment="1" applyProtection="1">
      <alignment vertical="center" wrapText="1"/>
      <protection hidden="1"/>
    </xf>
    <xf numFmtId="0" fontId="11" fillId="0" borderId="16" xfId="0" applyFont="1" applyFill="1" applyBorder="1" applyAlignment="1" applyProtection="1">
      <alignment horizontal="center" vertical="center" wrapText="1"/>
      <protection hidden="1"/>
    </xf>
    <xf numFmtId="0" fontId="7" fillId="0" borderId="9" xfId="0" applyNumberFormat="1" applyFont="1" applyFill="1" applyBorder="1" applyAlignment="1" applyProtection="1">
      <alignment horizontal="center" vertical="center"/>
      <protection hidden="1"/>
    </xf>
    <xf numFmtId="4" fontId="7" fillId="0" borderId="9" xfId="0" applyNumberFormat="1" applyFont="1" applyFill="1" applyBorder="1" applyAlignment="1" applyProtection="1">
      <alignment horizontal="center" vertical="center"/>
      <protection hidden="1"/>
    </xf>
    <xf numFmtId="0" fontId="7" fillId="0" borderId="16" xfId="0" applyFont="1" applyFill="1" applyBorder="1" applyAlignment="1" applyProtection="1">
      <alignment horizontal="left" vertical="center"/>
      <protection hidden="1"/>
    </xf>
    <xf numFmtId="4" fontId="7" fillId="0" borderId="16" xfId="0" applyNumberFormat="1" applyFont="1" applyFill="1" applyBorder="1" applyAlignment="1" applyProtection="1">
      <alignment horizontal="center" vertical="center"/>
      <protection hidden="1"/>
    </xf>
    <xf numFmtId="166" fontId="7" fillId="0" borderId="16" xfId="0" applyNumberFormat="1" applyFont="1" applyFill="1" applyBorder="1" applyAlignment="1" applyProtection="1">
      <alignment vertical="center"/>
      <protection hidden="1"/>
    </xf>
    <xf numFmtId="166" fontId="11" fillId="0" borderId="9" xfId="0" applyNumberFormat="1" applyFont="1" applyFill="1" applyBorder="1" applyAlignment="1" applyProtection="1">
      <alignment vertical="center"/>
      <protection hidden="1"/>
    </xf>
    <xf numFmtId="0" fontId="12" fillId="0" borderId="24" xfId="0" applyFont="1" applyFill="1" applyBorder="1" applyAlignment="1" applyProtection="1">
      <alignment horizontal="center" vertical="center"/>
      <protection hidden="1"/>
    </xf>
    <xf numFmtId="166" fontId="0" fillId="0" borderId="0" xfId="0" applyNumberFormat="1" applyFill="1" applyAlignment="1" applyProtection="1">
      <alignment vertical="center"/>
      <protection hidden="1"/>
    </xf>
    <xf numFmtId="0" fontId="12" fillId="0" borderId="0" xfId="0" applyFont="1" applyFill="1" applyAlignment="1" applyProtection="1">
      <alignment vertical="center"/>
      <protection hidden="1"/>
    </xf>
    <xf numFmtId="0" fontId="13" fillId="0" borderId="0" xfId="0" applyFont="1" applyFill="1" applyAlignment="1" applyProtection="1">
      <alignment vertical="center"/>
      <protection hidden="1"/>
    </xf>
    <xf numFmtId="0" fontId="0" fillId="0" borderId="0" xfId="0" applyFill="1" applyAlignment="1" applyProtection="1">
      <alignment horizontal="center" vertical="center"/>
      <protection hidden="1"/>
    </xf>
    <xf numFmtId="0" fontId="39" fillId="0" borderId="0" xfId="0" applyFont="1" applyFill="1" applyAlignment="1" applyProtection="1">
      <alignment vertical="center"/>
      <protection hidden="1"/>
    </xf>
    <xf numFmtId="2" fontId="8" fillId="0" borderId="0" xfId="0" applyNumberFormat="1" applyFont="1" applyFill="1" applyBorder="1" applyAlignment="1" applyProtection="1">
      <alignment horizontal="center" vertical="center"/>
      <protection locked="0"/>
    </xf>
    <xf numFmtId="0" fontId="8" fillId="0" borderId="9" xfId="6" applyFont="1" applyFill="1" applyBorder="1" applyAlignment="1" applyProtection="1">
      <alignment horizontal="left" vertical="center"/>
      <protection locked="0"/>
    </xf>
    <xf numFmtId="166" fontId="8" fillId="0" borderId="9" xfId="49" applyFont="1" applyFill="1" applyBorder="1" applyAlignment="1" applyProtection="1">
      <alignment vertical="center"/>
      <protection locked="0"/>
    </xf>
    <xf numFmtId="2" fontId="8" fillId="0" borderId="9" xfId="0" applyNumberFormat="1" applyFont="1" applyFill="1" applyBorder="1" applyAlignment="1" applyProtection="1">
      <alignment vertical="center"/>
      <protection locked="0"/>
    </xf>
    <xf numFmtId="166" fontId="8" fillId="0" borderId="13" xfId="49" applyFont="1" applyFill="1" applyBorder="1" applyAlignment="1" applyProtection="1">
      <alignment vertical="center"/>
      <protection locked="0"/>
    </xf>
    <xf numFmtId="16" fontId="10" fillId="0" borderId="0" xfId="0" applyNumberFormat="1" applyFont="1" applyFill="1" applyBorder="1" applyAlignment="1" applyProtection="1">
      <alignment horizontal="center" vertical="center"/>
    </xf>
    <xf numFmtId="16" fontId="10" fillId="0" borderId="1" xfId="0" applyNumberFormat="1" applyFont="1" applyFill="1" applyBorder="1" applyAlignment="1" applyProtection="1">
      <alignment horizontal="center" vertical="center"/>
    </xf>
    <xf numFmtId="39" fontId="8" fillId="0" borderId="0" xfId="0" applyNumberFormat="1" applyFont="1" applyFill="1" applyBorder="1" applyAlignment="1" applyProtection="1">
      <alignment vertical="center"/>
    </xf>
    <xf numFmtId="186" fontId="8" fillId="0" borderId="1" xfId="0" applyNumberFormat="1" applyFont="1" applyFill="1" applyBorder="1" applyAlignment="1" applyProtection="1">
      <alignment vertical="center"/>
    </xf>
    <xf numFmtId="0" fontId="8" fillId="0" borderId="1" xfId="0" applyFont="1" applyFill="1" applyBorder="1" applyAlignment="1" applyProtection="1">
      <alignment vertical="center"/>
    </xf>
    <xf numFmtId="0" fontId="10" fillId="0" borderId="5" xfId="0" applyFont="1" applyFill="1" applyBorder="1" applyAlignment="1" applyProtection="1">
      <alignment horizontal="centerContinuous" vertical="center"/>
    </xf>
    <xf numFmtId="0" fontId="10" fillId="0" borderId="0" xfId="0" applyFont="1" applyFill="1" applyBorder="1" applyAlignment="1" applyProtection="1">
      <alignment horizontal="centerContinuous" vertical="center"/>
    </xf>
    <xf numFmtId="0" fontId="10" fillId="0" borderId="0" xfId="0" applyFont="1" applyFill="1" applyBorder="1" applyAlignment="1" applyProtection="1">
      <alignment horizontal="left" vertical="center"/>
    </xf>
    <xf numFmtId="0" fontId="10" fillId="0" borderId="1" xfId="0" applyFont="1" applyFill="1" applyBorder="1" applyAlignment="1" applyProtection="1">
      <alignment horizontal="centerContinuous" vertical="center"/>
    </xf>
    <xf numFmtId="49" fontId="8" fillId="0" borderId="0" xfId="0" applyNumberFormat="1" applyFont="1" applyFill="1" applyBorder="1" applyAlignment="1" applyProtection="1">
      <alignment horizontal="left" vertical="center"/>
    </xf>
    <xf numFmtId="0" fontId="10" fillId="0" borderId="9" xfId="0" applyFont="1" applyFill="1" applyBorder="1" applyAlignment="1" applyProtection="1">
      <alignment horizontal="center" vertical="center"/>
    </xf>
    <xf numFmtId="2" fontId="10" fillId="0" borderId="9" xfId="0" applyNumberFormat="1" applyFont="1" applyFill="1" applyBorder="1" applyAlignment="1" applyProtection="1">
      <alignment horizontal="center" vertical="center"/>
    </xf>
    <xf numFmtId="0" fontId="10" fillId="0" borderId="11" xfId="0" applyFont="1" applyFill="1" applyBorder="1" applyAlignment="1" applyProtection="1">
      <alignment horizontal="center" vertical="center"/>
    </xf>
    <xf numFmtId="187" fontId="8" fillId="0" borderId="0" xfId="0" applyNumberFormat="1" applyFont="1" applyFill="1" applyBorder="1" applyAlignment="1" applyProtection="1">
      <alignment horizontal="center" vertical="center"/>
    </xf>
    <xf numFmtId="166" fontId="8" fillId="0" borderId="36" xfId="0" applyNumberFormat="1" applyFont="1" applyFill="1" applyBorder="1" applyAlignment="1" applyProtection="1">
      <alignment horizontal="center" vertical="center"/>
    </xf>
    <xf numFmtId="2" fontId="8" fillId="0" borderId="0" xfId="0" applyNumberFormat="1" applyFont="1" applyFill="1" applyBorder="1" applyAlignment="1" applyProtection="1">
      <alignment horizontal="left" vertical="center"/>
    </xf>
    <xf numFmtId="0" fontId="8" fillId="0" borderId="1" xfId="0" applyFont="1" applyFill="1" applyBorder="1" applyAlignment="1" applyProtection="1">
      <alignment horizontal="center" vertical="center"/>
    </xf>
    <xf numFmtId="186" fontId="8" fillId="0" borderId="1" xfId="0" applyNumberFormat="1" applyFont="1" applyFill="1" applyBorder="1" applyAlignment="1" applyProtection="1">
      <alignment horizontal="right" vertical="center"/>
    </xf>
    <xf numFmtId="0" fontId="10" fillId="0" borderId="5" xfId="0" applyFont="1" applyFill="1" applyBorder="1" applyAlignment="1" applyProtection="1">
      <alignment vertical="center"/>
      <protection locked="0"/>
    </xf>
    <xf numFmtId="49" fontId="8" fillId="0" borderId="0" xfId="0" applyNumberFormat="1" applyFont="1" applyFill="1" applyBorder="1" applyAlignment="1" applyProtection="1">
      <alignment horizontal="left" vertical="center"/>
      <protection locked="0"/>
    </xf>
    <xf numFmtId="187" fontId="8" fillId="0" borderId="9" xfId="0" applyNumberFormat="1" applyFont="1" applyFill="1" applyBorder="1" applyAlignment="1" applyProtection="1">
      <alignment horizontal="center" vertical="center"/>
      <protection locked="0"/>
    </xf>
    <xf numFmtId="180" fontId="8" fillId="0" borderId="9" xfId="49" applyNumberFormat="1" applyFont="1" applyFill="1" applyBorder="1" applyAlignment="1" applyProtection="1">
      <alignment vertical="center"/>
      <protection locked="0"/>
    </xf>
    <xf numFmtId="180" fontId="8" fillId="0" borderId="11" xfId="49" applyNumberFormat="1" applyFont="1" applyFill="1" applyBorder="1" applyAlignment="1" applyProtection="1">
      <alignment vertical="center"/>
      <protection locked="0"/>
    </xf>
    <xf numFmtId="0" fontId="8" fillId="0" borderId="10" xfId="0" applyFont="1" applyFill="1" applyBorder="1" applyAlignment="1" applyProtection="1">
      <alignment vertical="center"/>
      <protection locked="0"/>
    </xf>
    <xf numFmtId="188" fontId="8" fillId="0" borderId="9" xfId="0" applyNumberFormat="1" applyFont="1" applyFill="1" applyBorder="1" applyAlignment="1" applyProtection="1">
      <alignment vertical="center"/>
      <protection locked="0"/>
    </xf>
    <xf numFmtId="188" fontId="8" fillId="0" borderId="13" xfId="0" applyNumberFormat="1" applyFont="1" applyFill="1" applyBorder="1" applyAlignment="1" applyProtection="1">
      <alignment vertical="center"/>
      <protection locked="0"/>
    </xf>
    <xf numFmtId="9" fontId="8" fillId="0" borderId="9" xfId="1" applyFont="1" applyFill="1" applyBorder="1" applyAlignment="1" applyProtection="1">
      <alignment vertical="center"/>
      <protection locked="0"/>
    </xf>
    <xf numFmtId="178" fontId="8" fillId="0" borderId="0" xfId="0" applyNumberFormat="1" applyFont="1" applyFill="1" applyAlignment="1" applyProtection="1">
      <alignment vertical="center"/>
      <protection locked="0"/>
    </xf>
    <xf numFmtId="0" fontId="8" fillId="0" borderId="5" xfId="0" applyFont="1" applyFill="1" applyBorder="1" applyAlignment="1" applyProtection="1">
      <alignment horizontal="center" vertical="center"/>
    </xf>
    <xf numFmtId="186" fontId="8" fillId="0" borderId="15" xfId="0" applyNumberFormat="1" applyFont="1" applyFill="1" applyBorder="1" applyAlignment="1" applyProtection="1">
      <alignment horizontal="center" vertical="center"/>
    </xf>
    <xf numFmtId="166" fontId="8" fillId="0" borderId="11" xfId="0" applyNumberFormat="1" applyFont="1" applyFill="1" applyBorder="1" applyAlignment="1" applyProtection="1">
      <alignment horizontal="center" vertical="center"/>
    </xf>
    <xf numFmtId="186" fontId="8" fillId="0" borderId="26" xfId="0" applyNumberFormat="1" applyFont="1" applyFill="1" applyBorder="1" applyAlignment="1" applyProtection="1">
      <alignment horizontal="center" vertical="center"/>
    </xf>
    <xf numFmtId="39" fontId="8" fillId="0" borderId="18" xfId="0" applyNumberFormat="1" applyFont="1" applyFill="1" applyBorder="1" applyAlignment="1" applyProtection="1">
      <alignment vertical="center"/>
    </xf>
    <xf numFmtId="186" fontId="8" fillId="0" borderId="21" xfId="0" applyNumberFormat="1" applyFont="1" applyFill="1" applyBorder="1" applyAlignment="1" applyProtection="1">
      <alignment horizontal="right" vertical="center"/>
    </xf>
    <xf numFmtId="49" fontId="8" fillId="0" borderId="37" xfId="0" applyNumberFormat="1" applyFont="1" applyFill="1" applyBorder="1" applyAlignment="1" applyProtection="1">
      <alignment horizontal="center" vertical="center"/>
    </xf>
    <xf numFmtId="0" fontId="8" fillId="0" borderId="38" xfId="0" applyFont="1" applyFill="1" applyBorder="1" applyAlignment="1" applyProtection="1">
      <alignment horizontal="left" vertical="center"/>
    </xf>
    <xf numFmtId="0" fontId="8" fillId="0" borderId="38" xfId="0" applyFont="1" applyFill="1" applyBorder="1" applyAlignment="1" applyProtection="1">
      <alignment horizontal="center" vertical="center"/>
    </xf>
    <xf numFmtId="39" fontId="8" fillId="0" borderId="39" xfId="0" applyNumberFormat="1" applyFont="1" applyFill="1" applyBorder="1" applyAlignment="1" applyProtection="1">
      <alignment horizontal="center" vertical="center"/>
    </xf>
    <xf numFmtId="166" fontId="8" fillId="0" borderId="40" xfId="49" applyFont="1" applyFill="1" applyBorder="1" applyAlignment="1" applyProtection="1">
      <alignment horizontal="right" vertical="center"/>
    </xf>
    <xf numFmtId="0" fontId="8" fillId="0" borderId="41" xfId="0" applyFont="1" applyFill="1" applyBorder="1" applyAlignment="1" applyProtection="1">
      <alignment vertical="center"/>
    </xf>
    <xf numFmtId="0" fontId="8" fillId="0" borderId="42" xfId="0" applyFont="1" applyFill="1" applyBorder="1" applyAlignment="1" applyProtection="1">
      <alignment vertical="center"/>
    </xf>
    <xf numFmtId="0" fontId="8" fillId="0" borderId="42" xfId="0" applyFont="1" applyFill="1" applyBorder="1" applyAlignment="1" applyProtection="1">
      <alignment horizontal="center" vertical="center"/>
    </xf>
    <xf numFmtId="39" fontId="8" fillId="0" borderId="43" xfId="0" applyNumberFormat="1" applyFont="1" applyFill="1" applyBorder="1" applyAlignment="1" applyProtection="1">
      <alignment horizontal="center" vertical="center"/>
    </xf>
    <xf numFmtId="164" fontId="8" fillId="0" borderId="44" xfId="0" applyNumberFormat="1" applyFont="1" applyFill="1" applyBorder="1" applyAlignment="1" applyProtection="1">
      <alignment vertical="center"/>
    </xf>
    <xf numFmtId="0" fontId="7" fillId="0" borderId="0" xfId="19" applyFont="1" applyFill="1" applyBorder="1" applyAlignment="1">
      <alignment vertical="center"/>
    </xf>
    <xf numFmtId="2" fontId="7" fillId="0" borderId="0" xfId="7" applyNumberFormat="1" applyFont="1" applyFill="1" applyBorder="1" applyAlignment="1">
      <alignment horizontal="center" vertical="center"/>
    </xf>
    <xf numFmtId="2" fontId="7" fillId="0" borderId="0" xfId="7" applyNumberFormat="1" applyFont="1" applyFill="1" applyBorder="1" applyAlignment="1">
      <alignment vertical="center"/>
    </xf>
    <xf numFmtId="0" fontId="7" fillId="0" borderId="0" xfId="7" applyFont="1" applyFill="1" applyBorder="1" applyAlignment="1">
      <alignment horizontal="center" vertical="center"/>
    </xf>
    <xf numFmtId="0" fontId="7" fillId="0" borderId="0" xfId="63" applyFont="1" applyAlignment="1">
      <alignment vertical="center"/>
    </xf>
    <xf numFmtId="2" fontId="11" fillId="0" borderId="0" xfId="7" applyNumberFormat="1" applyFont="1" applyFill="1" applyBorder="1" applyAlignment="1">
      <alignment horizontal="center" vertical="center"/>
    </xf>
    <xf numFmtId="2" fontId="11" fillId="0" borderId="0" xfId="7" applyNumberFormat="1" applyFont="1" applyFill="1" applyBorder="1" applyAlignment="1">
      <alignment vertical="center"/>
    </xf>
    <xf numFmtId="0" fontId="11" fillId="0" borderId="0" xfId="63" applyFont="1" applyAlignment="1">
      <alignment horizontal="center" vertical="center"/>
    </xf>
    <xf numFmtId="190" fontId="11" fillId="0" borderId="0" xfId="63" applyNumberFormat="1" applyFont="1" applyAlignment="1">
      <alignment vertical="center"/>
    </xf>
    <xf numFmtId="0" fontId="7" fillId="0" borderId="0" xfId="63" applyFont="1" applyAlignment="1">
      <alignment horizontal="center" vertical="center"/>
    </xf>
    <xf numFmtId="177" fontId="7" fillId="0" borderId="0" xfId="19" applyNumberFormat="1" applyFont="1" applyFill="1" applyBorder="1" applyAlignment="1">
      <alignment horizontal="center" vertical="center"/>
    </xf>
    <xf numFmtId="0" fontId="7" fillId="0" borderId="0" xfId="19" applyFont="1" applyFill="1" applyBorder="1" applyAlignment="1">
      <alignment horizontal="center" vertical="center"/>
    </xf>
    <xf numFmtId="0" fontId="7" fillId="0" borderId="0" xfId="7" applyFont="1" applyFill="1" applyBorder="1" applyAlignment="1">
      <alignment vertical="center"/>
    </xf>
    <xf numFmtId="190" fontId="11" fillId="5" borderId="45" xfId="63" applyNumberFormat="1" applyFont="1" applyFill="1" applyBorder="1" applyAlignment="1">
      <alignment horizontal="center" vertical="center"/>
    </xf>
    <xf numFmtId="0" fontId="7" fillId="5" borderId="38" xfId="63" applyFont="1" applyFill="1" applyBorder="1" applyAlignment="1">
      <alignment horizontal="center" vertical="center"/>
    </xf>
    <xf numFmtId="0" fontId="7" fillId="5" borderId="46" xfId="63" applyFont="1" applyFill="1" applyBorder="1" applyAlignment="1">
      <alignment horizontal="center" vertical="center"/>
    </xf>
    <xf numFmtId="0" fontId="40" fillId="5" borderId="38" xfId="63" applyFont="1" applyFill="1" applyBorder="1" applyAlignment="1">
      <alignment horizontal="left" vertical="center"/>
    </xf>
    <xf numFmtId="0" fontId="7" fillId="5" borderId="38" xfId="63" applyFont="1" applyFill="1" applyBorder="1" applyAlignment="1">
      <alignment vertical="center"/>
    </xf>
    <xf numFmtId="0" fontId="11" fillId="5" borderId="47" xfId="63" applyFont="1" applyFill="1" applyBorder="1" applyAlignment="1">
      <alignment horizontal="center" vertical="center"/>
    </xf>
    <xf numFmtId="177" fontId="7" fillId="0" borderId="0" xfId="63" applyNumberFormat="1" applyFont="1" applyAlignment="1">
      <alignment horizontal="center" vertical="center"/>
    </xf>
    <xf numFmtId="0" fontId="11" fillId="0" borderId="0" xfId="63" applyFont="1" applyAlignment="1">
      <alignment vertical="center"/>
    </xf>
    <xf numFmtId="190" fontId="11" fillId="0" borderId="32" xfId="63" applyNumberFormat="1" applyFont="1" applyBorder="1" applyAlignment="1">
      <alignment horizontal="center" vertical="center"/>
    </xf>
    <xf numFmtId="0" fontId="7" fillId="0" borderId="13" xfId="63" applyFont="1" applyBorder="1" applyAlignment="1">
      <alignment horizontal="center" vertical="center"/>
    </xf>
    <xf numFmtId="0" fontId="7" fillId="0" borderId="24" xfId="63" applyFont="1" applyBorder="1" applyAlignment="1">
      <alignment horizontal="center" vertical="center"/>
    </xf>
    <xf numFmtId="0" fontId="40" fillId="0" borderId="24" xfId="63" applyFont="1" applyFill="1" applyBorder="1" applyAlignment="1">
      <alignment horizontal="left" vertical="center"/>
    </xf>
    <xf numFmtId="0" fontId="7" fillId="0" borderId="24" xfId="63" applyFont="1" applyBorder="1" applyAlignment="1">
      <alignment vertical="center"/>
    </xf>
    <xf numFmtId="0" fontId="11" fillId="0" borderId="48" xfId="63" applyFont="1" applyBorder="1" applyAlignment="1">
      <alignment horizontal="center" vertical="center"/>
    </xf>
    <xf numFmtId="0" fontId="7" fillId="0" borderId="0" xfId="63" applyFont="1" applyFill="1" applyBorder="1" applyAlignment="1">
      <alignment horizontal="center" vertical="center"/>
    </xf>
    <xf numFmtId="0" fontId="7" fillId="0" borderId="0" xfId="63" applyFont="1" applyBorder="1" applyAlignment="1">
      <alignment horizontal="center" vertical="center"/>
    </xf>
    <xf numFmtId="0" fontId="7" fillId="0" borderId="14" xfId="63" applyFont="1" applyBorder="1" applyAlignment="1">
      <alignment horizontal="center" vertical="center"/>
    </xf>
    <xf numFmtId="0" fontId="7" fillId="0" borderId="0" xfId="63" applyFont="1" applyBorder="1" applyAlignment="1">
      <alignment vertical="center"/>
    </xf>
    <xf numFmtId="0" fontId="11" fillId="0" borderId="0" xfId="63" applyFont="1" applyBorder="1" applyAlignment="1">
      <alignment vertical="center"/>
    </xf>
    <xf numFmtId="0" fontId="40" fillId="0" borderId="49" xfId="63" applyFont="1" applyBorder="1" applyAlignment="1">
      <alignment horizontal="center" vertical="center"/>
    </xf>
    <xf numFmtId="0" fontId="7" fillId="0" borderId="0" xfId="7" applyNumberFormat="1" applyFont="1" applyFill="1" applyBorder="1" applyAlignment="1">
      <alignment horizontal="center" vertical="center"/>
    </xf>
    <xf numFmtId="0" fontId="7" fillId="0" borderId="0" xfId="7" applyFont="1" applyFill="1" applyBorder="1" applyAlignment="1" applyProtection="1">
      <alignment horizontal="left" vertical="center"/>
      <protection hidden="1"/>
    </xf>
    <xf numFmtId="0" fontId="7" fillId="0" borderId="15" xfId="63" applyFont="1" applyBorder="1" applyAlignment="1">
      <alignment horizontal="center" vertical="center"/>
    </xf>
    <xf numFmtId="0" fontId="7" fillId="0" borderId="23" xfId="63" applyFont="1" applyBorder="1" applyAlignment="1">
      <alignment vertical="center"/>
    </xf>
    <xf numFmtId="0" fontId="11" fillId="0" borderId="23" xfId="63" applyFont="1" applyBorder="1" applyAlignment="1">
      <alignment vertical="center"/>
    </xf>
    <xf numFmtId="0" fontId="40" fillId="0" borderId="50" xfId="63" applyFont="1" applyBorder="1" applyAlignment="1">
      <alignment horizontal="center" vertical="center"/>
    </xf>
    <xf numFmtId="0" fontId="11" fillId="0" borderId="24" xfId="63" applyFont="1" applyBorder="1" applyAlignment="1">
      <alignment vertical="center"/>
    </xf>
    <xf numFmtId="0" fontId="7" fillId="0" borderId="23" xfId="63" applyFont="1" applyBorder="1" applyAlignment="1">
      <alignment horizontal="center" vertical="center"/>
    </xf>
    <xf numFmtId="190" fontId="11" fillId="0" borderId="51" xfId="63" applyNumberFormat="1" applyFont="1" applyBorder="1" applyAlignment="1">
      <alignment horizontal="center" vertical="center"/>
    </xf>
    <xf numFmtId="0" fontId="7" fillId="0" borderId="7" xfId="63" applyFont="1" applyBorder="1" applyAlignment="1">
      <alignment horizontal="center" vertical="center"/>
    </xf>
    <xf numFmtId="0" fontId="7" fillId="0" borderId="52" xfId="63" applyFont="1" applyBorder="1" applyAlignment="1">
      <alignment horizontal="center" vertical="center"/>
    </xf>
    <xf numFmtId="0" fontId="7" fillId="0" borderId="7" xfId="63" applyFont="1" applyBorder="1" applyAlignment="1">
      <alignment vertical="center"/>
    </xf>
    <xf numFmtId="0" fontId="11" fillId="0" borderId="7" xfId="63" applyFont="1" applyBorder="1" applyAlignment="1">
      <alignment vertical="center"/>
    </xf>
    <xf numFmtId="0" fontId="40" fillId="0" borderId="53" xfId="63" applyFont="1" applyBorder="1" applyAlignment="1">
      <alignment horizontal="center" vertical="center"/>
    </xf>
    <xf numFmtId="0" fontId="40" fillId="0" borderId="33" xfId="63" applyFont="1" applyBorder="1" applyAlignment="1">
      <alignment horizontal="center" vertical="center"/>
    </xf>
    <xf numFmtId="190" fontId="11" fillId="5" borderId="54" xfId="63" applyNumberFormat="1" applyFont="1" applyFill="1" applyBorder="1" applyAlignment="1">
      <alignment horizontal="center" vertical="center"/>
    </xf>
    <xf numFmtId="0" fontId="7" fillId="5" borderId="55" xfId="63" applyFont="1" applyFill="1" applyBorder="1" applyAlignment="1">
      <alignment horizontal="center" vertical="center"/>
    </xf>
    <xf numFmtId="0" fontId="7" fillId="5" borderId="23" xfId="63" applyFont="1" applyFill="1" applyBorder="1" applyAlignment="1">
      <alignment horizontal="center" vertical="center"/>
    </xf>
    <xf numFmtId="0" fontId="11" fillId="5" borderId="56" xfId="63" applyFont="1" applyFill="1" applyBorder="1" applyAlignment="1">
      <alignment horizontal="center" vertical="center"/>
    </xf>
    <xf numFmtId="190" fontId="11" fillId="0" borderId="57" xfId="63" applyNumberFormat="1" applyFont="1" applyBorder="1" applyAlignment="1">
      <alignment horizontal="center" vertical="center"/>
    </xf>
    <xf numFmtId="0" fontId="7" fillId="0" borderId="58" xfId="63" applyFont="1" applyBorder="1" applyAlignment="1">
      <alignment horizontal="center" vertical="center"/>
    </xf>
    <xf numFmtId="0" fontId="7" fillId="0" borderId="42" xfId="63" applyFont="1" applyBorder="1" applyAlignment="1">
      <alignment horizontal="center" vertical="center"/>
    </xf>
    <xf numFmtId="0" fontId="40" fillId="0" borderId="42" xfId="63" applyFont="1" applyBorder="1" applyAlignment="1">
      <alignment horizontal="left" vertical="center"/>
    </xf>
    <xf numFmtId="0" fontId="7" fillId="0" borderId="42" xfId="63" applyFont="1" applyBorder="1" applyAlignment="1">
      <alignment vertical="center"/>
    </xf>
    <xf numFmtId="0" fontId="40" fillId="0" borderId="59" xfId="63" applyFont="1" applyFill="1" applyBorder="1" applyAlignment="1">
      <alignment horizontal="center" vertical="center"/>
    </xf>
    <xf numFmtId="0" fontId="40" fillId="0" borderId="0" xfId="63" applyFont="1" applyBorder="1" applyAlignment="1">
      <alignment horizontal="left" vertical="center"/>
    </xf>
    <xf numFmtId="0" fontId="40" fillId="0" borderId="33" xfId="63" applyFont="1" applyFill="1" applyBorder="1" applyAlignment="1">
      <alignment horizontal="center" vertical="center"/>
    </xf>
    <xf numFmtId="0" fontId="40" fillId="5" borderId="23" xfId="63" applyFont="1" applyFill="1" applyBorder="1" applyAlignment="1">
      <alignment horizontal="left" vertical="center"/>
    </xf>
    <xf numFmtId="0" fontId="7" fillId="5" borderId="23" xfId="63" applyFont="1" applyFill="1" applyBorder="1" applyAlignment="1">
      <alignment vertical="center"/>
    </xf>
    <xf numFmtId="190" fontId="11" fillId="0" borderId="60" xfId="63" applyNumberFormat="1" applyFont="1" applyBorder="1" applyAlignment="1">
      <alignment horizontal="center" vertical="center"/>
    </xf>
    <xf numFmtId="0" fontId="11" fillId="0" borderId="33" xfId="63" applyFont="1" applyBorder="1" applyAlignment="1">
      <alignment horizontal="center" vertical="center"/>
    </xf>
    <xf numFmtId="0" fontId="40" fillId="0" borderId="0" xfId="63" applyFont="1" applyBorder="1" applyAlignment="1">
      <alignment horizontal="center" vertical="center"/>
    </xf>
    <xf numFmtId="0" fontId="40" fillId="0" borderId="23" xfId="63" applyFont="1" applyBorder="1" applyAlignment="1">
      <alignment horizontal="left" vertical="center"/>
    </xf>
    <xf numFmtId="0" fontId="40" fillId="0" borderId="23" xfId="63" applyFont="1" applyBorder="1" applyAlignment="1">
      <alignment horizontal="center" vertical="center"/>
    </xf>
    <xf numFmtId="0" fontId="40" fillId="0" borderId="61" xfId="63" applyFont="1" applyBorder="1" applyAlignment="1">
      <alignment horizontal="center" vertical="center"/>
    </xf>
    <xf numFmtId="0" fontId="40" fillId="0" borderId="16" xfId="63" applyFont="1" applyBorder="1" applyAlignment="1">
      <alignment horizontal="left" vertical="center"/>
    </xf>
    <xf numFmtId="0" fontId="7" fillId="0" borderId="16" xfId="63" applyFont="1" applyBorder="1" applyAlignment="1">
      <alignment vertical="center"/>
    </xf>
    <xf numFmtId="0" fontId="40" fillId="0" borderId="62" xfId="63" applyFont="1" applyBorder="1" applyAlignment="1">
      <alignment horizontal="center" vertical="center"/>
    </xf>
    <xf numFmtId="0" fontId="40" fillId="0" borderId="59" xfId="63" applyFont="1" applyBorder="1" applyAlignment="1">
      <alignment horizontal="center" vertical="center"/>
    </xf>
    <xf numFmtId="0" fontId="11" fillId="5" borderId="61" xfId="63" applyFont="1" applyFill="1" applyBorder="1" applyAlignment="1">
      <alignment horizontal="center" vertical="center"/>
    </xf>
    <xf numFmtId="0" fontId="11" fillId="0" borderId="63" xfId="63" applyFont="1" applyBorder="1" applyAlignment="1">
      <alignment horizontal="center" vertical="center"/>
    </xf>
    <xf numFmtId="190" fontId="11" fillId="0" borderId="34" xfId="63" applyNumberFormat="1" applyFont="1" applyBorder="1" applyAlignment="1">
      <alignment horizontal="center" vertical="center"/>
    </xf>
    <xf numFmtId="0" fontId="7" fillId="0" borderId="18" xfId="63" applyFont="1" applyBorder="1" applyAlignment="1">
      <alignment horizontal="center" vertical="center"/>
    </xf>
    <xf numFmtId="0" fontId="7" fillId="0" borderId="64" xfId="63" applyFont="1" applyBorder="1" applyAlignment="1">
      <alignment horizontal="center" vertical="center"/>
    </xf>
    <xf numFmtId="0" fontId="7" fillId="0" borderId="18" xfId="63" applyFont="1" applyBorder="1" applyAlignment="1">
      <alignment vertical="center"/>
    </xf>
    <xf numFmtId="0" fontId="11" fillId="0" borderId="18" xfId="63" applyFont="1" applyBorder="1" applyAlignment="1">
      <alignment vertical="center"/>
    </xf>
    <xf numFmtId="0" fontId="40" fillId="0" borderId="35" xfId="63" applyFont="1" applyBorder="1" applyAlignment="1">
      <alignment horizontal="center" vertical="center"/>
    </xf>
    <xf numFmtId="190" fontId="11" fillId="0" borderId="0" xfId="63" applyNumberFormat="1" applyFont="1" applyBorder="1" applyAlignment="1">
      <alignment horizontal="center" vertical="center"/>
    </xf>
    <xf numFmtId="0" fontId="7" fillId="0" borderId="17" xfId="63" applyFont="1" applyBorder="1" applyAlignment="1">
      <alignment horizontal="center" vertical="center"/>
    </xf>
    <xf numFmtId="0" fontId="11" fillId="0" borderId="61" xfId="63" applyFont="1" applyBorder="1" applyAlignment="1">
      <alignment horizontal="center" vertical="center"/>
    </xf>
    <xf numFmtId="0" fontId="7" fillId="0" borderId="0" xfId="63" applyFont="1" applyFill="1" applyAlignment="1">
      <alignment vertical="center"/>
    </xf>
    <xf numFmtId="190" fontId="11" fillId="0" borderId="65" xfId="63" applyNumberFormat="1" applyFont="1" applyBorder="1" applyAlignment="1">
      <alignment horizontal="center" vertical="center"/>
    </xf>
    <xf numFmtId="0" fontId="7" fillId="0" borderId="23" xfId="63" applyFont="1" applyFill="1" applyBorder="1" applyAlignment="1">
      <alignment horizontal="center" vertical="center"/>
    </xf>
    <xf numFmtId="0" fontId="40" fillId="0" borderId="23" xfId="63" applyFont="1" applyFill="1" applyBorder="1" applyAlignment="1">
      <alignment horizontal="left" vertical="center" wrapText="1"/>
    </xf>
    <xf numFmtId="0" fontId="40" fillId="0" borderId="23" xfId="63" applyFont="1" applyFill="1" applyBorder="1" applyAlignment="1">
      <alignment horizontal="center" vertical="center" wrapText="1"/>
    </xf>
    <xf numFmtId="0" fontId="11" fillId="0" borderId="61" xfId="63" applyFont="1" applyFill="1" applyBorder="1" applyAlignment="1">
      <alignment horizontal="center" vertical="center"/>
    </xf>
    <xf numFmtId="0" fontId="11" fillId="0" borderId="62" xfId="63" applyFont="1" applyFill="1" applyBorder="1" applyAlignment="1">
      <alignment horizontal="center" vertical="center"/>
    </xf>
    <xf numFmtId="0" fontId="11" fillId="0" borderId="16" xfId="63" applyFont="1" applyBorder="1" applyAlignment="1">
      <alignment vertical="center"/>
    </xf>
    <xf numFmtId="190" fontId="11" fillId="0" borderId="66" xfId="63" applyNumberFormat="1" applyFont="1" applyBorder="1" applyAlignment="1">
      <alignment horizontal="center" vertical="center"/>
    </xf>
    <xf numFmtId="0" fontId="11" fillId="0" borderId="42" xfId="63" applyFont="1" applyBorder="1" applyAlignment="1">
      <alignment vertical="center"/>
    </xf>
    <xf numFmtId="0" fontId="11" fillId="0" borderId="59" xfId="63" applyFont="1" applyFill="1" applyBorder="1" applyAlignment="1">
      <alignment horizontal="center" vertical="center"/>
    </xf>
    <xf numFmtId="0" fontId="11" fillId="0" borderId="33" xfId="63" applyFont="1" applyFill="1" applyBorder="1" applyAlignment="1">
      <alignment horizontal="center" vertical="center"/>
    </xf>
    <xf numFmtId="0" fontId="40" fillId="5" borderId="55" xfId="63" applyFont="1" applyFill="1" applyBorder="1" applyAlignment="1">
      <alignment horizontal="left" vertical="center"/>
    </xf>
    <xf numFmtId="0" fontId="41" fillId="0" borderId="0" xfId="63" applyFont="1" applyFill="1" applyBorder="1" applyAlignment="1">
      <alignment horizontal="center" vertical="center" shrinkToFit="1"/>
    </xf>
    <xf numFmtId="0" fontId="42" fillId="0" borderId="61" xfId="63" applyFont="1" applyBorder="1" applyAlignment="1">
      <alignment horizontal="center" vertical="center" shrinkToFit="1"/>
    </xf>
    <xf numFmtId="0" fontId="40" fillId="0" borderId="67" xfId="63" applyFont="1" applyBorder="1" applyAlignment="1">
      <alignment horizontal="center" vertical="center"/>
    </xf>
    <xf numFmtId="190" fontId="11" fillId="5" borderId="68" xfId="63" applyNumberFormat="1" applyFont="1" applyFill="1" applyBorder="1" applyAlignment="1">
      <alignment horizontal="center" vertical="center"/>
    </xf>
    <xf numFmtId="0" fontId="7" fillId="5" borderId="3" xfId="63" applyFont="1" applyFill="1" applyBorder="1" applyAlignment="1">
      <alignment horizontal="center" vertical="center"/>
    </xf>
    <xf numFmtId="0" fontId="7" fillId="5" borderId="3" xfId="63" applyFont="1" applyFill="1" applyBorder="1" applyAlignment="1">
      <alignment vertical="center"/>
    </xf>
    <xf numFmtId="0" fontId="11" fillId="5" borderId="0" xfId="63" applyFont="1" applyFill="1" applyBorder="1" applyAlignment="1">
      <alignment vertical="center"/>
    </xf>
    <xf numFmtId="0" fontId="11" fillId="5" borderId="69" xfId="63" applyFont="1" applyFill="1" applyBorder="1" applyAlignment="1">
      <alignment horizontal="center" vertical="center"/>
    </xf>
    <xf numFmtId="0" fontId="11" fillId="0" borderId="62" xfId="63" applyFont="1" applyBorder="1" applyAlignment="1">
      <alignment horizontal="center" vertical="center"/>
    </xf>
    <xf numFmtId="190" fontId="11" fillId="0" borderId="32" xfId="63" applyNumberFormat="1" applyFont="1" applyFill="1" applyBorder="1" applyAlignment="1">
      <alignment horizontal="center" vertical="center"/>
    </xf>
    <xf numFmtId="0" fontId="7" fillId="0" borderId="58" xfId="63" applyFont="1" applyFill="1" applyBorder="1" applyAlignment="1">
      <alignment horizontal="center" vertical="center"/>
    </xf>
    <xf numFmtId="0" fontId="7" fillId="0" borderId="0" xfId="63" applyFont="1" applyFill="1" applyBorder="1" applyAlignment="1">
      <alignment vertical="center"/>
    </xf>
    <xf numFmtId="0" fontId="11" fillId="0" borderId="0" xfId="63" applyFont="1" applyFill="1" applyBorder="1" applyAlignment="1">
      <alignment vertical="center"/>
    </xf>
    <xf numFmtId="0" fontId="7" fillId="5" borderId="55" xfId="63" applyFont="1" applyFill="1" applyBorder="1" applyAlignment="1">
      <alignment vertical="center"/>
    </xf>
    <xf numFmtId="0" fontId="11" fillId="5" borderId="55" xfId="63" applyFont="1" applyFill="1" applyBorder="1" applyAlignment="1">
      <alignment vertical="center"/>
    </xf>
    <xf numFmtId="190" fontId="11" fillId="5" borderId="70" xfId="63" applyNumberFormat="1" applyFont="1" applyFill="1" applyBorder="1" applyAlignment="1">
      <alignment horizontal="center" vertical="center"/>
    </xf>
    <xf numFmtId="0" fontId="7" fillId="5" borderId="71" xfId="63" applyFont="1" applyFill="1" applyBorder="1" applyAlignment="1">
      <alignment horizontal="center" vertical="center"/>
    </xf>
    <xf numFmtId="0" fontId="7" fillId="5" borderId="71" xfId="63" applyFont="1" applyFill="1" applyBorder="1" applyAlignment="1">
      <alignment vertical="center"/>
    </xf>
    <xf numFmtId="0" fontId="11" fillId="5" borderId="71" xfId="63" applyFont="1" applyFill="1" applyBorder="1" applyAlignment="1">
      <alignment vertical="center"/>
    </xf>
    <xf numFmtId="0" fontId="11" fillId="5" borderId="72" xfId="63" applyFont="1" applyFill="1" applyBorder="1" applyAlignment="1">
      <alignment horizontal="center" vertical="center"/>
    </xf>
    <xf numFmtId="190" fontId="11" fillId="0" borderId="0" xfId="63" applyNumberFormat="1" applyFont="1" applyFill="1" applyBorder="1" applyAlignment="1">
      <alignment horizontal="center" vertical="center"/>
    </xf>
    <xf numFmtId="0" fontId="11" fillId="0" borderId="0" xfId="63" applyFont="1" applyFill="1" applyBorder="1" applyAlignment="1">
      <alignment horizontal="center" vertical="center"/>
    </xf>
    <xf numFmtId="0" fontId="11" fillId="5" borderId="23" xfId="63" applyFont="1" applyFill="1" applyBorder="1" applyAlignment="1">
      <alignment vertical="center"/>
    </xf>
    <xf numFmtId="0" fontId="7" fillId="0" borderId="14" xfId="63" applyFont="1" applyFill="1" applyBorder="1" applyAlignment="1">
      <alignment horizontal="center" vertical="center"/>
    </xf>
    <xf numFmtId="0" fontId="7" fillId="0" borderId="15" xfId="63" applyFont="1" applyFill="1" applyBorder="1" applyAlignment="1">
      <alignment horizontal="center" vertical="center"/>
    </xf>
    <xf numFmtId="0" fontId="11" fillId="0" borderId="23" xfId="63" applyFont="1" applyFill="1" applyBorder="1" applyAlignment="1">
      <alignment vertical="center"/>
    </xf>
    <xf numFmtId="0" fontId="7" fillId="0" borderId="23" xfId="63" applyFont="1" applyFill="1" applyBorder="1" applyAlignment="1">
      <alignment vertical="center"/>
    </xf>
    <xf numFmtId="0" fontId="7" fillId="0" borderId="13" xfId="63" applyFont="1" applyFill="1" applyBorder="1" applyAlignment="1">
      <alignment horizontal="center" vertical="center"/>
    </xf>
    <xf numFmtId="190" fontId="11" fillId="0" borderId="51" xfId="63" applyNumberFormat="1" applyFont="1" applyFill="1" applyBorder="1" applyAlignment="1">
      <alignment horizontal="center" vertical="center"/>
    </xf>
    <xf numFmtId="0" fontId="7" fillId="0" borderId="7" xfId="63" applyFont="1" applyFill="1" applyBorder="1" applyAlignment="1">
      <alignment horizontal="center" vertical="center"/>
    </xf>
    <xf numFmtId="0" fontId="7" fillId="0" borderId="52" xfId="63" applyFont="1" applyFill="1" applyBorder="1" applyAlignment="1">
      <alignment horizontal="center" vertical="center"/>
    </xf>
    <xf numFmtId="0" fontId="11" fillId="0" borderId="7" xfId="63" applyFont="1" applyFill="1" applyBorder="1" applyAlignment="1">
      <alignment vertical="center"/>
    </xf>
    <xf numFmtId="0" fontId="7" fillId="0" borderId="7" xfId="63" applyFont="1" applyFill="1" applyBorder="1" applyAlignment="1">
      <alignment vertical="center"/>
    </xf>
    <xf numFmtId="0" fontId="11" fillId="0" borderId="67" xfId="63" applyFont="1" applyBorder="1" applyAlignment="1">
      <alignment horizontal="center" vertical="center"/>
    </xf>
    <xf numFmtId="0" fontId="11" fillId="0" borderId="59" xfId="63" applyFont="1" applyBorder="1" applyAlignment="1">
      <alignment horizontal="center" vertical="center"/>
    </xf>
    <xf numFmtId="0" fontId="7" fillId="0" borderId="73" xfId="63" applyFont="1" applyBorder="1" applyAlignment="1">
      <alignment horizontal="center" vertical="center"/>
    </xf>
    <xf numFmtId="0" fontId="11" fillId="0" borderId="35" xfId="63" applyFont="1" applyBorder="1" applyAlignment="1">
      <alignment horizontal="center" vertical="center"/>
    </xf>
    <xf numFmtId="0" fontId="7" fillId="5" borderId="0" xfId="63" applyFont="1" applyFill="1" applyBorder="1" applyAlignment="1">
      <alignment horizontal="center" vertical="center"/>
    </xf>
    <xf numFmtId="0" fontId="7" fillId="5" borderId="0" xfId="63" applyFont="1" applyFill="1" applyBorder="1" applyAlignment="1">
      <alignment vertical="center"/>
    </xf>
    <xf numFmtId="0" fontId="11" fillId="5" borderId="33" xfId="63" applyFont="1" applyFill="1" applyBorder="1" applyAlignment="1">
      <alignment horizontal="center" vertical="center"/>
    </xf>
    <xf numFmtId="0" fontId="11" fillId="0" borderId="16" xfId="63" applyFont="1" applyFill="1" applyBorder="1" applyAlignment="1">
      <alignment vertical="center"/>
    </xf>
    <xf numFmtId="0" fontId="7" fillId="0" borderId="74" xfId="63" applyFont="1" applyBorder="1" applyAlignment="1">
      <alignment horizontal="center" vertical="center"/>
    </xf>
    <xf numFmtId="0" fontId="11" fillId="0" borderId="0" xfId="63" applyFont="1" applyBorder="1" applyAlignment="1">
      <alignment horizontal="center" vertical="center"/>
    </xf>
    <xf numFmtId="190" fontId="11" fillId="0" borderId="75" xfId="63" applyNumberFormat="1" applyFont="1" applyBorder="1" applyAlignment="1">
      <alignment horizontal="center" vertical="center"/>
    </xf>
    <xf numFmtId="190" fontId="11" fillId="5" borderId="51" xfId="63" applyNumberFormat="1" applyFont="1" applyFill="1" applyBorder="1" applyAlignment="1">
      <alignment horizontal="center" vertical="center"/>
    </xf>
    <xf numFmtId="0" fontId="7" fillId="5" borderId="7" xfId="63" applyFont="1" applyFill="1" applyBorder="1" applyAlignment="1">
      <alignment horizontal="center" vertical="center"/>
    </xf>
    <xf numFmtId="0" fontId="7" fillId="5" borderId="7" xfId="63" applyFont="1" applyFill="1" applyBorder="1" applyAlignment="1">
      <alignment vertical="center"/>
    </xf>
    <xf numFmtId="0" fontId="40" fillId="5" borderId="7" xfId="63" applyFont="1" applyFill="1" applyBorder="1" applyAlignment="1">
      <alignment horizontal="left" vertical="center"/>
    </xf>
    <xf numFmtId="0" fontId="11" fillId="5" borderId="67" xfId="63" applyFont="1" applyFill="1" applyBorder="1" applyAlignment="1">
      <alignment horizontal="center" vertical="center"/>
    </xf>
    <xf numFmtId="190" fontId="11" fillId="5" borderId="76" xfId="63" applyNumberFormat="1" applyFont="1" applyFill="1" applyBorder="1" applyAlignment="1">
      <alignment horizontal="center" vertical="center"/>
    </xf>
    <xf numFmtId="0" fontId="7" fillId="5" borderId="77" xfId="63" applyFont="1" applyFill="1" applyBorder="1" applyAlignment="1">
      <alignment horizontal="center" vertical="center"/>
    </xf>
    <xf numFmtId="0" fontId="7" fillId="5" borderId="77" xfId="63" applyFont="1" applyFill="1" applyBorder="1" applyAlignment="1">
      <alignment vertical="center"/>
    </xf>
    <xf numFmtId="0" fontId="11" fillId="5" borderId="77" xfId="63" applyFont="1" applyFill="1" applyBorder="1" applyAlignment="1">
      <alignment vertical="center"/>
    </xf>
    <xf numFmtId="0" fontId="11" fillId="5" borderId="78" xfId="63" applyFont="1" applyFill="1" applyBorder="1" applyAlignment="1">
      <alignment horizontal="center" vertical="center"/>
    </xf>
    <xf numFmtId="0" fontId="7" fillId="0" borderId="79" xfId="63" applyFont="1" applyBorder="1" applyAlignment="1">
      <alignment vertical="center"/>
    </xf>
    <xf numFmtId="0" fontId="11" fillId="0" borderId="79" xfId="63" applyFont="1" applyBorder="1" applyAlignment="1">
      <alignment vertical="center"/>
    </xf>
    <xf numFmtId="0" fontId="11" fillId="0" borderId="80" xfId="63" applyFont="1" applyBorder="1" applyAlignment="1">
      <alignment horizontal="center" vertical="center"/>
    </xf>
    <xf numFmtId="190" fontId="11" fillId="0" borderId="81" xfId="63" applyNumberFormat="1" applyFont="1" applyBorder="1" applyAlignment="1">
      <alignment horizontal="center" vertical="center"/>
    </xf>
    <xf numFmtId="0" fontId="7" fillId="0" borderId="16" xfId="63" applyFont="1" applyFill="1" applyBorder="1" applyAlignment="1">
      <alignment vertical="center"/>
    </xf>
    <xf numFmtId="0" fontId="7" fillId="0" borderId="28" xfId="63" applyFont="1" applyBorder="1" applyAlignment="1">
      <alignment horizontal="center" vertical="center"/>
    </xf>
    <xf numFmtId="0" fontId="7" fillId="0" borderId="27" xfId="63" applyFont="1" applyBorder="1" applyAlignment="1">
      <alignment horizontal="center" vertical="center"/>
    </xf>
    <xf numFmtId="0" fontId="7" fillId="0" borderId="16" xfId="63" applyFont="1" applyBorder="1" applyAlignment="1">
      <alignment horizontal="center" vertical="center"/>
    </xf>
    <xf numFmtId="190" fontId="11" fillId="0" borderId="82" xfId="63" applyNumberFormat="1" applyFont="1" applyFill="1" applyBorder="1" applyAlignment="1">
      <alignment horizontal="center" vertical="center"/>
    </xf>
    <xf numFmtId="0" fontId="7" fillId="0" borderId="83" xfId="63" applyFont="1" applyFill="1" applyBorder="1" applyAlignment="1">
      <alignment horizontal="center" vertical="center"/>
    </xf>
    <xf numFmtId="0" fontId="7" fillId="0" borderId="55" xfId="63" applyFont="1" applyFill="1" applyBorder="1" applyAlignment="1">
      <alignment vertical="center"/>
    </xf>
    <xf numFmtId="0" fontId="11" fillId="0" borderId="55" xfId="63" applyFont="1" applyFill="1" applyBorder="1" applyAlignment="1">
      <alignment vertical="center"/>
    </xf>
    <xf numFmtId="0" fontId="11" fillId="0" borderId="56" xfId="63" applyFont="1" applyFill="1" applyBorder="1" applyAlignment="1">
      <alignment horizontal="center" vertical="center"/>
    </xf>
    <xf numFmtId="190" fontId="11" fillId="0" borderId="54" xfId="63" applyNumberFormat="1" applyFont="1" applyFill="1" applyBorder="1" applyAlignment="1">
      <alignment horizontal="center" vertical="center"/>
    </xf>
    <xf numFmtId="0" fontId="11" fillId="5" borderId="3" xfId="63" applyFont="1" applyFill="1" applyBorder="1" applyAlignment="1">
      <alignment vertical="center"/>
    </xf>
    <xf numFmtId="0" fontId="11" fillId="5" borderId="7" xfId="63" applyFont="1" applyFill="1" applyBorder="1" applyAlignment="1">
      <alignment vertical="center"/>
    </xf>
    <xf numFmtId="0" fontId="11" fillId="0" borderId="16" xfId="63" applyFont="1" applyBorder="1" applyAlignment="1">
      <alignment horizontal="left" vertical="center"/>
    </xf>
    <xf numFmtId="0" fontId="11" fillId="0" borderId="16" xfId="63" applyFont="1" applyBorder="1" applyAlignment="1">
      <alignment horizontal="center" vertical="center"/>
    </xf>
    <xf numFmtId="0" fontId="11" fillId="0" borderId="7" xfId="63" applyFont="1" applyBorder="1" applyAlignment="1">
      <alignment horizontal="left" vertical="center"/>
    </xf>
    <xf numFmtId="0" fontId="11" fillId="0" borderId="7" xfId="63" applyFont="1" applyBorder="1" applyAlignment="1">
      <alignment horizontal="center" vertical="center"/>
    </xf>
    <xf numFmtId="190" fontId="11" fillId="0" borderId="32" xfId="63" applyNumberFormat="1" applyFont="1" applyBorder="1" applyAlignment="1">
      <alignment vertical="center"/>
    </xf>
    <xf numFmtId="0" fontId="7" fillId="0" borderId="14" xfId="63" applyFont="1" applyBorder="1" applyAlignment="1">
      <alignment vertical="center"/>
    </xf>
    <xf numFmtId="190" fontId="11" fillId="0" borderId="51" xfId="63" applyNumberFormat="1" applyFont="1" applyBorder="1" applyAlignment="1">
      <alignment vertical="center"/>
    </xf>
    <xf numFmtId="0" fontId="7" fillId="0" borderId="52" xfId="63" applyFont="1" applyBorder="1" applyAlignment="1">
      <alignment vertical="center"/>
    </xf>
    <xf numFmtId="190" fontId="11" fillId="0" borderId="32" xfId="63" applyNumberFormat="1" applyFont="1" applyFill="1" applyBorder="1" applyAlignment="1">
      <alignment vertical="center"/>
    </xf>
    <xf numFmtId="190" fontId="11" fillId="0" borderId="51" xfId="63" applyNumberFormat="1" applyFont="1" applyFill="1" applyBorder="1" applyAlignment="1">
      <alignment vertical="center"/>
    </xf>
    <xf numFmtId="0" fontId="7" fillId="0" borderId="27" xfId="63" applyFont="1" applyFill="1" applyBorder="1" applyAlignment="1">
      <alignment horizontal="center" vertical="center"/>
    </xf>
    <xf numFmtId="0" fontId="43" fillId="0" borderId="0" xfId="63" applyFont="1" applyFill="1" applyAlignment="1">
      <alignment vertical="center"/>
    </xf>
    <xf numFmtId="0" fontId="40" fillId="0" borderId="0" xfId="63" applyFont="1" applyFill="1" applyBorder="1" applyAlignment="1">
      <alignment horizontal="left" vertical="center"/>
    </xf>
    <xf numFmtId="0" fontId="40" fillId="0" borderId="16" xfId="63" applyFont="1" applyFill="1" applyBorder="1" applyAlignment="1">
      <alignment horizontal="left" vertical="center"/>
    </xf>
    <xf numFmtId="0" fontId="40" fillId="0" borderId="42" xfId="63" applyFont="1" applyFill="1" applyBorder="1" applyAlignment="1">
      <alignment horizontal="left" vertical="center"/>
    </xf>
    <xf numFmtId="0" fontId="11" fillId="0" borderId="42" xfId="63" applyFont="1" applyFill="1" applyBorder="1" applyAlignment="1">
      <alignment vertical="center"/>
    </xf>
    <xf numFmtId="190" fontId="11" fillId="0" borderId="0" xfId="63" applyNumberFormat="1" applyFont="1" applyAlignment="1">
      <alignment horizontal="center" vertical="center"/>
    </xf>
    <xf numFmtId="0" fontId="44" fillId="0" borderId="0" xfId="19" applyFont="1" applyFill="1" applyBorder="1" applyAlignment="1">
      <alignment vertical="center"/>
    </xf>
    <xf numFmtId="191" fontId="7" fillId="0" borderId="9" xfId="20" applyNumberFormat="1" applyFont="1" applyFill="1" applyBorder="1" applyAlignment="1">
      <alignment horizontal="left" vertical="center" wrapText="1"/>
    </xf>
    <xf numFmtId="0" fontId="7" fillId="0" borderId="9" xfId="20" applyFont="1" applyBorder="1" applyAlignment="1">
      <alignment horizontal="center" vertical="center"/>
    </xf>
    <xf numFmtId="4" fontId="7" fillId="0" borderId="9" xfId="20" applyNumberFormat="1" applyFont="1" applyBorder="1" applyAlignment="1">
      <alignment horizontal="left" vertical="center" wrapText="1"/>
    </xf>
    <xf numFmtId="191" fontId="7" fillId="0" borderId="9" xfId="20" applyNumberFormat="1" applyFont="1" applyBorder="1" applyAlignment="1">
      <alignment horizontal="left" vertical="center" wrapText="1"/>
    </xf>
    <xf numFmtId="191" fontId="45" fillId="0" borderId="9" xfId="20" applyNumberFormat="1" applyFont="1" applyBorder="1" applyAlignment="1">
      <alignment horizontal="left" vertical="center" wrapText="1"/>
    </xf>
    <xf numFmtId="0" fontId="45" fillId="0" borderId="9" xfId="20" applyFont="1" applyBorder="1" applyAlignment="1">
      <alignment horizontal="center" vertical="center"/>
    </xf>
    <xf numFmtId="4" fontId="16" fillId="0" borderId="9" xfId="20" applyNumberFormat="1" applyFont="1" applyBorder="1" applyAlignment="1">
      <alignment horizontal="left" vertical="center" wrapText="1"/>
    </xf>
    <xf numFmtId="0" fontId="16" fillId="0" borderId="9" xfId="20" applyFont="1" applyBorder="1" applyAlignment="1">
      <alignment horizontal="center" vertical="center"/>
    </xf>
    <xf numFmtId="0" fontId="8" fillId="0" borderId="0" xfId="20" applyFont="1" applyFill="1" applyProtection="1"/>
    <xf numFmtId="14" fontId="10" fillId="0" borderId="0" xfId="20" applyNumberFormat="1" applyFont="1" applyFill="1" applyBorder="1" applyAlignment="1" applyProtection="1">
      <alignment vertical="center"/>
    </xf>
    <xf numFmtId="16" fontId="10" fillId="0" borderId="0" xfId="20" applyNumberFormat="1" applyFont="1" applyFill="1" applyBorder="1" applyAlignment="1" applyProtection="1">
      <alignment vertical="center"/>
    </xf>
    <xf numFmtId="0" fontId="10" fillId="0" borderId="0" xfId="20" applyFont="1" applyFill="1" applyBorder="1" applyAlignment="1" applyProtection="1">
      <alignment horizontal="centerContinuous" vertical="center"/>
    </xf>
    <xf numFmtId="16" fontId="10" fillId="0" borderId="0" xfId="20" applyNumberFormat="1" applyFont="1" applyFill="1" applyBorder="1" applyAlignment="1" applyProtection="1">
      <alignment horizontal="center" vertical="center"/>
    </xf>
    <xf numFmtId="14" fontId="10" fillId="0" borderId="0" xfId="20" applyNumberFormat="1" applyFont="1" applyFill="1" applyBorder="1" applyAlignment="1" applyProtection="1">
      <alignment vertical="center" wrapText="1"/>
    </xf>
    <xf numFmtId="0" fontId="10" fillId="0" borderId="0" xfId="20" applyFont="1" applyFill="1" applyBorder="1" applyAlignment="1" applyProtection="1">
      <alignment vertical="center"/>
    </xf>
    <xf numFmtId="0" fontId="8" fillId="0" borderId="0" xfId="20" applyFont="1" applyFill="1" applyBorder="1" applyAlignment="1" applyProtection="1">
      <alignment horizontal="center" vertical="center"/>
    </xf>
    <xf numFmtId="2" fontId="8" fillId="0" borderId="0" xfId="20" applyNumberFormat="1" applyFont="1" applyFill="1" applyBorder="1" applyAlignment="1" applyProtection="1">
      <alignment horizontal="right" vertical="center"/>
    </xf>
    <xf numFmtId="39" fontId="8" fillId="0" borderId="0" xfId="20" applyNumberFormat="1" applyFont="1" applyFill="1" applyBorder="1" applyAlignment="1" applyProtection="1">
      <alignment vertical="center"/>
    </xf>
    <xf numFmtId="186" fontId="8" fillId="0" borderId="0" xfId="20" applyNumberFormat="1" applyFont="1" applyFill="1" applyBorder="1" applyAlignment="1" applyProtection="1">
      <alignment vertical="center"/>
    </xf>
    <xf numFmtId="49" fontId="8" fillId="0" borderId="0" xfId="20" applyNumberFormat="1" applyFont="1" applyFill="1" applyBorder="1" applyAlignment="1" applyProtection="1">
      <alignment horizontal="left" vertical="center"/>
    </xf>
    <xf numFmtId="0" fontId="10" fillId="0" borderId="0" xfId="20" applyFont="1" applyFill="1" applyBorder="1" applyAlignment="1" applyProtection="1">
      <alignment horizontal="center" vertical="center"/>
    </xf>
    <xf numFmtId="166" fontId="8" fillId="0" borderId="0" xfId="49" applyFont="1" applyFill="1" applyBorder="1" applyAlignment="1" applyProtection="1">
      <alignment horizontal="right" vertical="center"/>
    </xf>
    <xf numFmtId="0" fontId="8" fillId="0" borderId="0" xfId="20" applyFont="1" applyFill="1" applyBorder="1" applyAlignment="1" applyProtection="1">
      <alignment vertical="center"/>
    </xf>
    <xf numFmtId="2" fontId="8" fillId="0" borderId="0" xfId="20" applyNumberFormat="1" applyFont="1" applyFill="1" applyBorder="1" applyAlignment="1" applyProtection="1">
      <alignment horizontal="center" vertical="center"/>
    </xf>
    <xf numFmtId="0" fontId="46" fillId="0" borderId="0" xfId="20" applyFont="1" applyFill="1" applyBorder="1" applyAlignment="1" applyProtection="1">
      <alignment vertical="center"/>
    </xf>
    <xf numFmtId="2" fontId="10" fillId="0" borderId="0" xfId="20" applyNumberFormat="1" applyFont="1" applyFill="1" applyBorder="1" applyAlignment="1" applyProtection="1">
      <alignment horizontal="center" vertical="center"/>
    </xf>
    <xf numFmtId="0" fontId="47" fillId="0" borderId="0" xfId="20" applyFont="1" applyFill="1" applyProtection="1"/>
    <xf numFmtId="187" fontId="8" fillId="0" borderId="0" xfId="20" applyNumberFormat="1" applyFont="1" applyFill="1" applyBorder="1" applyAlignment="1" applyProtection="1">
      <alignment horizontal="center" vertical="center"/>
    </xf>
    <xf numFmtId="166" fontId="8" fillId="0" borderId="0" xfId="49" applyFont="1" applyFill="1" applyBorder="1" applyAlignment="1" applyProtection="1">
      <alignment vertical="center"/>
    </xf>
    <xf numFmtId="0" fontId="8" fillId="0" borderId="0" xfId="20" applyFont="1" applyFill="1" applyBorder="1" applyProtection="1"/>
    <xf numFmtId="189" fontId="8" fillId="0" borderId="0" xfId="20" applyNumberFormat="1" applyFont="1" applyFill="1" applyBorder="1" applyAlignment="1" applyProtection="1">
      <alignment horizontal="center" vertical="center"/>
    </xf>
    <xf numFmtId="166" fontId="8" fillId="0" borderId="0" xfId="20" applyNumberFormat="1" applyFont="1" applyFill="1" applyBorder="1" applyAlignment="1" applyProtection="1">
      <alignment horizontal="center" vertical="center"/>
    </xf>
    <xf numFmtId="0" fontId="8" fillId="0" borderId="13" xfId="20" applyFont="1" applyFill="1" applyBorder="1" applyAlignment="1" applyProtection="1">
      <alignment horizontal="left" vertical="center"/>
    </xf>
    <xf numFmtId="0" fontId="8" fillId="0" borderId="19" xfId="20" applyFont="1" applyFill="1" applyBorder="1" applyProtection="1"/>
    <xf numFmtId="192" fontId="8" fillId="0" borderId="9" xfId="20" applyNumberFormat="1" applyFont="1" applyFill="1" applyBorder="1" applyAlignment="1" applyProtection="1">
      <alignment horizontal="center" vertical="center"/>
      <protection locked="0"/>
    </xf>
    <xf numFmtId="9" fontId="8" fillId="0" borderId="9" xfId="81" applyFont="1" applyFill="1" applyBorder="1" applyAlignment="1" applyProtection="1">
      <alignment horizontal="center" vertical="center"/>
      <protection locked="0"/>
    </xf>
    <xf numFmtId="0" fontId="8" fillId="0" borderId="13" xfId="20" applyFont="1" applyFill="1" applyBorder="1" applyAlignment="1" applyProtection="1">
      <alignment vertical="center"/>
    </xf>
    <xf numFmtId="193" fontId="8" fillId="0" borderId="9" xfId="20" applyNumberFormat="1" applyFont="1" applyFill="1" applyBorder="1" applyAlignment="1" applyProtection="1">
      <alignment horizontal="center" vertical="center"/>
      <protection locked="0"/>
    </xf>
    <xf numFmtId="194" fontId="8" fillId="0" borderId="9" xfId="81" applyNumberFormat="1" applyFont="1" applyFill="1" applyBorder="1" applyAlignment="1" applyProtection="1">
      <alignment horizontal="center" vertical="center"/>
      <protection locked="0"/>
    </xf>
    <xf numFmtId="195" fontId="8" fillId="0" borderId="9" xfId="20" applyNumberFormat="1" applyFont="1" applyFill="1" applyBorder="1" applyAlignment="1" applyProtection="1">
      <alignment horizontal="center" vertical="center"/>
    </xf>
    <xf numFmtId="196" fontId="8" fillId="0" borderId="9" xfId="20" applyNumberFormat="1" applyFont="1" applyFill="1" applyBorder="1" applyAlignment="1" applyProtection="1">
      <alignment horizontal="center" vertical="center"/>
    </xf>
    <xf numFmtId="0" fontId="8" fillId="0" borderId="13" xfId="20" applyFont="1" applyFill="1" applyBorder="1" applyProtection="1"/>
    <xf numFmtId="197" fontId="8" fillId="0" borderId="9" xfId="20" applyNumberFormat="1" applyFont="1" applyFill="1" applyBorder="1" applyProtection="1">
      <protection locked="0"/>
    </xf>
    <xf numFmtId="198" fontId="8" fillId="0" borderId="9" xfId="20" applyNumberFormat="1" applyFont="1" applyFill="1" applyBorder="1" applyProtection="1">
      <protection locked="0"/>
    </xf>
    <xf numFmtId="199" fontId="8" fillId="0" borderId="9" xfId="20" applyNumberFormat="1" applyFont="1" applyFill="1" applyBorder="1" applyAlignment="1" applyProtection="1">
      <alignment horizontal="center" vertical="center"/>
      <protection locked="0"/>
    </xf>
    <xf numFmtId="200" fontId="8" fillId="0" borderId="9" xfId="81" applyNumberFormat="1" applyFont="1" applyFill="1" applyBorder="1" applyAlignment="1" applyProtection="1">
      <alignment horizontal="center" vertical="center"/>
      <protection locked="0"/>
    </xf>
    <xf numFmtId="201" fontId="8" fillId="0" borderId="9" xfId="81" applyNumberFormat="1" applyFont="1" applyFill="1" applyBorder="1" applyAlignment="1" applyProtection="1">
      <alignment horizontal="center" vertical="center"/>
      <protection locked="0"/>
    </xf>
    <xf numFmtId="202" fontId="8" fillId="0" borderId="9" xfId="20" applyNumberFormat="1" applyFont="1" applyFill="1" applyBorder="1" applyAlignment="1" applyProtection="1">
      <alignment horizontal="center" vertical="center"/>
    </xf>
    <xf numFmtId="203" fontId="8" fillId="0" borderId="9" xfId="20" applyNumberFormat="1" applyFont="1" applyFill="1" applyBorder="1" applyAlignment="1" applyProtection="1">
      <alignment horizontal="center" vertical="center"/>
    </xf>
    <xf numFmtId="203" fontId="8" fillId="0" borderId="0" xfId="20" applyNumberFormat="1" applyFont="1" applyFill="1" applyBorder="1" applyAlignment="1" applyProtection="1">
      <alignment horizontal="center" vertical="center"/>
    </xf>
    <xf numFmtId="203" fontId="8" fillId="0" borderId="0" xfId="20" applyNumberFormat="1" applyFont="1" applyFill="1" applyBorder="1" applyAlignment="1" applyProtection="1">
      <alignment horizontal="right" vertical="center"/>
    </xf>
    <xf numFmtId="204" fontId="8" fillId="0" borderId="9" xfId="20" applyNumberFormat="1" applyFont="1" applyFill="1" applyBorder="1" applyProtection="1">
      <protection locked="0"/>
    </xf>
    <xf numFmtId="205" fontId="8" fillId="0" borderId="9" xfId="81" applyNumberFormat="1" applyFont="1" applyFill="1" applyBorder="1" applyAlignment="1" applyProtection="1">
      <alignment horizontal="center" vertical="center"/>
      <protection locked="0"/>
    </xf>
    <xf numFmtId="189" fontId="12" fillId="0" borderId="9" xfId="0" applyNumberFormat="1" applyFont="1" applyBorder="1" applyAlignment="1">
      <alignment vertical="center"/>
    </xf>
    <xf numFmtId="189" fontId="8" fillId="0" borderId="9" xfId="49" applyNumberFormat="1" applyFont="1" applyFill="1" applyBorder="1" applyAlignment="1" applyProtection="1">
      <alignment vertical="center"/>
      <protection locked="0"/>
    </xf>
    <xf numFmtId="180" fontId="8" fillId="0" borderId="9" xfId="49" applyNumberFormat="1" applyFont="1" applyFill="1" applyBorder="1" applyAlignment="1" applyProtection="1">
      <alignment horizontal="center" vertical="center"/>
      <protection locked="0"/>
    </xf>
    <xf numFmtId="166" fontId="11" fillId="0" borderId="9" xfId="0" applyNumberFormat="1" applyFont="1" applyFill="1" applyBorder="1" applyAlignment="1" applyProtection="1">
      <alignment vertical="center"/>
    </xf>
    <xf numFmtId="0" fontId="7" fillId="0" borderId="0" xfId="20" applyFont="1" applyProtection="1">
      <protection hidden="1"/>
    </xf>
    <xf numFmtId="0" fontId="7" fillId="0" borderId="0" xfId="20" applyFont="1" applyAlignment="1" applyProtection="1">
      <alignment horizontal="center"/>
      <protection hidden="1"/>
    </xf>
    <xf numFmtId="207" fontId="7" fillId="0" borderId="9" xfId="20" applyNumberFormat="1" applyFont="1" applyBorder="1" applyAlignment="1" applyProtection="1">
      <alignment horizontal="center" vertical="center"/>
      <protection hidden="1"/>
    </xf>
    <xf numFmtId="0" fontId="7" fillId="0" borderId="0" xfId="20" applyFont="1" applyBorder="1" applyProtection="1">
      <protection hidden="1"/>
    </xf>
    <xf numFmtId="207" fontId="7" fillId="0" borderId="0" xfId="20" applyNumberFormat="1" applyFont="1" applyAlignment="1" applyProtection="1">
      <protection hidden="1"/>
    </xf>
    <xf numFmtId="208" fontId="7" fillId="0" borderId="0" xfId="20" applyNumberFormat="1" applyFont="1" applyBorder="1" applyAlignment="1" applyProtection="1">
      <alignment shrinkToFit="1"/>
      <protection hidden="1"/>
    </xf>
    <xf numFmtId="209" fontId="7" fillId="0" borderId="0" xfId="20" applyNumberFormat="1" applyFont="1" applyBorder="1" applyAlignment="1" applyProtection="1">
      <alignment horizontal="center" vertical="center" shrinkToFit="1"/>
      <protection hidden="1"/>
    </xf>
    <xf numFmtId="0" fontId="7" fillId="0" borderId="0" xfId="20" applyFont="1" applyAlignment="1" applyProtection="1">
      <alignment horizontal="left" vertical="center"/>
      <protection hidden="1"/>
    </xf>
    <xf numFmtId="210" fontId="7" fillId="0" borderId="0" xfId="20" applyNumberFormat="1" applyFont="1" applyBorder="1" applyAlignment="1" applyProtection="1">
      <alignment horizontal="center"/>
      <protection hidden="1"/>
    </xf>
    <xf numFmtId="0" fontId="7" fillId="0" borderId="0" xfId="20" applyFont="1" applyBorder="1" applyAlignment="1" applyProtection="1">
      <alignment horizontal="right" vertical="center"/>
      <protection hidden="1"/>
    </xf>
    <xf numFmtId="0" fontId="7" fillId="0" borderId="0" xfId="20" applyFont="1" applyBorder="1" applyAlignment="1" applyProtection="1">
      <alignment horizontal="center"/>
      <protection hidden="1"/>
    </xf>
    <xf numFmtId="0" fontId="7" fillId="0" borderId="0" xfId="20" applyFont="1" applyBorder="1" applyAlignment="1" applyProtection="1">
      <alignment horizontal="left" vertical="center"/>
      <protection hidden="1"/>
    </xf>
    <xf numFmtId="213" fontId="7" fillId="0" borderId="0" xfId="20" applyNumberFormat="1" applyFont="1" applyBorder="1" applyProtection="1">
      <protection hidden="1"/>
    </xf>
    <xf numFmtId="214" fontId="7" fillId="0" borderId="0" xfId="20" applyNumberFormat="1" applyFont="1" applyBorder="1" applyAlignment="1" applyProtection="1">
      <alignment horizontal="center"/>
      <protection hidden="1"/>
    </xf>
    <xf numFmtId="215" fontId="7" fillId="0" borderId="0" xfId="20" applyNumberFormat="1" applyFont="1" applyBorder="1" applyAlignment="1" applyProtection="1">
      <alignment horizontal="center" vertical="center" shrinkToFit="1"/>
      <protection hidden="1"/>
    </xf>
    <xf numFmtId="217" fontId="7" fillId="0" borderId="0" xfId="20" applyNumberFormat="1" applyFont="1" applyAlignment="1" applyProtection="1">
      <alignment shrinkToFit="1"/>
      <protection hidden="1"/>
    </xf>
    <xf numFmtId="218" fontId="7" fillId="0" borderId="0" xfId="20" applyNumberFormat="1" applyFont="1" applyAlignment="1" applyProtection="1">
      <alignment horizontal="center" shrinkToFit="1"/>
      <protection hidden="1"/>
    </xf>
    <xf numFmtId="219" fontId="7" fillId="0" borderId="0" xfId="20" applyNumberFormat="1" applyFont="1" applyAlignment="1" applyProtection="1">
      <alignment horizontal="center"/>
      <protection hidden="1"/>
    </xf>
    <xf numFmtId="0" fontId="7" fillId="0" borderId="0" xfId="20" applyFont="1" applyAlignment="1" applyProtection="1">
      <alignment horizontal="right" vertical="center"/>
      <protection hidden="1"/>
    </xf>
    <xf numFmtId="220" fontId="7" fillId="0" borderId="0" xfId="20" applyNumberFormat="1" applyFont="1" applyBorder="1" applyAlignment="1" applyProtection="1">
      <alignment horizontal="center" vertical="center" shrinkToFit="1"/>
      <protection hidden="1"/>
    </xf>
    <xf numFmtId="0" fontId="7" fillId="0" borderId="0" xfId="20" applyFont="1" applyBorder="1" applyAlignment="1" applyProtection="1">
      <alignment horizontal="center" shrinkToFit="1"/>
      <protection hidden="1"/>
    </xf>
    <xf numFmtId="209" fontId="8" fillId="0" borderId="0" xfId="20" applyNumberFormat="1" applyFont="1" applyBorder="1" applyAlignment="1" applyProtection="1">
      <alignment horizontal="center" shrinkToFit="1"/>
      <protection hidden="1"/>
    </xf>
    <xf numFmtId="0" fontId="49" fillId="0" borderId="0" xfId="20" applyFont="1" applyBorder="1" applyAlignment="1" applyProtection="1">
      <alignment horizontal="center" shrinkToFit="1"/>
      <protection hidden="1"/>
    </xf>
    <xf numFmtId="209" fontId="7" fillId="0" borderId="0" xfId="20" applyNumberFormat="1" applyFont="1" applyBorder="1" applyAlignment="1" applyProtection="1">
      <alignment horizontal="center" vertical="center"/>
      <protection hidden="1"/>
    </xf>
    <xf numFmtId="0" fontId="8" fillId="0" borderId="9" xfId="20" applyFont="1" applyBorder="1" applyAlignment="1" applyProtection="1">
      <alignment horizontal="center" vertical="center"/>
      <protection hidden="1"/>
    </xf>
    <xf numFmtId="0" fontId="8" fillId="0" borderId="9" xfId="20" quotePrefix="1" applyFont="1" applyBorder="1" applyAlignment="1" applyProtection="1">
      <alignment horizontal="center" vertical="center"/>
      <protection hidden="1"/>
    </xf>
    <xf numFmtId="175" fontId="8" fillId="0" borderId="9" xfId="20" applyNumberFormat="1" applyFont="1" applyBorder="1" applyAlignment="1" applyProtection="1">
      <alignment horizontal="center" vertical="center"/>
      <protection hidden="1"/>
    </xf>
    <xf numFmtId="222" fontId="8" fillId="0" borderId="9" xfId="20" applyNumberFormat="1" applyFont="1" applyBorder="1" applyAlignment="1" applyProtection="1">
      <alignment horizontal="center" vertical="center"/>
      <protection locked="0"/>
    </xf>
    <xf numFmtId="223" fontId="8" fillId="0" borderId="9" xfId="20" applyNumberFormat="1" applyFont="1" applyBorder="1" applyAlignment="1" applyProtection="1">
      <alignment horizontal="center" vertical="center"/>
      <protection hidden="1"/>
    </xf>
    <xf numFmtId="223" fontId="8" fillId="0" borderId="9" xfId="20" applyNumberFormat="1" applyFont="1" applyBorder="1" applyAlignment="1" applyProtection="1">
      <alignment horizontal="center" vertical="center"/>
      <protection locked="0"/>
    </xf>
    <xf numFmtId="224" fontId="8" fillId="0" borderId="9" xfId="20" applyNumberFormat="1" applyFont="1" applyBorder="1" applyAlignment="1" applyProtection="1">
      <alignment horizontal="center" vertical="center"/>
      <protection locked="0"/>
    </xf>
    <xf numFmtId="225" fontId="8" fillId="0" borderId="9" xfId="20" applyNumberFormat="1" applyFont="1" applyBorder="1" applyAlignment="1" applyProtection="1">
      <alignment horizontal="center" vertical="center"/>
      <protection hidden="1"/>
    </xf>
    <xf numFmtId="206" fontId="8" fillId="0" borderId="9" xfId="20" applyNumberFormat="1" applyFont="1" applyBorder="1" applyAlignment="1" applyProtection="1">
      <alignment horizontal="center" vertical="center"/>
      <protection hidden="1"/>
    </xf>
    <xf numFmtId="226" fontId="10" fillId="0" borderId="9" xfId="20" applyNumberFormat="1" applyFont="1" applyBorder="1" applyAlignment="1" applyProtection="1">
      <alignment horizontal="center" vertical="center"/>
      <protection hidden="1"/>
    </xf>
    <xf numFmtId="226" fontId="7" fillId="0" borderId="0" xfId="20" applyNumberFormat="1" applyFont="1" applyAlignment="1" applyProtection="1">
      <alignment vertical="center"/>
      <protection hidden="1"/>
    </xf>
    <xf numFmtId="222" fontId="8" fillId="0" borderId="9" xfId="20" applyNumberFormat="1" applyFont="1" applyBorder="1" applyAlignment="1" applyProtection="1">
      <alignment horizontal="center" vertical="center"/>
      <protection hidden="1"/>
    </xf>
    <xf numFmtId="224" fontId="8" fillId="0" borderId="9" xfId="20" applyNumberFormat="1" applyFont="1" applyBorder="1" applyAlignment="1" applyProtection="1">
      <alignment horizontal="center" vertical="center"/>
      <protection hidden="1"/>
    </xf>
    <xf numFmtId="226" fontId="7" fillId="0" borderId="0" xfId="20" applyNumberFormat="1" applyFont="1" applyBorder="1" applyAlignment="1" applyProtection="1">
      <alignment vertical="center"/>
      <protection hidden="1"/>
    </xf>
    <xf numFmtId="227" fontId="7" fillId="0" borderId="9" xfId="20" applyNumberFormat="1" applyFont="1" applyBorder="1" applyAlignment="1" applyProtection="1">
      <alignment horizontal="center" vertical="center"/>
      <protection hidden="1"/>
    </xf>
    <xf numFmtId="0" fontId="7" fillId="0" borderId="13" xfId="7" applyFont="1" applyFill="1" applyBorder="1" applyAlignment="1" applyProtection="1">
      <alignment vertical="center" wrapText="1"/>
      <protection hidden="1"/>
    </xf>
    <xf numFmtId="2" fontId="7" fillId="0" borderId="9" xfId="0" applyNumberFormat="1" applyFont="1" applyFill="1" applyBorder="1" applyAlignment="1" applyProtection="1">
      <alignment vertical="center"/>
      <protection hidden="1"/>
    </xf>
    <xf numFmtId="179" fontId="12" fillId="0" borderId="9" xfId="49" applyNumberFormat="1" applyFont="1" applyFill="1" applyBorder="1" applyAlignment="1" applyProtection="1">
      <alignment vertical="center" wrapText="1"/>
      <protection hidden="1"/>
    </xf>
    <xf numFmtId="179" fontId="7" fillId="0" borderId="9" xfId="49" applyNumberFormat="1" applyFont="1" applyFill="1" applyBorder="1" applyAlignment="1" applyProtection="1">
      <alignment vertical="center"/>
      <protection hidden="1"/>
    </xf>
    <xf numFmtId="4" fontId="7" fillId="0" borderId="16" xfId="0" applyNumberFormat="1" applyFont="1" applyFill="1" applyBorder="1" applyAlignment="1" applyProtection="1">
      <alignment vertical="center"/>
      <protection hidden="1"/>
    </xf>
    <xf numFmtId="44" fontId="7" fillId="0" borderId="16" xfId="0" applyNumberFormat="1" applyFont="1" applyFill="1" applyBorder="1" applyAlignment="1" applyProtection="1">
      <alignment vertical="center"/>
      <protection hidden="1"/>
    </xf>
    <xf numFmtId="0" fontId="7" fillId="0" borderId="0" xfId="0" applyFont="1" applyAlignment="1" applyProtection="1">
      <alignment vertical="center"/>
      <protection hidden="1"/>
    </xf>
    <xf numFmtId="0" fontId="7" fillId="0" borderId="0" xfId="0" applyFont="1" applyAlignment="1" applyProtection="1">
      <alignment horizontal="center" vertical="center"/>
      <protection hidden="1"/>
    </xf>
    <xf numFmtId="49" fontId="7" fillId="0" borderId="13" xfId="0" applyNumberFormat="1" applyFont="1" applyFill="1" applyBorder="1" applyAlignment="1" applyProtection="1">
      <alignment horizontal="center" vertical="center"/>
      <protection hidden="1"/>
    </xf>
    <xf numFmtId="0" fontId="0" fillId="0" borderId="19" xfId="0" applyFill="1" applyBorder="1" applyAlignment="1" applyProtection="1">
      <alignment vertical="center"/>
      <protection hidden="1"/>
    </xf>
    <xf numFmtId="166" fontId="11" fillId="0" borderId="19" xfId="0" applyNumberFormat="1" applyFont="1" applyFill="1" applyBorder="1" applyAlignment="1" applyProtection="1">
      <alignment vertical="center"/>
      <protection hidden="1"/>
    </xf>
    <xf numFmtId="166" fontId="11" fillId="0" borderId="9" xfId="49" applyFont="1" applyBorder="1" applyProtection="1">
      <protection locked="0"/>
    </xf>
    <xf numFmtId="211" fontId="11" fillId="0" borderId="9" xfId="25" applyNumberFormat="1" applyFont="1" applyBorder="1" applyProtection="1">
      <protection locked="0"/>
    </xf>
    <xf numFmtId="9" fontId="11" fillId="0" borderId="9" xfId="81" applyFont="1" applyBorder="1" applyProtection="1">
      <protection locked="0"/>
    </xf>
    <xf numFmtId="0" fontId="11" fillId="0" borderId="9" xfId="81" applyNumberFormat="1" applyFont="1" applyFill="1" applyBorder="1" applyProtection="1">
      <protection locked="0"/>
    </xf>
    <xf numFmtId="212" fontId="11" fillId="0" borderId="9" xfId="20" applyNumberFormat="1" applyFont="1" applyBorder="1" applyProtection="1">
      <protection locked="0"/>
    </xf>
    <xf numFmtId="214" fontId="11" fillId="0" borderId="9" xfId="20" applyNumberFormat="1" applyFont="1" applyBorder="1" applyProtection="1">
      <protection locked="0"/>
    </xf>
    <xf numFmtId="197" fontId="11" fillId="0" borderId="9" xfId="20" applyNumberFormat="1" applyFont="1" applyBorder="1" applyProtection="1">
      <protection locked="0"/>
    </xf>
    <xf numFmtId="199" fontId="11" fillId="0" borderId="9" xfId="20" applyNumberFormat="1" applyFont="1" applyBorder="1" applyProtection="1">
      <protection locked="0"/>
    </xf>
    <xf numFmtId="216" fontId="11" fillId="0" borderId="9" xfId="20" applyNumberFormat="1" applyFont="1" applyFill="1" applyBorder="1" applyProtection="1">
      <protection locked="0"/>
    </xf>
    <xf numFmtId="221" fontId="11" fillId="0" borderId="9" xfId="20" applyNumberFormat="1" applyFont="1" applyBorder="1" applyProtection="1">
      <protection locked="0"/>
    </xf>
    <xf numFmtId="209" fontId="11" fillId="0" borderId="9" xfId="20" applyNumberFormat="1" applyFont="1" applyBorder="1" applyProtection="1">
      <protection locked="0"/>
    </xf>
    <xf numFmtId="166" fontId="11" fillId="0" borderId="9" xfId="49" applyFont="1" applyBorder="1" applyProtection="1">
      <protection hidden="1"/>
    </xf>
    <xf numFmtId="211" fontId="11" fillId="0" borderId="9" xfId="25" applyNumberFormat="1" applyFont="1" applyBorder="1" applyProtection="1">
      <protection hidden="1"/>
    </xf>
    <xf numFmtId="9" fontId="11" fillId="0" borderId="9" xfId="81" applyFont="1" applyBorder="1" applyProtection="1">
      <protection hidden="1"/>
    </xf>
    <xf numFmtId="0" fontId="11" fillId="0" borderId="9" xfId="81" applyNumberFormat="1" applyFont="1" applyFill="1" applyBorder="1" applyProtection="1">
      <protection hidden="1"/>
    </xf>
    <xf numFmtId="212" fontId="7" fillId="0" borderId="9" xfId="20" applyNumberFormat="1" applyFont="1" applyBorder="1" applyProtection="1">
      <protection hidden="1"/>
    </xf>
    <xf numFmtId="214" fontId="11" fillId="0" borderId="9" xfId="20" applyNumberFormat="1" applyFont="1" applyBorder="1" applyProtection="1">
      <protection hidden="1"/>
    </xf>
    <xf numFmtId="197" fontId="7" fillId="0" borderId="9" xfId="20" applyNumberFormat="1" applyFont="1" applyBorder="1" applyProtection="1">
      <protection hidden="1"/>
    </xf>
    <xf numFmtId="199" fontId="7" fillId="0" borderId="9" xfId="20" applyNumberFormat="1" applyFont="1" applyBorder="1" applyProtection="1">
      <protection hidden="1"/>
    </xf>
    <xf numFmtId="216" fontId="11" fillId="0" borderId="9" xfId="20" applyNumberFormat="1" applyFont="1" applyFill="1" applyBorder="1" applyProtection="1">
      <protection hidden="1"/>
    </xf>
    <xf numFmtId="221" fontId="7" fillId="0" borderId="9" xfId="20" applyNumberFormat="1" applyFont="1" applyBorder="1" applyProtection="1">
      <protection hidden="1"/>
    </xf>
    <xf numFmtId="209" fontId="11" fillId="0" borderId="9" xfId="20" applyNumberFormat="1" applyFont="1" applyBorder="1" applyProtection="1">
      <protection hidden="1"/>
    </xf>
    <xf numFmtId="0" fontId="7" fillId="0" borderId="23" xfId="20" applyFont="1" applyBorder="1" applyProtection="1">
      <protection hidden="1"/>
    </xf>
    <xf numFmtId="0" fontId="7" fillId="0" borderId="24" xfId="20" applyFont="1" applyBorder="1" applyProtection="1">
      <protection hidden="1"/>
    </xf>
    <xf numFmtId="0" fontId="11" fillId="0" borderId="0" xfId="20" applyFont="1"/>
    <xf numFmtId="0" fontId="7" fillId="0" borderId="0" xfId="20" applyFont="1"/>
    <xf numFmtId="0" fontId="7" fillId="0" borderId="9" xfId="20" applyFont="1" applyBorder="1" applyAlignment="1">
      <alignment horizontal="center" vertical="center" wrapText="1"/>
    </xf>
    <xf numFmtId="0" fontId="7" fillId="0" borderId="0" xfId="20" applyFont="1" applyAlignment="1">
      <alignment horizontal="center" vertical="center"/>
    </xf>
    <xf numFmtId="0" fontId="7" fillId="0" borderId="9" xfId="20" applyFont="1" applyBorder="1"/>
    <xf numFmtId="0" fontId="7" fillId="0" borderId="9" xfId="20" applyFont="1" applyBorder="1" applyAlignment="1">
      <alignment horizontal="center"/>
    </xf>
    <xf numFmtId="187" fontId="7" fillId="0" borderId="9" xfId="20" applyNumberFormat="1" applyFont="1" applyFill="1" applyBorder="1" applyAlignment="1" applyProtection="1">
      <alignment horizontal="center" vertical="center"/>
      <protection locked="0"/>
    </xf>
    <xf numFmtId="166" fontId="7" fillId="0" borderId="9" xfId="49" applyFont="1" applyBorder="1"/>
    <xf numFmtId="0" fontId="11" fillId="0" borderId="9" xfId="0" applyFont="1" applyFill="1" applyBorder="1" applyAlignment="1" applyProtection="1">
      <alignment horizontal="center" vertical="center" wrapText="1"/>
    </xf>
    <xf numFmtId="0" fontId="11" fillId="0" borderId="16" xfId="0" applyFont="1" applyFill="1" applyBorder="1" applyAlignment="1" applyProtection="1">
      <alignment horizontal="center" vertical="center"/>
      <protection hidden="1"/>
    </xf>
    <xf numFmtId="0" fontId="7" fillId="0" borderId="0" xfId="0" applyFont="1" applyAlignment="1" applyProtection="1">
      <alignment horizontal="left" vertical="center"/>
      <protection hidden="1"/>
    </xf>
    <xf numFmtId="0" fontId="11" fillId="0" borderId="9" xfId="0" applyFont="1" applyFill="1" applyBorder="1" applyAlignment="1" applyProtection="1">
      <alignment horizontal="center" vertical="center"/>
      <protection hidden="1"/>
    </xf>
    <xf numFmtId="0" fontId="7" fillId="0" borderId="0" xfId="0" applyFont="1" applyFill="1" applyBorder="1" applyAlignment="1" applyProtection="1">
      <alignment horizontal="center" vertical="center"/>
    </xf>
    <xf numFmtId="0" fontId="7" fillId="0" borderId="0" xfId="7" applyFont="1" applyFill="1" applyBorder="1" applyAlignment="1" applyProtection="1">
      <alignment horizontal="center" vertical="center"/>
    </xf>
    <xf numFmtId="0" fontId="7" fillId="0" borderId="0" xfId="7" applyFont="1" applyFill="1" applyBorder="1" applyAlignment="1" applyProtection="1">
      <alignment horizontal="center" vertical="center"/>
      <protection locked="0"/>
    </xf>
    <xf numFmtId="49" fontId="7" fillId="4" borderId="0" xfId="0" applyNumberFormat="1" applyFont="1" applyFill="1" applyAlignment="1" applyProtection="1">
      <alignment horizontal="center" vertical="center"/>
    </xf>
    <xf numFmtId="49" fontId="7" fillId="0" borderId="0" xfId="0" applyNumberFormat="1" applyFont="1" applyFill="1" applyAlignment="1" applyProtection="1">
      <alignment horizontal="center" vertical="center"/>
    </xf>
    <xf numFmtId="0" fontId="50" fillId="0" borderId="0" xfId="7" applyFont="1" applyFill="1" applyBorder="1" applyAlignment="1" applyProtection="1">
      <alignment vertical="center"/>
      <protection hidden="1"/>
    </xf>
    <xf numFmtId="0" fontId="50" fillId="0" borderId="0" xfId="0" applyFont="1" applyFill="1" applyAlignment="1" applyProtection="1">
      <alignment vertical="center"/>
      <protection hidden="1"/>
    </xf>
    <xf numFmtId="0" fontId="11" fillId="0" borderId="13" xfId="0" applyFont="1" applyFill="1" applyBorder="1" applyAlignment="1" applyProtection="1">
      <alignment horizontal="center" vertical="center"/>
    </xf>
    <xf numFmtId="0" fontId="51" fillId="0" borderId="24" xfId="0" applyFont="1" applyFill="1" applyBorder="1" applyAlignment="1" applyProtection="1">
      <alignment vertical="center"/>
    </xf>
    <xf numFmtId="166" fontId="31" fillId="0" borderId="16" xfId="0" applyNumberFormat="1" applyFont="1" applyFill="1" applyBorder="1" applyAlignment="1" applyProtection="1">
      <alignment vertical="center"/>
    </xf>
    <xf numFmtId="0" fontId="0" fillId="0" borderId="19" xfId="0" applyFill="1" applyBorder="1" applyAlignment="1" applyProtection="1">
      <alignment vertical="center"/>
    </xf>
    <xf numFmtId="0" fontId="11" fillId="0" borderId="9" xfId="0" applyFont="1" applyFill="1" applyBorder="1" applyAlignment="1" applyProtection="1">
      <alignment horizontal="center" vertical="center"/>
    </xf>
    <xf numFmtId="0" fontId="7" fillId="0" borderId="9" xfId="0" applyFont="1" applyFill="1" applyBorder="1" applyAlignment="1" applyProtection="1">
      <alignment horizontal="center" vertical="center" wrapText="1"/>
      <protection hidden="1"/>
    </xf>
    <xf numFmtId="0" fontId="11" fillId="0" borderId="13" xfId="0" applyFont="1" applyFill="1" applyBorder="1" applyAlignment="1" applyProtection="1">
      <alignment horizontal="center" vertical="center"/>
    </xf>
    <xf numFmtId="0" fontId="11" fillId="0" borderId="16" xfId="0" applyFont="1" applyFill="1" applyBorder="1" applyAlignment="1" applyProtection="1">
      <alignment horizontal="center" vertical="center"/>
    </xf>
    <xf numFmtId="0" fontId="11" fillId="0" borderId="19" xfId="0" applyFont="1" applyFill="1" applyBorder="1" applyAlignment="1" applyProtection="1">
      <alignment horizontal="center" vertical="center"/>
    </xf>
    <xf numFmtId="0" fontId="11" fillId="0" borderId="30" xfId="0" applyFont="1" applyFill="1" applyBorder="1" applyAlignment="1" applyProtection="1">
      <alignment horizontal="center" vertical="center" wrapText="1"/>
    </xf>
    <xf numFmtId="0" fontId="11" fillId="0" borderId="26" xfId="0" applyFont="1" applyFill="1" applyBorder="1" applyAlignment="1" applyProtection="1">
      <alignment horizontal="center" vertical="center" wrapText="1"/>
    </xf>
    <xf numFmtId="0" fontId="11" fillId="0" borderId="9" xfId="0" applyFont="1" applyFill="1" applyBorder="1" applyAlignment="1" applyProtection="1">
      <alignment horizontal="center" vertical="center" wrapText="1"/>
    </xf>
    <xf numFmtId="49" fontId="11" fillId="0" borderId="9" xfId="0" applyNumberFormat="1" applyFont="1" applyFill="1" applyBorder="1" applyAlignment="1" applyProtection="1">
      <alignment horizontal="center" vertical="center" wrapText="1"/>
    </xf>
    <xf numFmtId="0" fontId="11" fillId="0" borderId="16" xfId="0" applyFont="1" applyFill="1" applyBorder="1" applyAlignment="1" applyProtection="1">
      <alignment horizontal="center" vertical="center"/>
      <protection hidden="1"/>
    </xf>
    <xf numFmtId="0" fontId="13" fillId="0" borderId="0" xfId="0" applyFont="1" applyFill="1" applyAlignment="1" applyProtection="1">
      <alignment horizontal="left" vertical="center" wrapText="1"/>
      <protection hidden="1"/>
    </xf>
    <xf numFmtId="0" fontId="7" fillId="0" borderId="0" xfId="0" applyFont="1" applyAlignment="1" applyProtection="1">
      <alignment horizontal="left" vertical="center"/>
      <protection hidden="1"/>
    </xf>
    <xf numFmtId="0" fontId="18" fillId="0" borderId="0" xfId="7" applyFont="1" applyFill="1" applyBorder="1" applyAlignment="1" applyProtection="1">
      <alignment horizontal="justify" vertical="center" wrapText="1"/>
      <protection hidden="1"/>
    </xf>
    <xf numFmtId="0" fontId="11" fillId="0" borderId="9" xfId="0" applyFont="1" applyFill="1" applyBorder="1" applyAlignment="1" applyProtection="1">
      <alignment horizontal="center" vertical="center" wrapText="1"/>
      <protection hidden="1"/>
    </xf>
    <xf numFmtId="0" fontId="14" fillId="0" borderId="0" xfId="0" applyFont="1" applyFill="1" applyBorder="1" applyAlignment="1" applyProtection="1">
      <alignment horizontal="center" vertical="center" wrapText="1"/>
      <protection hidden="1"/>
    </xf>
    <xf numFmtId="0" fontId="11" fillId="0" borderId="9" xfId="0" applyFont="1" applyFill="1" applyBorder="1" applyAlignment="1" applyProtection="1">
      <alignment horizontal="center" vertical="center"/>
      <protection hidden="1"/>
    </xf>
    <xf numFmtId="0" fontId="9" fillId="0" borderId="0" xfId="0" applyFont="1" applyFill="1" applyBorder="1" applyAlignment="1" applyProtection="1">
      <alignment horizontal="center" vertical="center"/>
      <protection hidden="1"/>
    </xf>
    <xf numFmtId="0" fontId="13" fillId="0" borderId="0" xfId="0" applyFont="1" applyFill="1" applyAlignment="1" applyProtection="1">
      <alignment horizontal="left" vertical="center" wrapText="1"/>
    </xf>
    <xf numFmtId="0" fontId="16" fillId="0" borderId="9" xfId="0" applyFont="1" applyFill="1" applyBorder="1" applyAlignment="1" applyProtection="1">
      <alignment horizontal="center" vertical="center" wrapText="1"/>
    </xf>
    <xf numFmtId="0" fontId="16" fillId="0" borderId="30" xfId="0" applyFont="1" applyFill="1" applyBorder="1" applyAlignment="1" applyProtection="1">
      <alignment horizontal="center" vertical="center" wrapText="1"/>
    </xf>
    <xf numFmtId="0" fontId="16" fillId="0" borderId="26" xfId="0" applyFont="1" applyFill="1" applyBorder="1" applyAlignment="1" applyProtection="1">
      <alignment horizontal="center" vertical="center" wrapText="1"/>
    </xf>
    <xf numFmtId="0" fontId="16" fillId="0" borderId="27" xfId="0" applyFont="1" applyFill="1" applyBorder="1" applyAlignment="1" applyProtection="1">
      <alignment horizontal="center" vertical="center" wrapText="1"/>
    </xf>
    <xf numFmtId="0" fontId="16" fillId="0" borderId="25" xfId="0" applyFont="1" applyFill="1" applyBorder="1" applyAlignment="1" applyProtection="1">
      <alignment horizontal="center" vertical="center" wrapText="1"/>
    </xf>
    <xf numFmtId="0" fontId="16" fillId="0" borderId="15" xfId="0" applyFont="1" applyFill="1" applyBorder="1" applyAlignment="1" applyProtection="1">
      <alignment horizontal="center" vertical="center" wrapText="1"/>
    </xf>
    <xf numFmtId="0" fontId="16" fillId="0" borderId="17" xfId="0" applyFont="1" applyFill="1" applyBorder="1" applyAlignment="1" applyProtection="1">
      <alignment horizontal="center" vertical="center" wrapText="1"/>
    </xf>
    <xf numFmtId="0" fontId="8" fillId="0" borderId="0" xfId="0" applyFont="1" applyFill="1" applyBorder="1" applyAlignment="1" applyProtection="1">
      <alignment horizontal="left" vertical="center" wrapText="1"/>
    </xf>
    <xf numFmtId="0" fontId="8" fillId="0" borderId="22" xfId="0" applyFont="1" applyFill="1" applyBorder="1" applyAlignment="1" applyProtection="1">
      <alignment horizontal="center" vertical="center" wrapText="1"/>
    </xf>
    <xf numFmtId="0" fontId="8" fillId="0" borderId="19" xfId="0" applyFont="1" applyFill="1" applyBorder="1" applyAlignment="1" applyProtection="1">
      <alignment horizontal="center" vertical="center" wrapText="1"/>
    </xf>
    <xf numFmtId="0" fontId="8" fillId="0" borderId="30" xfId="0" applyFont="1" applyFill="1" applyBorder="1" applyAlignment="1" applyProtection="1">
      <alignment horizontal="center" vertical="center"/>
    </xf>
    <xf numFmtId="0" fontId="8" fillId="0" borderId="26" xfId="0" applyFont="1" applyFill="1" applyBorder="1" applyAlignment="1" applyProtection="1">
      <alignment horizontal="center" vertical="center"/>
    </xf>
    <xf numFmtId="2" fontId="8" fillId="0" borderId="30" xfId="0" applyNumberFormat="1" applyFont="1" applyFill="1" applyBorder="1" applyAlignment="1" applyProtection="1">
      <alignment horizontal="center" vertical="center"/>
    </xf>
    <xf numFmtId="2" fontId="8" fillId="0" borderId="26" xfId="0" applyNumberFormat="1" applyFont="1" applyFill="1" applyBorder="1" applyAlignment="1" applyProtection="1">
      <alignment horizontal="center" vertical="center"/>
    </xf>
    <xf numFmtId="39" fontId="8" fillId="0" borderId="30" xfId="0" applyNumberFormat="1" applyFont="1" applyFill="1" applyBorder="1" applyAlignment="1" applyProtection="1">
      <alignment horizontal="center" vertical="center" wrapText="1"/>
    </xf>
    <xf numFmtId="39" fontId="8" fillId="0" borderId="26" xfId="0" applyNumberFormat="1" applyFont="1" applyFill="1" applyBorder="1" applyAlignment="1" applyProtection="1">
      <alignment horizontal="center" vertical="center"/>
    </xf>
    <xf numFmtId="39" fontId="8" fillId="0" borderId="30" xfId="0" applyNumberFormat="1" applyFont="1" applyFill="1" applyBorder="1" applyAlignment="1" applyProtection="1">
      <alignment horizontal="center" vertical="center"/>
    </xf>
    <xf numFmtId="186" fontId="8" fillId="0" borderId="31" xfId="0" applyNumberFormat="1" applyFont="1" applyFill="1" applyBorder="1" applyAlignment="1" applyProtection="1">
      <alignment horizontal="center" vertical="center"/>
    </xf>
    <xf numFmtId="186" fontId="8" fillId="0" borderId="29" xfId="0" applyNumberFormat="1" applyFont="1" applyFill="1" applyBorder="1" applyAlignment="1" applyProtection="1">
      <alignment horizontal="center" vertical="center"/>
    </xf>
    <xf numFmtId="39" fontId="8" fillId="0" borderId="26" xfId="0" applyNumberFormat="1" applyFont="1" applyFill="1" applyBorder="1" applyAlignment="1" applyProtection="1">
      <alignment horizontal="center" vertical="center" wrapText="1"/>
    </xf>
    <xf numFmtId="0" fontId="14" fillId="0" borderId="13" xfId="0" applyFont="1" applyFill="1" applyBorder="1" applyAlignment="1" applyProtection="1">
      <alignment horizontal="center" vertical="center"/>
      <protection hidden="1"/>
    </xf>
    <xf numFmtId="0" fontId="14" fillId="0" borderId="16" xfId="0" applyFont="1" applyFill="1" applyBorder="1" applyAlignment="1" applyProtection="1">
      <alignment horizontal="center" vertical="center"/>
      <protection hidden="1"/>
    </xf>
    <xf numFmtId="0" fontId="14" fillId="0" borderId="19" xfId="0" applyFont="1" applyFill="1" applyBorder="1" applyAlignment="1" applyProtection="1">
      <alignment horizontal="center" vertical="center"/>
      <protection hidden="1"/>
    </xf>
    <xf numFmtId="0" fontId="11" fillId="0" borderId="9" xfId="7" applyFont="1" applyFill="1" applyBorder="1" applyAlignment="1" applyProtection="1">
      <alignment horizontal="center" vertical="center"/>
      <protection hidden="1"/>
    </xf>
    <xf numFmtId="0" fontId="16" fillId="0" borderId="9" xfId="7" applyFont="1" applyFill="1" applyBorder="1" applyAlignment="1" applyProtection="1">
      <alignment horizontal="center" vertical="center" wrapText="1"/>
      <protection hidden="1"/>
    </xf>
    <xf numFmtId="0" fontId="11" fillId="0" borderId="9" xfId="7" applyFont="1" applyFill="1" applyBorder="1" applyAlignment="1" applyProtection="1">
      <alignment horizontal="center" vertical="center" wrapText="1"/>
      <protection hidden="1"/>
    </xf>
    <xf numFmtId="0" fontId="38" fillId="0" borderId="0" xfId="3" applyFont="1" applyAlignment="1">
      <alignment horizontal="center"/>
    </xf>
    <xf numFmtId="0" fontId="38" fillId="0" borderId="0" xfId="3" applyFont="1" applyAlignment="1">
      <alignment horizontal="center" wrapText="1"/>
    </xf>
    <xf numFmtId="0" fontId="13" fillId="0" borderId="27" xfId="0" applyFont="1" applyFill="1" applyBorder="1" applyAlignment="1" applyProtection="1">
      <alignment horizontal="center" vertical="center"/>
      <protection hidden="1"/>
    </xf>
    <xf numFmtId="0" fontId="13" fillId="0" borderId="24" xfId="0" applyFont="1" applyFill="1" applyBorder="1" applyAlignment="1" applyProtection="1">
      <alignment horizontal="center" vertical="center"/>
      <protection hidden="1"/>
    </xf>
    <xf numFmtId="0" fontId="13" fillId="0" borderId="25" xfId="0" applyFont="1" applyFill="1" applyBorder="1" applyAlignment="1" applyProtection="1">
      <alignment horizontal="center" vertical="center"/>
      <protection hidden="1"/>
    </xf>
    <xf numFmtId="0" fontId="7" fillId="0" borderId="15" xfId="0" applyFont="1" applyFill="1" applyBorder="1" applyAlignment="1" applyProtection="1">
      <alignment horizontal="center" vertical="center"/>
      <protection hidden="1"/>
    </xf>
    <xf numFmtId="0" fontId="7" fillId="0" borderId="23" xfId="0" applyFont="1" applyFill="1" applyBorder="1" applyAlignment="1" applyProtection="1">
      <alignment horizontal="center" vertical="center"/>
      <protection hidden="1"/>
    </xf>
    <xf numFmtId="0" fontId="0" fillId="0" borderId="23" xfId="0" applyFill="1" applyBorder="1" applyAlignment="1" applyProtection="1">
      <alignment horizontal="center" vertical="center"/>
      <protection hidden="1"/>
    </xf>
    <xf numFmtId="0" fontId="0" fillId="0" borderId="17" xfId="0" applyFill="1" applyBorder="1" applyAlignment="1" applyProtection="1">
      <alignment horizontal="center" vertical="center"/>
      <protection hidden="1"/>
    </xf>
    <xf numFmtId="0" fontId="11" fillId="0" borderId="13" xfId="0" applyFont="1" applyFill="1" applyBorder="1" applyAlignment="1" applyProtection="1">
      <alignment horizontal="right" vertical="center" indent="2"/>
      <protection hidden="1"/>
    </xf>
    <xf numFmtId="0" fontId="11" fillId="0" borderId="19" xfId="0" applyFont="1" applyFill="1" applyBorder="1" applyAlignment="1" applyProtection="1">
      <alignment horizontal="right" vertical="center" indent="2"/>
      <protection hidden="1"/>
    </xf>
    <xf numFmtId="0" fontId="11" fillId="0" borderId="13" xfId="0" applyFont="1" applyFill="1" applyBorder="1" applyAlignment="1" applyProtection="1">
      <alignment horizontal="left" vertical="center"/>
      <protection hidden="1"/>
    </xf>
    <xf numFmtId="0" fontId="11" fillId="0" borderId="19" xfId="0" applyFont="1" applyFill="1" applyBorder="1" applyAlignment="1" applyProtection="1">
      <alignment horizontal="left" vertical="center"/>
      <protection hidden="1"/>
    </xf>
    <xf numFmtId="0" fontId="10" fillId="0" borderId="0" xfId="20" applyFont="1" applyFill="1" applyBorder="1" applyAlignment="1" applyProtection="1">
      <alignment horizontal="center" vertical="center"/>
    </xf>
    <xf numFmtId="0" fontId="7" fillId="0" borderId="13" xfId="20" applyFont="1" applyBorder="1" applyAlignment="1" applyProtection="1">
      <alignment horizontal="left"/>
      <protection hidden="1"/>
    </xf>
    <xf numFmtId="0" fontId="7" fillId="0" borderId="16" xfId="20" applyFont="1" applyBorder="1" applyAlignment="1" applyProtection="1">
      <alignment horizontal="left"/>
      <protection hidden="1"/>
    </xf>
    <xf numFmtId="0" fontId="7" fillId="0" borderId="19" xfId="20" applyFont="1" applyBorder="1" applyAlignment="1" applyProtection="1">
      <alignment horizontal="left"/>
      <protection hidden="1"/>
    </xf>
    <xf numFmtId="49" fontId="8" fillId="0" borderId="9" xfId="20" applyNumberFormat="1" applyFont="1" applyBorder="1" applyAlignment="1" applyProtection="1">
      <alignment horizontal="center" vertical="center" wrapText="1"/>
      <protection hidden="1"/>
    </xf>
    <xf numFmtId="0" fontId="8" fillId="0" borderId="9" xfId="20" applyFont="1" applyBorder="1" applyAlignment="1" applyProtection="1">
      <alignment horizontal="center" vertical="center"/>
      <protection hidden="1"/>
    </xf>
    <xf numFmtId="0" fontId="7" fillId="0" borderId="0" xfId="20" applyFont="1" applyBorder="1" applyAlignment="1" applyProtection="1">
      <alignment horizontal="left" shrinkToFit="1"/>
      <protection hidden="1"/>
    </xf>
    <xf numFmtId="0" fontId="8" fillId="0" borderId="9" xfId="20" applyFont="1" applyBorder="1" applyAlignment="1" applyProtection="1">
      <alignment horizontal="center" vertical="center" wrapText="1"/>
      <protection hidden="1"/>
    </xf>
    <xf numFmtId="0" fontId="11" fillId="0" borderId="9" xfId="20" quotePrefix="1" applyFont="1" applyBorder="1" applyAlignment="1" applyProtection="1">
      <alignment horizontal="center" vertical="center"/>
      <protection hidden="1"/>
    </xf>
    <xf numFmtId="0" fontId="11" fillId="0" borderId="9" xfId="20" applyFont="1" applyBorder="1" applyAlignment="1" applyProtection="1">
      <alignment horizontal="center" vertical="center"/>
      <protection hidden="1"/>
    </xf>
    <xf numFmtId="0" fontId="11" fillId="0" borderId="9" xfId="20" applyFont="1" applyBorder="1" applyAlignment="1" applyProtection="1">
      <alignment horizontal="center" vertical="center" wrapText="1"/>
      <protection hidden="1"/>
    </xf>
    <xf numFmtId="0" fontId="7" fillId="0" borderId="0" xfId="20" applyFont="1" applyBorder="1" applyAlignment="1" applyProtection="1">
      <alignment horizontal="left" vertical="center"/>
      <protection hidden="1"/>
    </xf>
    <xf numFmtId="211" fontId="7" fillId="0" borderId="0" xfId="20" applyNumberFormat="1" applyFont="1" applyBorder="1" applyAlignment="1" applyProtection="1">
      <alignment horizontal="center"/>
      <protection hidden="1"/>
    </xf>
    <xf numFmtId="197" fontId="7" fillId="0" borderId="0" xfId="20" applyNumberFormat="1" applyFont="1" applyBorder="1" applyAlignment="1" applyProtection="1">
      <alignment horizontal="center"/>
      <protection hidden="1"/>
    </xf>
    <xf numFmtId="0" fontId="11" fillId="0" borderId="0" xfId="20" applyFont="1" applyAlignment="1" applyProtection="1">
      <alignment horizontal="center"/>
      <protection hidden="1"/>
    </xf>
    <xf numFmtId="0" fontId="48" fillId="0" borderId="0" xfId="20" applyFont="1" applyBorder="1" applyAlignment="1" applyProtection="1">
      <alignment horizontal="center"/>
      <protection hidden="1"/>
    </xf>
    <xf numFmtId="0" fontId="7" fillId="0" borderId="0" xfId="20" applyFont="1" applyAlignment="1" applyProtection="1">
      <alignment horizontal="left" vertical="center"/>
      <protection hidden="1"/>
    </xf>
    <xf numFmtId="0" fontId="7" fillId="0" borderId="9" xfId="20" applyFont="1" applyBorder="1" applyAlignment="1" applyProtection="1">
      <alignment horizontal="left"/>
      <protection hidden="1"/>
    </xf>
    <xf numFmtId="0" fontId="7" fillId="0" borderId="0" xfId="20" applyFont="1" applyAlignment="1" applyProtection="1">
      <alignment horizontal="right"/>
      <protection hidden="1"/>
    </xf>
    <xf numFmtId="0" fontId="8" fillId="0" borderId="0" xfId="7" applyFont="1" applyBorder="1" applyAlignment="1">
      <alignment horizontal="center" vertical="center" wrapText="1"/>
    </xf>
    <xf numFmtId="0" fontId="8" fillId="2" borderId="0" xfId="7" applyFont="1" applyFill="1" applyBorder="1" applyAlignment="1">
      <alignment horizontal="center" vertical="center" wrapText="1"/>
    </xf>
    <xf numFmtId="0" fontId="40" fillId="5" borderId="23" xfId="63" applyFont="1" applyFill="1" applyBorder="1" applyAlignment="1">
      <alignment horizontal="left" vertical="center" wrapText="1"/>
    </xf>
    <xf numFmtId="0" fontId="40" fillId="5" borderId="23" xfId="63" applyFont="1" applyFill="1" applyBorder="1" applyAlignment="1">
      <alignment horizontal="center" vertical="center" wrapText="1"/>
    </xf>
    <xf numFmtId="0" fontId="40" fillId="0" borderId="16" xfId="63" applyFont="1" applyFill="1" applyBorder="1" applyAlignment="1">
      <alignment horizontal="left" vertical="center" wrapText="1"/>
    </xf>
  </cellXfs>
  <cellStyles count="82">
    <cellStyle name="Cabecera 1" xfId="30"/>
    <cellStyle name="Cabecera 2" xfId="31"/>
    <cellStyle name="Dia" xfId="8"/>
    <cellStyle name="Encabez1" xfId="9"/>
    <cellStyle name="Encabez2" xfId="10"/>
    <cellStyle name="Encabezado 1" xfId="32"/>
    <cellStyle name="Encabezado 2" xfId="33"/>
    <cellStyle name="Euro" xfId="11"/>
    <cellStyle name="Euro 2" xfId="34"/>
    <cellStyle name="F2" xfId="35"/>
    <cellStyle name="F3" xfId="36"/>
    <cellStyle name="F4" xfId="37"/>
    <cellStyle name="F5" xfId="38"/>
    <cellStyle name="F6" xfId="39"/>
    <cellStyle name="F7" xfId="40"/>
    <cellStyle name="F8" xfId="41"/>
    <cellStyle name="Fecha" xfId="42"/>
    <cellStyle name="Fijo" xfId="12"/>
    <cellStyle name="Fijo 2" xfId="43"/>
    <cellStyle name="Financiero" xfId="13"/>
    <cellStyle name="Millares 2" xfId="21"/>
    <cellStyle name="Millares 2 2" xfId="22"/>
    <cellStyle name="Millares 2 2 2" xfId="44"/>
    <cellStyle name="Millares 2 3" xfId="45"/>
    <cellStyle name="Millares 2 4" xfId="46"/>
    <cellStyle name="Millares 3" xfId="23"/>
    <cellStyle name="Millares 3 2" xfId="47"/>
    <cellStyle name="Millares 4" xfId="24"/>
    <cellStyle name="Millares 5" xfId="25"/>
    <cellStyle name="Millares 6" xfId="29"/>
    <cellStyle name="Moneda" xfId="2" builtinId="4"/>
    <cellStyle name="Moneda 2" xfId="28"/>
    <cellStyle name="Moneda 2 2" xfId="48"/>
    <cellStyle name="Moneda 3" xfId="49"/>
    <cellStyle name="Moneda 3 2" xfId="50"/>
    <cellStyle name="Moneda 4" xfId="51"/>
    <cellStyle name="Moneda 5" xfId="52"/>
    <cellStyle name="Moneda 6" xfId="53"/>
    <cellStyle name="Moneda0" xfId="54"/>
    <cellStyle name="Monetario" xfId="14"/>
    <cellStyle name="Monetario 2" xfId="55"/>
    <cellStyle name="Monetario0" xfId="56"/>
    <cellStyle name="No-definido" xfId="15"/>
    <cellStyle name="Normal" xfId="0" builtinId="0"/>
    <cellStyle name="Normal 2" xfId="3"/>
    <cellStyle name="Normal 2 2" xfId="20"/>
    <cellStyle name="Normal 2 2 2" xfId="19"/>
    <cellStyle name="Normal 2 3" xfId="57"/>
    <cellStyle name="Normal 2 4" xfId="58"/>
    <cellStyle name="Normal 3" xfId="7"/>
    <cellStyle name="Normal 3 2" xfId="59"/>
    <cellStyle name="Normal 3 3" xfId="60"/>
    <cellStyle name="Normal 3 4" xfId="61"/>
    <cellStyle name="Normal 3 5" xfId="62"/>
    <cellStyle name="Normal 4" xfId="26"/>
    <cellStyle name="Normal 4 2" xfId="63"/>
    <cellStyle name="Normal 4 3" xfId="64"/>
    <cellStyle name="Normal 5" xfId="65"/>
    <cellStyle name="Normal 5 2" xfId="66"/>
    <cellStyle name="Normal 6" xfId="27"/>
    <cellStyle name="Normal 6 2" xfId="67"/>
    <cellStyle name="Normal 7" xfId="68"/>
    <cellStyle name="Normal 8" xfId="69"/>
    <cellStyle name="Normal 9" xfId="70"/>
    <cellStyle name="Normal_Analisis de precios AGOSTO 2004" xfId="6"/>
    <cellStyle name="Normal_LICITACION ESCUELA CAUCETE" xfId="5"/>
    <cellStyle name="Porcentaje" xfId="1" builtinId="5"/>
    <cellStyle name="Porcentaje 2" xfId="4"/>
    <cellStyle name="Porcentaje 2 2" xfId="71"/>
    <cellStyle name="Porcentaje 3" xfId="16"/>
    <cellStyle name="Porcentaje 3 2" xfId="72"/>
    <cellStyle name="Porcentaje 4" xfId="73"/>
    <cellStyle name="Porcentaje 4 2" xfId="74"/>
    <cellStyle name="Porcentaje 4 3" xfId="75"/>
    <cellStyle name="Porcentaje 4 3 2" xfId="81"/>
    <cellStyle name="Porcentaje 5" xfId="76"/>
    <cellStyle name="Porcentaje 5 2" xfId="77"/>
    <cellStyle name="Punto" xfId="17"/>
    <cellStyle name="Punto 2" xfId="78"/>
    <cellStyle name="Punto0" xfId="18"/>
    <cellStyle name="Punto0 2" xfId="79"/>
    <cellStyle name="Total 2" xfId="80"/>
  </cellStyles>
  <dxfs count="122">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condense val="0"/>
        <extend val="0"/>
        <color indexed="9"/>
      </font>
      <border>
        <left/>
        <right/>
        <top/>
        <bottom/>
      </border>
    </dxf>
    <dxf>
      <font>
        <condense val="0"/>
        <extend val="0"/>
        <color indexed="9"/>
      </font>
      <border>
        <left/>
        <right/>
        <top/>
        <bottom/>
      </border>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border>
        <left/>
        <right/>
        <top/>
        <bottom/>
      </border>
    </dxf>
    <dxf>
      <font>
        <condense val="0"/>
        <extend val="0"/>
        <color indexed="9"/>
      </font>
    </dxf>
    <dxf>
      <font>
        <b val="0"/>
        <i val="0"/>
        <condense val="0"/>
        <extend val="0"/>
        <color indexed="9"/>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condense val="0"/>
        <extend val="0"/>
        <color indexed="9"/>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border>
        <left/>
        <right/>
        <top/>
        <bottom/>
      </border>
    </dxf>
    <dxf>
      <font>
        <b/>
        <i val="0"/>
        <condense val="0"/>
        <extend val="0"/>
      </font>
    </dxf>
    <dxf>
      <font>
        <b/>
        <i/>
        <condense val="0"/>
        <extend val="0"/>
      </font>
    </dxf>
    <dxf>
      <font>
        <b val="0"/>
        <i val="0"/>
        <condense val="0"/>
        <extend val="0"/>
      </font>
    </dxf>
    <dxf>
      <font>
        <condense val="0"/>
        <extend val="0"/>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microsoft.com/office/2006/relationships/vbaProject" Target="vbaProject.bin"/><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A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341203703703691E-2"/>
          <c:y val="0.19077138888888889"/>
          <c:w val="0.87743472222222219"/>
          <c:h val="0.73675138888888891"/>
        </c:manualLayout>
      </c:layout>
      <c:lineChart>
        <c:grouping val="standard"/>
        <c:varyColors val="0"/>
        <c:ser>
          <c:idx val="0"/>
          <c:order val="0"/>
          <c:tx>
            <c:v>Avance Mensual</c:v>
          </c:tx>
          <c:marker>
            <c:symbol val="none"/>
          </c:marker>
          <c:dLbls>
            <c:numFmt formatCode="0.00%" sourceLinked="0"/>
            <c:spPr>
              <a:noFill/>
              <a:ln>
                <a:noFill/>
              </a:ln>
              <a:effectLst/>
            </c:spPr>
            <c:txPr>
              <a:bodyPr rot="-5400000" vert="horz"/>
              <a:lstStyle/>
              <a:p>
                <a:pPr>
                  <a:defRPr sz="600" baseline="0">
                    <a:latin typeface="Arial" pitchFamily="34" charset="0"/>
                  </a:defRPr>
                </a:pPr>
                <a:endParaRPr lang="es-A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PTyCI!$E$11:$BA$11</c:f>
              <c:numCache>
                <c:formatCode>"Mes "#,#00\ </c:formatCode>
                <c:ptCount val="49"/>
                <c:pt idx="0" formatCode="General">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numCache>
            </c:numRef>
          </c:cat>
          <c:val>
            <c:numRef>
              <c:f>PTyCI!$E$28:$BA$28</c:f>
              <c:numCache>
                <c:formatCode>0.00%</c:formatCode>
                <c:ptCount val="49"/>
                <c:pt idx="0" formatCode="General">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numCache>
            </c:numRef>
          </c:val>
          <c:smooth val="0"/>
          <c:extLst xmlns:c16r2="http://schemas.microsoft.com/office/drawing/2015/06/chart">
            <c:ext xmlns:c16="http://schemas.microsoft.com/office/drawing/2014/chart" uri="{C3380CC4-5D6E-409C-BE32-E72D297353CC}">
              <c16:uniqueId val="{00000000-B0B8-44AD-83A6-17F4475A3F59}"/>
            </c:ext>
          </c:extLst>
        </c:ser>
        <c:ser>
          <c:idx val="1"/>
          <c:order val="1"/>
          <c:tx>
            <c:v>Avance Acumulado</c:v>
          </c:tx>
          <c:marker>
            <c:symbol val="none"/>
          </c:marker>
          <c:dLbls>
            <c:dLbl>
              <c:idx val="1"/>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B0B8-44AD-83A6-17F4475A3F59}"/>
                </c:ext>
                <c:ext xmlns:c15="http://schemas.microsoft.com/office/drawing/2012/chart" uri="{CE6537A1-D6FC-4f65-9D91-7224C49458BB}"/>
              </c:extLst>
            </c:dLbl>
            <c:dLbl>
              <c:idx val="2"/>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B0B8-44AD-83A6-17F4475A3F59}"/>
                </c:ext>
                <c:ext xmlns:c15="http://schemas.microsoft.com/office/drawing/2012/chart" uri="{CE6537A1-D6FC-4f65-9D91-7224C49458BB}"/>
              </c:extLst>
            </c:dLbl>
            <c:dLbl>
              <c:idx val="3"/>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B0B8-44AD-83A6-17F4475A3F59}"/>
                </c:ext>
                <c:ext xmlns:c15="http://schemas.microsoft.com/office/drawing/2012/chart" uri="{CE6537A1-D6FC-4f65-9D91-7224C49458BB}"/>
              </c:extLst>
            </c:dLbl>
            <c:dLbl>
              <c:idx val="4"/>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B0B8-44AD-83A6-17F4475A3F59}"/>
                </c:ext>
                <c:ext xmlns:c15="http://schemas.microsoft.com/office/drawing/2012/chart" uri="{CE6537A1-D6FC-4f65-9D91-7224C49458BB}"/>
              </c:extLst>
            </c:dLbl>
            <c:dLbl>
              <c:idx val="5"/>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B0B8-44AD-83A6-17F4475A3F59}"/>
                </c:ext>
                <c:ext xmlns:c15="http://schemas.microsoft.com/office/drawing/2012/chart" uri="{CE6537A1-D6FC-4f65-9D91-7224C49458BB}"/>
              </c:extLst>
            </c:dLbl>
            <c:dLbl>
              <c:idx val="30"/>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B0B8-44AD-83A6-17F4475A3F59}"/>
                </c:ext>
                <c:ext xmlns:c15="http://schemas.microsoft.com/office/drawing/2012/chart" uri="{CE6537A1-D6FC-4f65-9D91-7224C49458BB}"/>
              </c:extLst>
            </c:dLbl>
            <c:numFmt formatCode="0.00%" sourceLinked="0"/>
            <c:spPr>
              <a:noFill/>
              <a:ln>
                <a:noFill/>
              </a:ln>
              <a:effectLst/>
            </c:spPr>
            <c:txPr>
              <a:bodyPr/>
              <a:lstStyle/>
              <a:p>
                <a:pPr>
                  <a:defRPr sz="600" baseline="0">
                    <a:latin typeface="Arial" pitchFamily="34" charset="0"/>
                  </a:defRPr>
                </a:pPr>
                <a:endParaRPr lang="es-A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PTyCI!$E$11:$BA$11</c:f>
              <c:numCache>
                <c:formatCode>"Mes "#,#00\ </c:formatCode>
                <c:ptCount val="49"/>
                <c:pt idx="0" formatCode="General">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numCache>
            </c:numRef>
          </c:cat>
          <c:val>
            <c:numRef>
              <c:f>PTyCI!$E$29:$BA$29</c:f>
              <c:numCache>
                <c:formatCode>0.00%</c:formatCode>
                <c:ptCount val="49"/>
                <c:pt idx="0" formatCode="General">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numCache>
            </c:numRef>
          </c:val>
          <c:smooth val="0"/>
          <c:extLst xmlns:c16r2="http://schemas.microsoft.com/office/drawing/2015/06/chart">
            <c:ext xmlns:c16="http://schemas.microsoft.com/office/drawing/2014/chart" uri="{C3380CC4-5D6E-409C-BE32-E72D297353CC}">
              <c16:uniqueId val="{00000007-B0B8-44AD-83A6-17F4475A3F59}"/>
            </c:ext>
          </c:extLst>
        </c:ser>
        <c:dLbls>
          <c:showLegendKey val="0"/>
          <c:showVal val="0"/>
          <c:showCatName val="0"/>
          <c:showSerName val="0"/>
          <c:showPercent val="0"/>
          <c:showBubbleSize val="0"/>
        </c:dLbls>
        <c:marker val="1"/>
        <c:smooth val="0"/>
        <c:axId val="104862464"/>
        <c:axId val="104864384"/>
      </c:lineChart>
      <c:catAx>
        <c:axId val="104862464"/>
        <c:scaling>
          <c:orientation val="minMax"/>
        </c:scaling>
        <c:delete val="0"/>
        <c:axPos val="b"/>
        <c:title>
          <c:tx>
            <c:rich>
              <a:bodyPr/>
              <a:lstStyle/>
              <a:p>
                <a:pPr>
                  <a:defRPr>
                    <a:latin typeface="Arial" pitchFamily="34" charset="0"/>
                    <a:cs typeface="Arial" pitchFamily="34" charset="0"/>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s-AR"/>
          </a:p>
        </c:txPr>
        <c:crossAx val="104864384"/>
        <c:crossesAt val="0"/>
        <c:auto val="1"/>
        <c:lblAlgn val="ctr"/>
        <c:lblOffset val="100"/>
        <c:noMultiLvlLbl val="0"/>
      </c:catAx>
      <c:valAx>
        <c:axId val="104864384"/>
        <c:scaling>
          <c:orientation val="minMax"/>
          <c:max val="1"/>
        </c:scaling>
        <c:delete val="0"/>
        <c:axPos val="l"/>
        <c:majorGridlines/>
        <c:title>
          <c:tx>
            <c:rich>
              <a:bodyPr rot="-5400000" vert="horz"/>
              <a:lstStyle/>
              <a:p>
                <a:pPr>
                  <a:defRPr>
                    <a:latin typeface="Arial" pitchFamily="34" charset="0"/>
                    <a:cs typeface="Arial" pitchFamily="34" charset="0"/>
                  </a:defRPr>
                </a:pPr>
                <a:r>
                  <a:rPr lang="en-US">
                    <a:latin typeface="Arial" pitchFamily="34" charset="0"/>
                    <a:cs typeface="Arial" pitchFamily="34" charset="0"/>
                  </a:rPr>
                  <a:t>PORCENTAJE AVANCE</a:t>
                </a:r>
              </a:p>
            </c:rich>
          </c:tx>
          <c:layout>
            <c:manualLayout>
              <c:xMode val="edge"/>
              <c:yMode val="edge"/>
              <c:x val="5.8384259259259257E-3"/>
              <c:y val="0.32481444444444446"/>
            </c:manualLayout>
          </c:layout>
          <c:overlay val="0"/>
        </c:title>
        <c:numFmt formatCode="0%" sourceLinked="0"/>
        <c:majorTickMark val="out"/>
        <c:minorTickMark val="none"/>
        <c:tickLblPos val="nextTo"/>
        <c:txPr>
          <a:bodyPr/>
          <a:lstStyle/>
          <a:p>
            <a:pPr>
              <a:defRPr baseline="0">
                <a:latin typeface="Arial" pitchFamily="34" charset="0"/>
              </a:defRPr>
            </a:pPr>
            <a:endParaRPr lang="es-AR"/>
          </a:p>
        </c:txPr>
        <c:crossAx val="104862464"/>
        <c:crosses val="autoZero"/>
        <c:crossBetween val="midCat"/>
      </c:valAx>
    </c:plotArea>
    <c:legend>
      <c:legendPos val="r"/>
      <c:layout>
        <c:manualLayout>
          <c:xMode val="edge"/>
          <c:yMode val="edge"/>
          <c:x val="0.84602379629629632"/>
          <c:y val="9.3211249999999982E-2"/>
          <c:w val="0.12692990740740739"/>
          <c:h val="6.3792500000000002E-2"/>
        </c:manualLayout>
      </c:layout>
      <c:overlay val="0"/>
    </c:legend>
    <c:plotVisOnly val="0"/>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A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84333333333333"/>
          <c:y val="0.17313249999999999"/>
          <c:w val="0.87508287037037036"/>
          <c:h val="0.73851531703751261"/>
        </c:manualLayout>
      </c:layout>
      <c:lineChart>
        <c:grouping val="standard"/>
        <c:varyColors val="0"/>
        <c:ser>
          <c:idx val="0"/>
          <c:order val="0"/>
          <c:tx>
            <c:v>Inversión Mensual</c:v>
          </c:tx>
          <c:marker>
            <c:symbol val="none"/>
          </c:marker>
          <c:dLbls>
            <c:dLbl>
              <c:idx val="4"/>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4436-4470-8CE5-65C56222A8E1}"/>
                </c:ext>
                <c:ext xmlns:c15="http://schemas.microsoft.com/office/drawing/2012/chart" uri="{CE6537A1-D6FC-4f65-9D91-7224C49458BB}"/>
              </c:extLst>
            </c:dLbl>
            <c:numFmt formatCode="&quot;$&quot;\ #,##0.00" sourceLinked="0"/>
            <c:spPr>
              <a:noFill/>
              <a:ln>
                <a:noFill/>
              </a:ln>
              <a:effectLst/>
            </c:spPr>
            <c:txPr>
              <a:bodyPr rot="-5400000" vert="horz" anchor="ctr" anchorCtr="0"/>
              <a:lstStyle/>
              <a:p>
                <a:pPr>
                  <a:defRPr sz="600" baseline="0">
                    <a:latin typeface="Arial" pitchFamily="34" charset="0"/>
                  </a:defRPr>
                </a:pPr>
                <a:endParaRPr lang="es-A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PTyCI!$E$11:$BA$11</c:f>
              <c:numCache>
                <c:formatCode>"Mes "#,#00\ </c:formatCode>
                <c:ptCount val="49"/>
                <c:pt idx="0" formatCode="General">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numCache>
            </c:numRef>
          </c:cat>
          <c:val>
            <c:numRef>
              <c:f>PTyCI!$E$31:$BA$31</c:f>
              <c:numCache>
                <c:formatCode>_-"$"* #,##0.00_-;\-"$"* #,##0.00_-;_-"$"* "-"??_-;_-@_-</c:formatCode>
                <c:ptCount val="4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numCache>
            </c:numRef>
          </c:val>
          <c:smooth val="0"/>
          <c:extLst xmlns:c16r2="http://schemas.microsoft.com/office/drawing/2015/06/chart">
            <c:ext xmlns:c16="http://schemas.microsoft.com/office/drawing/2014/chart" uri="{C3380CC4-5D6E-409C-BE32-E72D297353CC}">
              <c16:uniqueId val="{00000001-4436-4470-8CE5-65C56222A8E1}"/>
            </c:ext>
          </c:extLst>
        </c:ser>
        <c:ser>
          <c:idx val="1"/>
          <c:order val="1"/>
          <c:tx>
            <c:v>Inversión Acumulada</c:v>
          </c:tx>
          <c:marker>
            <c:symbol val="none"/>
          </c:marker>
          <c:dLbls>
            <c:numFmt formatCode="&quot;$&quot;\ #,##0.00" sourceLinked="0"/>
            <c:spPr>
              <a:noFill/>
              <a:ln>
                <a:noFill/>
              </a:ln>
              <a:effectLst/>
            </c:spPr>
            <c:txPr>
              <a:bodyPr rot="-5400000" vert="horz" anchor="ctr" anchorCtr="1"/>
              <a:lstStyle/>
              <a:p>
                <a:pPr>
                  <a:defRPr sz="600" baseline="0">
                    <a:latin typeface="Arial" pitchFamily="34" charset="0"/>
                  </a:defRPr>
                </a:pPr>
                <a:endParaRPr lang="es-AR"/>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PTyCI!$E$11:$BA$11</c:f>
              <c:numCache>
                <c:formatCode>"Mes "#,#00\ </c:formatCode>
                <c:ptCount val="49"/>
                <c:pt idx="0" formatCode="General">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numCache>
            </c:numRef>
          </c:cat>
          <c:val>
            <c:numRef>
              <c:f>PTyCI!$E$32:$BA$32</c:f>
              <c:numCache>
                <c:formatCode>_-"$"* #,##0.00_-;\-"$"* #,##0.00_-;_-"$"* "-"??_-;_-@_-</c:formatCode>
                <c:ptCount val="4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numCache>
            </c:numRef>
          </c:val>
          <c:smooth val="0"/>
          <c:extLst xmlns:c16r2="http://schemas.microsoft.com/office/drawing/2015/06/chart">
            <c:ext xmlns:c16="http://schemas.microsoft.com/office/drawing/2014/chart" uri="{C3380CC4-5D6E-409C-BE32-E72D297353CC}">
              <c16:uniqueId val="{00000002-4436-4470-8CE5-65C56222A8E1}"/>
            </c:ext>
          </c:extLst>
        </c:ser>
        <c:dLbls>
          <c:showLegendKey val="0"/>
          <c:showVal val="0"/>
          <c:showCatName val="0"/>
          <c:showSerName val="0"/>
          <c:showPercent val="0"/>
          <c:showBubbleSize val="0"/>
        </c:dLbls>
        <c:marker val="1"/>
        <c:smooth val="0"/>
        <c:axId val="103729792"/>
        <c:axId val="103736064"/>
      </c:lineChart>
      <c:catAx>
        <c:axId val="103729792"/>
        <c:scaling>
          <c:orientation val="minMax"/>
        </c:scaling>
        <c:delete val="0"/>
        <c:axPos val="b"/>
        <c:title>
          <c:tx>
            <c:rich>
              <a:bodyPr/>
              <a:lstStyle/>
              <a:p>
                <a:pPr>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s-AR"/>
          </a:p>
        </c:txPr>
        <c:crossAx val="103736064"/>
        <c:crosses val="autoZero"/>
        <c:auto val="1"/>
        <c:lblAlgn val="ctr"/>
        <c:lblOffset val="100"/>
        <c:noMultiLvlLbl val="0"/>
      </c:catAx>
      <c:valAx>
        <c:axId val="103736064"/>
        <c:scaling>
          <c:orientation val="minMax"/>
        </c:scaling>
        <c:delete val="0"/>
        <c:axPos val="l"/>
        <c:majorGridlines/>
        <c:title>
          <c:tx>
            <c:rich>
              <a:bodyPr rot="-5400000" vert="horz"/>
              <a:lstStyle/>
              <a:p>
                <a:pPr>
                  <a:defRPr/>
                </a:pPr>
                <a:r>
                  <a:rPr lang="en-US"/>
                  <a:t>MILLES DE PESOS</a:t>
                </a:r>
              </a:p>
            </c:rich>
          </c:tx>
          <c:layout>
            <c:manualLayout>
              <c:xMode val="edge"/>
              <c:yMode val="edge"/>
              <c:x val="1.2165740740740737E-2"/>
              <c:y val="0.48667319444444446"/>
            </c:manualLayout>
          </c:layout>
          <c:overlay val="0"/>
        </c:title>
        <c:numFmt formatCode="&quot;$&quot;\ #,##0" sourceLinked="0"/>
        <c:majorTickMark val="out"/>
        <c:minorTickMark val="none"/>
        <c:tickLblPos val="nextTo"/>
        <c:crossAx val="103729792"/>
        <c:crosses val="autoZero"/>
        <c:crossBetween val="midCat"/>
        <c:dispUnits>
          <c:builtInUnit val="thousands"/>
        </c:dispUnits>
      </c:valAx>
    </c:plotArea>
    <c:legend>
      <c:legendPos val="r"/>
      <c:layout>
        <c:manualLayout>
          <c:xMode val="edge"/>
          <c:yMode val="edge"/>
          <c:x val="0.84549453703703703"/>
          <c:y val="6.8516805555555546E-2"/>
          <c:w val="0.13569064814814816"/>
          <c:h val="6.3792500000000002E-2"/>
        </c:manualLayout>
      </c:layout>
      <c:overlay val="0"/>
    </c:legend>
    <c:plotVisOnly val="1"/>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5000</xdr:colOff>
      <xdr:row>37</xdr:row>
      <xdr:rowOff>151500</xdr:rowOff>
    </xdr:to>
    <xdr:graphicFrame macro="">
      <xdr:nvGraphicFramePr>
        <xdr:cNvPr id="2" name="1 Gráfico" title="PLAN DE TRABAJO - AVANCE PORCENTUAL OBRA">
          <a:extLst>
            <a:ext uri="{FF2B5EF4-FFF2-40B4-BE49-F238E27FC236}">
              <a16:creationId xmlns="" xmlns:a16="http://schemas.microsoft.com/office/drawing/2014/main" id="{00000000-0008-0000-0500-000002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636825</xdr:colOff>
      <xdr:row>37</xdr:row>
      <xdr:rowOff>151500</xdr:rowOff>
    </xdr:to>
    <xdr:graphicFrame macro="">
      <xdr:nvGraphicFramePr>
        <xdr:cNvPr id="2" name="1 Gráfico" title="PLAN DE TRABAJO - AVANCE PORCENTUAL OBRA">
          <a:extLst>
            <a:ext uri="{FF2B5EF4-FFF2-40B4-BE49-F238E27FC236}">
              <a16:creationId xmlns=""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oneCellAnchor>
    <xdr:from>
      <xdr:col>2</xdr:col>
      <xdr:colOff>23813</xdr:colOff>
      <xdr:row>13</xdr:row>
      <xdr:rowOff>8413</xdr:rowOff>
    </xdr:from>
    <xdr:ext cx="2849561" cy="182087"/>
    <xdr:sp macro="" textlink="">
      <xdr:nvSpPr>
        <xdr:cNvPr id="2" name="1 CuadroTexto">
          <a:extLst>
            <a:ext uri="{FF2B5EF4-FFF2-40B4-BE49-F238E27FC236}">
              <a16:creationId xmlns="" xmlns:a16="http://schemas.microsoft.com/office/drawing/2014/main" id="{817784F7-1DC2-416A-B141-CC87436A6ACF}"/>
            </a:ext>
          </a:extLst>
        </xdr:cNvPr>
        <xdr:cNvSpPr txBox="1"/>
      </xdr:nvSpPr>
      <xdr:spPr>
        <a:xfrm>
          <a:off x="2587626" y="1865788"/>
          <a:ext cx="2849561" cy="18208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b="0" i="0">
              <a:latin typeface="Cambria Math"/>
            </a:rPr>
            <a:t>𝐼𝑛𝑡𝑒𝑟é𝑠 </a:t>
          </a:r>
          <a:r>
            <a:rPr lang="es-AR" sz="800" i="0">
              <a:latin typeface="Cambria Math"/>
            </a:rPr>
            <a:t>= </a:t>
          </a:r>
          <a:r>
            <a:rPr lang="es-AR" sz="800" i="0">
              <a:solidFill>
                <a:schemeClr val="tx1"/>
              </a:solidFill>
              <a:effectLst/>
              <a:latin typeface="+mn-lt"/>
              <a:ea typeface="+mn-ea"/>
              <a:cs typeface="+mn-cs"/>
            </a:rPr>
            <a:t>(</a:t>
          </a:r>
          <a:r>
            <a:rPr lang="es-AR" sz="800" b="0" i="0">
              <a:solidFill>
                <a:schemeClr val="tx1"/>
              </a:solidFill>
              <a:effectLst/>
              <a:latin typeface="+mn-lt"/>
              <a:ea typeface="+mn-ea"/>
              <a:cs typeface="+mn-cs"/>
            </a:rPr>
            <a:t>𝐶𝑎𝑝𝑖𝑡𝑎𝑙 × 8 ℎ</a:t>
          </a:r>
          <a:r>
            <a:rPr lang="es-AR" sz="800" b="0" i="0">
              <a:solidFill>
                <a:schemeClr val="tx1"/>
              </a:solidFill>
              <a:effectLst/>
              <a:latin typeface="Cambria Math"/>
              <a:ea typeface="+mn-ea"/>
              <a:cs typeface="+mn-cs"/>
            </a:rPr>
            <a:t>/</a:t>
          </a:r>
          <a:r>
            <a:rPr lang="es-AR" sz="800" b="0" i="0">
              <a:solidFill>
                <a:schemeClr val="tx1"/>
              </a:solidFill>
              <a:effectLst/>
              <a:latin typeface="+mn-lt"/>
              <a:ea typeface="+mn-ea"/>
              <a:cs typeface="+mn-cs"/>
            </a:rPr>
            <a:t>𝑑í𝑎 × Í𝑛𝑡𝑒𝑟𝑒𝑠𝐴𝑛𝑢𝑎𝑙) / (2 × 2000 ℎ/𝑎ñ𝑜)</a:t>
          </a:r>
          <a:endParaRPr lang="es-AR" sz="800"/>
        </a:p>
      </xdr:txBody>
    </xdr:sp>
    <xdr:clientData/>
  </xdr:oneCellAnchor>
  <xdr:oneCellAnchor>
    <xdr:from>
      <xdr:col>2</xdr:col>
      <xdr:colOff>15876</xdr:colOff>
      <xdr:row>16</xdr:row>
      <xdr:rowOff>15877</xdr:rowOff>
    </xdr:from>
    <xdr:ext cx="4444998" cy="198436"/>
    <xdr:sp macro="" textlink="">
      <xdr:nvSpPr>
        <xdr:cNvPr id="3" name="2 CuadroTexto">
          <a:extLst>
            <a:ext uri="{FF2B5EF4-FFF2-40B4-BE49-F238E27FC236}">
              <a16:creationId xmlns="" xmlns:a16="http://schemas.microsoft.com/office/drawing/2014/main" id="{15561EE3-621F-45CB-B894-4B0BEC9340AC}"/>
            </a:ext>
          </a:extLst>
        </xdr:cNvPr>
        <xdr:cNvSpPr txBox="1"/>
      </xdr:nvSpPr>
      <xdr:spPr>
        <a:xfrm>
          <a:off x="2579689" y="2301877"/>
          <a:ext cx="4444998" cy="19843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i="0">
              <a:latin typeface="Cambria Math"/>
            </a:rPr>
            <a:t>𝑅</a:t>
          </a:r>
          <a:r>
            <a:rPr lang="es-AR" sz="800" b="0" i="0">
              <a:latin typeface="Cambria Math"/>
            </a:rPr>
            <a:t>𝑒𝑝𝑎𝑟𝑎𝑐𝑖𝑜𝑛𝑒𝑠 𝑦 𝑅𝑒𝑝𝑢𝑒𝑠𝑡𝑜𝑠</a:t>
          </a:r>
          <a:r>
            <a:rPr lang="es-AR" sz="800" i="0">
              <a:latin typeface="Cambria Math"/>
            </a:rPr>
            <a:t>=𝐴𝑚𝑜𝑟𝑡𝑖𝑧𝑎𝑐𝑖</a:t>
          </a:r>
          <a:r>
            <a:rPr lang="es-AR" sz="800" b="0" i="0">
              <a:latin typeface="Cambria Math"/>
            </a:rPr>
            <a:t>ó𝑛 ×% 𝑅𝑒𝑝𝑎𝑟𝑎𝑐𝑖ó𝑛 𝑦 𝑅𝑒𝑝𝑢𝑒𝑠𝑡𝑜𝑠 𝑑𝑒 𝑙𝑎 </a:t>
          </a:r>
          <a:r>
            <a:rPr lang="es-AR" sz="800" b="0" i="0">
              <a:latin typeface="Cambria Math"/>
              <a:ea typeface="Cambria Math"/>
            </a:rPr>
            <a:t>𝐴𝑚𝑜𝑟𝑡𝑖𝑧𝑎𝑐𝑖ó𝑛</a:t>
          </a:r>
          <a:endParaRPr lang="es-AR" sz="800">
            <a:latin typeface="Arial" pitchFamily="34" charset="0"/>
            <a:cs typeface="Arial" pitchFamily="34" charset="0"/>
          </a:endParaRPr>
        </a:p>
      </xdr:txBody>
    </xdr:sp>
    <xdr:clientData/>
  </xdr:oneCellAnchor>
  <xdr:oneCellAnchor>
    <xdr:from>
      <xdr:col>2</xdr:col>
      <xdr:colOff>23813</xdr:colOff>
      <xdr:row>19</xdr:row>
      <xdr:rowOff>15879</xdr:rowOff>
    </xdr:from>
    <xdr:ext cx="3444872" cy="182559"/>
    <xdr:sp macro="" textlink="">
      <xdr:nvSpPr>
        <xdr:cNvPr id="4" name="3 CuadroTexto">
          <a:extLst>
            <a:ext uri="{FF2B5EF4-FFF2-40B4-BE49-F238E27FC236}">
              <a16:creationId xmlns="" xmlns:a16="http://schemas.microsoft.com/office/drawing/2014/main" id="{5EB1CD16-6BCA-4E9E-A2D0-070186C7208B}"/>
            </a:ext>
          </a:extLst>
        </xdr:cNvPr>
        <xdr:cNvSpPr txBox="1"/>
      </xdr:nvSpPr>
      <xdr:spPr>
        <a:xfrm>
          <a:off x="2587626" y="2730504"/>
          <a:ext cx="3444872" cy="1825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i="0">
              <a:latin typeface="Cambria Math"/>
            </a:rPr>
            <a:t>𝐶</a:t>
          </a:r>
          <a:r>
            <a:rPr lang="es-AR" sz="800" b="0" i="0">
              <a:latin typeface="Cambria Math"/>
            </a:rPr>
            <a:t>𝑜𝑚𝑏𝑢𝑠𝑡𝑖𝑏𝑙𝑒𝑠 </a:t>
          </a:r>
          <a:r>
            <a:rPr lang="es-AR" sz="800" i="0">
              <a:latin typeface="Cambria Math"/>
            </a:rPr>
            <a:t>= </a:t>
          </a:r>
          <a:r>
            <a:rPr lang="es-AR" sz="800" b="0" i="0">
              <a:latin typeface="Cambria Math"/>
            </a:rPr>
            <a:t>𝑇𝑜𝑡𝑎𝑙 𝐻𝑃 ×</a:t>
          </a:r>
          <a:r>
            <a:rPr lang="es-AR" sz="800" b="0" i="0">
              <a:latin typeface="Cambria Math"/>
              <a:ea typeface="Cambria Math"/>
            </a:rPr>
            <a:t>𝐶𝑜𝑛𝑠𝑢𝑚𝑜 𝑝𝑜𝑟 ℎ𝑜𝑟𝑎/𝐻𝑃×𝑃𝑟𝑒𝑐𝑖𝑜 𝑔𝑎𝑠𝑜𝑖𝑙</a:t>
          </a:r>
          <a:endParaRPr lang="es-AR" sz="800">
            <a:latin typeface="Arial" pitchFamily="34" charset="0"/>
            <a:cs typeface="Arial" pitchFamily="34" charset="0"/>
          </a:endParaRPr>
        </a:p>
      </xdr:txBody>
    </xdr:sp>
    <xdr:clientData/>
  </xdr:oneCellAnchor>
  <xdr:oneCellAnchor>
    <xdr:from>
      <xdr:col>2</xdr:col>
      <xdr:colOff>23811</xdr:colOff>
      <xdr:row>36</xdr:row>
      <xdr:rowOff>8414</xdr:rowOff>
    </xdr:from>
    <xdr:ext cx="4722814" cy="171841"/>
    <xdr:sp macro="" textlink="">
      <xdr:nvSpPr>
        <xdr:cNvPr id="5" name="4 CuadroTexto">
          <a:extLst>
            <a:ext uri="{FF2B5EF4-FFF2-40B4-BE49-F238E27FC236}">
              <a16:creationId xmlns="" xmlns:a16="http://schemas.microsoft.com/office/drawing/2014/main" id="{A5C3B5A8-6511-4188-A4DA-AC93A982AB74}"/>
            </a:ext>
          </a:extLst>
        </xdr:cNvPr>
        <xdr:cNvSpPr txBox="1"/>
      </xdr:nvSpPr>
      <xdr:spPr>
        <a:xfrm>
          <a:off x="2587624" y="5151914"/>
          <a:ext cx="4722814" cy="1718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b="0" i="0">
              <a:solidFill>
                <a:schemeClr val="tx1"/>
              </a:solidFill>
              <a:latin typeface="Cambria Math"/>
              <a:ea typeface="+mn-ea"/>
              <a:cs typeface="+mn-cs"/>
            </a:rPr>
            <a:t>𝐴𝑚𝑜𝑟𝑡𝑖𝑧𝑎𝑐𝑖ó𝑛=(𝐶𝑎𝑝𝑖𝑡𝑎𝑙×% 𝐶𝑎𝑚.  𝑎 𝐴𝑚𝑜𝑟𝑡𝑖𝑧𝑎𝑟)/(𝑉𝑖𝑑𝑎 ú𝑡𝑖𝑙 𝑒𝑛 𝑚𝑒𝑠𝑒𝑠)=𝐶𝑎𝑝𝑖𝑡𝑎𝑙</a:t>
          </a:r>
          <a:r>
            <a:rPr lang="es-AR" sz="800" b="0" i="0">
              <a:solidFill>
                <a:schemeClr val="tx1"/>
              </a:solidFill>
              <a:latin typeface="Cambria Math"/>
              <a:ea typeface="Cambria Math"/>
              <a:cs typeface="+mn-cs"/>
            </a:rPr>
            <a:t>×𝐶𝑜𝑒𝑓.  𝐴𝑚𝑜𝑟𝑡.  𝐶𝑎𝑚𝑖𝑜𝑛𝑒𝑡𝑎</a:t>
          </a:r>
          <a:endParaRPr lang="es-AR" sz="800" b="0" i="1">
            <a:solidFill>
              <a:schemeClr val="tx1"/>
            </a:solidFill>
            <a:latin typeface="Cambria Math"/>
            <a:ea typeface="+mn-ea"/>
            <a:cs typeface="+mn-cs"/>
          </a:endParaRPr>
        </a:p>
      </xdr:txBody>
    </xdr:sp>
    <xdr:clientData/>
  </xdr:oneCellAnchor>
  <xdr:oneCellAnchor>
    <xdr:from>
      <xdr:col>2</xdr:col>
      <xdr:colOff>39687</xdr:colOff>
      <xdr:row>42</xdr:row>
      <xdr:rowOff>15876</xdr:rowOff>
    </xdr:from>
    <xdr:ext cx="3956009" cy="173088"/>
    <xdr:sp macro="" textlink="">
      <xdr:nvSpPr>
        <xdr:cNvPr id="6" name="5 CuadroTexto">
          <a:extLst>
            <a:ext uri="{FF2B5EF4-FFF2-40B4-BE49-F238E27FC236}">
              <a16:creationId xmlns="" xmlns:a16="http://schemas.microsoft.com/office/drawing/2014/main" id="{63373CCB-EA5F-4DEC-AD23-26C39AD542F4}"/>
            </a:ext>
          </a:extLst>
        </xdr:cNvPr>
        <xdr:cNvSpPr txBox="1"/>
      </xdr:nvSpPr>
      <xdr:spPr>
        <a:xfrm>
          <a:off x="2603500" y="6016626"/>
          <a:ext cx="3956009" cy="1730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lang="es-AR" sz="800" i="0">
              <a:latin typeface="Cambria Math"/>
            </a:rPr>
            <a:t>𝑆</a:t>
          </a:r>
          <a:r>
            <a:rPr lang="es-AR" sz="800" b="0" i="0">
              <a:latin typeface="Cambria Math"/>
            </a:rPr>
            <a:t>𝑒𝑔𝑢𝑟𝑜𝑠</a:t>
          </a:r>
          <a:r>
            <a:rPr lang="es-AR" sz="800" i="0">
              <a:latin typeface="Cambria Math"/>
            </a:rPr>
            <a:t>=</a:t>
          </a:r>
          <a:r>
            <a:rPr lang="es-AR" sz="800" i="0">
              <a:latin typeface="Cambria Math" pitchFamily="18" charset="0"/>
              <a:ea typeface="Cambria Math" pitchFamily="18" charset="0"/>
            </a:rPr>
            <a:t>(</a:t>
          </a:r>
          <a:r>
            <a:rPr lang="es-AR" sz="800" b="0" i="0">
              <a:latin typeface="Cambria Math" pitchFamily="18" charset="0"/>
              <a:ea typeface="Cambria Math" pitchFamily="18" charset="0"/>
            </a:rPr>
            <a:t>𝐶𝑎𝑝𝑖𝑡𝑎𝑙 ×% 𝑆𝑒𝑔𝑢𝑟𝑜 𝑎𝑛𝑢𝑎𝑙)/(12 𝑚/𝑎ñ𝑜)=</a:t>
          </a:r>
          <a:r>
            <a:rPr lang="es-AR" sz="800" b="0" i="0">
              <a:solidFill>
                <a:schemeClr val="tx1"/>
              </a:solidFill>
              <a:effectLst/>
              <a:latin typeface="Cambria Math" pitchFamily="18" charset="0"/>
              <a:ea typeface="Cambria Math" pitchFamily="18" charset="0"/>
              <a:cs typeface="+mn-cs"/>
            </a:rPr>
            <a:t>𝐶𝑎𝑝𝑖𝑡𝑎𝑙×𝐶𝑜𝑒𝑓.  </a:t>
          </a:r>
          <a:r>
            <a:rPr lang="es-AR" sz="800" b="0" i="0">
              <a:solidFill>
                <a:schemeClr val="tx1"/>
              </a:solidFill>
              <a:effectLst/>
              <a:latin typeface="Cambria Math"/>
              <a:ea typeface="Cambria Math" pitchFamily="18" charset="0"/>
              <a:cs typeface="+mn-cs"/>
            </a:rPr>
            <a:t>𝑆𝑒𝑔𝑢𝑟𝑜 </a:t>
          </a:r>
          <a:r>
            <a:rPr lang="es-AR" sz="800" b="0" i="0">
              <a:solidFill>
                <a:schemeClr val="tx1"/>
              </a:solidFill>
              <a:effectLst/>
              <a:latin typeface="Cambria Math" pitchFamily="18" charset="0"/>
              <a:ea typeface="Cambria Math" pitchFamily="18" charset="0"/>
              <a:cs typeface="+mn-cs"/>
            </a:rPr>
            <a:t>𝐶𝑎𝑚𝑖𝑜𝑛𝑒𝑡𝑎</a:t>
          </a:r>
          <a:endParaRPr lang="es-AR" sz="800">
            <a:effectLst/>
            <a:latin typeface="Cambria Math" pitchFamily="18" charset="0"/>
            <a:ea typeface="Cambria Math" pitchFamily="18" charset="0"/>
          </a:endParaRPr>
        </a:p>
        <a:p>
          <a:pPr algn="l"/>
          <a:endParaRPr lang="es-AR" sz="800">
            <a:latin typeface="Arial" pitchFamily="34" charset="0"/>
            <a:cs typeface="Arial" pitchFamily="34" charset="0"/>
          </a:endParaRPr>
        </a:p>
      </xdr:txBody>
    </xdr:sp>
    <xdr:clientData/>
  </xdr:oneCellAnchor>
  <xdr:oneCellAnchor>
    <xdr:from>
      <xdr:col>2</xdr:col>
      <xdr:colOff>31749</xdr:colOff>
      <xdr:row>45</xdr:row>
      <xdr:rowOff>23814</xdr:rowOff>
    </xdr:from>
    <xdr:ext cx="4056849" cy="173088"/>
    <xdr:sp macro="" textlink="">
      <xdr:nvSpPr>
        <xdr:cNvPr id="7" name="6 CuadroTexto">
          <a:extLst>
            <a:ext uri="{FF2B5EF4-FFF2-40B4-BE49-F238E27FC236}">
              <a16:creationId xmlns="" xmlns:a16="http://schemas.microsoft.com/office/drawing/2014/main" id="{2FF4E300-233C-4EE1-9F06-57CEFDFFB2C9}"/>
            </a:ext>
          </a:extLst>
        </xdr:cNvPr>
        <xdr:cNvSpPr txBox="1"/>
      </xdr:nvSpPr>
      <xdr:spPr>
        <a:xfrm>
          <a:off x="2595562" y="6453189"/>
          <a:ext cx="4056849" cy="1730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lang="es-AR" sz="800" i="0">
              <a:latin typeface="Cambria Math"/>
            </a:rPr>
            <a:t>𝑃</a:t>
          </a:r>
          <a:r>
            <a:rPr lang="es-AR" sz="800" b="0" i="0">
              <a:latin typeface="Cambria Math"/>
            </a:rPr>
            <a:t>𝑎𝑡𝑒𝑛𝑡𝑒</a:t>
          </a:r>
          <a:r>
            <a:rPr lang="es-AR" sz="800" i="0">
              <a:latin typeface="Cambria Math"/>
            </a:rPr>
            <a:t>=(</a:t>
          </a:r>
          <a:r>
            <a:rPr lang="es-AR" sz="800" b="0" i="0">
              <a:latin typeface="Cambria Math"/>
            </a:rPr>
            <a:t>𝐶𝑎𝑝𝑖𝑡𝑎𝑙 ×% </a:t>
          </a:r>
          <a:r>
            <a:rPr lang="es-AR" sz="800" b="0" i="0">
              <a:latin typeface="Cambria Math"/>
              <a:ea typeface="Cambria Math"/>
            </a:rPr>
            <a:t>𝑃𝑎𝑡𝑒𝑛𝑡𝑒 𝑎𝑛𝑢𝑎𝑙)/(12 𝑚/𝑎ñ𝑜)=</a:t>
          </a:r>
          <a:r>
            <a:rPr lang="es-AR" sz="800" b="0" i="0">
              <a:solidFill>
                <a:schemeClr val="tx1"/>
              </a:solidFill>
              <a:effectLst/>
              <a:latin typeface="Cambria Math" pitchFamily="18" charset="0"/>
              <a:ea typeface="Cambria Math" pitchFamily="18" charset="0"/>
              <a:cs typeface="+mn-cs"/>
            </a:rPr>
            <a:t>𝐶𝑎𝑝𝑖𝑡𝑎𝑙×𝐶𝑜𝑒𝑓.  </a:t>
          </a:r>
          <a:r>
            <a:rPr lang="es-AR" sz="800" b="0" i="0">
              <a:solidFill>
                <a:schemeClr val="tx1"/>
              </a:solidFill>
              <a:effectLst/>
              <a:latin typeface="Cambria Math"/>
              <a:ea typeface="Cambria Math" pitchFamily="18" charset="0"/>
              <a:cs typeface="+mn-cs"/>
            </a:rPr>
            <a:t>𝑃𝑎𝑡𝑒𝑛𝑡𝑒</a:t>
          </a:r>
          <a:r>
            <a:rPr lang="es-AR" sz="800" b="0" i="0">
              <a:solidFill>
                <a:schemeClr val="tx1"/>
              </a:solidFill>
              <a:effectLst/>
              <a:latin typeface="Cambria Math" pitchFamily="18" charset="0"/>
              <a:ea typeface="Cambria Math" pitchFamily="18" charset="0"/>
              <a:cs typeface="+mn-cs"/>
            </a:rPr>
            <a:t>  𝐶𝑎𝑚𝑖𝑜𝑛𝑒𝑡𝑎</a:t>
          </a:r>
          <a:endParaRPr lang="es-AR" sz="800">
            <a:effectLst/>
            <a:latin typeface="Cambria Math" pitchFamily="18" charset="0"/>
            <a:ea typeface="Cambria Math" pitchFamily="18" charset="0"/>
          </a:endParaRPr>
        </a:p>
        <a:p>
          <a:pPr algn="l"/>
          <a:endParaRPr lang="es-AR" sz="800">
            <a:latin typeface="Arial" pitchFamily="34" charset="0"/>
            <a:cs typeface="Arial" pitchFamily="34" charset="0"/>
          </a:endParaRPr>
        </a:p>
      </xdr:txBody>
    </xdr:sp>
    <xdr:clientData/>
  </xdr:oneCellAnchor>
  <xdr:oneCellAnchor>
    <xdr:from>
      <xdr:col>2</xdr:col>
      <xdr:colOff>23812</xdr:colOff>
      <xdr:row>39</xdr:row>
      <xdr:rowOff>23813</xdr:rowOff>
    </xdr:from>
    <xdr:ext cx="4111146" cy="140117"/>
    <xdr:sp macro="" textlink="">
      <xdr:nvSpPr>
        <xdr:cNvPr id="8" name="7 CuadroTexto">
          <a:extLst>
            <a:ext uri="{FF2B5EF4-FFF2-40B4-BE49-F238E27FC236}">
              <a16:creationId xmlns="" xmlns:a16="http://schemas.microsoft.com/office/drawing/2014/main" id="{7D6320DF-24EB-411F-B40F-B7CFB58A7AC6}"/>
            </a:ext>
          </a:extLst>
        </xdr:cNvPr>
        <xdr:cNvSpPr txBox="1"/>
      </xdr:nvSpPr>
      <xdr:spPr>
        <a:xfrm>
          <a:off x="2587625" y="5595938"/>
          <a:ext cx="4111146" cy="1401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lang="es-AR" sz="800" b="0" i="0">
              <a:solidFill>
                <a:schemeClr val="tx1"/>
              </a:solidFill>
              <a:latin typeface="Cambria Math"/>
              <a:ea typeface="+mn-ea"/>
              <a:cs typeface="+mn-cs"/>
            </a:rPr>
            <a:t>𝐼𝑛𝑡𝑒𝑟é𝑠=(𝐶𝑎𝑝𝑖𝑡𝑎𝑙 ×Í𝑛𝑡𝑒𝑟𝑒𝑠𝐴𝑛𝑢𝑎𝑙)/(2×12 𝑚/𝑎ñ𝑜)</a:t>
          </a:r>
          <a:r>
            <a:rPr lang="es-AR" sz="800" b="0" i="0">
              <a:solidFill>
                <a:schemeClr val="tx1"/>
              </a:solidFill>
              <a:latin typeface="Cambria Math"/>
              <a:ea typeface="Cambria Math"/>
              <a:cs typeface="+mn-cs"/>
            </a:rPr>
            <a:t>=</a:t>
          </a:r>
          <a:r>
            <a:rPr lang="es-AR" sz="800" b="0" i="0">
              <a:solidFill>
                <a:schemeClr val="tx1"/>
              </a:solidFill>
              <a:effectLst/>
              <a:latin typeface="Cambria Math" pitchFamily="18" charset="0"/>
              <a:ea typeface="Cambria Math" pitchFamily="18" charset="0"/>
              <a:cs typeface="+mn-cs"/>
            </a:rPr>
            <a:t>𝐶𝑎𝑝𝑖𝑡𝑎𝑙×𝐶𝑜𝑒𝑓.  </a:t>
          </a:r>
          <a:r>
            <a:rPr lang="es-AR" sz="800" b="0" i="0">
              <a:solidFill>
                <a:schemeClr val="tx1"/>
              </a:solidFill>
              <a:effectLst/>
              <a:latin typeface="Cambria Math"/>
              <a:ea typeface="Cambria Math" pitchFamily="18" charset="0"/>
              <a:cs typeface="+mn-cs"/>
            </a:rPr>
            <a:t>𝐼𝑛𝑡𝑒𝑟é𝑠</a:t>
          </a:r>
          <a:r>
            <a:rPr lang="es-AR" sz="800" b="0" i="0">
              <a:solidFill>
                <a:schemeClr val="tx1"/>
              </a:solidFill>
              <a:effectLst/>
              <a:latin typeface="Cambria Math" pitchFamily="18" charset="0"/>
              <a:ea typeface="Cambria Math" pitchFamily="18" charset="0"/>
              <a:cs typeface="+mn-cs"/>
            </a:rPr>
            <a:t>  𝐶𝑎𝑚𝑖𝑜𝑛𝑒𝑡𝑎</a:t>
          </a:r>
          <a:endParaRPr lang="es-AR" sz="800">
            <a:effectLst/>
            <a:latin typeface="Cambria Math" pitchFamily="18" charset="0"/>
            <a:ea typeface="Cambria Math" pitchFamily="18" charset="0"/>
          </a:endParaRPr>
        </a:p>
        <a:p>
          <a:pPr algn="l"/>
          <a:endParaRPr lang="es-AR" sz="800" b="0" i="1">
            <a:solidFill>
              <a:schemeClr val="tx1"/>
            </a:solidFill>
            <a:latin typeface="Cambria Math"/>
            <a:ea typeface="+mn-ea"/>
            <a:cs typeface="+mn-cs"/>
          </a:endParaRPr>
        </a:p>
      </xdr:txBody>
    </xdr:sp>
    <xdr:clientData/>
  </xdr:oneCellAnchor>
  <xdr:oneCellAnchor>
    <xdr:from>
      <xdr:col>2</xdr:col>
      <xdr:colOff>55561</xdr:colOff>
      <xdr:row>48</xdr:row>
      <xdr:rowOff>7937</xdr:rowOff>
    </xdr:from>
    <xdr:ext cx="4064607" cy="181329"/>
    <xdr:sp macro="" textlink="">
      <xdr:nvSpPr>
        <xdr:cNvPr id="9" name="8 CuadroTexto">
          <a:extLst>
            <a:ext uri="{FF2B5EF4-FFF2-40B4-BE49-F238E27FC236}">
              <a16:creationId xmlns="" xmlns:a16="http://schemas.microsoft.com/office/drawing/2014/main" id="{292CA973-3741-4EFF-A707-9B3D35C9B18D}"/>
            </a:ext>
          </a:extLst>
        </xdr:cNvPr>
        <xdr:cNvSpPr txBox="1"/>
      </xdr:nvSpPr>
      <xdr:spPr>
        <a:xfrm>
          <a:off x="2619374" y="6865937"/>
          <a:ext cx="4064607" cy="181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i="0">
              <a:latin typeface="Cambria Math"/>
            </a:rPr>
            <a:t>𝐶</a:t>
          </a:r>
          <a:r>
            <a:rPr lang="es-AR" sz="800" b="0" i="0">
              <a:latin typeface="Cambria Math"/>
            </a:rPr>
            <a:t>𝑜𝑚𝑏𝑢𝑠𝑡𝑖𝑏𝑙𝑒 𝑦 𝐿𝑢𝑏𝑟𝑖𝑐𝑎𝑛𝑡𝑒𝑠</a:t>
          </a:r>
          <a:r>
            <a:rPr lang="es-AR" sz="800" i="0">
              <a:latin typeface="Cambria Math"/>
            </a:rPr>
            <a:t>=</a:t>
          </a:r>
          <a:r>
            <a:rPr lang="es-AR" sz="800" b="0" i="0">
              <a:solidFill>
                <a:schemeClr val="tx1"/>
              </a:solidFill>
              <a:effectLst/>
              <a:latin typeface="Cambria Math" pitchFamily="18" charset="0"/>
              <a:ea typeface="Cambria Math" pitchFamily="18" charset="0"/>
              <a:cs typeface="+mn-cs"/>
            </a:rPr>
            <a:t>𝐶𝑜𝑛𝑠𝑢𝑚𝑜 𝑝𝑜𝑟 𝑘𝑚×𝑃𝑟𝑒𝑐𝑖𝑜𝑠 𝐺𝑎𝑠 𝑂𝑖𝑙</a:t>
          </a:r>
          <a:r>
            <a:rPr lang="es-AR" sz="800" b="0" i="0">
              <a:solidFill>
                <a:schemeClr val="tx1"/>
              </a:solidFill>
              <a:effectLst/>
              <a:latin typeface="Cambria Math"/>
              <a:ea typeface="Cambria Math"/>
              <a:cs typeface="+mn-cs"/>
            </a:rPr>
            <a:t>×(1+% 𝐿𝑢𝑏𝑟𝑖𝑐𝑎𝑛𝑡𝑒𝑠)</a:t>
          </a:r>
          <a:endParaRPr lang="es-AR" sz="800">
            <a:latin typeface="Cambria Math" pitchFamily="18" charset="0"/>
            <a:ea typeface="Cambria Math" pitchFamily="18" charset="0"/>
            <a:cs typeface="Arial" pitchFamily="34" charset="0"/>
          </a:endParaRPr>
        </a:p>
      </xdr:txBody>
    </xdr:sp>
    <xdr:clientData/>
  </xdr:oneCellAnchor>
  <xdr:oneCellAnchor>
    <xdr:from>
      <xdr:col>2</xdr:col>
      <xdr:colOff>15874</xdr:colOff>
      <xdr:row>51</xdr:row>
      <xdr:rowOff>23812</xdr:rowOff>
    </xdr:from>
    <xdr:ext cx="4238626" cy="206375"/>
    <xdr:sp macro="" textlink="">
      <xdr:nvSpPr>
        <xdr:cNvPr id="10" name="9 CuadroTexto">
          <a:extLst>
            <a:ext uri="{FF2B5EF4-FFF2-40B4-BE49-F238E27FC236}">
              <a16:creationId xmlns="" xmlns:a16="http://schemas.microsoft.com/office/drawing/2014/main" id="{7AE9986D-9883-42FE-8B06-880473E1CA63}"/>
            </a:ext>
          </a:extLst>
        </xdr:cNvPr>
        <xdr:cNvSpPr txBox="1"/>
      </xdr:nvSpPr>
      <xdr:spPr>
        <a:xfrm>
          <a:off x="2579687" y="7310437"/>
          <a:ext cx="4238626" cy="206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i="0">
              <a:latin typeface="Cambria Math"/>
            </a:rPr>
            <a:t>𝐶</a:t>
          </a:r>
          <a:r>
            <a:rPr lang="es-AR" sz="800" b="0" i="0">
              <a:latin typeface="Cambria Math"/>
            </a:rPr>
            <a:t>á𝑚𝑎𝑟𝑎𝑠 𝑦 𝐶𝑢𝑏𝑖𝑒𝑟𝑡𝑎𝑠</a:t>
          </a:r>
          <a:r>
            <a:rPr lang="es-AR" sz="800" i="0">
              <a:latin typeface="Cambria Math"/>
            </a:rPr>
            <a:t>=(</a:t>
          </a:r>
          <a:r>
            <a:rPr lang="es-AR" sz="800" b="0" i="0">
              <a:latin typeface="Cambria Math"/>
            </a:rPr>
            <a:t>𝐶𝑎𝑛𝑡𝑖𝑑𝑎𝑑 𝐶𝑢𝑏𝑖𝑒𝑟𝑡𝑎𝑠×</a:t>
          </a:r>
          <a:r>
            <a:rPr lang="es-AR" sz="800" b="0" i="0">
              <a:latin typeface="Cambria Math"/>
              <a:ea typeface="Cambria Math"/>
            </a:rPr>
            <a:t>𝐶𝑜𝑠𝑡𝑜 𝐶𝑢𝑏𝑖𝑒𝑟𝑡𝑎 𝐶𝑎𝑚𝑖𝑜𝑛𝑒𝑡𝑎)/(𝑉𝑖𝑑𝑎 Ú𝑡𝑖𝑙 𝐶𝑢𝑏𝑖𝑒𝑟𝑡𝑎)</a:t>
          </a:r>
          <a:endParaRPr lang="es-AR" sz="800">
            <a:latin typeface="Arial" pitchFamily="34" charset="0"/>
            <a:cs typeface="Arial" pitchFamily="34" charset="0"/>
          </a:endParaRPr>
        </a:p>
      </xdr:txBody>
    </xdr:sp>
    <xdr:clientData/>
  </xdr:oneCellAnchor>
  <xdr:oneCellAnchor>
    <xdr:from>
      <xdr:col>2</xdr:col>
      <xdr:colOff>1</xdr:colOff>
      <xdr:row>22</xdr:row>
      <xdr:rowOff>23813</xdr:rowOff>
    </xdr:from>
    <xdr:ext cx="3817938" cy="182564"/>
    <xdr:sp macro="" textlink="">
      <xdr:nvSpPr>
        <xdr:cNvPr id="11" name="4 CuadroTexto">
          <a:extLst>
            <a:ext uri="{FF2B5EF4-FFF2-40B4-BE49-F238E27FC236}">
              <a16:creationId xmlns="" xmlns:a16="http://schemas.microsoft.com/office/drawing/2014/main" id="{4A052AB2-7DAA-4991-8383-16D51033E5B7}"/>
            </a:ext>
          </a:extLst>
        </xdr:cNvPr>
        <xdr:cNvSpPr txBox="1"/>
      </xdr:nvSpPr>
      <xdr:spPr>
        <a:xfrm>
          <a:off x="2563814" y="3167063"/>
          <a:ext cx="3817938" cy="1825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b="0" i="0">
              <a:latin typeface="Cambria Math"/>
            </a:rPr>
            <a:t>𝐿𝑢𝑏𝑟𝑖𝑐𝑎𝑛𝑡𝑒𝑠</a:t>
          </a:r>
          <a:r>
            <a:rPr lang="es-AR" sz="800" i="0">
              <a:latin typeface="Cambria Math"/>
            </a:rPr>
            <a:t>=</a:t>
          </a:r>
          <a:r>
            <a:rPr lang="es-AR" sz="800" b="0" i="0">
              <a:latin typeface="Cambria Math"/>
            </a:rPr>
            <a:t>𝑇𝑜𝑡𝑎𝑙 𝐻𝑃 × </a:t>
          </a:r>
          <a:r>
            <a:rPr lang="es-AR" sz="800" b="0" i="0">
              <a:latin typeface="Cambria Math"/>
              <a:ea typeface="Cambria Math"/>
            </a:rPr>
            <a:t>𝐶𝑜𝑛𝑠𝑢𝑚𝑜 𝑝𝑜𝑟 ℎ𝑜𝑟𝑎/𝐻𝑃 × 𝑃𝑟𝑒𝑐𝑖𝑜 𝑔𝑎𝑠𝑜𝑖𝑙 × % 𝐶𝑜𝑚𝑏𝑢𝑠𝑡𝑖𝑏𝑙𝑒)</a:t>
          </a:r>
          <a:endParaRPr lang="es-AR" sz="800">
            <a:latin typeface="Arial" pitchFamily="34" charset="0"/>
            <a:cs typeface="Arial" pitchFamily="34" charset="0"/>
          </a:endParaRPr>
        </a:p>
      </xdr:txBody>
    </xdr:sp>
    <xdr:clientData/>
  </xdr:oneCellAnchor>
  <xdr:oneCellAnchor>
    <xdr:from>
      <xdr:col>2</xdr:col>
      <xdr:colOff>31750</xdr:colOff>
      <xdr:row>10</xdr:row>
      <xdr:rowOff>16351</xdr:rowOff>
    </xdr:from>
    <xdr:ext cx="3857623" cy="182087"/>
    <xdr:sp macro="" textlink="">
      <xdr:nvSpPr>
        <xdr:cNvPr id="12" name="11 CuadroTexto">
          <a:extLst>
            <a:ext uri="{FF2B5EF4-FFF2-40B4-BE49-F238E27FC236}">
              <a16:creationId xmlns="" xmlns:a16="http://schemas.microsoft.com/office/drawing/2014/main" id="{6DFAE71B-8537-42E7-AC69-829A7483163B}"/>
            </a:ext>
          </a:extLst>
        </xdr:cNvPr>
        <xdr:cNvSpPr txBox="1"/>
      </xdr:nvSpPr>
      <xdr:spPr>
        <a:xfrm>
          <a:off x="2595563" y="1445101"/>
          <a:ext cx="3857623" cy="18208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i="0">
              <a:latin typeface="Cambria Math"/>
            </a:rPr>
            <a:t>𝐴</a:t>
          </a:r>
          <a:r>
            <a:rPr lang="es-AR" sz="800" b="0" i="0">
              <a:latin typeface="Cambria Math"/>
            </a:rPr>
            <a:t>𝑚𝑜𝑟𝑡𝑖𝑧𝑎𝑐𝑖ó𝑛 </a:t>
          </a:r>
          <a:r>
            <a:rPr lang="es-AR" sz="800" i="0">
              <a:latin typeface="Cambria Math"/>
            </a:rPr>
            <a:t>= (</a:t>
          </a:r>
          <a:r>
            <a:rPr lang="es-AR" sz="800" b="0" i="0">
              <a:latin typeface="Cambria Math"/>
            </a:rPr>
            <a:t>𝐶𝑎𝑝𝑖𝑡𝑎𝑙 × 8</a:t>
          </a:r>
          <a:r>
            <a:rPr lang="es-AR" sz="800" b="0" i="0">
              <a:latin typeface="Cambria Math"/>
              <a:ea typeface="Cambria Math"/>
            </a:rPr>
            <a:t> ℎ/𝑑í𝑎 × % 𝐸𝑞.  𝑎 𝐴𝑚𝑜𝑟𝑡𝑖𝑧𝑎𝑟)/(</a:t>
          </a:r>
          <a:r>
            <a:rPr lang="es-AR" sz="800" b="0" i="0">
              <a:latin typeface="Cambria Math"/>
            </a:rPr>
            <a:t>𝑉𝑖𝑑𝑎 Ú𝑡𝑖𝑙 𝐸𝑞.)</a:t>
          </a:r>
          <a:endParaRPr lang="es-AR" sz="800"/>
        </a:p>
      </xdr:txBody>
    </xdr:sp>
    <xdr:clientData/>
  </xdr:oneCellAnchor>
</xdr:wsDr>
</file>

<file path=xl/drawings/drawing4.xml><?xml version="1.0" encoding="utf-8"?>
<xdr:wsDr xmlns:xdr="http://schemas.openxmlformats.org/drawingml/2006/spreadsheetDrawing" xmlns:a="http://schemas.openxmlformats.org/drawingml/2006/main">
  <xdr:oneCellAnchor>
    <xdr:from>
      <xdr:col>5</xdr:col>
      <xdr:colOff>657225</xdr:colOff>
      <xdr:row>3</xdr:row>
      <xdr:rowOff>28575</xdr:rowOff>
    </xdr:from>
    <xdr:ext cx="3492000" cy="288000"/>
    <xdr:sp macro="" textlink="">
      <xdr:nvSpPr>
        <xdr:cNvPr id="2" name="1 CuadroTexto">
          <a:extLst>
            <a:ext uri="{FF2B5EF4-FFF2-40B4-BE49-F238E27FC236}">
              <a16:creationId xmlns="" xmlns:a16="http://schemas.microsoft.com/office/drawing/2014/main" id="{43ADB213-DA0F-4450-993D-9966CAB6B805}"/>
            </a:ext>
          </a:extLst>
        </xdr:cNvPr>
        <xdr:cNvSpPr txBox="1">
          <a:spLocks/>
        </xdr:cNvSpPr>
      </xdr:nvSpPr>
      <xdr:spPr>
        <a:xfrm>
          <a:off x="4229100" y="600075"/>
          <a:ext cx="34920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𝐴</a:t>
          </a:r>
          <a:r>
            <a:rPr lang="es-AR" sz="900" b="0" i="0">
              <a:latin typeface="Cambria Math"/>
            </a:rPr>
            <a:t>𝑚𝑜𝑟𝑡𝑖𝑧𝑎𝑐𝑖ó𝑛</a:t>
          </a:r>
          <a:r>
            <a:rPr lang="es-AR" sz="900" i="0">
              <a:latin typeface="Cambria Math"/>
            </a:rPr>
            <a:t>=(</a:t>
          </a:r>
          <a:r>
            <a:rPr lang="es-AR" sz="900" b="0" i="0">
              <a:latin typeface="Cambria Math"/>
            </a:rPr>
            <a:t>𝑉𝑎𝑙𝑜𝑟 𝑑𝑒𝑙 𝑒𝑞𝑢𝑖𝑝𝑜 ×</a:t>
          </a:r>
          <a:r>
            <a:rPr lang="es-AR" sz="900" b="0" i="0">
              <a:latin typeface="Cambria Math"/>
              <a:ea typeface="Cambria Math"/>
            </a:rPr>
            <a:t>𝑃𝑜𝑟𝑐𝑒𝑛𝑡𝑎𝑗𝑒 𝑒𝑞𝑢𝑖𝑝𝑜 𝑎 𝑎𝑚𝑜𝑟𝑡𝑖𝑧𝑎𝑟)/(</a:t>
          </a:r>
          <a:r>
            <a:rPr lang="es-AR" sz="900" b="0" i="0">
              <a:latin typeface="Cambria Math"/>
            </a:rPr>
            <a:t> 𝐻𝑜𝑟𝑎𝑠 𝑎𝑚𝑜𝑟𝑡𝑖𝑧𝑎𝑐𝑖ó𝑛 𝐸𝑞𝑢𝑖𝑝𝑜)</a:t>
          </a:r>
          <a:endParaRPr lang="es-AR" sz="900"/>
        </a:p>
      </xdr:txBody>
    </xdr:sp>
    <xdr:clientData/>
  </xdr:oneCellAnchor>
  <xdr:oneCellAnchor>
    <xdr:from>
      <xdr:col>5</xdr:col>
      <xdr:colOff>657225</xdr:colOff>
      <xdr:row>5</xdr:row>
      <xdr:rowOff>200024</xdr:rowOff>
    </xdr:from>
    <xdr:ext cx="3492000" cy="352425"/>
    <xdr:sp macro="" textlink="">
      <xdr:nvSpPr>
        <xdr:cNvPr id="3" name="2 CuadroTexto">
          <a:extLst>
            <a:ext uri="{FF2B5EF4-FFF2-40B4-BE49-F238E27FC236}">
              <a16:creationId xmlns="" xmlns:a16="http://schemas.microsoft.com/office/drawing/2014/main" id="{BDB06617-5C9F-4544-9E15-96DE43213D66}"/>
            </a:ext>
          </a:extLst>
        </xdr:cNvPr>
        <xdr:cNvSpPr txBox="1">
          <a:spLocks/>
        </xdr:cNvSpPr>
      </xdr:nvSpPr>
      <xdr:spPr>
        <a:xfrm>
          <a:off x="4229100" y="1142999"/>
          <a:ext cx="34920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𝐼𝑛𝑡𝑒𝑟é𝑠</a:t>
          </a:r>
          <a:r>
            <a:rPr lang="es-AR" sz="900" i="0">
              <a:latin typeface="Cambria Math"/>
            </a:rPr>
            <a:t>=(</a:t>
          </a:r>
          <a:r>
            <a:rPr lang="es-AR" sz="900" b="0" i="0">
              <a:latin typeface="Cambria Math"/>
            </a:rPr>
            <a:t>𝑉𝑎𝑙𝑜𝑟 𝑑𝑒𝑙 𝑒𝑞𝑢𝑖𝑝𝑜 ×</a:t>
          </a:r>
          <a:r>
            <a:rPr lang="es-AR" sz="900" b="0" i="0">
              <a:latin typeface="Cambria Math"/>
              <a:ea typeface="Cambria Math"/>
            </a:rPr>
            <a:t>𝐼𝑛𝑡𝑒𝑟é𝑠 𝐴𝑛𝑢𝑎𝑙)/(</a:t>
          </a:r>
          <a:r>
            <a:rPr lang="es-AR" sz="900" b="0" i="0">
              <a:latin typeface="Cambria Math"/>
            </a:rPr>
            <a:t> 2</a:t>
          </a:r>
          <a:r>
            <a:rPr lang="es-AR" sz="900" b="0" i="0">
              <a:latin typeface="Cambria Math"/>
              <a:ea typeface="Cambria Math"/>
            </a:rPr>
            <a:t>×2.000 ℎ𝑠⁄𝑎ñ𝑜)</a:t>
          </a:r>
          <a:endParaRPr lang="es-AR" sz="900"/>
        </a:p>
      </xdr:txBody>
    </xdr:sp>
    <xdr:clientData/>
  </xdr:oneCellAnchor>
  <xdr:oneCellAnchor>
    <xdr:from>
      <xdr:col>5</xdr:col>
      <xdr:colOff>676275</xdr:colOff>
      <xdr:row>8</xdr:row>
      <xdr:rowOff>161925</xdr:rowOff>
    </xdr:from>
    <xdr:ext cx="4191000" cy="288000"/>
    <xdr:sp macro="" textlink="">
      <xdr:nvSpPr>
        <xdr:cNvPr id="4" name="3 CuadroTexto">
          <a:extLst>
            <a:ext uri="{FF2B5EF4-FFF2-40B4-BE49-F238E27FC236}">
              <a16:creationId xmlns="" xmlns:a16="http://schemas.microsoft.com/office/drawing/2014/main" id="{87E18976-4086-4586-A599-673257F4CD71}"/>
            </a:ext>
          </a:extLst>
        </xdr:cNvPr>
        <xdr:cNvSpPr txBox="1">
          <a:spLocks/>
        </xdr:cNvSpPr>
      </xdr:nvSpPr>
      <xdr:spPr>
        <a:xfrm>
          <a:off x="4248150" y="1685925"/>
          <a:ext cx="41910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R</a:t>
          </a:r>
          <a:r>
            <a:rPr lang="es-AR" sz="900" b="0" i="0">
              <a:latin typeface="Cambria Math"/>
            </a:rPr>
            <a:t>𝑒𝑝𝑎𝑟𝑎𝑐𝑖𝑜𝑛𝑒𝑠 𝑦 𝑟𝑒𝑝𝑢𝑒𝑠𝑡𝑜𝑠</a:t>
          </a:r>
          <a:r>
            <a:rPr lang="es-AR" sz="900" i="0">
              <a:latin typeface="Cambria Math"/>
            </a:rPr>
            <a:t>=𝐴𝑚𝑜𝑟𝑡𝑖</a:t>
          </a:r>
          <a:r>
            <a:rPr lang="es-AR" sz="900" b="0" i="0">
              <a:latin typeface="Cambria Math"/>
            </a:rPr>
            <a:t>𝑧𝑎𝑐𝑖ó𝑛 ×</a:t>
          </a:r>
          <a:r>
            <a:rPr lang="es-AR" sz="900" b="0" i="0">
              <a:latin typeface="Cambria Math"/>
              <a:ea typeface="Cambria Math"/>
            </a:rPr>
            <a:t>𝑅𝑒𝑝𝑎𝑟𝑎𝑐𝑖𝑜𝑛𝑒𝑠 𝑦 𝑅𝑒𝑝𝑢𝑒𝑠𝑡𝑜𝑠</a:t>
          </a:r>
          <a:endParaRPr lang="es-AR" sz="900"/>
        </a:p>
      </xdr:txBody>
    </xdr:sp>
    <xdr:clientData/>
  </xdr:oneCellAnchor>
  <xdr:oneCellAnchor>
    <xdr:from>
      <xdr:col>5</xdr:col>
      <xdr:colOff>685799</xdr:colOff>
      <xdr:row>14</xdr:row>
      <xdr:rowOff>152400</xdr:rowOff>
    </xdr:from>
    <xdr:ext cx="3981451" cy="352425"/>
    <xdr:sp macro="" textlink="">
      <xdr:nvSpPr>
        <xdr:cNvPr id="5" name="4 CuadroTexto">
          <a:extLst>
            <a:ext uri="{FF2B5EF4-FFF2-40B4-BE49-F238E27FC236}">
              <a16:creationId xmlns="" xmlns:a16="http://schemas.microsoft.com/office/drawing/2014/main" id="{16D17527-F33C-4783-BDBB-1496A782245E}"/>
            </a:ext>
          </a:extLst>
        </xdr:cNvPr>
        <xdr:cNvSpPr txBox="1">
          <a:spLocks/>
        </xdr:cNvSpPr>
      </xdr:nvSpPr>
      <xdr:spPr>
        <a:xfrm>
          <a:off x="4257674" y="2819400"/>
          <a:ext cx="3981451"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𝑆𝑒𝑔𝑢𝑟𝑜 𝑃𝑎𝑡𝑒𝑛𝑡𝑒𝑠 𝐼𝑚𝑝𝑢𝑒𝑠𝑡𝑜𝑠</a:t>
          </a:r>
          <a:r>
            <a:rPr lang="es-AR" sz="900" i="0">
              <a:latin typeface="Cambria Math"/>
            </a:rPr>
            <a:t>=(</a:t>
          </a:r>
          <a:r>
            <a:rPr lang="es-AR" sz="900" b="0" i="0">
              <a:latin typeface="Cambria Math"/>
            </a:rPr>
            <a:t>𝑉𝑎𝑙𝑜𝑟 𝑑𝑒𝑙 𝑒𝑞𝑢𝑖𝑝𝑜 ×𝑆𝑒𝑔𝑢𝑟𝑜 𝑃𝑎𝑡𝑒𝑛𝑡𝑒 𝐼𝑚𝑝𝑢𝑒𝑠𝑡𝑜)/(</a:t>
          </a:r>
          <a:r>
            <a:rPr lang="es-AR" sz="900" b="0" i="0">
              <a:latin typeface="Cambria Math"/>
              <a:ea typeface="Cambria Math"/>
            </a:rPr>
            <a:t>2.000 ℎ𝑠⁄𝑎ñ𝑜)</a:t>
          </a:r>
          <a:endParaRPr lang="es-AR" sz="900"/>
        </a:p>
      </xdr:txBody>
    </xdr:sp>
    <xdr:clientData/>
  </xdr:oneCellAnchor>
  <xdr:oneCellAnchor>
    <xdr:from>
      <xdr:col>6</xdr:col>
      <xdr:colOff>0</xdr:colOff>
      <xdr:row>12</xdr:row>
      <xdr:rowOff>0</xdr:rowOff>
    </xdr:from>
    <xdr:ext cx="4991100" cy="352425"/>
    <xdr:sp macro="" textlink="">
      <xdr:nvSpPr>
        <xdr:cNvPr id="6" name="5 CuadroTexto">
          <a:extLst>
            <a:ext uri="{FF2B5EF4-FFF2-40B4-BE49-F238E27FC236}">
              <a16:creationId xmlns="" xmlns:a16="http://schemas.microsoft.com/office/drawing/2014/main" id="{480EC839-DDA5-44B9-B19D-18E190AF627D}"/>
            </a:ext>
          </a:extLst>
        </xdr:cNvPr>
        <xdr:cNvSpPr txBox="1">
          <a:spLocks/>
        </xdr:cNvSpPr>
      </xdr:nvSpPr>
      <xdr:spPr>
        <a:xfrm>
          <a:off x="4286250" y="2286000"/>
          <a:ext cx="49911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𝐿𝑎𝑣𝑎𝑑𝑜 𝑑𝑒 𝑙𝑎 𝑈𝑛𝑖𝑑𝑎𝑑</a:t>
          </a:r>
          <a:r>
            <a:rPr lang="es-AR" sz="900" i="0">
              <a:latin typeface="Cambria Math"/>
            </a:rPr>
            <a:t>=(</a:t>
          </a:r>
          <a:r>
            <a:rPr lang="es-AR" sz="900" b="0" i="0">
              <a:latin typeface="Cambria Math"/>
            </a:rPr>
            <a:t>𝑇𝑖𝑒𝑚𝑝 𝐿𝑎𝑣×𝐶𝑜𝑠𝑡𝑜 𝐿𝑎𝑣 𝑝𝑜𝑟 ℎ𝑜𝑟𝑎𝑠</a:t>
          </a:r>
          <a:r>
            <a:rPr lang="es-AR" sz="900" b="0" i="0">
              <a:latin typeface="Cambria Math"/>
              <a:ea typeface="Cambria Math"/>
            </a:rPr>
            <a:t>×𝐶𝑎𝑛𝑡𝑖𝑑𝑎𝑑 𝑙𝑎𝑣 𝑎𝑙 𝑚𝑒𝑠×12 𝑚𝑒𝑠𝑒𝑠)/(2.000 ℎ𝑠⁄𝑎ñ𝑜)</a:t>
          </a:r>
          <a:endParaRPr lang="es-AR" sz="900"/>
        </a:p>
      </xdr:txBody>
    </xdr:sp>
    <xdr:clientData/>
  </xdr:oneCellAnchor>
  <xdr:oneCellAnchor>
    <xdr:from>
      <xdr:col>6</xdr:col>
      <xdr:colOff>9525</xdr:colOff>
      <xdr:row>17</xdr:row>
      <xdr:rowOff>171450</xdr:rowOff>
    </xdr:from>
    <xdr:ext cx="4991100" cy="352425"/>
    <xdr:sp macro="" textlink="">
      <xdr:nvSpPr>
        <xdr:cNvPr id="7" name="6 CuadroTexto">
          <a:extLst>
            <a:ext uri="{FF2B5EF4-FFF2-40B4-BE49-F238E27FC236}">
              <a16:creationId xmlns="" xmlns:a16="http://schemas.microsoft.com/office/drawing/2014/main" id="{20C326CE-26B6-4569-AA3B-6E0CFFD1EE1A}"/>
            </a:ext>
          </a:extLst>
        </xdr:cNvPr>
        <xdr:cNvSpPr txBox="1">
          <a:spLocks/>
        </xdr:cNvSpPr>
      </xdr:nvSpPr>
      <xdr:spPr>
        <a:xfrm>
          <a:off x="4295775" y="3409950"/>
          <a:ext cx="49911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𝐶á𝑚𝑎𝑟𝑎𝑠 𝑦 𝐶𝑢𝑏𝑖𝑒𝑟𝑡𝑎𝑠</a:t>
          </a:r>
          <a:r>
            <a:rPr lang="es-AR" sz="900" i="0">
              <a:latin typeface="Cambria Math"/>
            </a:rPr>
            <a:t>=(</a:t>
          </a:r>
          <a:r>
            <a:rPr lang="es-AR" sz="900" b="0" i="0">
              <a:latin typeface="Cambria Math"/>
            </a:rPr>
            <a:t>𝐶𝑎𝑛𝑡𝑖𝑑𝑎𝑑 𝑐á𝑚𝑎𝑟𝑎 𝑦 𝑐𝑢𝑏𝑖𝑒𝑟𝑡𝑎𝑠×𝑉𝑎𝑙𝑜𝑟 𝑐á𝑚𝑎𝑟𝑎 𝑦 𝑐𝑢𝑏𝑖𝑒𝑟𝑡𝑎𝑠)/(</a:t>
          </a:r>
          <a:r>
            <a:rPr lang="es-AR" sz="900" b="0" i="0">
              <a:latin typeface="Cambria Math"/>
              <a:ea typeface="Cambria Math"/>
            </a:rPr>
            <a:t>𝑉𝑖𝑑𝑎 ú𝑡𝑖𝑙 𝑐á𝑚𝑎𝑟𝑎𝑠 𝑦 𝑐𝑢𝑏𝑖𝑒𝑟𝑡𝑎𝑠)</a:t>
          </a:r>
          <a:endParaRPr lang="es-AR" sz="900"/>
        </a:p>
      </xdr:txBody>
    </xdr:sp>
    <xdr:clientData/>
  </xdr:oneCellAnchor>
  <xdr:oneCellAnchor>
    <xdr:from>
      <xdr:col>6</xdr:col>
      <xdr:colOff>0</xdr:colOff>
      <xdr:row>21</xdr:row>
      <xdr:rowOff>9525</xdr:rowOff>
    </xdr:from>
    <xdr:ext cx="4343400" cy="288000"/>
    <xdr:sp macro="" textlink="">
      <xdr:nvSpPr>
        <xdr:cNvPr id="8" name="7 CuadroTexto">
          <a:extLst>
            <a:ext uri="{FF2B5EF4-FFF2-40B4-BE49-F238E27FC236}">
              <a16:creationId xmlns="" xmlns:a16="http://schemas.microsoft.com/office/drawing/2014/main" id="{EE9D8158-672F-42AF-8C9A-562AF1530746}"/>
            </a:ext>
          </a:extLst>
        </xdr:cNvPr>
        <xdr:cNvSpPr txBox="1">
          <a:spLocks/>
        </xdr:cNvSpPr>
      </xdr:nvSpPr>
      <xdr:spPr>
        <a:xfrm>
          <a:off x="4286250" y="4010025"/>
          <a:ext cx="43434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𝐶</a:t>
          </a:r>
          <a:r>
            <a:rPr lang="es-AR" sz="900" b="0" i="0">
              <a:latin typeface="Cambria Math"/>
            </a:rPr>
            <a:t>𝑜𝑚𝑏𝑢𝑠𝑡𝑖𝑏𝑙𝑒 𝑦 𝑙𝑢𝑏𝑟𝑖𝑐𝑎𝑛𝑡𝑒𝑠</a:t>
          </a:r>
          <a:r>
            <a:rPr lang="es-AR" sz="900" i="0">
              <a:latin typeface="Cambria Math"/>
            </a:rPr>
            <a:t>=𝐶𝑜𝑛𝑠𝑢𝑚</a:t>
          </a:r>
          <a:r>
            <a:rPr lang="es-AR" sz="900" b="0" i="0">
              <a:latin typeface="Cambria Math"/>
            </a:rPr>
            <a:t>𝑜 𝑑𝑒 𝑔𝑎𝑠𝑜𝑖𝑙</a:t>
          </a:r>
          <a:r>
            <a:rPr lang="es-AR" sz="900" b="0" i="0">
              <a:latin typeface="Cambria Math"/>
              <a:ea typeface="Cambria Math"/>
            </a:rPr>
            <a:t>×𝐶𝑜𝑠𝑡𝑜 𝑔𝑎𝑠𝑜𝑖𝑙×(1+𝐿𝑢𝑏𝑟𝑖𝑐𝑎𝑛𝑡𝑒𝑠)</a:t>
          </a:r>
          <a:endParaRPr lang="es-AR" sz="900"/>
        </a:p>
      </xdr:txBody>
    </xdr:sp>
    <xdr:clientData/>
  </xdr:oneCellAnchor>
</xdr:wsDr>
</file>

<file path=xl/drawings/drawing5.xml><?xml version="1.0" encoding="utf-8"?>
<xdr:wsDr xmlns:xdr="http://schemas.openxmlformats.org/drawingml/2006/spreadsheetDrawing" xmlns:a="http://schemas.openxmlformats.org/drawingml/2006/main">
  <xdr:oneCellAnchor>
    <xdr:from>
      <xdr:col>5</xdr:col>
      <xdr:colOff>657225</xdr:colOff>
      <xdr:row>3</xdr:row>
      <xdr:rowOff>28575</xdr:rowOff>
    </xdr:from>
    <xdr:ext cx="3492000" cy="288000"/>
    <xdr:sp macro="" textlink="">
      <xdr:nvSpPr>
        <xdr:cNvPr id="2" name="1 CuadroTexto">
          <a:extLst>
            <a:ext uri="{FF2B5EF4-FFF2-40B4-BE49-F238E27FC236}">
              <a16:creationId xmlns="" xmlns:a16="http://schemas.microsoft.com/office/drawing/2014/main" id="{3E12926C-4A80-4873-A18C-65C367308A78}"/>
            </a:ext>
          </a:extLst>
        </xdr:cNvPr>
        <xdr:cNvSpPr txBox="1">
          <a:spLocks/>
        </xdr:cNvSpPr>
      </xdr:nvSpPr>
      <xdr:spPr>
        <a:xfrm>
          <a:off x="4238625" y="600075"/>
          <a:ext cx="34920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𝐴</a:t>
          </a:r>
          <a:r>
            <a:rPr lang="es-AR" sz="900" b="0" i="0">
              <a:latin typeface="Cambria Math"/>
            </a:rPr>
            <a:t>𝑚𝑜𝑟𝑡𝑖𝑧𝑎𝑐𝑖ó𝑛</a:t>
          </a:r>
          <a:r>
            <a:rPr lang="es-AR" sz="900" i="0">
              <a:latin typeface="Cambria Math"/>
            </a:rPr>
            <a:t>=(</a:t>
          </a:r>
          <a:r>
            <a:rPr lang="es-AR" sz="900" b="0" i="0">
              <a:latin typeface="Cambria Math"/>
            </a:rPr>
            <a:t>𝑉𝑎𝑙𝑜𝑟 𝑑𝑒𝑙 𝑒𝑞𝑢𝑖𝑝𝑜 ×</a:t>
          </a:r>
          <a:r>
            <a:rPr lang="es-AR" sz="900" b="0" i="0">
              <a:latin typeface="Cambria Math"/>
              <a:ea typeface="Cambria Math"/>
            </a:rPr>
            <a:t>𝑃𝑜𝑟𝑐𝑒𝑛𝑡𝑎𝑗𝑒 𝑒𝑞𝑢𝑖𝑝𝑜 𝑎 𝑎𝑚𝑜𝑟𝑡𝑖𝑧𝑎𝑟)/(</a:t>
          </a:r>
          <a:r>
            <a:rPr lang="es-AR" sz="900" b="0" i="0">
              <a:latin typeface="Cambria Math"/>
            </a:rPr>
            <a:t> 𝐻𝑜𝑟𝑎𝑠 𝑎𝑚𝑜𝑟𝑡𝑖𝑧𝑎𝑐𝑖ó𝑛 𝐸𝑞𝑢𝑖𝑝𝑜)</a:t>
          </a:r>
          <a:endParaRPr lang="es-AR" sz="900"/>
        </a:p>
      </xdr:txBody>
    </xdr:sp>
    <xdr:clientData/>
  </xdr:oneCellAnchor>
  <xdr:oneCellAnchor>
    <xdr:from>
      <xdr:col>5</xdr:col>
      <xdr:colOff>657225</xdr:colOff>
      <xdr:row>5</xdr:row>
      <xdr:rowOff>200024</xdr:rowOff>
    </xdr:from>
    <xdr:ext cx="3492000" cy="352425"/>
    <xdr:sp macro="" textlink="">
      <xdr:nvSpPr>
        <xdr:cNvPr id="3" name="2 CuadroTexto">
          <a:extLst>
            <a:ext uri="{FF2B5EF4-FFF2-40B4-BE49-F238E27FC236}">
              <a16:creationId xmlns="" xmlns:a16="http://schemas.microsoft.com/office/drawing/2014/main" id="{CC606AE2-5E69-4E59-ABB0-9C3DA596A070}"/>
            </a:ext>
          </a:extLst>
        </xdr:cNvPr>
        <xdr:cNvSpPr txBox="1">
          <a:spLocks/>
        </xdr:cNvSpPr>
      </xdr:nvSpPr>
      <xdr:spPr>
        <a:xfrm>
          <a:off x="4238625" y="1142999"/>
          <a:ext cx="34920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𝐼𝑛𝑡𝑒𝑟é𝑠</a:t>
          </a:r>
          <a:r>
            <a:rPr lang="es-AR" sz="900" i="0">
              <a:latin typeface="Cambria Math"/>
            </a:rPr>
            <a:t>=(</a:t>
          </a:r>
          <a:r>
            <a:rPr lang="es-AR" sz="900" b="0" i="0">
              <a:latin typeface="Cambria Math"/>
            </a:rPr>
            <a:t>𝑉𝑎𝑙𝑜𝑟 𝑑𝑒𝑙 𝑒𝑞𝑢𝑖𝑝𝑜 ×</a:t>
          </a:r>
          <a:r>
            <a:rPr lang="es-AR" sz="900" b="0" i="0">
              <a:latin typeface="Cambria Math"/>
              <a:ea typeface="Cambria Math"/>
            </a:rPr>
            <a:t>𝐼𝑛𝑡𝑒𝑟é𝑠 𝐴𝑛𝑢𝑎𝑙)/(</a:t>
          </a:r>
          <a:r>
            <a:rPr lang="es-AR" sz="900" b="0" i="0">
              <a:latin typeface="Cambria Math"/>
            </a:rPr>
            <a:t> 2</a:t>
          </a:r>
          <a:r>
            <a:rPr lang="es-AR" sz="900" b="0" i="0">
              <a:latin typeface="Cambria Math"/>
              <a:ea typeface="Cambria Math"/>
            </a:rPr>
            <a:t>×2.000 ℎ𝑠⁄𝑎ñ𝑜)</a:t>
          </a:r>
          <a:endParaRPr lang="es-AR" sz="900"/>
        </a:p>
      </xdr:txBody>
    </xdr:sp>
    <xdr:clientData/>
  </xdr:oneCellAnchor>
  <xdr:oneCellAnchor>
    <xdr:from>
      <xdr:col>5</xdr:col>
      <xdr:colOff>676275</xdr:colOff>
      <xdr:row>8</xdr:row>
      <xdr:rowOff>161925</xdr:rowOff>
    </xdr:from>
    <xdr:ext cx="4191000" cy="288000"/>
    <xdr:sp macro="" textlink="">
      <xdr:nvSpPr>
        <xdr:cNvPr id="4" name="3 CuadroTexto">
          <a:extLst>
            <a:ext uri="{FF2B5EF4-FFF2-40B4-BE49-F238E27FC236}">
              <a16:creationId xmlns="" xmlns:a16="http://schemas.microsoft.com/office/drawing/2014/main" id="{0ED5BFDB-909F-4AFB-8652-C2D290383662}"/>
            </a:ext>
          </a:extLst>
        </xdr:cNvPr>
        <xdr:cNvSpPr txBox="1">
          <a:spLocks/>
        </xdr:cNvSpPr>
      </xdr:nvSpPr>
      <xdr:spPr>
        <a:xfrm>
          <a:off x="4257675" y="1685925"/>
          <a:ext cx="41910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R</a:t>
          </a:r>
          <a:r>
            <a:rPr lang="es-AR" sz="900" b="0" i="0">
              <a:latin typeface="Cambria Math"/>
            </a:rPr>
            <a:t>𝑒𝑝𝑎𝑟𝑎𝑐𝑖𝑜𝑛𝑒𝑠 𝑦 𝑟𝑒𝑝𝑢𝑒𝑠𝑡𝑜𝑠</a:t>
          </a:r>
          <a:r>
            <a:rPr lang="es-AR" sz="900" i="0">
              <a:latin typeface="Cambria Math"/>
            </a:rPr>
            <a:t>=𝐴𝑚𝑜𝑟𝑡𝑖</a:t>
          </a:r>
          <a:r>
            <a:rPr lang="es-AR" sz="900" b="0" i="0">
              <a:latin typeface="Cambria Math"/>
            </a:rPr>
            <a:t>𝑧𝑎𝑐𝑖ó𝑛 ×</a:t>
          </a:r>
          <a:r>
            <a:rPr lang="es-AR" sz="900" b="0" i="0">
              <a:latin typeface="Cambria Math"/>
              <a:ea typeface="Cambria Math"/>
            </a:rPr>
            <a:t>𝑅𝑒𝑝𝑎𝑟𝑎𝑐𝑖𝑜𝑛𝑒𝑠 𝑦 𝑅𝑒𝑝𝑢𝑒𝑠𝑡𝑜𝑠</a:t>
          </a:r>
          <a:endParaRPr lang="es-AR" sz="900"/>
        </a:p>
      </xdr:txBody>
    </xdr:sp>
    <xdr:clientData/>
  </xdr:oneCellAnchor>
  <xdr:oneCellAnchor>
    <xdr:from>
      <xdr:col>5</xdr:col>
      <xdr:colOff>685799</xdr:colOff>
      <xdr:row>14</xdr:row>
      <xdr:rowOff>152400</xdr:rowOff>
    </xdr:from>
    <xdr:ext cx="3981451" cy="352425"/>
    <xdr:sp macro="" textlink="">
      <xdr:nvSpPr>
        <xdr:cNvPr id="5" name="4 CuadroTexto">
          <a:extLst>
            <a:ext uri="{FF2B5EF4-FFF2-40B4-BE49-F238E27FC236}">
              <a16:creationId xmlns="" xmlns:a16="http://schemas.microsoft.com/office/drawing/2014/main" id="{674CBE73-ABC6-4B3B-B646-7B5ED2A4FC52}"/>
            </a:ext>
          </a:extLst>
        </xdr:cNvPr>
        <xdr:cNvSpPr txBox="1">
          <a:spLocks/>
        </xdr:cNvSpPr>
      </xdr:nvSpPr>
      <xdr:spPr>
        <a:xfrm>
          <a:off x="4267199" y="2819400"/>
          <a:ext cx="3981451"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𝑆𝑒𝑔𝑢𝑟𝑜 𝑃𝑎𝑡𝑒𝑛𝑡𝑒𝑠 𝐼𝑚𝑝𝑢𝑒𝑠𝑡𝑜𝑠</a:t>
          </a:r>
          <a:r>
            <a:rPr lang="es-AR" sz="900" i="0">
              <a:latin typeface="Cambria Math"/>
            </a:rPr>
            <a:t>=(</a:t>
          </a:r>
          <a:r>
            <a:rPr lang="es-AR" sz="900" b="0" i="0">
              <a:latin typeface="Cambria Math"/>
            </a:rPr>
            <a:t>𝑉𝑎𝑙𝑜𝑟 𝑑𝑒𝑙 𝑒𝑞𝑢𝑖𝑝𝑜 ×𝑆𝑒𝑔𝑢𝑟𝑜 𝑃𝑎𝑡𝑒𝑛𝑡𝑒 𝐼𝑚𝑝𝑢𝑒𝑠𝑡𝑜)/(</a:t>
          </a:r>
          <a:r>
            <a:rPr lang="es-AR" sz="900" b="0" i="0">
              <a:latin typeface="Cambria Math"/>
              <a:ea typeface="Cambria Math"/>
            </a:rPr>
            <a:t>2.000 ℎ𝑠⁄𝑎ñ𝑜)</a:t>
          </a:r>
          <a:endParaRPr lang="es-AR" sz="900"/>
        </a:p>
      </xdr:txBody>
    </xdr:sp>
    <xdr:clientData/>
  </xdr:oneCellAnchor>
  <xdr:oneCellAnchor>
    <xdr:from>
      <xdr:col>6</xdr:col>
      <xdr:colOff>0</xdr:colOff>
      <xdr:row>12</xdr:row>
      <xdr:rowOff>0</xdr:rowOff>
    </xdr:from>
    <xdr:ext cx="4991100" cy="352425"/>
    <xdr:sp macro="" textlink="">
      <xdr:nvSpPr>
        <xdr:cNvPr id="6" name="5 CuadroTexto">
          <a:extLst>
            <a:ext uri="{FF2B5EF4-FFF2-40B4-BE49-F238E27FC236}">
              <a16:creationId xmlns="" xmlns:a16="http://schemas.microsoft.com/office/drawing/2014/main" id="{C92000C9-9E76-4EC9-A2FB-723A729D4ECA}"/>
            </a:ext>
          </a:extLst>
        </xdr:cNvPr>
        <xdr:cNvSpPr txBox="1">
          <a:spLocks/>
        </xdr:cNvSpPr>
      </xdr:nvSpPr>
      <xdr:spPr>
        <a:xfrm>
          <a:off x="4295775" y="2286000"/>
          <a:ext cx="49911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𝐿𝑎𝑣𝑎𝑑𝑜 𝑑𝑒 𝑙𝑎 𝑈𝑛𝑖𝑑𝑎𝑑</a:t>
          </a:r>
          <a:r>
            <a:rPr lang="es-AR" sz="900" i="0">
              <a:latin typeface="Cambria Math"/>
            </a:rPr>
            <a:t>=(</a:t>
          </a:r>
          <a:r>
            <a:rPr lang="es-AR" sz="900" b="0" i="0">
              <a:latin typeface="Cambria Math"/>
            </a:rPr>
            <a:t>𝑇𝑖𝑒𝑚𝑝 𝐿𝑎𝑣×𝐶𝑜𝑠𝑡𝑜 𝐿𝑎𝑣 𝑝𝑜𝑟 ℎ𝑜𝑟𝑎𝑠</a:t>
          </a:r>
          <a:r>
            <a:rPr lang="es-AR" sz="900" b="0" i="0">
              <a:latin typeface="Cambria Math"/>
              <a:ea typeface="Cambria Math"/>
            </a:rPr>
            <a:t>×𝐶𝑎𝑛𝑡𝑖𝑑𝑎𝑑 𝑙𝑎𝑣 𝑎𝑙 𝑚𝑒𝑠×12 𝑚𝑒𝑠𝑒𝑠)/(2.000 ℎ𝑠⁄𝑎ñ𝑜)</a:t>
          </a:r>
          <a:endParaRPr lang="es-AR" sz="900"/>
        </a:p>
      </xdr:txBody>
    </xdr:sp>
    <xdr:clientData/>
  </xdr:oneCellAnchor>
  <xdr:oneCellAnchor>
    <xdr:from>
      <xdr:col>6</xdr:col>
      <xdr:colOff>9525</xdr:colOff>
      <xdr:row>17</xdr:row>
      <xdr:rowOff>171450</xdr:rowOff>
    </xdr:from>
    <xdr:ext cx="4991100" cy="352425"/>
    <xdr:sp macro="" textlink="">
      <xdr:nvSpPr>
        <xdr:cNvPr id="7" name="6 CuadroTexto">
          <a:extLst>
            <a:ext uri="{FF2B5EF4-FFF2-40B4-BE49-F238E27FC236}">
              <a16:creationId xmlns="" xmlns:a16="http://schemas.microsoft.com/office/drawing/2014/main" id="{D8F72870-22DE-41EE-84E5-ECCD6C05B343}"/>
            </a:ext>
          </a:extLst>
        </xdr:cNvPr>
        <xdr:cNvSpPr txBox="1">
          <a:spLocks/>
        </xdr:cNvSpPr>
      </xdr:nvSpPr>
      <xdr:spPr>
        <a:xfrm>
          <a:off x="4305300" y="3409950"/>
          <a:ext cx="49911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𝐶á𝑚𝑎𝑟𝑎𝑠 𝑦 𝐶𝑢𝑏𝑖𝑒𝑟𝑡𝑎𝑠</a:t>
          </a:r>
          <a:r>
            <a:rPr lang="es-AR" sz="900" i="0">
              <a:latin typeface="Cambria Math"/>
            </a:rPr>
            <a:t>=(</a:t>
          </a:r>
          <a:r>
            <a:rPr lang="es-AR" sz="900" b="0" i="0">
              <a:latin typeface="Cambria Math"/>
            </a:rPr>
            <a:t>𝐶𝑎𝑛𝑡𝑖𝑑𝑎𝑑 𝑐á𝑚𝑎𝑟𝑎 𝑦 𝑐𝑢𝑏𝑖𝑒𝑟𝑡𝑎𝑠×𝑉𝑎𝑙𝑜𝑟 𝑐á𝑚𝑎𝑟𝑎 𝑦 𝑐𝑢𝑏𝑖𝑒𝑟𝑡𝑎𝑠)/(</a:t>
          </a:r>
          <a:r>
            <a:rPr lang="es-AR" sz="900" b="0" i="0">
              <a:latin typeface="Cambria Math"/>
              <a:ea typeface="Cambria Math"/>
            </a:rPr>
            <a:t>𝑉𝑖𝑑𝑎 ú𝑡𝑖𝑙 𝑐á𝑚𝑎𝑟𝑎𝑠 𝑦 𝑐𝑢𝑏𝑖𝑒𝑟𝑡𝑎𝑠)</a:t>
          </a:r>
          <a:endParaRPr lang="es-AR" sz="900"/>
        </a:p>
      </xdr:txBody>
    </xdr:sp>
    <xdr:clientData/>
  </xdr:oneCellAnchor>
  <xdr:oneCellAnchor>
    <xdr:from>
      <xdr:col>6</xdr:col>
      <xdr:colOff>0</xdr:colOff>
      <xdr:row>21</xdr:row>
      <xdr:rowOff>9525</xdr:rowOff>
    </xdr:from>
    <xdr:ext cx="4343400" cy="288000"/>
    <xdr:sp macro="" textlink="">
      <xdr:nvSpPr>
        <xdr:cNvPr id="8" name="7 CuadroTexto">
          <a:extLst>
            <a:ext uri="{FF2B5EF4-FFF2-40B4-BE49-F238E27FC236}">
              <a16:creationId xmlns="" xmlns:a16="http://schemas.microsoft.com/office/drawing/2014/main" id="{30EE0C3D-26DC-4CF3-850A-5AD18FC427FA}"/>
            </a:ext>
          </a:extLst>
        </xdr:cNvPr>
        <xdr:cNvSpPr txBox="1">
          <a:spLocks/>
        </xdr:cNvSpPr>
      </xdr:nvSpPr>
      <xdr:spPr>
        <a:xfrm>
          <a:off x="4295775" y="4010025"/>
          <a:ext cx="43434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𝐶</a:t>
          </a:r>
          <a:r>
            <a:rPr lang="es-AR" sz="900" b="0" i="0">
              <a:latin typeface="Cambria Math"/>
            </a:rPr>
            <a:t>𝑜𝑚𝑏𝑢𝑠𝑡𝑖𝑏𝑙𝑒 𝑦 𝑙𝑢𝑏𝑟𝑖𝑐𝑎𝑛𝑡𝑒𝑠</a:t>
          </a:r>
          <a:r>
            <a:rPr lang="es-AR" sz="900" i="0">
              <a:latin typeface="Cambria Math"/>
            </a:rPr>
            <a:t>=𝐶𝑜𝑛𝑠𝑢𝑚</a:t>
          </a:r>
          <a:r>
            <a:rPr lang="es-AR" sz="900" b="0" i="0">
              <a:latin typeface="Cambria Math"/>
            </a:rPr>
            <a:t>𝑜 𝑑𝑒 𝑔𝑎𝑠𝑜𝑖𝑙</a:t>
          </a:r>
          <a:r>
            <a:rPr lang="es-AR" sz="900" b="0" i="0">
              <a:latin typeface="Cambria Math"/>
              <a:ea typeface="Cambria Math"/>
            </a:rPr>
            <a:t>×𝐶𝑜𝑠𝑡𝑜 𝑔𝑎𝑠𝑜𝑖𝑙×(1+𝐿𝑢𝑏𝑟𝑖𝑐𝑎𝑛𝑡𝑒𝑠)</a:t>
          </a:r>
          <a:endParaRPr lang="es-AR" sz="900"/>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arcos\c\Mis%20documentos\Nueva%20carpeta\DOCUMENTO%20DE%20EXCEL\PROMEBA-V-DOLORES\ANEXOS%20OFERTA%20ECON&#211;MICA%20-11-13-16%20Y%2017-prueba.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TRABAJO"/>
      <sheetName val="CUADROS"/>
      <sheetName val="CURVA"/>
      <sheetName val="PLANILLA COSTOS"/>
      <sheetName val="ANALISIS DE PRECIOS"/>
    </sheetNames>
    <sheetDataSet>
      <sheetData sheetId="0"/>
      <sheetData sheetId="1"/>
      <sheetData sheetId="2"/>
      <sheetData sheetId="3"/>
      <sheetData sheetId="4"/>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3.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4.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5.x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vmlDrawing" Target="../drawings/vmlDrawing1.v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2.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dimension ref="A1:G25"/>
  <sheetViews>
    <sheetView topLeftCell="A7" workbookViewId="0">
      <selection activeCell="A7" sqref="A7:XFD7"/>
    </sheetView>
  </sheetViews>
  <sheetFormatPr baseColWidth="10" defaultColWidth="11.42578125" defaultRowHeight="12.75" x14ac:dyDescent="0.2"/>
  <cols>
    <col min="1" max="1" width="148.5703125" style="190" customWidth="1"/>
    <col min="2" max="16384" width="11.42578125" style="190"/>
  </cols>
  <sheetData>
    <row r="1" spans="1:7" ht="30" customHeight="1" x14ac:dyDescent="0.2">
      <c r="A1" s="189" t="s">
        <v>959</v>
      </c>
    </row>
    <row r="2" spans="1:7" ht="30" customHeight="1" x14ac:dyDescent="0.2">
      <c r="A2" s="189" t="s">
        <v>982</v>
      </c>
    </row>
    <row r="3" spans="1:7" ht="165" x14ac:dyDescent="0.2">
      <c r="A3" s="191" t="s">
        <v>987</v>
      </c>
    </row>
    <row r="4" spans="1:7" ht="30" customHeight="1" x14ac:dyDescent="0.2">
      <c r="A4" s="189" t="s">
        <v>960</v>
      </c>
    </row>
    <row r="5" spans="1:7" ht="150" x14ac:dyDescent="0.2">
      <c r="A5" s="219" t="s">
        <v>983</v>
      </c>
    </row>
    <row r="6" spans="1:7" ht="255.75" x14ac:dyDescent="0.2">
      <c r="A6" s="219" t="s">
        <v>985</v>
      </c>
      <c r="B6" s="192"/>
      <c r="C6" s="192"/>
      <c r="D6" s="192"/>
      <c r="E6" s="192"/>
      <c r="F6" s="192"/>
      <c r="G6" s="192"/>
    </row>
    <row r="7" spans="1:7" ht="15" x14ac:dyDescent="0.2">
      <c r="A7" s="191" t="s">
        <v>984</v>
      </c>
      <c r="B7" s="192"/>
      <c r="C7" s="192"/>
      <c r="D7" s="192"/>
      <c r="E7" s="192"/>
      <c r="F7" s="192"/>
      <c r="G7" s="192"/>
    </row>
    <row r="8" spans="1:7" ht="45" customHeight="1" x14ac:dyDescent="0.2">
      <c r="A8" s="191" t="s">
        <v>986</v>
      </c>
      <c r="B8" s="192"/>
      <c r="C8" s="192"/>
      <c r="D8" s="192"/>
      <c r="E8" s="192"/>
      <c r="F8" s="192"/>
      <c r="G8" s="192"/>
    </row>
    <row r="9" spans="1:7" ht="30" x14ac:dyDescent="0.2">
      <c r="A9" s="191" t="s">
        <v>991</v>
      </c>
      <c r="B9" s="192" t="s">
        <v>3</v>
      </c>
      <c r="C9" s="192"/>
      <c r="D9" s="192"/>
      <c r="E9" s="192"/>
      <c r="F9" s="192"/>
      <c r="G9" s="192"/>
    </row>
    <row r="10" spans="1:7" ht="30" customHeight="1" x14ac:dyDescent="0.2">
      <c r="A10" s="189" t="s">
        <v>961</v>
      </c>
    </row>
    <row r="11" spans="1:7" ht="45" customHeight="1" x14ac:dyDescent="0.2">
      <c r="A11" s="191" t="s">
        <v>988</v>
      </c>
      <c r="B11" s="192"/>
      <c r="C11" s="192"/>
      <c r="D11" s="192"/>
      <c r="E11" s="192"/>
      <c r="F11" s="192"/>
      <c r="G11" s="192"/>
    </row>
    <row r="12" spans="1:7" ht="45" customHeight="1" x14ac:dyDescent="0.2">
      <c r="A12" s="191" t="s">
        <v>992</v>
      </c>
      <c r="B12" s="192"/>
      <c r="C12" s="192"/>
      <c r="D12" s="192"/>
      <c r="E12" s="192"/>
      <c r="F12" s="192"/>
      <c r="G12" s="192"/>
    </row>
    <row r="13" spans="1:7" ht="30" x14ac:dyDescent="0.2">
      <c r="A13" s="191" t="s">
        <v>989</v>
      </c>
      <c r="B13" s="192"/>
      <c r="C13" s="192"/>
      <c r="D13" s="192"/>
      <c r="E13" s="192"/>
      <c r="F13" s="192"/>
      <c r="G13" s="192"/>
    </row>
    <row r="14" spans="1:7" ht="15" x14ac:dyDescent="0.2">
      <c r="A14" s="191"/>
      <c r="B14" s="192"/>
      <c r="C14" s="192"/>
      <c r="D14" s="192"/>
      <c r="E14" s="192"/>
      <c r="F14" s="192"/>
      <c r="G14" s="192"/>
    </row>
    <row r="15" spans="1:7" ht="30" customHeight="1" x14ac:dyDescent="0.2">
      <c r="A15" s="189" t="s">
        <v>962</v>
      </c>
    </row>
    <row r="16" spans="1:7" ht="45" x14ac:dyDescent="0.2">
      <c r="A16" s="191" t="s">
        <v>990</v>
      </c>
      <c r="B16" s="192"/>
      <c r="C16" s="192"/>
      <c r="D16" s="192"/>
      <c r="E16" s="192"/>
      <c r="F16" s="192"/>
      <c r="G16" s="192"/>
    </row>
    <row r="17" spans="1:7" ht="15" x14ac:dyDescent="0.2">
      <c r="A17" s="191" t="s">
        <v>993</v>
      </c>
      <c r="B17" s="192"/>
      <c r="C17" s="192"/>
      <c r="D17" s="192"/>
      <c r="E17" s="192"/>
      <c r="F17" s="192"/>
      <c r="G17" s="192"/>
    </row>
    <row r="18" spans="1:7" ht="30" customHeight="1" x14ac:dyDescent="0.2">
      <c r="A18" s="189" t="s">
        <v>965</v>
      </c>
    </row>
    <row r="19" spans="1:7" ht="45" x14ac:dyDescent="0.2">
      <c r="A19" s="191" t="s">
        <v>994</v>
      </c>
      <c r="B19" s="192"/>
      <c r="C19" s="192"/>
      <c r="D19" s="192"/>
      <c r="E19" s="192"/>
      <c r="F19" s="192"/>
      <c r="G19" s="192"/>
    </row>
    <row r="21" spans="1:7" ht="30" customHeight="1" x14ac:dyDescent="0.2">
      <c r="A21" s="189" t="s">
        <v>995</v>
      </c>
    </row>
    <row r="22" spans="1:7" ht="45" x14ac:dyDescent="0.2">
      <c r="A22" s="191" t="s">
        <v>996</v>
      </c>
    </row>
    <row r="23" spans="1:7" ht="15" x14ac:dyDescent="0.2">
      <c r="A23" s="191"/>
    </row>
    <row r="24" spans="1:7" ht="30" x14ac:dyDescent="0.2">
      <c r="A24" s="191" t="s">
        <v>999</v>
      </c>
    </row>
    <row r="25" spans="1:7" ht="15" x14ac:dyDescent="0.2">
      <c r="A25" s="191"/>
    </row>
  </sheetData>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dimension ref="A1:F78"/>
  <sheetViews>
    <sheetView showZeros="0" topLeftCell="A5" workbookViewId="0">
      <selection activeCell="A30" sqref="A30:B30"/>
    </sheetView>
  </sheetViews>
  <sheetFormatPr baseColWidth="10" defaultColWidth="11.42578125" defaultRowHeight="20.100000000000001" customHeight="1" x14ac:dyDescent="0.2"/>
  <cols>
    <col min="1" max="1" width="35.5703125" style="2" bestFit="1" customWidth="1"/>
    <col min="2" max="2" width="55.7109375" style="2" customWidth="1"/>
    <col min="3" max="3" width="20.7109375" style="2" customWidth="1"/>
    <col min="4" max="5" width="15.7109375" style="2" customWidth="1"/>
    <col min="6" max="16384" width="11.42578125" style="2"/>
  </cols>
  <sheetData>
    <row r="1" spans="1:6" s="5" customFormat="1" ht="20.100000000000001" customHeight="1" x14ac:dyDescent="0.2">
      <c r="A1" s="3" t="s">
        <v>8</v>
      </c>
      <c r="B1" s="3" t="str">
        <f>Comitente</f>
        <v>DIRECCIÓN PROVINCIAL DE VIALIDAD</v>
      </c>
      <c r="E1" s="4"/>
    </row>
    <row r="2" spans="1:6" s="6" customFormat="1" ht="20.100000000000001" customHeight="1" x14ac:dyDescent="0.2">
      <c r="A2" s="13" t="s">
        <v>9</v>
      </c>
      <c r="B2" s="13" t="str">
        <f>Obra</f>
        <v>PAVIMENTACION RUTAS VARIAS</v>
      </c>
    </row>
    <row r="3" spans="1:6" s="6" customFormat="1" ht="20.100000000000001" customHeight="1" x14ac:dyDescent="0.2">
      <c r="A3" s="13" t="s">
        <v>15</v>
      </c>
      <c r="B3" s="13" t="str">
        <f>Ubicación</f>
        <v>POCITO</v>
      </c>
    </row>
    <row r="4" spans="1:6" s="6" customFormat="1" ht="20.100000000000001" customHeight="1" x14ac:dyDescent="0.2">
      <c r="A4" s="13" t="s">
        <v>14</v>
      </c>
      <c r="B4" s="14" t="str">
        <f>Licitación_N°</f>
        <v>26/18</v>
      </c>
    </row>
    <row r="5" spans="1:6" s="6" customFormat="1" ht="20.100000000000001" customHeight="1" x14ac:dyDescent="0.2">
      <c r="A5" s="13" t="s">
        <v>10</v>
      </c>
      <c r="B5" s="13">
        <f>Contratista</f>
        <v>0</v>
      </c>
    </row>
    <row r="6" spans="1:6" s="5" customFormat="1" ht="20.100000000000001" customHeight="1" x14ac:dyDescent="0.2">
      <c r="A6" s="3"/>
      <c r="B6" s="3"/>
      <c r="C6" s="3"/>
      <c r="D6" s="3"/>
      <c r="E6" s="3"/>
      <c r="F6" s="3"/>
    </row>
    <row r="7" spans="1:6" ht="20.100000000000001" customHeight="1" x14ac:dyDescent="0.2">
      <c r="A7" s="752" t="s">
        <v>36</v>
      </c>
      <c r="B7" s="753"/>
      <c r="C7" s="753"/>
      <c r="D7" s="753"/>
      <c r="E7" s="754"/>
    </row>
    <row r="8" spans="1:6" ht="20.100000000000001" customHeight="1" x14ac:dyDescent="0.2">
      <c r="A8" s="755" t="s">
        <v>717</v>
      </c>
      <c r="B8" s="756"/>
      <c r="C8" s="757"/>
      <c r="D8" s="757"/>
      <c r="E8" s="758"/>
    </row>
    <row r="10" spans="1:6" ht="20.100000000000001" customHeight="1" x14ac:dyDescent="0.2">
      <c r="A10" s="761"/>
      <c r="B10" s="762"/>
      <c r="C10" s="114" t="s">
        <v>40</v>
      </c>
      <c r="D10" s="115" t="s">
        <v>37</v>
      </c>
      <c r="E10" s="115" t="s">
        <v>38</v>
      </c>
    </row>
    <row r="11" spans="1:6" ht="20.100000000000001" customHeight="1" x14ac:dyDescent="0.2">
      <c r="A11" s="759" t="s">
        <v>958</v>
      </c>
      <c r="B11" s="760"/>
      <c r="C11" s="137">
        <f>ROUND(SUBTOTAL(9,C12:C34),2)</f>
        <v>0</v>
      </c>
      <c r="D11" s="16">
        <f>SUBTOTAL(9,D12:D34)</f>
        <v>0</v>
      </c>
      <c r="E11" s="12"/>
    </row>
    <row r="12" spans="1:6" ht="20.100000000000001" customHeight="1" x14ac:dyDescent="0.2">
      <c r="A12" s="201"/>
      <c r="B12" s="202"/>
      <c r="C12" s="203"/>
      <c r="D12" s="15">
        <f t="shared" ref="D12:D34" si="0">IFERROR(C12/GG_Obra,0)</f>
        <v>0</v>
      </c>
      <c r="E12" s="15">
        <f t="shared" ref="E12:E34" si="1">IFERROR(C12/GG_Pesos,0)</f>
        <v>0</v>
      </c>
    </row>
    <row r="13" spans="1:6" ht="20.100000000000001" customHeight="1" x14ac:dyDescent="0.2">
      <c r="A13" s="201"/>
      <c r="B13" s="202"/>
      <c r="C13" s="203"/>
      <c r="D13" s="15">
        <f t="shared" si="0"/>
        <v>0</v>
      </c>
      <c r="E13" s="15">
        <f t="shared" si="1"/>
        <v>0</v>
      </c>
    </row>
    <row r="14" spans="1:6" ht="20.100000000000001" customHeight="1" x14ac:dyDescent="0.2">
      <c r="A14" s="201"/>
      <c r="B14" s="202"/>
      <c r="C14" s="203"/>
      <c r="D14" s="15">
        <f t="shared" si="0"/>
        <v>0</v>
      </c>
      <c r="E14" s="15">
        <f t="shared" si="1"/>
        <v>0</v>
      </c>
    </row>
    <row r="15" spans="1:6" ht="20.100000000000001" customHeight="1" x14ac:dyDescent="0.2">
      <c r="A15" s="201"/>
      <c r="B15" s="202"/>
      <c r="C15" s="203"/>
      <c r="D15" s="15">
        <f t="shared" si="0"/>
        <v>0</v>
      </c>
      <c r="E15" s="15">
        <f t="shared" si="1"/>
        <v>0</v>
      </c>
    </row>
    <row r="16" spans="1:6" ht="20.100000000000001" customHeight="1" x14ac:dyDescent="0.2">
      <c r="A16" s="201"/>
      <c r="B16" s="202"/>
      <c r="C16" s="203"/>
      <c r="D16" s="15">
        <f t="shared" si="0"/>
        <v>0</v>
      </c>
      <c r="E16" s="15">
        <f t="shared" si="1"/>
        <v>0</v>
      </c>
    </row>
    <row r="17" spans="1:5" ht="20.100000000000001" customHeight="1" x14ac:dyDescent="0.2">
      <c r="A17" s="761"/>
      <c r="B17" s="762"/>
      <c r="C17" s="138"/>
      <c r="D17" s="15">
        <f t="shared" si="0"/>
        <v>0</v>
      </c>
      <c r="E17" s="15">
        <f t="shared" si="1"/>
        <v>0</v>
      </c>
    </row>
    <row r="18" spans="1:5" ht="20.100000000000001" customHeight="1" x14ac:dyDescent="0.2">
      <c r="A18" s="761"/>
      <c r="B18" s="762"/>
      <c r="C18" s="138"/>
      <c r="D18" s="15">
        <f t="shared" si="0"/>
        <v>0</v>
      </c>
      <c r="E18" s="15">
        <f t="shared" si="1"/>
        <v>0</v>
      </c>
    </row>
    <row r="19" spans="1:5" ht="20.100000000000001" customHeight="1" x14ac:dyDescent="0.2">
      <c r="A19" s="761"/>
      <c r="B19" s="762"/>
      <c r="C19" s="138"/>
      <c r="D19" s="15">
        <f t="shared" si="0"/>
        <v>0</v>
      </c>
      <c r="E19" s="15">
        <f t="shared" si="1"/>
        <v>0</v>
      </c>
    </row>
    <row r="20" spans="1:5" ht="20.100000000000001" customHeight="1" x14ac:dyDescent="0.2">
      <c r="A20" s="761"/>
      <c r="B20" s="762"/>
      <c r="C20" s="138"/>
      <c r="D20" s="15">
        <f t="shared" si="0"/>
        <v>0</v>
      </c>
      <c r="E20" s="15">
        <f t="shared" si="1"/>
        <v>0</v>
      </c>
    </row>
    <row r="21" spans="1:5" ht="20.100000000000001" customHeight="1" x14ac:dyDescent="0.2">
      <c r="A21" s="761"/>
      <c r="B21" s="762"/>
      <c r="C21" s="138"/>
      <c r="D21" s="15">
        <f t="shared" si="0"/>
        <v>0</v>
      </c>
      <c r="E21" s="15">
        <f t="shared" si="1"/>
        <v>0</v>
      </c>
    </row>
    <row r="22" spans="1:5" ht="20.100000000000001" customHeight="1" x14ac:dyDescent="0.2">
      <c r="A22" s="761"/>
      <c r="B22" s="762"/>
      <c r="C22" s="138"/>
      <c r="D22" s="15">
        <f t="shared" si="0"/>
        <v>0</v>
      </c>
      <c r="E22" s="15">
        <f t="shared" si="1"/>
        <v>0</v>
      </c>
    </row>
    <row r="23" spans="1:5" ht="20.100000000000001" customHeight="1" x14ac:dyDescent="0.2">
      <c r="A23" s="761"/>
      <c r="B23" s="762"/>
      <c r="C23" s="138"/>
      <c r="D23" s="15">
        <f t="shared" si="0"/>
        <v>0</v>
      </c>
      <c r="E23" s="15">
        <f t="shared" si="1"/>
        <v>0</v>
      </c>
    </row>
    <row r="24" spans="1:5" ht="20.100000000000001" customHeight="1" x14ac:dyDescent="0.2">
      <c r="A24" s="761"/>
      <c r="B24" s="762"/>
      <c r="C24" s="138"/>
      <c r="D24" s="15">
        <f t="shared" si="0"/>
        <v>0</v>
      </c>
      <c r="E24" s="15">
        <f t="shared" si="1"/>
        <v>0</v>
      </c>
    </row>
    <row r="25" spans="1:5" ht="20.100000000000001" customHeight="1" x14ac:dyDescent="0.2">
      <c r="A25" s="761"/>
      <c r="B25" s="762"/>
      <c r="C25" s="138"/>
      <c r="D25" s="15">
        <f t="shared" ref="D25:D28" si="2">IFERROR(C25/GG_Obra,0)</f>
        <v>0</v>
      </c>
      <c r="E25" s="15">
        <f t="shared" ref="E25:E28" si="3">IFERROR(C25/GG_Pesos,0)</f>
        <v>0</v>
      </c>
    </row>
    <row r="26" spans="1:5" ht="20.100000000000001" customHeight="1" x14ac:dyDescent="0.2">
      <c r="A26" s="761"/>
      <c r="B26" s="762"/>
      <c r="C26" s="138"/>
      <c r="D26" s="15">
        <f t="shared" si="2"/>
        <v>0</v>
      </c>
      <c r="E26" s="15">
        <f t="shared" si="3"/>
        <v>0</v>
      </c>
    </row>
    <row r="27" spans="1:5" ht="20.100000000000001" customHeight="1" x14ac:dyDescent="0.2">
      <c r="A27" s="761"/>
      <c r="B27" s="762"/>
      <c r="C27" s="138"/>
      <c r="D27" s="15">
        <f t="shared" si="2"/>
        <v>0</v>
      </c>
      <c r="E27" s="15">
        <f t="shared" si="3"/>
        <v>0</v>
      </c>
    </row>
    <row r="28" spans="1:5" ht="20.100000000000001" customHeight="1" x14ac:dyDescent="0.2">
      <c r="A28" s="761"/>
      <c r="B28" s="762"/>
      <c r="C28" s="138"/>
      <c r="D28" s="15">
        <f t="shared" si="2"/>
        <v>0</v>
      </c>
      <c r="E28" s="15">
        <f t="shared" si="3"/>
        <v>0</v>
      </c>
    </row>
    <row r="29" spans="1:5" ht="20.100000000000001" customHeight="1" x14ac:dyDescent="0.2">
      <c r="A29" s="761"/>
      <c r="B29" s="762"/>
      <c r="C29" s="138"/>
      <c r="D29" s="15">
        <f t="shared" si="0"/>
        <v>0</v>
      </c>
      <c r="E29" s="15">
        <f t="shared" si="1"/>
        <v>0</v>
      </c>
    </row>
    <row r="30" spans="1:5" ht="20.100000000000001" customHeight="1" x14ac:dyDescent="0.2">
      <c r="A30" s="761"/>
      <c r="B30" s="762"/>
      <c r="C30" s="138"/>
      <c r="D30" s="15">
        <f t="shared" si="0"/>
        <v>0</v>
      </c>
      <c r="E30" s="15">
        <f t="shared" si="1"/>
        <v>0</v>
      </c>
    </row>
    <row r="31" spans="1:5" ht="20.100000000000001" customHeight="1" x14ac:dyDescent="0.2">
      <c r="A31" s="761"/>
      <c r="B31" s="762"/>
      <c r="C31" s="138"/>
      <c r="D31" s="15">
        <f t="shared" si="0"/>
        <v>0</v>
      </c>
      <c r="E31" s="15">
        <f t="shared" si="1"/>
        <v>0</v>
      </c>
    </row>
    <row r="32" spans="1:5" ht="20.100000000000001" customHeight="1" x14ac:dyDescent="0.2">
      <c r="A32" s="761"/>
      <c r="B32" s="762"/>
      <c r="C32" s="138"/>
      <c r="D32" s="15">
        <f t="shared" si="0"/>
        <v>0</v>
      </c>
      <c r="E32" s="15">
        <f t="shared" si="1"/>
        <v>0</v>
      </c>
    </row>
    <row r="33" spans="1:5" ht="20.100000000000001" customHeight="1" x14ac:dyDescent="0.2">
      <c r="A33" s="761"/>
      <c r="B33" s="762"/>
      <c r="C33" s="138"/>
      <c r="D33" s="15">
        <f t="shared" si="0"/>
        <v>0</v>
      </c>
      <c r="E33" s="15">
        <f t="shared" si="1"/>
        <v>0</v>
      </c>
    </row>
    <row r="34" spans="1:5" ht="20.100000000000001" customHeight="1" x14ac:dyDescent="0.2">
      <c r="A34" s="761"/>
      <c r="B34" s="762"/>
      <c r="C34" s="138"/>
      <c r="D34" s="15">
        <f t="shared" si="0"/>
        <v>0</v>
      </c>
      <c r="E34" s="15">
        <f t="shared" si="1"/>
        <v>0</v>
      </c>
    </row>
    <row r="35" spans="1:5" ht="20.100000000000001" customHeight="1" x14ac:dyDescent="0.2">
      <c r="A35" s="116"/>
      <c r="B35" s="5"/>
      <c r="C35" s="5"/>
      <c r="D35" s="5"/>
      <c r="E35" s="117"/>
    </row>
    <row r="36" spans="1:5" ht="20.100000000000001" customHeight="1" x14ac:dyDescent="0.2">
      <c r="A36" s="759" t="s">
        <v>39</v>
      </c>
      <c r="B36" s="760"/>
      <c r="C36" s="137">
        <f>ROUND(SUBTOTAL(9,C37:C73),2)</f>
        <v>0</v>
      </c>
      <c r="D36" s="111">
        <f>SUBTOTAL(9,D37:D80)</f>
        <v>0</v>
      </c>
      <c r="E36" s="117"/>
    </row>
    <row r="37" spans="1:5" ht="20.100000000000001" customHeight="1" x14ac:dyDescent="0.2">
      <c r="A37" s="197"/>
      <c r="B37" s="198"/>
      <c r="C37" s="199"/>
      <c r="D37" s="15">
        <f t="shared" ref="D37:D73" si="4">IFERROR(C37/GG_Empresa,0)</f>
        <v>0</v>
      </c>
      <c r="E37" s="15">
        <f t="shared" ref="E37:E73" si="5">IFERROR(C37/GG_Pesos,0)</f>
        <v>0</v>
      </c>
    </row>
    <row r="38" spans="1:5" ht="20.100000000000001" customHeight="1" x14ac:dyDescent="0.2">
      <c r="A38" s="197"/>
      <c r="B38" s="198"/>
      <c r="C38" s="199"/>
      <c r="D38" s="15">
        <f t="shared" si="4"/>
        <v>0</v>
      </c>
      <c r="E38" s="15">
        <f t="shared" si="5"/>
        <v>0</v>
      </c>
    </row>
    <row r="39" spans="1:5" ht="20.100000000000001" customHeight="1" x14ac:dyDescent="0.2">
      <c r="A39" s="197"/>
      <c r="B39" s="198"/>
      <c r="C39" s="199"/>
      <c r="D39" s="15">
        <f t="shared" si="4"/>
        <v>0</v>
      </c>
      <c r="E39" s="15">
        <f t="shared" si="5"/>
        <v>0</v>
      </c>
    </row>
    <row r="40" spans="1:5" ht="20.100000000000001" customHeight="1" x14ac:dyDescent="0.2">
      <c r="A40" s="197"/>
      <c r="B40" s="198"/>
      <c r="C40" s="199"/>
      <c r="D40" s="15">
        <f t="shared" si="4"/>
        <v>0</v>
      </c>
      <c r="E40" s="15">
        <f t="shared" si="5"/>
        <v>0</v>
      </c>
    </row>
    <row r="41" spans="1:5" ht="20.100000000000001" customHeight="1" x14ac:dyDescent="0.2">
      <c r="A41" s="197"/>
      <c r="B41" s="198"/>
      <c r="C41" s="199"/>
      <c r="D41" s="15">
        <f t="shared" ref="D41:D60" si="6">IFERROR(C41/GG_Empresa,0)</f>
        <v>0</v>
      </c>
      <c r="E41" s="15">
        <f t="shared" ref="E41:E60" si="7">IFERROR(C41/GG_Pesos,0)</f>
        <v>0</v>
      </c>
    </row>
    <row r="42" spans="1:5" ht="20.100000000000001" customHeight="1" x14ac:dyDescent="0.2">
      <c r="A42" s="197"/>
      <c r="B42" s="198"/>
      <c r="C42" s="199"/>
      <c r="D42" s="15">
        <f t="shared" si="6"/>
        <v>0</v>
      </c>
      <c r="E42" s="15">
        <f t="shared" si="7"/>
        <v>0</v>
      </c>
    </row>
    <row r="43" spans="1:5" ht="20.100000000000001" customHeight="1" x14ac:dyDescent="0.2">
      <c r="A43" s="197"/>
      <c r="B43" s="198"/>
      <c r="C43" s="199"/>
      <c r="D43" s="15">
        <f t="shared" si="6"/>
        <v>0</v>
      </c>
      <c r="E43" s="15">
        <f t="shared" si="7"/>
        <v>0</v>
      </c>
    </row>
    <row r="44" spans="1:5" ht="20.100000000000001" customHeight="1" x14ac:dyDescent="0.2">
      <c r="A44" s="197"/>
      <c r="B44" s="198"/>
      <c r="C44" s="199"/>
      <c r="D44" s="15">
        <f t="shared" si="6"/>
        <v>0</v>
      </c>
      <c r="E44" s="15">
        <f t="shared" si="7"/>
        <v>0</v>
      </c>
    </row>
    <row r="45" spans="1:5" ht="20.100000000000001" customHeight="1" x14ac:dyDescent="0.2">
      <c r="A45" s="197"/>
      <c r="B45" s="198"/>
      <c r="C45" s="199"/>
      <c r="D45" s="15">
        <f t="shared" si="6"/>
        <v>0</v>
      </c>
      <c r="E45" s="15">
        <f t="shared" si="7"/>
        <v>0</v>
      </c>
    </row>
    <row r="46" spans="1:5" ht="20.100000000000001" customHeight="1" x14ac:dyDescent="0.2">
      <c r="A46" s="197"/>
      <c r="B46" s="198"/>
      <c r="C46" s="199"/>
      <c r="D46" s="15">
        <f t="shared" si="6"/>
        <v>0</v>
      </c>
      <c r="E46" s="15">
        <f t="shared" si="7"/>
        <v>0</v>
      </c>
    </row>
    <row r="47" spans="1:5" ht="20.100000000000001" customHeight="1" x14ac:dyDescent="0.2">
      <c r="A47" s="197"/>
      <c r="B47" s="198"/>
      <c r="C47" s="199"/>
      <c r="D47" s="15">
        <f t="shared" si="6"/>
        <v>0</v>
      </c>
      <c r="E47" s="15">
        <f t="shared" si="7"/>
        <v>0</v>
      </c>
    </row>
    <row r="48" spans="1:5" ht="20.100000000000001" customHeight="1" x14ac:dyDescent="0.2">
      <c r="A48" s="197"/>
      <c r="B48" s="198"/>
      <c r="C48" s="199"/>
      <c r="D48" s="15">
        <f t="shared" si="6"/>
        <v>0</v>
      </c>
      <c r="E48" s="15">
        <f t="shared" si="7"/>
        <v>0</v>
      </c>
    </row>
    <row r="49" spans="1:5" ht="20.100000000000001" customHeight="1" x14ac:dyDescent="0.2">
      <c r="A49" s="197"/>
      <c r="B49" s="198"/>
      <c r="C49" s="199"/>
      <c r="D49" s="15">
        <f t="shared" si="6"/>
        <v>0</v>
      </c>
      <c r="E49" s="15">
        <f t="shared" si="7"/>
        <v>0</v>
      </c>
    </row>
    <row r="50" spans="1:5" ht="20.100000000000001" customHeight="1" x14ac:dyDescent="0.2">
      <c r="A50" s="197"/>
      <c r="B50" s="198"/>
      <c r="C50" s="199"/>
      <c r="D50" s="15">
        <f t="shared" si="6"/>
        <v>0</v>
      </c>
      <c r="E50" s="15">
        <f t="shared" si="7"/>
        <v>0</v>
      </c>
    </row>
    <row r="51" spans="1:5" ht="20.100000000000001" customHeight="1" x14ac:dyDescent="0.2">
      <c r="A51" s="197"/>
      <c r="B51" s="198"/>
      <c r="C51" s="199"/>
      <c r="D51" s="15">
        <f t="shared" si="6"/>
        <v>0</v>
      </c>
      <c r="E51" s="15">
        <f t="shared" si="7"/>
        <v>0</v>
      </c>
    </row>
    <row r="52" spans="1:5" ht="20.100000000000001" customHeight="1" x14ac:dyDescent="0.2">
      <c r="A52" s="197"/>
      <c r="B52" s="198"/>
      <c r="C52" s="199"/>
      <c r="D52" s="15">
        <f t="shared" si="6"/>
        <v>0</v>
      </c>
      <c r="E52" s="15">
        <f t="shared" si="7"/>
        <v>0</v>
      </c>
    </row>
    <row r="53" spans="1:5" ht="20.100000000000001" customHeight="1" x14ac:dyDescent="0.2">
      <c r="A53" s="197"/>
      <c r="B53" s="198"/>
      <c r="C53" s="199"/>
      <c r="D53" s="15">
        <f t="shared" si="6"/>
        <v>0</v>
      </c>
      <c r="E53" s="15">
        <f t="shared" si="7"/>
        <v>0</v>
      </c>
    </row>
    <row r="54" spans="1:5" ht="20.100000000000001" customHeight="1" x14ac:dyDescent="0.2">
      <c r="A54" s="197"/>
      <c r="B54" s="198"/>
      <c r="C54" s="199"/>
      <c r="D54" s="15">
        <f t="shared" si="6"/>
        <v>0</v>
      </c>
      <c r="E54" s="15">
        <f t="shared" si="7"/>
        <v>0</v>
      </c>
    </row>
    <row r="55" spans="1:5" ht="20.100000000000001" customHeight="1" x14ac:dyDescent="0.2">
      <c r="A55" s="197"/>
      <c r="B55" s="198"/>
      <c r="C55" s="199"/>
      <c r="D55" s="15">
        <f t="shared" si="6"/>
        <v>0</v>
      </c>
      <c r="E55" s="15">
        <f t="shared" si="7"/>
        <v>0</v>
      </c>
    </row>
    <row r="56" spans="1:5" ht="20.100000000000001" customHeight="1" x14ac:dyDescent="0.2">
      <c r="A56" s="197"/>
      <c r="B56" s="198"/>
      <c r="C56" s="199"/>
      <c r="D56" s="15">
        <f t="shared" si="6"/>
        <v>0</v>
      </c>
      <c r="E56" s="15">
        <f t="shared" si="7"/>
        <v>0</v>
      </c>
    </row>
    <row r="57" spans="1:5" ht="20.100000000000001" customHeight="1" x14ac:dyDescent="0.2">
      <c r="A57" s="197"/>
      <c r="B57" s="198"/>
      <c r="C57" s="199"/>
      <c r="D57" s="15">
        <f t="shared" si="6"/>
        <v>0</v>
      </c>
      <c r="E57" s="15">
        <f t="shared" si="7"/>
        <v>0</v>
      </c>
    </row>
    <row r="58" spans="1:5" ht="20.100000000000001" customHeight="1" x14ac:dyDescent="0.2">
      <c r="A58" s="197"/>
      <c r="B58" s="200"/>
      <c r="C58" s="199"/>
      <c r="D58" s="15">
        <f t="shared" si="6"/>
        <v>0</v>
      </c>
      <c r="E58" s="15">
        <f t="shared" si="7"/>
        <v>0</v>
      </c>
    </row>
    <row r="59" spans="1:5" ht="20.100000000000001" customHeight="1" x14ac:dyDescent="0.2">
      <c r="A59" s="197"/>
      <c r="B59" s="200"/>
      <c r="C59" s="199"/>
      <c r="D59" s="15">
        <f t="shared" si="6"/>
        <v>0</v>
      </c>
      <c r="E59" s="15">
        <f t="shared" si="7"/>
        <v>0</v>
      </c>
    </row>
    <row r="60" spans="1:5" ht="20.100000000000001" customHeight="1" x14ac:dyDescent="0.2">
      <c r="A60" s="197"/>
      <c r="B60" s="200"/>
      <c r="C60" s="199"/>
      <c r="D60" s="15">
        <f t="shared" si="6"/>
        <v>0</v>
      </c>
      <c r="E60" s="15">
        <f t="shared" si="7"/>
        <v>0</v>
      </c>
    </row>
    <row r="61" spans="1:5" ht="20.100000000000001" customHeight="1" x14ac:dyDescent="0.2">
      <c r="A61" s="197"/>
      <c r="B61" s="200"/>
      <c r="C61" s="199"/>
      <c r="D61" s="15">
        <f t="shared" si="4"/>
        <v>0</v>
      </c>
      <c r="E61" s="15">
        <f t="shared" si="5"/>
        <v>0</v>
      </c>
    </row>
    <row r="62" spans="1:5" ht="20.100000000000001" customHeight="1" x14ac:dyDescent="0.2">
      <c r="A62" s="197"/>
      <c r="B62" s="200"/>
      <c r="C62" s="199"/>
      <c r="D62" s="15">
        <f t="shared" si="4"/>
        <v>0</v>
      </c>
      <c r="E62" s="15">
        <f t="shared" si="5"/>
        <v>0</v>
      </c>
    </row>
    <row r="63" spans="1:5" ht="20.100000000000001" customHeight="1" x14ac:dyDescent="0.2">
      <c r="A63" s="197"/>
      <c r="B63" s="200"/>
      <c r="C63" s="199"/>
      <c r="D63" s="15">
        <f t="shared" si="4"/>
        <v>0</v>
      </c>
      <c r="E63" s="15">
        <f t="shared" si="5"/>
        <v>0</v>
      </c>
    </row>
    <row r="64" spans="1:5" ht="20.100000000000001" customHeight="1" x14ac:dyDescent="0.2">
      <c r="A64" s="197"/>
      <c r="B64" s="200"/>
      <c r="C64" s="199"/>
      <c r="D64" s="15">
        <f t="shared" si="4"/>
        <v>0</v>
      </c>
      <c r="E64" s="15">
        <f t="shared" si="5"/>
        <v>0</v>
      </c>
    </row>
    <row r="65" spans="1:5" ht="20.100000000000001" customHeight="1" x14ac:dyDescent="0.2">
      <c r="A65" s="197"/>
      <c r="B65" s="200"/>
      <c r="C65" s="199"/>
      <c r="D65" s="15">
        <f t="shared" si="4"/>
        <v>0</v>
      </c>
      <c r="E65" s="15">
        <f t="shared" si="5"/>
        <v>0</v>
      </c>
    </row>
    <row r="66" spans="1:5" ht="20.100000000000001" customHeight="1" x14ac:dyDescent="0.2">
      <c r="A66" s="197"/>
      <c r="B66" s="200"/>
      <c r="C66" s="199"/>
      <c r="D66" s="15">
        <f t="shared" si="4"/>
        <v>0</v>
      </c>
      <c r="E66" s="15">
        <f t="shared" si="5"/>
        <v>0</v>
      </c>
    </row>
    <row r="67" spans="1:5" ht="20.100000000000001" customHeight="1" x14ac:dyDescent="0.2">
      <c r="A67" s="197"/>
      <c r="B67" s="200"/>
      <c r="C67" s="199"/>
      <c r="D67" s="15">
        <f t="shared" si="4"/>
        <v>0</v>
      </c>
      <c r="E67" s="15">
        <f t="shared" si="5"/>
        <v>0</v>
      </c>
    </row>
    <row r="68" spans="1:5" ht="20.100000000000001" customHeight="1" x14ac:dyDescent="0.2">
      <c r="A68" s="197"/>
      <c r="B68" s="200"/>
      <c r="C68" s="199"/>
      <c r="D68" s="15">
        <f t="shared" si="4"/>
        <v>0</v>
      </c>
      <c r="E68" s="15">
        <f t="shared" si="5"/>
        <v>0</v>
      </c>
    </row>
    <row r="69" spans="1:5" ht="20.100000000000001" customHeight="1" x14ac:dyDescent="0.2">
      <c r="A69" s="197"/>
      <c r="B69" s="200"/>
      <c r="C69" s="199"/>
      <c r="D69" s="15">
        <f t="shared" si="4"/>
        <v>0</v>
      </c>
      <c r="E69" s="15">
        <f t="shared" si="5"/>
        <v>0</v>
      </c>
    </row>
    <row r="70" spans="1:5" ht="20.100000000000001" customHeight="1" x14ac:dyDescent="0.2">
      <c r="A70" s="197"/>
      <c r="B70" s="200"/>
      <c r="C70" s="199"/>
      <c r="D70" s="15">
        <f t="shared" ref="D70:D72" si="8">IFERROR(C70/GG_Empresa,0)</f>
        <v>0</v>
      </c>
      <c r="E70" s="15">
        <f t="shared" ref="E70:E72" si="9">IFERROR(C70/GG_Pesos,0)</f>
        <v>0</v>
      </c>
    </row>
    <row r="71" spans="1:5" ht="20.100000000000001" customHeight="1" x14ac:dyDescent="0.2">
      <c r="A71" s="197"/>
      <c r="B71" s="200"/>
      <c r="C71" s="199"/>
      <c r="D71" s="15">
        <f t="shared" si="8"/>
        <v>0</v>
      </c>
      <c r="E71" s="15">
        <f t="shared" si="9"/>
        <v>0</v>
      </c>
    </row>
    <row r="72" spans="1:5" ht="20.100000000000001" customHeight="1" x14ac:dyDescent="0.2">
      <c r="A72" s="197"/>
      <c r="B72" s="200"/>
      <c r="C72" s="199"/>
      <c r="D72" s="15">
        <f t="shared" si="8"/>
        <v>0</v>
      </c>
      <c r="E72" s="15">
        <f t="shared" si="9"/>
        <v>0</v>
      </c>
    </row>
    <row r="73" spans="1:5" ht="20.100000000000001" customHeight="1" x14ac:dyDescent="0.2">
      <c r="A73" s="197"/>
      <c r="B73" s="200"/>
      <c r="C73" s="199"/>
      <c r="D73" s="15">
        <f t="shared" si="4"/>
        <v>0</v>
      </c>
      <c r="E73" s="15">
        <f t="shared" si="5"/>
        <v>0</v>
      </c>
    </row>
    <row r="74" spans="1:5" ht="20.100000000000001" customHeight="1" x14ac:dyDescent="0.2">
      <c r="A74" s="116"/>
      <c r="B74" s="5"/>
      <c r="C74" s="5"/>
      <c r="D74" s="5"/>
      <c r="E74" s="117"/>
    </row>
    <row r="75" spans="1:5" ht="20.100000000000001" customHeight="1" x14ac:dyDescent="0.2">
      <c r="A75" s="759" t="s">
        <v>718</v>
      </c>
      <c r="B75" s="760"/>
      <c r="C75" s="137">
        <f>ROUND(SUBTOTAL(9,C11:C73),2)</f>
        <v>0</v>
      </c>
      <c r="D75" s="118"/>
      <c r="E75" s="119">
        <f>SUBTOTAL(9,E11:E73)</f>
        <v>0</v>
      </c>
    </row>
    <row r="76" spans="1:5" ht="20.100000000000001" customHeight="1" x14ac:dyDescent="0.2">
      <c r="E76" s="112"/>
    </row>
    <row r="77" spans="1:5" ht="20.100000000000001" customHeight="1" x14ac:dyDescent="0.2">
      <c r="D77" s="113"/>
    </row>
    <row r="78" spans="1:5" ht="20.100000000000001" customHeight="1" x14ac:dyDescent="0.2">
      <c r="C78" s="7"/>
    </row>
  </sheetData>
  <mergeCells count="24">
    <mergeCell ref="A75:B75"/>
    <mergeCell ref="A36:B36"/>
    <mergeCell ref="A29:B29"/>
    <mergeCell ref="A30:B30"/>
    <mergeCell ref="A31:B31"/>
    <mergeCell ref="A32:B32"/>
    <mergeCell ref="A33:B33"/>
    <mergeCell ref="A22:B22"/>
    <mergeCell ref="A23:B23"/>
    <mergeCell ref="A17:B17"/>
    <mergeCell ref="A18:B18"/>
    <mergeCell ref="A34:B34"/>
    <mergeCell ref="A24:B24"/>
    <mergeCell ref="A25:B25"/>
    <mergeCell ref="A26:B26"/>
    <mergeCell ref="A27:B27"/>
    <mergeCell ref="A28:B28"/>
    <mergeCell ref="A19:B19"/>
    <mergeCell ref="A7:E7"/>
    <mergeCell ref="A8:E8"/>
    <mergeCell ref="A11:B11"/>
    <mergeCell ref="A20:B20"/>
    <mergeCell ref="A21:B21"/>
    <mergeCell ref="A10:B10"/>
  </mergeCells>
  <pageMargins left="1.1811023622047245" right="0.78740157480314965" top="0.78740157480314965" bottom="0.74803149606299213" header="0.31496062992125984" footer="0.31496062992125984"/>
  <pageSetup paperSize="9" scale="55" fitToWidth="0" fitToHeight="0" orientation="portrait" r:id="rId1"/>
  <headerFooter>
    <oddHeader>&amp;L&amp;G</oddHeader>
  </headerFooter>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dimension ref="A1:E544"/>
  <sheetViews>
    <sheetView topLeftCell="A86" zoomScale="90" zoomScaleNormal="90" workbookViewId="0">
      <selection activeCell="I104" sqref="I104"/>
    </sheetView>
  </sheetViews>
  <sheetFormatPr baseColWidth="10" defaultColWidth="11.42578125" defaultRowHeight="12" x14ac:dyDescent="0.2"/>
  <cols>
    <col min="1" max="1" width="46.42578125" style="123" customWidth="1"/>
    <col min="2" max="2" width="7.28515625" style="125" customWidth="1"/>
    <col min="3" max="3" width="15.140625" style="123" bestFit="1" customWidth="1"/>
    <col min="4" max="4" width="19" style="123" customWidth="1"/>
    <col min="5" max="5" width="46.5703125" style="123" customWidth="1"/>
    <col min="6" max="16384" width="11.42578125" style="123"/>
  </cols>
  <sheetData>
    <row r="1" spans="1:5" x14ac:dyDescent="0.2">
      <c r="A1" s="122" t="s">
        <v>920</v>
      </c>
    </row>
    <row r="3" spans="1:5" s="125" customFormat="1" x14ac:dyDescent="0.2">
      <c r="A3" s="124" t="s">
        <v>957</v>
      </c>
      <c r="B3" s="124" t="s">
        <v>1</v>
      </c>
      <c r="C3" s="124" t="s">
        <v>919</v>
      </c>
      <c r="D3" s="124" t="s">
        <v>913</v>
      </c>
      <c r="E3" s="124" t="s">
        <v>914</v>
      </c>
    </row>
    <row r="4" spans="1:5" x14ac:dyDescent="0.2">
      <c r="A4" s="126" t="s">
        <v>724</v>
      </c>
      <c r="B4" s="124"/>
      <c r="C4" s="129"/>
      <c r="D4" s="126" t="s">
        <v>918</v>
      </c>
      <c r="E4" s="126" t="str">
        <f t="shared" ref="E4:E67" si="0">IFERROR(VLOOKUP(D4,Tabla_Indices,5,FALSE),"")</f>
        <v>Oficial Especializado</v>
      </c>
    </row>
    <row r="5" spans="1:5" x14ac:dyDescent="0.2">
      <c r="A5" s="126" t="s">
        <v>916</v>
      </c>
      <c r="B5" s="124"/>
      <c r="C5" s="129"/>
      <c r="D5" s="126" t="s">
        <v>917</v>
      </c>
      <c r="E5" s="126" t="str">
        <f t="shared" si="0"/>
        <v xml:space="preserve">Oficial </v>
      </c>
    </row>
    <row r="6" spans="1:5" x14ac:dyDescent="0.2">
      <c r="A6" s="126" t="s">
        <v>1046</v>
      </c>
      <c r="B6" s="124"/>
      <c r="C6" s="129"/>
      <c r="D6" s="126" t="s">
        <v>915</v>
      </c>
      <c r="E6" s="126" t="str">
        <f t="shared" si="0"/>
        <v>Ayudante</v>
      </c>
    </row>
    <row r="7" spans="1:5" x14ac:dyDescent="0.2">
      <c r="A7" s="126" t="s">
        <v>726</v>
      </c>
      <c r="B7" s="124"/>
      <c r="C7" s="129"/>
      <c r="D7" s="126" t="s">
        <v>915</v>
      </c>
      <c r="E7" s="126" t="str">
        <f t="shared" si="0"/>
        <v>Ayudante</v>
      </c>
    </row>
    <row r="8" spans="1:5" x14ac:dyDescent="0.2">
      <c r="A8" s="126"/>
      <c r="B8" s="124"/>
      <c r="C8" s="129"/>
      <c r="D8" s="126"/>
      <c r="E8" s="126" t="str">
        <f t="shared" si="0"/>
        <v/>
      </c>
    </row>
    <row r="9" spans="1:5" x14ac:dyDescent="0.2">
      <c r="A9" s="126"/>
      <c r="B9" s="124"/>
      <c r="C9" s="129"/>
      <c r="D9" s="126"/>
      <c r="E9" s="126" t="str">
        <f t="shared" si="0"/>
        <v/>
      </c>
    </row>
    <row r="10" spans="1:5" x14ac:dyDescent="0.2">
      <c r="A10" s="126"/>
      <c r="B10" s="124"/>
      <c r="C10" s="129"/>
      <c r="D10" s="126"/>
      <c r="E10" s="126" t="str">
        <f t="shared" si="0"/>
        <v/>
      </c>
    </row>
    <row r="11" spans="1:5" x14ac:dyDescent="0.2">
      <c r="A11" s="126"/>
      <c r="B11" s="124"/>
      <c r="C11" s="129"/>
      <c r="D11" s="126"/>
      <c r="E11" s="126" t="str">
        <f t="shared" si="0"/>
        <v/>
      </c>
    </row>
    <row r="12" spans="1:5" x14ac:dyDescent="0.2">
      <c r="A12" s="126"/>
      <c r="B12" s="124"/>
      <c r="C12" s="129"/>
      <c r="D12" s="126"/>
      <c r="E12" s="126" t="str">
        <f t="shared" si="0"/>
        <v/>
      </c>
    </row>
    <row r="13" spans="1:5" x14ac:dyDescent="0.2">
      <c r="A13" s="126"/>
      <c r="B13" s="124"/>
      <c r="C13" s="129"/>
      <c r="D13" s="126"/>
      <c r="E13" s="126" t="str">
        <f t="shared" si="0"/>
        <v/>
      </c>
    </row>
    <row r="14" spans="1:5" x14ac:dyDescent="0.2">
      <c r="A14" s="126" t="s">
        <v>1736</v>
      </c>
      <c r="B14" s="124" t="s">
        <v>1735</v>
      </c>
      <c r="C14" s="605">
        <f>Equipo_Amortización+Equipo_Interés</f>
        <v>0</v>
      </c>
      <c r="D14" s="126" t="s">
        <v>1656</v>
      </c>
      <c r="E14" s="126" t="str">
        <f t="shared" si="0"/>
        <v>Equipo - Amortización de equipo</v>
      </c>
    </row>
    <row r="15" spans="1:5" x14ac:dyDescent="0.2">
      <c r="A15" s="126" t="s">
        <v>1737</v>
      </c>
      <c r="B15" s="124" t="s">
        <v>1735</v>
      </c>
      <c r="C15" s="605">
        <f>Equipo_Amortización</f>
        <v>0</v>
      </c>
      <c r="D15" s="126" t="s">
        <v>1656</v>
      </c>
      <c r="E15" s="126" t="str">
        <f t="shared" si="0"/>
        <v>Equipo - Amortización de equipo</v>
      </c>
    </row>
    <row r="16" spans="1:5" x14ac:dyDescent="0.2">
      <c r="A16" s="126" t="s">
        <v>1738</v>
      </c>
      <c r="B16" s="124" t="s">
        <v>1735</v>
      </c>
      <c r="C16" s="605">
        <f>Equipo_Interés</f>
        <v>0</v>
      </c>
      <c r="D16" s="126" t="s">
        <v>1656</v>
      </c>
      <c r="E16" s="126" t="str">
        <f t="shared" si="0"/>
        <v>Equipo - Amortización de equipo</v>
      </c>
    </row>
    <row r="17" spans="1:5" x14ac:dyDescent="0.2">
      <c r="A17" s="126" t="s">
        <v>1739</v>
      </c>
      <c r="B17" s="124" t="s">
        <v>1735</v>
      </c>
      <c r="C17" s="605">
        <f>Equipo_Reparaciones_Repuestos</f>
        <v>0</v>
      </c>
      <c r="D17" s="126" t="s">
        <v>1662</v>
      </c>
      <c r="E17" s="126" t="str">
        <f t="shared" si="0"/>
        <v xml:space="preserve">Accesorios y repuestos para máquinas de uso especial                 </v>
      </c>
    </row>
    <row r="18" spans="1:5" x14ac:dyDescent="0.2">
      <c r="A18" s="126" t="s">
        <v>1740</v>
      </c>
      <c r="B18" s="124" t="s">
        <v>1735</v>
      </c>
      <c r="C18" s="129">
        <f>Equipo_Combustible+Equipo_Lubricantes</f>
        <v>0</v>
      </c>
      <c r="D18" s="126" t="s">
        <v>1657</v>
      </c>
      <c r="E18" s="126" t="str">
        <f t="shared" si="0"/>
        <v xml:space="preserve">Gas oil                                                                </v>
      </c>
    </row>
    <row r="19" spans="1:5" x14ac:dyDescent="0.2">
      <c r="A19" s="126" t="s">
        <v>1741</v>
      </c>
      <c r="B19" s="124" t="s">
        <v>1735</v>
      </c>
      <c r="C19" s="129">
        <f>Equipo_Combustible</f>
        <v>0</v>
      </c>
      <c r="D19" s="127" t="s">
        <v>1657</v>
      </c>
      <c r="E19" s="126" t="str">
        <f t="shared" si="0"/>
        <v xml:space="preserve">Gas oil                                                                </v>
      </c>
    </row>
    <row r="20" spans="1:5" x14ac:dyDescent="0.2">
      <c r="A20" s="126" t="s">
        <v>1742</v>
      </c>
      <c r="B20" s="124" t="s">
        <v>1735</v>
      </c>
      <c r="C20" s="129">
        <f>Equipo_Lubricantes</f>
        <v>0</v>
      </c>
      <c r="D20" s="126" t="s">
        <v>1659</v>
      </c>
      <c r="E20" s="126" t="str">
        <f t="shared" si="0"/>
        <v xml:space="preserve">Aceites lubricantes                                                    </v>
      </c>
    </row>
    <row r="21" spans="1:5" x14ac:dyDescent="0.2">
      <c r="A21" s="126" t="s">
        <v>1743</v>
      </c>
      <c r="B21" s="124" t="s">
        <v>1735</v>
      </c>
      <c r="C21" s="605">
        <f>Camioneta_Amortización</f>
        <v>0</v>
      </c>
      <c r="D21" s="126" t="s">
        <v>1656</v>
      </c>
      <c r="E21" s="126" t="str">
        <f t="shared" si="0"/>
        <v>Equipo - Amortización de equipo</v>
      </c>
    </row>
    <row r="22" spans="1:5" x14ac:dyDescent="0.2">
      <c r="A22" s="126" t="s">
        <v>1744</v>
      </c>
      <c r="B22" s="124" t="s">
        <v>1735</v>
      </c>
      <c r="C22" s="605">
        <f>Camioneta_Interés</f>
        <v>0</v>
      </c>
      <c r="D22" s="126" t="s">
        <v>1656</v>
      </c>
      <c r="E22" s="126" t="str">
        <f t="shared" si="0"/>
        <v>Equipo - Amortización de equipo</v>
      </c>
    </row>
    <row r="23" spans="1:5" x14ac:dyDescent="0.2">
      <c r="A23" s="126" t="s">
        <v>1745</v>
      </c>
      <c r="B23" s="124" t="s">
        <v>1735</v>
      </c>
      <c r="C23" s="605">
        <f>Camioneta_Seguro</f>
        <v>0</v>
      </c>
      <c r="D23" s="126" t="s">
        <v>1656</v>
      </c>
      <c r="E23" s="126" t="str">
        <f t="shared" si="0"/>
        <v>Equipo - Amortización de equipo</v>
      </c>
    </row>
    <row r="24" spans="1:5" x14ac:dyDescent="0.2">
      <c r="A24" s="126" t="s">
        <v>1746</v>
      </c>
      <c r="B24" s="124" t="s">
        <v>1735</v>
      </c>
      <c r="C24" s="605">
        <f>Camioneta_Patente</f>
        <v>0</v>
      </c>
      <c r="D24" s="126" t="s">
        <v>1656</v>
      </c>
      <c r="E24" s="126" t="str">
        <f t="shared" si="0"/>
        <v>Equipo - Amortización de equipo</v>
      </c>
    </row>
    <row r="25" spans="1:5" x14ac:dyDescent="0.2">
      <c r="A25" s="126" t="s">
        <v>1747</v>
      </c>
      <c r="B25" s="124" t="s">
        <v>1735</v>
      </c>
      <c r="C25" s="605">
        <f>Camioneta_Combustibles_Lubricantes</f>
        <v>0</v>
      </c>
      <c r="D25" s="126" t="s">
        <v>1657</v>
      </c>
      <c r="E25" s="126" t="str">
        <f t="shared" si="0"/>
        <v xml:space="preserve">Gas oil                                                                </v>
      </c>
    </row>
    <row r="26" spans="1:5" x14ac:dyDescent="0.2">
      <c r="A26" s="126" t="s">
        <v>1748</v>
      </c>
      <c r="B26" s="124" t="s">
        <v>1735</v>
      </c>
      <c r="C26" s="605">
        <f>Camioneta_Cámara_Cubiertas</f>
        <v>0</v>
      </c>
      <c r="D26" s="126" t="s">
        <v>1749</v>
      </c>
      <c r="E26" s="126" t="str">
        <f t="shared" si="0"/>
        <v xml:space="preserve">Cubiertas radiales                                                     </v>
      </c>
    </row>
    <row r="27" spans="1:5" x14ac:dyDescent="0.2">
      <c r="A27" s="126"/>
      <c r="B27" s="124"/>
      <c r="C27" s="129"/>
      <c r="D27" s="126"/>
      <c r="E27" s="126" t="str">
        <f t="shared" si="0"/>
        <v/>
      </c>
    </row>
    <row r="28" spans="1:5" x14ac:dyDescent="0.2">
      <c r="A28" s="126"/>
      <c r="B28" s="124"/>
      <c r="C28" s="129"/>
      <c r="D28" s="126"/>
      <c r="E28" s="126" t="str">
        <f t="shared" si="0"/>
        <v/>
      </c>
    </row>
    <row r="29" spans="1:5" x14ac:dyDescent="0.2">
      <c r="A29" s="126" t="s">
        <v>928</v>
      </c>
      <c r="B29" s="124"/>
      <c r="C29" s="129"/>
      <c r="D29" s="126" t="s">
        <v>924</v>
      </c>
      <c r="E29" s="126" t="str">
        <f t="shared" si="0"/>
        <v>Camión volcador</v>
      </c>
    </row>
    <row r="30" spans="1:5" x14ac:dyDescent="0.2">
      <c r="A30" s="126" t="s">
        <v>922</v>
      </c>
      <c r="B30" s="124"/>
      <c r="C30" s="129"/>
      <c r="D30" s="126" t="s">
        <v>924</v>
      </c>
      <c r="E30" s="126" t="str">
        <f t="shared" si="0"/>
        <v>Camión volcador</v>
      </c>
    </row>
    <row r="31" spans="1:5" x14ac:dyDescent="0.2">
      <c r="A31" s="126" t="s">
        <v>927</v>
      </c>
      <c r="B31" s="124"/>
      <c r="C31" s="129"/>
      <c r="D31" s="126" t="s">
        <v>924</v>
      </c>
      <c r="E31" s="126" t="str">
        <f t="shared" si="0"/>
        <v>Camión volcador</v>
      </c>
    </row>
    <row r="32" spans="1:5" x14ac:dyDescent="0.2">
      <c r="A32" s="126" t="s">
        <v>936</v>
      </c>
      <c r="B32" s="124"/>
      <c r="C32" s="130"/>
      <c r="D32" s="126" t="s">
        <v>937</v>
      </c>
      <c r="E32" s="126" t="str">
        <f t="shared" si="0"/>
        <v>Pluma 300 Kg.</v>
      </c>
    </row>
    <row r="33" spans="1:5" x14ac:dyDescent="0.2">
      <c r="A33" s="126" t="s">
        <v>930</v>
      </c>
      <c r="B33" s="124"/>
      <c r="C33" s="129"/>
      <c r="D33" s="126" t="s">
        <v>931</v>
      </c>
      <c r="E33" s="126" t="str">
        <f t="shared" si="0"/>
        <v xml:space="preserve">Herramientas de mano                                                   </v>
      </c>
    </row>
    <row r="34" spans="1:5" x14ac:dyDescent="0.2">
      <c r="A34" s="126" t="s">
        <v>1043</v>
      </c>
      <c r="B34" s="124"/>
      <c r="C34" s="129"/>
      <c r="D34" s="126" t="s">
        <v>1656</v>
      </c>
      <c r="E34" s="126" t="str">
        <f t="shared" si="0"/>
        <v>Equipo - Amortización de equipo</v>
      </c>
    </row>
    <row r="35" spans="1:5" ht="12.75" x14ac:dyDescent="0.2">
      <c r="A35" s="126" t="s">
        <v>801</v>
      </c>
      <c r="B35" s="124"/>
      <c r="C35" s="553"/>
      <c r="D35" s="127" t="s">
        <v>1660</v>
      </c>
      <c r="E35" s="126" t="str">
        <f t="shared" si="0"/>
        <v xml:space="preserve">Máquinas viales autopropulsadas                                        </v>
      </c>
    </row>
    <row r="36" spans="1:5" ht="12.75" x14ac:dyDescent="0.2">
      <c r="A36" s="126" t="s">
        <v>802</v>
      </c>
      <c r="B36" s="124"/>
      <c r="C36" s="553"/>
      <c r="D36" s="127" t="s">
        <v>1661</v>
      </c>
      <c r="E36" s="126" t="str">
        <f t="shared" si="0"/>
        <v xml:space="preserve">Máquinas viales no autopropulsadas                                     </v>
      </c>
    </row>
    <row r="37" spans="1:5" x14ac:dyDescent="0.2">
      <c r="A37" s="126" t="s">
        <v>925</v>
      </c>
      <c r="B37" s="124"/>
      <c r="C37" s="129"/>
      <c r="D37" s="126" t="s">
        <v>926</v>
      </c>
      <c r="E37" s="126" t="str">
        <f t="shared" si="0"/>
        <v>Taladro percutor</v>
      </c>
    </row>
    <row r="38" spans="1:5" x14ac:dyDescent="0.2">
      <c r="A38" s="126" t="s">
        <v>1044</v>
      </c>
      <c r="B38" s="124"/>
      <c r="C38" s="129"/>
      <c r="D38" s="126" t="s">
        <v>1662</v>
      </c>
      <c r="E38" s="126" t="str">
        <f t="shared" si="0"/>
        <v xml:space="preserve">Accesorios y repuestos para máquinas de uso especial                 </v>
      </c>
    </row>
    <row r="39" spans="1:5" x14ac:dyDescent="0.2">
      <c r="A39" s="126" t="s">
        <v>369</v>
      </c>
      <c r="B39" s="124"/>
      <c r="C39" s="129"/>
      <c r="D39" s="126" t="s">
        <v>923</v>
      </c>
      <c r="E39" s="126" t="str">
        <f t="shared" si="0"/>
        <v>Retroexcavadora</v>
      </c>
    </row>
    <row r="40" spans="1:5" x14ac:dyDescent="0.2">
      <c r="A40" s="126"/>
      <c r="B40" s="124"/>
      <c r="C40" s="129"/>
      <c r="D40" s="126"/>
      <c r="E40" s="126" t="str">
        <f t="shared" si="0"/>
        <v/>
      </c>
    </row>
    <row r="41" spans="1:5" x14ac:dyDescent="0.2">
      <c r="A41" s="126" t="s">
        <v>1044</v>
      </c>
      <c r="B41" s="124"/>
      <c r="C41" s="129"/>
      <c r="D41" s="291"/>
      <c r="E41" s="126" t="str">
        <f t="shared" si="0"/>
        <v/>
      </c>
    </row>
    <row r="42" spans="1:5" x14ac:dyDescent="0.2">
      <c r="A42" s="126" t="s">
        <v>882</v>
      </c>
      <c r="B42" s="124"/>
      <c r="C42" s="129"/>
      <c r="D42" s="291"/>
      <c r="E42" s="126" t="str">
        <f t="shared" si="0"/>
        <v/>
      </c>
    </row>
    <row r="43" spans="1:5" x14ac:dyDescent="0.2">
      <c r="A43" s="126" t="s">
        <v>1045</v>
      </c>
      <c r="B43" s="124"/>
      <c r="C43" s="129"/>
      <c r="D43" s="291"/>
      <c r="E43" s="126" t="str">
        <f t="shared" si="0"/>
        <v/>
      </c>
    </row>
    <row r="44" spans="1:5" x14ac:dyDescent="0.2">
      <c r="A44" s="126"/>
      <c r="B44" s="124"/>
      <c r="C44" s="129"/>
      <c r="D44" s="126"/>
      <c r="E44" s="126" t="str">
        <f t="shared" si="0"/>
        <v/>
      </c>
    </row>
    <row r="45" spans="1:5" ht="12.75" x14ac:dyDescent="0.2">
      <c r="A45" s="126" t="s">
        <v>1827</v>
      </c>
      <c r="B45" s="124"/>
      <c r="C45" s="553"/>
      <c r="D45" s="127" t="s">
        <v>934</v>
      </c>
      <c r="E45" s="126" t="str">
        <f t="shared" si="0"/>
        <v>Acero aletado conformado, en barra</v>
      </c>
    </row>
    <row r="46" spans="1:5" ht="12.75" x14ac:dyDescent="0.2">
      <c r="A46" s="126" t="s">
        <v>1828</v>
      </c>
      <c r="B46" s="124"/>
      <c r="C46" s="553"/>
      <c r="D46" s="127" t="s">
        <v>934</v>
      </c>
      <c r="E46" s="126" t="str">
        <f t="shared" si="0"/>
        <v>Acero aletado conformado, en barra</v>
      </c>
    </row>
    <row r="47" spans="1:5" ht="12.75" x14ac:dyDescent="0.2">
      <c r="A47" s="126" t="s">
        <v>740</v>
      </c>
      <c r="B47" s="554"/>
      <c r="C47" s="553"/>
      <c r="D47" s="127" t="s">
        <v>943</v>
      </c>
      <c r="E47" s="126" t="str">
        <f t="shared" si="0"/>
        <v xml:space="preserve">Perfiles de hierro                                                     </v>
      </c>
    </row>
    <row r="48" spans="1:5" ht="12.75" x14ac:dyDescent="0.2">
      <c r="A48" s="126" t="s">
        <v>1829</v>
      </c>
      <c r="B48" s="554"/>
      <c r="C48" s="553"/>
      <c r="D48" s="127" t="s">
        <v>934</v>
      </c>
      <c r="E48" s="126" t="str">
        <f t="shared" si="0"/>
        <v>Acero aletado conformado, en barra</v>
      </c>
    </row>
    <row r="49" spans="1:5" ht="12.75" x14ac:dyDescent="0.2">
      <c r="A49" s="126" t="s">
        <v>1830</v>
      </c>
      <c r="B49" s="555"/>
      <c r="C49" s="553"/>
      <c r="D49" s="127" t="s">
        <v>1663</v>
      </c>
      <c r="E49" s="126" t="str">
        <f t="shared" si="0"/>
        <v>Productos químicos</v>
      </c>
    </row>
    <row r="50" spans="1:5" ht="12.75" x14ac:dyDescent="0.2">
      <c r="A50" s="126" t="s">
        <v>1831</v>
      </c>
      <c r="B50" s="554"/>
      <c r="C50" s="553"/>
      <c r="D50" s="127" t="s">
        <v>1664</v>
      </c>
      <c r="E50" s="126" t="str">
        <f t="shared" si="0"/>
        <v xml:space="preserve">Tejidos de alambre                                                     </v>
      </c>
    </row>
    <row r="51" spans="1:5" ht="12.75" x14ac:dyDescent="0.2">
      <c r="A51" s="126" t="s">
        <v>1832</v>
      </c>
      <c r="B51" s="554"/>
      <c r="C51" s="553"/>
      <c r="D51" s="127" t="s">
        <v>933</v>
      </c>
      <c r="E51" s="126" t="str">
        <f t="shared" si="0"/>
        <v xml:space="preserve">Alambres de acero                                                      </v>
      </c>
    </row>
    <row r="52" spans="1:5" ht="12.75" x14ac:dyDescent="0.2">
      <c r="A52" s="126" t="s">
        <v>755</v>
      </c>
      <c r="B52" s="554"/>
      <c r="C52" s="553"/>
      <c r="D52" s="127" t="s">
        <v>1665</v>
      </c>
      <c r="E52" s="126" t="str">
        <f t="shared" si="0"/>
        <v xml:space="preserve">Lingotes y perfiles de aluminio y sus aleaciones                       </v>
      </c>
    </row>
    <row r="53" spans="1:5" ht="12.75" x14ac:dyDescent="0.2">
      <c r="A53" s="126" t="s">
        <v>1833</v>
      </c>
      <c r="B53" s="555"/>
      <c r="C53" s="553"/>
      <c r="D53" s="127" t="s">
        <v>1666</v>
      </c>
      <c r="E53" s="126" t="str">
        <f t="shared" si="0"/>
        <v xml:space="preserve">Cauchos sintéticos                                                     </v>
      </c>
    </row>
    <row r="54" spans="1:5" x14ac:dyDescent="0.2">
      <c r="A54" s="126" t="s">
        <v>1667</v>
      </c>
      <c r="B54" s="124"/>
      <c r="C54" s="129"/>
      <c r="D54" s="126" t="s">
        <v>940</v>
      </c>
      <c r="E54" s="126" t="str">
        <f t="shared" si="0"/>
        <v>Arena clasificada lavada</v>
      </c>
    </row>
    <row r="55" spans="1:5" ht="12.75" x14ac:dyDescent="0.2">
      <c r="A55" s="126" t="s">
        <v>1668</v>
      </c>
      <c r="B55" s="556"/>
      <c r="C55" s="557"/>
      <c r="D55" s="127" t="s">
        <v>940</v>
      </c>
      <c r="E55" s="126" t="str">
        <f t="shared" si="0"/>
        <v>Arena clasificada lavada</v>
      </c>
    </row>
    <row r="56" spans="1:5" ht="12.75" x14ac:dyDescent="0.2">
      <c r="A56" s="126" t="s">
        <v>1669</v>
      </c>
      <c r="B56" s="556"/>
      <c r="C56" s="557"/>
      <c r="D56" s="127" t="s">
        <v>940</v>
      </c>
      <c r="E56" s="126" t="str">
        <f t="shared" si="0"/>
        <v>Arena clasificada lavada</v>
      </c>
    </row>
    <row r="57" spans="1:5" ht="12.75" x14ac:dyDescent="0.2">
      <c r="A57" s="126" t="s">
        <v>1834</v>
      </c>
      <c r="B57" s="556"/>
      <c r="C57" s="557"/>
      <c r="D57" s="127" t="s">
        <v>1670</v>
      </c>
      <c r="E57" s="126" t="str">
        <f t="shared" si="0"/>
        <v>Asfaliq EM1</v>
      </c>
    </row>
    <row r="58" spans="1:5" ht="12.75" x14ac:dyDescent="0.2">
      <c r="A58" s="126" t="s">
        <v>1835</v>
      </c>
      <c r="B58" s="554"/>
      <c r="C58" s="553"/>
      <c r="D58" s="127" t="s">
        <v>1671</v>
      </c>
      <c r="E58" s="126" t="str">
        <f t="shared" si="0"/>
        <v xml:space="preserve">Balastos                                                               </v>
      </c>
    </row>
    <row r="59" spans="1:5" x14ac:dyDescent="0.2">
      <c r="A59" s="126" t="s">
        <v>929</v>
      </c>
      <c r="B59" s="124"/>
      <c r="C59" s="129"/>
      <c r="D59" s="126" t="s">
        <v>1672</v>
      </c>
      <c r="E59" s="126" t="str">
        <f t="shared" si="0"/>
        <v>Cal hidráulica hidratada</v>
      </c>
    </row>
    <row r="60" spans="1:5" ht="12.75" x14ac:dyDescent="0.2">
      <c r="A60" s="126" t="s">
        <v>1673</v>
      </c>
      <c r="B60" s="554"/>
      <c r="C60" s="553"/>
      <c r="D60" s="127" t="s">
        <v>944</v>
      </c>
      <c r="E60" s="126" t="str">
        <f t="shared" si="0"/>
        <v xml:space="preserve">Chapas metálicas                                                       </v>
      </c>
    </row>
    <row r="61" spans="1:5" ht="12.75" x14ac:dyDescent="0.2">
      <c r="A61" s="126" t="s">
        <v>1836</v>
      </c>
      <c r="B61" s="554"/>
      <c r="C61" s="553"/>
      <c r="D61" s="127" t="s">
        <v>942</v>
      </c>
      <c r="E61" s="126" t="str">
        <f t="shared" si="0"/>
        <v>Caño de hierro galvanizado</v>
      </c>
    </row>
    <row r="62" spans="1:5" ht="12.75" x14ac:dyDescent="0.2">
      <c r="A62" s="126" t="s">
        <v>1837</v>
      </c>
      <c r="B62" s="554"/>
      <c r="C62" s="553"/>
      <c r="D62" s="127" t="s">
        <v>1674</v>
      </c>
      <c r="E62" s="126" t="str">
        <f t="shared" si="0"/>
        <v xml:space="preserve">Hormigón                                                               </v>
      </c>
    </row>
    <row r="63" spans="1:5" x14ac:dyDescent="0.2">
      <c r="A63" s="126" t="s">
        <v>307</v>
      </c>
      <c r="B63" s="128"/>
      <c r="C63" s="130"/>
      <c r="D63" s="127" t="s">
        <v>941</v>
      </c>
      <c r="E63" s="126" t="str">
        <f t="shared" si="0"/>
        <v>Cemento portland normal, en bolsa</v>
      </c>
    </row>
    <row r="64" spans="1:5" x14ac:dyDescent="0.2">
      <c r="A64" s="126" t="s">
        <v>1675</v>
      </c>
      <c r="B64" s="124" t="s">
        <v>902</v>
      </c>
      <c r="C64" s="129"/>
      <c r="D64" s="126" t="s">
        <v>1676</v>
      </c>
      <c r="E64" s="126" t="str">
        <f t="shared" si="0"/>
        <v>Asfaltos, combustibles y lubricantes</v>
      </c>
    </row>
    <row r="65" spans="1:5" ht="12.75" x14ac:dyDescent="0.2">
      <c r="A65" s="126" t="s">
        <v>1838</v>
      </c>
      <c r="B65" s="552"/>
      <c r="C65" s="553"/>
      <c r="D65" s="127" t="s">
        <v>1677</v>
      </c>
      <c r="E65" s="126" t="str">
        <f t="shared" si="0"/>
        <v xml:space="preserve">Clavos                                                                 </v>
      </c>
    </row>
    <row r="66" spans="1:5" ht="12.75" x14ac:dyDescent="0.2">
      <c r="A66" s="126" t="s">
        <v>1839</v>
      </c>
      <c r="B66" s="554"/>
      <c r="C66" s="553"/>
      <c r="D66" s="127" t="s">
        <v>943</v>
      </c>
      <c r="E66" s="126" t="str">
        <f t="shared" si="0"/>
        <v xml:space="preserve">Perfiles de hierro                                                     </v>
      </c>
    </row>
    <row r="67" spans="1:5" ht="12.75" x14ac:dyDescent="0.2">
      <c r="A67" s="126" t="s">
        <v>1840</v>
      </c>
      <c r="B67" s="554"/>
      <c r="C67" s="553"/>
      <c r="D67" s="127" t="s">
        <v>1678</v>
      </c>
      <c r="E67" s="126" t="str">
        <f t="shared" si="0"/>
        <v xml:space="preserve">Conductores eléctricos                                                 </v>
      </c>
    </row>
    <row r="68" spans="1:5" x14ac:dyDescent="0.2">
      <c r="A68" s="126" t="s">
        <v>1679</v>
      </c>
      <c r="B68" s="558"/>
      <c r="C68" s="559"/>
      <c r="D68" s="127" t="s">
        <v>1680</v>
      </c>
      <c r="E68" s="126" t="str">
        <f t="shared" ref="E68:E131" si="1">IFERROR(VLOOKUP(D68,Tabla_Indices,5,FALSE),"")</f>
        <v>Agua para construcción</v>
      </c>
    </row>
    <row r="69" spans="1:5" x14ac:dyDescent="0.2">
      <c r="A69" s="126" t="s">
        <v>1679</v>
      </c>
      <c r="B69" s="124"/>
      <c r="C69" s="129"/>
      <c r="D69" s="126" t="s">
        <v>1680</v>
      </c>
      <c r="E69" s="126" t="str">
        <f t="shared" si="1"/>
        <v>Agua para construcción</v>
      </c>
    </row>
    <row r="70" spans="1:5" x14ac:dyDescent="0.2">
      <c r="A70" s="126" t="s">
        <v>788</v>
      </c>
      <c r="B70" s="558"/>
      <c r="C70" s="559"/>
      <c r="D70" s="127" t="s">
        <v>1681</v>
      </c>
      <c r="E70" s="126" t="str">
        <f t="shared" si="1"/>
        <v xml:space="preserve">Cubiertas convencionales                                               </v>
      </c>
    </row>
    <row r="71" spans="1:5" x14ac:dyDescent="0.2">
      <c r="A71" s="126" t="s">
        <v>1682</v>
      </c>
      <c r="B71" s="124"/>
      <c r="C71" s="129"/>
      <c r="D71" s="126" t="s">
        <v>1676</v>
      </c>
      <c r="E71" s="126" t="str">
        <f t="shared" si="1"/>
        <v>Asfaltos, combustibles y lubricantes</v>
      </c>
    </row>
    <row r="72" spans="1:5" x14ac:dyDescent="0.2">
      <c r="A72" s="126" t="s">
        <v>1683</v>
      </c>
      <c r="B72" s="124"/>
      <c r="C72" s="129"/>
      <c r="D72" s="126" t="s">
        <v>1676</v>
      </c>
      <c r="E72" s="126" t="str">
        <f t="shared" si="1"/>
        <v>Asfaltos, combustibles y lubricantes</v>
      </c>
    </row>
    <row r="73" spans="1:5" ht="12.75" x14ac:dyDescent="0.2">
      <c r="A73" s="126" t="s">
        <v>1841</v>
      </c>
      <c r="B73" s="556"/>
      <c r="C73" s="557"/>
      <c r="D73" s="127" t="s">
        <v>1684</v>
      </c>
      <c r="E73" s="126" t="str">
        <f t="shared" si="1"/>
        <v>Emulsion EBCR</v>
      </c>
    </row>
    <row r="74" spans="1:5" ht="12.75" x14ac:dyDescent="0.2">
      <c r="A74" s="126" t="s">
        <v>935</v>
      </c>
      <c r="B74" s="554"/>
      <c r="C74" s="553"/>
      <c r="D74" s="127" t="s">
        <v>1685</v>
      </c>
      <c r="E74" s="126" t="str">
        <f t="shared" si="1"/>
        <v xml:space="preserve">Esmaltes sintéticos                                                    </v>
      </c>
    </row>
    <row r="75" spans="1:5" x14ac:dyDescent="0.2">
      <c r="A75" s="126" t="s">
        <v>1686</v>
      </c>
      <c r="B75" s="124" t="s">
        <v>902</v>
      </c>
      <c r="C75" s="129"/>
      <c r="D75" s="126" t="s">
        <v>1687</v>
      </c>
      <c r="E75" s="126" t="str">
        <f t="shared" si="1"/>
        <v xml:space="preserve">Cales                                                                  </v>
      </c>
    </row>
    <row r="76" spans="1:5" x14ac:dyDescent="0.2">
      <c r="A76" s="126" t="s">
        <v>1688</v>
      </c>
      <c r="B76" s="124" t="s">
        <v>902</v>
      </c>
      <c r="C76" s="129"/>
      <c r="D76" s="126" t="s">
        <v>1689</v>
      </c>
      <c r="E76" s="126" t="str">
        <f t="shared" si="1"/>
        <v xml:space="preserve">Fuel oil                                                               </v>
      </c>
    </row>
    <row r="77" spans="1:5" ht="12.75" x14ac:dyDescent="0.2">
      <c r="A77" s="126" t="s">
        <v>1842</v>
      </c>
      <c r="B77" s="554"/>
      <c r="C77" s="553"/>
      <c r="D77" s="127" t="s">
        <v>1657</v>
      </c>
      <c r="E77" s="126" t="str">
        <f t="shared" si="1"/>
        <v xml:space="preserve">Gas oil                                                                </v>
      </c>
    </row>
    <row r="78" spans="1:5" ht="12.75" x14ac:dyDescent="0.2">
      <c r="A78" s="126" t="s">
        <v>1843</v>
      </c>
      <c r="B78" s="555"/>
      <c r="C78" s="553"/>
      <c r="D78" s="127" t="s">
        <v>1663</v>
      </c>
      <c r="E78" s="126" t="str">
        <f t="shared" si="1"/>
        <v>Productos químicos</v>
      </c>
    </row>
    <row r="79" spans="1:5" ht="12.75" x14ac:dyDescent="0.2">
      <c r="A79" s="126" t="s">
        <v>1844</v>
      </c>
      <c r="B79" s="555"/>
      <c r="C79" s="553"/>
      <c r="D79" s="127" t="s">
        <v>1663</v>
      </c>
      <c r="E79" s="126" t="str">
        <f t="shared" si="1"/>
        <v>Productos químicos</v>
      </c>
    </row>
    <row r="80" spans="1:5" x14ac:dyDescent="0.2">
      <c r="A80" s="126" t="s">
        <v>1690</v>
      </c>
      <c r="B80" s="124"/>
      <c r="C80" s="126"/>
      <c r="D80" s="126" t="s">
        <v>934</v>
      </c>
      <c r="E80" s="126" t="str">
        <f t="shared" si="1"/>
        <v>Acero aletado conformado, en barra</v>
      </c>
    </row>
    <row r="81" spans="1:5" x14ac:dyDescent="0.2">
      <c r="A81" s="126" t="s">
        <v>1691</v>
      </c>
      <c r="B81" s="124"/>
      <c r="C81" s="126"/>
      <c r="D81" s="126" t="s">
        <v>932</v>
      </c>
      <c r="E81" s="126" t="str">
        <f t="shared" si="1"/>
        <v>Hormigón elaborado</v>
      </c>
    </row>
    <row r="82" spans="1:5" ht="12.75" x14ac:dyDescent="0.2">
      <c r="A82" s="126" t="s">
        <v>1692</v>
      </c>
      <c r="B82" s="556"/>
      <c r="C82" s="557"/>
      <c r="D82" s="127" t="s">
        <v>932</v>
      </c>
      <c r="E82" s="126" t="str">
        <f t="shared" si="1"/>
        <v>Hormigón elaborado</v>
      </c>
    </row>
    <row r="83" spans="1:5" ht="12.75" x14ac:dyDescent="0.2">
      <c r="A83" s="126" t="s">
        <v>1693</v>
      </c>
      <c r="B83" s="556"/>
      <c r="C83" s="557"/>
      <c r="D83" s="127" t="s">
        <v>938</v>
      </c>
      <c r="E83" s="126" t="str">
        <f t="shared" si="1"/>
        <v>LADRILLON 1°</v>
      </c>
    </row>
    <row r="84" spans="1:5" ht="12.75" x14ac:dyDescent="0.2">
      <c r="A84" s="126" t="s">
        <v>1845</v>
      </c>
      <c r="B84" s="554"/>
      <c r="C84" s="553"/>
      <c r="D84" s="127" t="s">
        <v>946</v>
      </c>
      <c r="E84" s="126" t="str">
        <f t="shared" si="1"/>
        <v>Artefacto de iluminación</v>
      </c>
    </row>
    <row r="85" spans="1:5" ht="12.75" x14ac:dyDescent="0.2">
      <c r="A85" s="126" t="s">
        <v>1846</v>
      </c>
      <c r="B85" s="554"/>
      <c r="C85" s="553"/>
      <c r="D85" s="127" t="s">
        <v>946</v>
      </c>
      <c r="E85" s="126" t="str">
        <f t="shared" si="1"/>
        <v>Artefacto de iluminación</v>
      </c>
    </row>
    <row r="86" spans="1:5" ht="12.75" x14ac:dyDescent="0.2">
      <c r="A86" s="126" t="s">
        <v>327</v>
      </c>
      <c r="B86" s="555"/>
      <c r="C86" s="553"/>
      <c r="D86" s="127" t="s">
        <v>1694</v>
      </c>
      <c r="E86" s="126" t="str">
        <f t="shared" si="1"/>
        <v>Madera para encofrado</v>
      </c>
    </row>
    <row r="87" spans="1:5" x14ac:dyDescent="0.2">
      <c r="A87" s="126" t="s">
        <v>1695</v>
      </c>
      <c r="B87" s="124"/>
      <c r="C87" s="129"/>
      <c r="D87" s="126" t="s">
        <v>939</v>
      </c>
      <c r="E87" s="126" t="str">
        <f t="shared" si="1"/>
        <v>Canto rodado clasificado</v>
      </c>
    </row>
    <row r="88" spans="1:5" x14ac:dyDescent="0.2">
      <c r="A88" s="126" t="s">
        <v>1696</v>
      </c>
      <c r="B88" s="124"/>
      <c r="C88" s="129"/>
      <c r="D88" s="126" t="s">
        <v>939</v>
      </c>
      <c r="E88" s="126" t="str">
        <f t="shared" si="1"/>
        <v>Canto rodado clasificado</v>
      </c>
    </row>
    <row r="89" spans="1:5" ht="12.75" x14ac:dyDescent="0.2">
      <c r="A89" s="126" t="s">
        <v>1697</v>
      </c>
      <c r="B89" s="552"/>
      <c r="C89" s="553"/>
      <c r="D89" s="127" t="s">
        <v>1698</v>
      </c>
      <c r="E89" s="126" t="str">
        <f t="shared" si="1"/>
        <v xml:space="preserve">Canto rodado natural </v>
      </c>
    </row>
    <row r="90" spans="1:5" ht="12.75" x14ac:dyDescent="0.2">
      <c r="A90" s="126" t="s">
        <v>1847</v>
      </c>
      <c r="B90" s="555"/>
      <c r="C90" s="553"/>
      <c r="D90" s="127" t="s">
        <v>1663</v>
      </c>
      <c r="E90" s="126" t="str">
        <f t="shared" si="1"/>
        <v>Productos químicos</v>
      </c>
    </row>
    <row r="91" spans="1:5" ht="12.75" x14ac:dyDescent="0.2">
      <c r="A91" s="126" t="s">
        <v>1848</v>
      </c>
      <c r="B91" s="555"/>
      <c r="C91" s="553"/>
      <c r="D91" s="127" t="s">
        <v>1663</v>
      </c>
      <c r="E91" s="126" t="str">
        <f t="shared" si="1"/>
        <v>Productos químicos</v>
      </c>
    </row>
    <row r="92" spans="1:5" ht="12.75" x14ac:dyDescent="0.2">
      <c r="A92" s="126" t="s">
        <v>748</v>
      </c>
      <c r="B92" s="555"/>
      <c r="C92" s="553"/>
      <c r="D92" s="127" t="s">
        <v>1699</v>
      </c>
      <c r="E92" s="126" t="str">
        <f t="shared" si="1"/>
        <v xml:space="preserve">Membranas asfálticas                                                   </v>
      </c>
    </row>
    <row r="93" spans="1:5" ht="12.75" x14ac:dyDescent="0.2">
      <c r="A93" s="126" t="s">
        <v>1700</v>
      </c>
      <c r="B93" s="556"/>
      <c r="C93" s="557"/>
      <c r="D93" s="127" t="s">
        <v>1701</v>
      </c>
      <c r="E93" s="126" t="str">
        <f t="shared" si="1"/>
        <v>Mezcla 70/30</v>
      </c>
    </row>
    <row r="94" spans="1:5" ht="12.75" x14ac:dyDescent="0.2">
      <c r="A94" s="126" t="s">
        <v>1849</v>
      </c>
      <c r="B94" s="554"/>
      <c r="C94" s="553"/>
      <c r="D94" s="127" t="s">
        <v>1702</v>
      </c>
      <c r="E94" s="126" t="str">
        <f t="shared" si="1"/>
        <v xml:space="preserve">Naftas                                                                 </v>
      </c>
    </row>
    <row r="95" spans="1:5" ht="12.75" x14ac:dyDescent="0.2">
      <c r="A95" s="126" t="s">
        <v>1850</v>
      </c>
      <c r="B95" s="555"/>
      <c r="C95" s="553"/>
      <c r="D95" s="127" t="s">
        <v>1663</v>
      </c>
      <c r="E95" s="126" t="str">
        <f t="shared" si="1"/>
        <v>Productos químicos</v>
      </c>
    </row>
    <row r="96" spans="1:5" x14ac:dyDescent="0.2">
      <c r="A96" s="126" t="s">
        <v>1703</v>
      </c>
      <c r="B96" s="124"/>
      <c r="C96" s="129"/>
      <c r="D96" s="126" t="s">
        <v>940</v>
      </c>
      <c r="E96" s="126" t="str">
        <f t="shared" si="1"/>
        <v>Arena clasificada lavada</v>
      </c>
    </row>
    <row r="97" spans="1:5" ht="12.75" x14ac:dyDescent="0.2">
      <c r="A97" s="126" t="s">
        <v>1851</v>
      </c>
      <c r="B97" s="554"/>
      <c r="C97" s="553"/>
      <c r="D97" s="127" t="s">
        <v>943</v>
      </c>
      <c r="E97" s="126" t="str">
        <f t="shared" si="1"/>
        <v xml:space="preserve">Perfiles de hierro                                                     </v>
      </c>
    </row>
    <row r="98" spans="1:5" ht="12.75" x14ac:dyDescent="0.2">
      <c r="A98" s="126" t="s">
        <v>1852</v>
      </c>
      <c r="B98" s="555"/>
      <c r="C98" s="553"/>
      <c r="D98" s="127" t="s">
        <v>1704</v>
      </c>
      <c r="E98" s="126" t="str">
        <f t="shared" si="1"/>
        <v xml:space="preserve">Maderas aserradas                                                      </v>
      </c>
    </row>
    <row r="99" spans="1:5" ht="12.75" x14ac:dyDescent="0.2">
      <c r="A99" s="126" t="s">
        <v>1853</v>
      </c>
      <c r="B99" s="555"/>
      <c r="C99" s="553"/>
      <c r="D99" s="127" t="s">
        <v>1663</v>
      </c>
      <c r="E99" s="126" t="str">
        <f t="shared" si="1"/>
        <v>Productos químicos</v>
      </c>
    </row>
    <row r="100" spans="1:5" ht="12.75" x14ac:dyDescent="0.2">
      <c r="A100" s="126" t="s">
        <v>1854</v>
      </c>
      <c r="B100" s="555"/>
      <c r="C100" s="553"/>
      <c r="D100" s="127" t="s">
        <v>1663</v>
      </c>
      <c r="E100" s="126" t="str">
        <f t="shared" si="1"/>
        <v>Productos químicos</v>
      </c>
    </row>
    <row r="101" spans="1:5" ht="12.75" x14ac:dyDescent="0.2">
      <c r="A101" s="126" t="s">
        <v>1855</v>
      </c>
      <c r="B101" s="555"/>
      <c r="C101" s="553"/>
      <c r="D101" s="127" t="s">
        <v>1663</v>
      </c>
      <c r="E101" s="126" t="str">
        <f t="shared" si="1"/>
        <v>Productos químicos</v>
      </c>
    </row>
    <row r="102" spans="1:5" ht="12.75" x14ac:dyDescent="0.2">
      <c r="A102" s="126" t="s">
        <v>1856</v>
      </c>
      <c r="B102" s="554"/>
      <c r="C102" s="553"/>
      <c r="D102" s="127" t="s">
        <v>945</v>
      </c>
      <c r="E102" s="126" t="str">
        <f t="shared" si="1"/>
        <v xml:space="preserve">Interruptores eléctricos                                               </v>
      </c>
    </row>
    <row r="103" spans="1:5" ht="12.75" x14ac:dyDescent="0.2">
      <c r="A103" s="126" t="s">
        <v>1857</v>
      </c>
      <c r="B103" s="555"/>
      <c r="C103" s="553"/>
      <c r="D103" s="127" t="s">
        <v>1666</v>
      </c>
      <c r="E103" s="126" t="str">
        <f t="shared" si="1"/>
        <v xml:space="preserve">Cauchos sintéticos                                                     </v>
      </c>
    </row>
    <row r="104" spans="1:5" ht="12.75" x14ac:dyDescent="0.2">
      <c r="A104" s="126" t="s">
        <v>1858</v>
      </c>
      <c r="B104" s="554"/>
      <c r="C104" s="553"/>
      <c r="D104" s="127" t="s">
        <v>943</v>
      </c>
      <c r="E104" s="126" t="str">
        <f t="shared" si="1"/>
        <v xml:space="preserve">Perfiles de hierro                                                     </v>
      </c>
    </row>
    <row r="105" spans="1:5" x14ac:dyDescent="0.2">
      <c r="A105" s="126" t="s">
        <v>1705</v>
      </c>
      <c r="B105" s="124"/>
      <c r="C105" s="129"/>
      <c r="D105" s="126" t="s">
        <v>940</v>
      </c>
      <c r="E105" s="126" t="str">
        <f t="shared" si="1"/>
        <v>Arena clasificada lavada</v>
      </c>
    </row>
    <row r="106" spans="1:5" x14ac:dyDescent="0.2">
      <c r="A106" s="126"/>
      <c r="B106" s="124"/>
      <c r="C106" s="126"/>
      <c r="D106" s="126"/>
      <c r="E106" s="126" t="str">
        <f t="shared" si="1"/>
        <v/>
      </c>
    </row>
    <row r="107" spans="1:5" x14ac:dyDescent="0.2">
      <c r="A107" s="126"/>
      <c r="B107" s="124"/>
      <c r="C107" s="129"/>
      <c r="D107" s="126"/>
      <c r="E107" s="126" t="str">
        <f t="shared" si="1"/>
        <v/>
      </c>
    </row>
    <row r="108" spans="1:5" x14ac:dyDescent="0.2">
      <c r="A108" s="126"/>
      <c r="B108" s="124"/>
      <c r="C108" s="129"/>
      <c r="D108" s="126"/>
      <c r="E108" s="126" t="str">
        <f t="shared" si="1"/>
        <v/>
      </c>
    </row>
    <row r="109" spans="1:5" x14ac:dyDescent="0.2">
      <c r="A109" s="126"/>
      <c r="B109" s="124"/>
      <c r="C109" s="126"/>
      <c r="D109" s="126"/>
      <c r="E109" s="126" t="str">
        <f t="shared" si="1"/>
        <v/>
      </c>
    </row>
    <row r="110" spans="1:5" x14ac:dyDescent="0.2">
      <c r="A110" s="126"/>
      <c r="B110" s="124"/>
      <c r="C110" s="126"/>
      <c r="D110" s="126"/>
      <c r="E110" s="126" t="str">
        <f t="shared" si="1"/>
        <v/>
      </c>
    </row>
    <row r="111" spans="1:5" x14ac:dyDescent="0.2">
      <c r="A111" s="126"/>
      <c r="B111" s="124"/>
      <c r="C111" s="126"/>
      <c r="D111" s="126"/>
      <c r="E111" s="126" t="str">
        <f t="shared" si="1"/>
        <v/>
      </c>
    </row>
    <row r="112" spans="1:5" x14ac:dyDescent="0.2">
      <c r="A112" s="126"/>
      <c r="B112" s="124"/>
      <c r="C112" s="126"/>
      <c r="D112" s="126"/>
      <c r="E112" s="126" t="str">
        <f t="shared" si="1"/>
        <v/>
      </c>
    </row>
    <row r="113" spans="1:5" x14ac:dyDescent="0.2">
      <c r="A113" s="126"/>
      <c r="B113" s="124"/>
      <c r="C113" s="126"/>
      <c r="D113" s="126"/>
      <c r="E113" s="126" t="str">
        <f t="shared" si="1"/>
        <v/>
      </c>
    </row>
    <row r="114" spans="1:5" x14ac:dyDescent="0.2">
      <c r="A114" s="126"/>
      <c r="B114" s="124"/>
      <c r="C114" s="126"/>
      <c r="D114" s="126"/>
      <c r="E114" s="126" t="str">
        <f t="shared" si="1"/>
        <v/>
      </c>
    </row>
    <row r="115" spans="1:5" x14ac:dyDescent="0.2">
      <c r="A115" s="126"/>
      <c r="B115" s="124"/>
      <c r="C115" s="126"/>
      <c r="D115" s="126"/>
      <c r="E115" s="126" t="str">
        <f t="shared" si="1"/>
        <v/>
      </c>
    </row>
    <row r="116" spans="1:5" x14ac:dyDescent="0.2">
      <c r="A116" s="126"/>
      <c r="B116" s="124"/>
      <c r="C116" s="126"/>
      <c r="D116" s="126"/>
      <c r="E116" s="126" t="str">
        <f t="shared" si="1"/>
        <v/>
      </c>
    </row>
    <row r="117" spans="1:5" x14ac:dyDescent="0.2">
      <c r="A117" s="126"/>
      <c r="B117" s="124"/>
      <c r="C117" s="126"/>
      <c r="D117" s="126"/>
      <c r="E117" s="126" t="str">
        <f t="shared" si="1"/>
        <v/>
      </c>
    </row>
    <row r="118" spans="1:5" x14ac:dyDescent="0.2">
      <c r="A118" s="126"/>
      <c r="B118" s="124"/>
      <c r="C118" s="126"/>
      <c r="D118" s="126"/>
      <c r="E118" s="126" t="str">
        <f t="shared" si="1"/>
        <v/>
      </c>
    </row>
    <row r="119" spans="1:5" x14ac:dyDescent="0.2">
      <c r="A119" s="126"/>
      <c r="B119" s="124"/>
      <c r="C119" s="126"/>
      <c r="D119" s="126"/>
      <c r="E119" s="126" t="str">
        <f t="shared" si="1"/>
        <v/>
      </c>
    </row>
    <row r="120" spans="1:5" x14ac:dyDescent="0.2">
      <c r="A120" s="126"/>
      <c r="B120" s="124"/>
      <c r="C120" s="126"/>
      <c r="D120" s="126"/>
      <c r="E120" s="126" t="str">
        <f t="shared" si="1"/>
        <v/>
      </c>
    </row>
    <row r="121" spans="1:5" x14ac:dyDescent="0.2">
      <c r="A121" s="126"/>
      <c r="B121" s="124"/>
      <c r="C121" s="126"/>
      <c r="D121" s="126"/>
      <c r="E121" s="126" t="str">
        <f t="shared" si="1"/>
        <v/>
      </c>
    </row>
    <row r="122" spans="1:5" x14ac:dyDescent="0.2">
      <c r="A122" s="126"/>
      <c r="B122" s="124"/>
      <c r="C122" s="126"/>
      <c r="D122" s="126"/>
      <c r="E122" s="126" t="str">
        <f t="shared" si="1"/>
        <v/>
      </c>
    </row>
    <row r="123" spans="1:5" x14ac:dyDescent="0.2">
      <c r="A123" s="126"/>
      <c r="B123" s="124"/>
      <c r="C123" s="126"/>
      <c r="D123" s="126"/>
      <c r="E123" s="126" t="str">
        <f t="shared" si="1"/>
        <v/>
      </c>
    </row>
    <row r="124" spans="1:5" x14ac:dyDescent="0.2">
      <c r="A124" s="126"/>
      <c r="B124" s="124"/>
      <c r="C124" s="126"/>
      <c r="D124" s="126"/>
      <c r="E124" s="126" t="str">
        <f t="shared" si="1"/>
        <v/>
      </c>
    </row>
    <row r="125" spans="1:5" x14ac:dyDescent="0.2">
      <c r="A125" s="126"/>
      <c r="B125" s="124"/>
      <c r="C125" s="126"/>
      <c r="D125" s="126"/>
      <c r="E125" s="126" t="str">
        <f t="shared" si="1"/>
        <v/>
      </c>
    </row>
    <row r="126" spans="1:5" x14ac:dyDescent="0.2">
      <c r="A126" s="126"/>
      <c r="B126" s="124"/>
      <c r="C126" s="126"/>
      <c r="D126" s="126"/>
      <c r="E126" s="126" t="str">
        <f t="shared" si="1"/>
        <v/>
      </c>
    </row>
    <row r="127" spans="1:5" x14ac:dyDescent="0.2">
      <c r="A127" s="126"/>
      <c r="B127" s="124"/>
      <c r="C127" s="126"/>
      <c r="D127" s="126"/>
      <c r="E127" s="126" t="str">
        <f t="shared" si="1"/>
        <v/>
      </c>
    </row>
    <row r="128" spans="1:5" x14ac:dyDescent="0.2">
      <c r="A128" s="126"/>
      <c r="B128" s="124"/>
      <c r="C128" s="126"/>
      <c r="D128" s="126"/>
      <c r="E128" s="126" t="str">
        <f t="shared" si="1"/>
        <v/>
      </c>
    </row>
    <row r="129" spans="1:5" x14ac:dyDescent="0.2">
      <c r="A129" s="126"/>
      <c r="B129" s="124"/>
      <c r="C129" s="126"/>
      <c r="D129" s="126"/>
      <c r="E129" s="126" t="str">
        <f t="shared" si="1"/>
        <v/>
      </c>
    </row>
    <row r="130" spans="1:5" x14ac:dyDescent="0.2">
      <c r="A130" s="126"/>
      <c r="B130" s="124"/>
      <c r="C130" s="126"/>
      <c r="D130" s="126"/>
      <c r="E130" s="126" t="str">
        <f t="shared" si="1"/>
        <v/>
      </c>
    </row>
    <row r="131" spans="1:5" x14ac:dyDescent="0.2">
      <c r="A131" s="126"/>
      <c r="B131" s="124"/>
      <c r="C131" s="126"/>
      <c r="D131" s="126"/>
      <c r="E131" s="126" t="str">
        <f t="shared" si="1"/>
        <v/>
      </c>
    </row>
    <row r="132" spans="1:5" x14ac:dyDescent="0.2">
      <c r="A132" s="126"/>
      <c r="B132" s="124"/>
      <c r="C132" s="126"/>
      <c r="D132" s="126"/>
      <c r="E132" s="126" t="str">
        <f t="shared" ref="E132:E195" si="2">IFERROR(VLOOKUP(D132,Tabla_Indices,5,FALSE),"")</f>
        <v/>
      </c>
    </row>
    <row r="133" spans="1:5" x14ac:dyDescent="0.2">
      <c r="A133" s="126"/>
      <c r="B133" s="124"/>
      <c r="C133" s="126"/>
      <c r="D133" s="126"/>
      <c r="E133" s="126" t="str">
        <f t="shared" si="2"/>
        <v/>
      </c>
    </row>
    <row r="134" spans="1:5" x14ac:dyDescent="0.2">
      <c r="A134" s="126"/>
      <c r="B134" s="124"/>
      <c r="C134" s="126"/>
      <c r="D134" s="126"/>
      <c r="E134" s="126" t="str">
        <f t="shared" si="2"/>
        <v/>
      </c>
    </row>
    <row r="135" spans="1:5" x14ac:dyDescent="0.2">
      <c r="A135" s="126"/>
      <c r="B135" s="124"/>
      <c r="C135" s="126"/>
      <c r="D135" s="126"/>
      <c r="E135" s="126" t="str">
        <f t="shared" si="2"/>
        <v/>
      </c>
    </row>
    <row r="136" spans="1:5" x14ac:dyDescent="0.2">
      <c r="A136" s="126"/>
      <c r="B136" s="124"/>
      <c r="C136" s="126"/>
      <c r="D136" s="126"/>
      <c r="E136" s="126" t="str">
        <f t="shared" si="2"/>
        <v/>
      </c>
    </row>
    <row r="137" spans="1:5" x14ac:dyDescent="0.2">
      <c r="A137" s="126"/>
      <c r="B137" s="124"/>
      <c r="C137" s="126"/>
      <c r="D137" s="126"/>
      <c r="E137" s="126" t="str">
        <f t="shared" si="2"/>
        <v/>
      </c>
    </row>
    <row r="138" spans="1:5" x14ac:dyDescent="0.2">
      <c r="A138" s="126"/>
      <c r="B138" s="124"/>
      <c r="C138" s="126"/>
      <c r="D138" s="126"/>
      <c r="E138" s="126" t="str">
        <f t="shared" si="2"/>
        <v/>
      </c>
    </row>
    <row r="139" spans="1:5" x14ac:dyDescent="0.2">
      <c r="A139" s="126"/>
      <c r="B139" s="124"/>
      <c r="C139" s="126"/>
      <c r="D139" s="126"/>
      <c r="E139" s="126" t="str">
        <f t="shared" si="2"/>
        <v/>
      </c>
    </row>
    <row r="140" spans="1:5" x14ac:dyDescent="0.2">
      <c r="A140" s="126"/>
      <c r="B140" s="124"/>
      <c r="C140" s="126"/>
      <c r="D140" s="126"/>
      <c r="E140" s="126" t="str">
        <f t="shared" si="2"/>
        <v/>
      </c>
    </row>
    <row r="141" spans="1:5" x14ac:dyDescent="0.2">
      <c r="A141" s="126"/>
      <c r="B141" s="124"/>
      <c r="C141" s="126"/>
      <c r="D141" s="126"/>
      <c r="E141" s="126" t="str">
        <f t="shared" si="2"/>
        <v/>
      </c>
    </row>
    <row r="142" spans="1:5" x14ac:dyDescent="0.2">
      <c r="A142" s="126"/>
      <c r="B142" s="124"/>
      <c r="C142" s="126"/>
      <c r="D142" s="126"/>
      <c r="E142" s="126" t="str">
        <f t="shared" si="2"/>
        <v/>
      </c>
    </row>
    <row r="143" spans="1:5" x14ac:dyDescent="0.2">
      <c r="A143" s="126"/>
      <c r="B143" s="124"/>
      <c r="C143" s="126"/>
      <c r="D143" s="126"/>
      <c r="E143" s="126" t="str">
        <f t="shared" si="2"/>
        <v/>
      </c>
    </row>
    <row r="144" spans="1:5" x14ac:dyDescent="0.2">
      <c r="A144" s="126"/>
      <c r="B144" s="124"/>
      <c r="C144" s="126"/>
      <c r="D144" s="126"/>
      <c r="E144" s="126" t="str">
        <f t="shared" si="2"/>
        <v/>
      </c>
    </row>
    <row r="145" spans="1:5" x14ac:dyDescent="0.2">
      <c r="A145" s="126"/>
      <c r="B145" s="124"/>
      <c r="C145" s="126"/>
      <c r="D145" s="126"/>
      <c r="E145" s="126" t="str">
        <f t="shared" si="2"/>
        <v/>
      </c>
    </row>
    <row r="146" spans="1:5" x14ac:dyDescent="0.2">
      <c r="A146" s="126"/>
      <c r="B146" s="124"/>
      <c r="C146" s="126"/>
      <c r="D146" s="126"/>
      <c r="E146" s="126" t="str">
        <f t="shared" si="2"/>
        <v/>
      </c>
    </row>
    <row r="147" spans="1:5" x14ac:dyDescent="0.2">
      <c r="A147" s="126"/>
      <c r="B147" s="124"/>
      <c r="C147" s="126"/>
      <c r="D147" s="126"/>
      <c r="E147" s="126" t="str">
        <f t="shared" si="2"/>
        <v/>
      </c>
    </row>
    <row r="148" spans="1:5" x14ac:dyDescent="0.2">
      <c r="A148" s="126"/>
      <c r="B148" s="124"/>
      <c r="C148" s="126"/>
      <c r="D148" s="126"/>
      <c r="E148" s="126" t="str">
        <f t="shared" si="2"/>
        <v/>
      </c>
    </row>
    <row r="149" spans="1:5" x14ac:dyDescent="0.2">
      <c r="A149" s="126"/>
      <c r="B149" s="124"/>
      <c r="C149" s="126"/>
      <c r="D149" s="126"/>
      <c r="E149" s="126" t="str">
        <f t="shared" si="2"/>
        <v/>
      </c>
    </row>
    <row r="150" spans="1:5" x14ac:dyDescent="0.2">
      <c r="A150" s="126"/>
      <c r="B150" s="124"/>
      <c r="C150" s="126"/>
      <c r="D150" s="126"/>
      <c r="E150" s="126" t="str">
        <f t="shared" si="2"/>
        <v/>
      </c>
    </row>
    <row r="151" spans="1:5" x14ac:dyDescent="0.2">
      <c r="A151" s="126"/>
      <c r="B151" s="124"/>
      <c r="C151" s="126"/>
      <c r="D151" s="126"/>
      <c r="E151" s="126" t="str">
        <f t="shared" si="2"/>
        <v/>
      </c>
    </row>
    <row r="152" spans="1:5" x14ac:dyDescent="0.2">
      <c r="A152" s="126"/>
      <c r="B152" s="124"/>
      <c r="C152" s="126"/>
      <c r="D152" s="126"/>
      <c r="E152" s="126" t="str">
        <f t="shared" si="2"/>
        <v/>
      </c>
    </row>
    <row r="153" spans="1:5" x14ac:dyDescent="0.2">
      <c r="A153" s="126"/>
      <c r="B153" s="124"/>
      <c r="C153" s="126"/>
      <c r="D153" s="126"/>
      <c r="E153" s="126" t="str">
        <f t="shared" si="2"/>
        <v/>
      </c>
    </row>
    <row r="154" spans="1:5" x14ac:dyDescent="0.2">
      <c r="A154" s="126"/>
      <c r="B154" s="124"/>
      <c r="C154" s="126"/>
      <c r="D154" s="126"/>
      <c r="E154" s="126" t="str">
        <f t="shared" si="2"/>
        <v/>
      </c>
    </row>
    <row r="155" spans="1:5" x14ac:dyDescent="0.2">
      <c r="A155" s="126"/>
      <c r="B155" s="124"/>
      <c r="C155" s="126"/>
      <c r="D155" s="126"/>
      <c r="E155" s="126" t="str">
        <f t="shared" si="2"/>
        <v/>
      </c>
    </row>
    <row r="156" spans="1:5" x14ac:dyDescent="0.2">
      <c r="A156" s="126"/>
      <c r="B156" s="124"/>
      <c r="C156" s="126"/>
      <c r="D156" s="126"/>
      <c r="E156" s="126" t="str">
        <f t="shared" si="2"/>
        <v/>
      </c>
    </row>
    <row r="157" spans="1:5" x14ac:dyDescent="0.2">
      <c r="A157" s="126"/>
      <c r="B157" s="124"/>
      <c r="C157" s="126"/>
      <c r="D157" s="126"/>
      <c r="E157" s="126" t="str">
        <f t="shared" si="2"/>
        <v/>
      </c>
    </row>
    <row r="158" spans="1:5" x14ac:dyDescent="0.2">
      <c r="A158" s="126"/>
      <c r="B158" s="124"/>
      <c r="C158" s="126"/>
      <c r="D158" s="126"/>
      <c r="E158" s="126" t="str">
        <f t="shared" si="2"/>
        <v/>
      </c>
    </row>
    <row r="159" spans="1:5" x14ac:dyDescent="0.2">
      <c r="A159" s="126"/>
      <c r="B159" s="124"/>
      <c r="C159" s="126"/>
      <c r="D159" s="126"/>
      <c r="E159" s="126" t="str">
        <f t="shared" si="2"/>
        <v/>
      </c>
    </row>
    <row r="160" spans="1:5" x14ac:dyDescent="0.2">
      <c r="A160" s="126"/>
      <c r="B160" s="124"/>
      <c r="C160" s="126"/>
      <c r="D160" s="126"/>
      <c r="E160" s="126" t="str">
        <f t="shared" si="2"/>
        <v/>
      </c>
    </row>
    <row r="161" spans="1:5" x14ac:dyDescent="0.2">
      <c r="A161" s="126"/>
      <c r="B161" s="124"/>
      <c r="C161" s="126"/>
      <c r="D161" s="126"/>
      <c r="E161" s="126" t="str">
        <f t="shared" si="2"/>
        <v/>
      </c>
    </row>
    <row r="162" spans="1:5" x14ac:dyDescent="0.2">
      <c r="A162" s="126"/>
      <c r="B162" s="124"/>
      <c r="C162" s="126"/>
      <c r="D162" s="126"/>
      <c r="E162" s="126" t="str">
        <f t="shared" si="2"/>
        <v/>
      </c>
    </row>
    <row r="163" spans="1:5" x14ac:dyDescent="0.2">
      <c r="A163" s="126"/>
      <c r="B163" s="124"/>
      <c r="C163" s="126"/>
      <c r="D163" s="126"/>
      <c r="E163" s="126" t="str">
        <f t="shared" si="2"/>
        <v/>
      </c>
    </row>
    <row r="164" spans="1:5" x14ac:dyDescent="0.2">
      <c r="A164" s="126"/>
      <c r="B164" s="124"/>
      <c r="C164" s="126"/>
      <c r="D164" s="126"/>
      <c r="E164" s="126" t="str">
        <f t="shared" si="2"/>
        <v/>
      </c>
    </row>
    <row r="165" spans="1:5" x14ac:dyDescent="0.2">
      <c r="A165" s="126"/>
      <c r="B165" s="124"/>
      <c r="C165" s="126"/>
      <c r="D165" s="126"/>
      <c r="E165" s="126" t="str">
        <f t="shared" si="2"/>
        <v/>
      </c>
    </row>
    <row r="166" spans="1:5" x14ac:dyDescent="0.2">
      <c r="A166" s="126"/>
      <c r="B166" s="124"/>
      <c r="C166" s="126"/>
      <c r="D166" s="126"/>
      <c r="E166" s="126" t="str">
        <f t="shared" si="2"/>
        <v/>
      </c>
    </row>
    <row r="167" spans="1:5" x14ac:dyDescent="0.2">
      <c r="A167" s="126"/>
      <c r="B167" s="124"/>
      <c r="C167" s="126"/>
      <c r="D167" s="126"/>
      <c r="E167" s="126" t="str">
        <f t="shared" si="2"/>
        <v/>
      </c>
    </row>
    <row r="168" spans="1:5" x14ac:dyDescent="0.2">
      <c r="A168" s="126"/>
      <c r="B168" s="124"/>
      <c r="C168" s="126"/>
      <c r="D168" s="126"/>
      <c r="E168" s="126" t="str">
        <f t="shared" si="2"/>
        <v/>
      </c>
    </row>
    <row r="169" spans="1:5" x14ac:dyDescent="0.2">
      <c r="A169" s="126"/>
      <c r="B169" s="124"/>
      <c r="C169" s="126"/>
      <c r="D169" s="126"/>
      <c r="E169" s="126" t="str">
        <f t="shared" si="2"/>
        <v/>
      </c>
    </row>
    <row r="170" spans="1:5" x14ac:dyDescent="0.2">
      <c r="A170" s="126"/>
      <c r="B170" s="124"/>
      <c r="C170" s="126"/>
      <c r="D170" s="126"/>
      <c r="E170" s="126" t="str">
        <f t="shared" si="2"/>
        <v/>
      </c>
    </row>
    <row r="171" spans="1:5" x14ac:dyDescent="0.2">
      <c r="A171" s="126"/>
      <c r="B171" s="124"/>
      <c r="C171" s="126"/>
      <c r="D171" s="126"/>
      <c r="E171" s="126" t="str">
        <f t="shared" si="2"/>
        <v/>
      </c>
    </row>
    <row r="172" spans="1:5" x14ac:dyDescent="0.2">
      <c r="A172" s="126"/>
      <c r="B172" s="124"/>
      <c r="C172" s="126"/>
      <c r="D172" s="126"/>
      <c r="E172" s="126" t="str">
        <f t="shared" si="2"/>
        <v/>
      </c>
    </row>
    <row r="173" spans="1:5" x14ac:dyDescent="0.2">
      <c r="A173" s="126"/>
      <c r="B173" s="124"/>
      <c r="C173" s="126"/>
      <c r="D173" s="126"/>
      <c r="E173" s="126" t="str">
        <f t="shared" si="2"/>
        <v/>
      </c>
    </row>
    <row r="174" spans="1:5" x14ac:dyDescent="0.2">
      <c r="A174" s="126"/>
      <c r="B174" s="124"/>
      <c r="C174" s="126"/>
      <c r="D174" s="126"/>
      <c r="E174" s="126" t="str">
        <f t="shared" si="2"/>
        <v/>
      </c>
    </row>
    <row r="175" spans="1:5" x14ac:dyDescent="0.2">
      <c r="A175" s="126"/>
      <c r="B175" s="124"/>
      <c r="C175" s="126"/>
      <c r="D175" s="126"/>
      <c r="E175" s="126" t="str">
        <f t="shared" si="2"/>
        <v/>
      </c>
    </row>
    <row r="176" spans="1:5" x14ac:dyDescent="0.2">
      <c r="A176" s="126"/>
      <c r="B176" s="124"/>
      <c r="C176" s="126"/>
      <c r="D176" s="126"/>
      <c r="E176" s="126" t="str">
        <f t="shared" si="2"/>
        <v/>
      </c>
    </row>
    <row r="177" spans="1:5" x14ac:dyDescent="0.2">
      <c r="A177" s="126"/>
      <c r="B177" s="124"/>
      <c r="C177" s="126"/>
      <c r="D177" s="126"/>
      <c r="E177" s="126" t="str">
        <f t="shared" si="2"/>
        <v/>
      </c>
    </row>
    <row r="178" spans="1:5" x14ac:dyDescent="0.2">
      <c r="A178" s="126"/>
      <c r="B178" s="124"/>
      <c r="C178" s="126"/>
      <c r="D178" s="126"/>
      <c r="E178" s="126" t="str">
        <f t="shared" si="2"/>
        <v/>
      </c>
    </row>
    <row r="179" spans="1:5" x14ac:dyDescent="0.2">
      <c r="A179" s="126"/>
      <c r="B179" s="124"/>
      <c r="C179" s="126"/>
      <c r="D179" s="126"/>
      <c r="E179" s="126" t="str">
        <f t="shared" si="2"/>
        <v/>
      </c>
    </row>
    <row r="180" spans="1:5" x14ac:dyDescent="0.2">
      <c r="A180" s="126"/>
      <c r="B180" s="124"/>
      <c r="C180" s="126"/>
      <c r="D180" s="126"/>
      <c r="E180" s="126" t="str">
        <f t="shared" si="2"/>
        <v/>
      </c>
    </row>
    <row r="181" spans="1:5" x14ac:dyDescent="0.2">
      <c r="A181" s="126"/>
      <c r="B181" s="124"/>
      <c r="C181" s="126"/>
      <c r="D181" s="126"/>
      <c r="E181" s="126" t="str">
        <f t="shared" si="2"/>
        <v/>
      </c>
    </row>
    <row r="182" spans="1:5" x14ac:dyDescent="0.2">
      <c r="A182" s="126"/>
      <c r="B182" s="124"/>
      <c r="C182" s="126"/>
      <c r="D182" s="126"/>
      <c r="E182" s="126" t="str">
        <f t="shared" si="2"/>
        <v/>
      </c>
    </row>
    <row r="183" spans="1:5" x14ac:dyDescent="0.2">
      <c r="A183" s="126"/>
      <c r="B183" s="124"/>
      <c r="C183" s="126"/>
      <c r="D183" s="126"/>
      <c r="E183" s="126" t="str">
        <f t="shared" si="2"/>
        <v/>
      </c>
    </row>
    <row r="184" spans="1:5" x14ac:dyDescent="0.2">
      <c r="A184" s="126"/>
      <c r="B184" s="124"/>
      <c r="C184" s="126"/>
      <c r="D184" s="126"/>
      <c r="E184" s="126" t="str">
        <f t="shared" si="2"/>
        <v/>
      </c>
    </row>
    <row r="185" spans="1:5" x14ac:dyDescent="0.2">
      <c r="A185" s="126"/>
      <c r="B185" s="124"/>
      <c r="C185" s="126"/>
      <c r="D185" s="126"/>
      <c r="E185" s="126" t="str">
        <f t="shared" si="2"/>
        <v/>
      </c>
    </row>
    <row r="186" spans="1:5" x14ac:dyDescent="0.2">
      <c r="A186" s="126"/>
      <c r="B186" s="124"/>
      <c r="C186" s="126"/>
      <c r="D186" s="126"/>
      <c r="E186" s="126" t="str">
        <f t="shared" si="2"/>
        <v/>
      </c>
    </row>
    <row r="187" spans="1:5" x14ac:dyDescent="0.2">
      <c r="A187" s="126"/>
      <c r="B187" s="124"/>
      <c r="C187" s="126"/>
      <c r="D187" s="126"/>
      <c r="E187" s="126" t="str">
        <f t="shared" si="2"/>
        <v/>
      </c>
    </row>
    <row r="188" spans="1:5" x14ac:dyDescent="0.2">
      <c r="A188" s="126"/>
      <c r="B188" s="124"/>
      <c r="C188" s="126"/>
      <c r="D188" s="126"/>
      <c r="E188" s="126" t="str">
        <f t="shared" si="2"/>
        <v/>
      </c>
    </row>
    <row r="189" spans="1:5" x14ac:dyDescent="0.2">
      <c r="A189" s="126"/>
      <c r="B189" s="124"/>
      <c r="C189" s="126"/>
      <c r="D189" s="126"/>
      <c r="E189" s="126" t="str">
        <f t="shared" si="2"/>
        <v/>
      </c>
    </row>
    <row r="190" spans="1:5" x14ac:dyDescent="0.2">
      <c r="A190" s="126"/>
      <c r="B190" s="124"/>
      <c r="C190" s="126"/>
      <c r="D190" s="126"/>
      <c r="E190" s="126" t="str">
        <f t="shared" si="2"/>
        <v/>
      </c>
    </row>
    <row r="191" spans="1:5" x14ac:dyDescent="0.2">
      <c r="A191" s="126"/>
      <c r="B191" s="124"/>
      <c r="C191" s="126"/>
      <c r="D191" s="126"/>
      <c r="E191" s="126" t="str">
        <f t="shared" si="2"/>
        <v/>
      </c>
    </row>
    <row r="192" spans="1:5" x14ac:dyDescent="0.2">
      <c r="A192" s="126"/>
      <c r="B192" s="124"/>
      <c r="C192" s="126"/>
      <c r="D192" s="126"/>
      <c r="E192" s="126" t="str">
        <f t="shared" si="2"/>
        <v/>
      </c>
    </row>
    <row r="193" spans="1:5" x14ac:dyDescent="0.2">
      <c r="A193" s="126"/>
      <c r="B193" s="124"/>
      <c r="C193" s="126"/>
      <c r="D193" s="126"/>
      <c r="E193" s="126" t="str">
        <f t="shared" si="2"/>
        <v/>
      </c>
    </row>
    <row r="194" spans="1:5" x14ac:dyDescent="0.2">
      <c r="A194" s="126"/>
      <c r="B194" s="124"/>
      <c r="C194" s="126"/>
      <c r="D194" s="126"/>
      <c r="E194" s="126" t="str">
        <f t="shared" si="2"/>
        <v/>
      </c>
    </row>
    <row r="195" spans="1:5" x14ac:dyDescent="0.2">
      <c r="A195" s="126"/>
      <c r="B195" s="124"/>
      <c r="C195" s="126"/>
      <c r="D195" s="126"/>
      <c r="E195" s="126" t="str">
        <f t="shared" si="2"/>
        <v/>
      </c>
    </row>
    <row r="196" spans="1:5" x14ac:dyDescent="0.2">
      <c r="A196" s="126"/>
      <c r="B196" s="124"/>
      <c r="C196" s="126"/>
      <c r="D196" s="126"/>
      <c r="E196" s="126" t="str">
        <f t="shared" ref="E196:E259" si="3">IFERROR(VLOOKUP(D196,Tabla_Indices,5,FALSE),"")</f>
        <v/>
      </c>
    </row>
    <row r="197" spans="1:5" x14ac:dyDescent="0.2">
      <c r="A197" s="126"/>
      <c r="B197" s="124"/>
      <c r="C197" s="126"/>
      <c r="D197" s="126"/>
      <c r="E197" s="126" t="str">
        <f t="shared" si="3"/>
        <v/>
      </c>
    </row>
    <row r="198" spans="1:5" x14ac:dyDescent="0.2">
      <c r="A198" s="126"/>
      <c r="B198" s="124"/>
      <c r="C198" s="126"/>
      <c r="D198" s="126"/>
      <c r="E198" s="126" t="str">
        <f t="shared" si="3"/>
        <v/>
      </c>
    </row>
    <row r="199" spans="1:5" x14ac:dyDescent="0.2">
      <c r="A199" s="126"/>
      <c r="B199" s="124"/>
      <c r="C199" s="126"/>
      <c r="D199" s="126"/>
      <c r="E199" s="126" t="str">
        <f t="shared" si="3"/>
        <v/>
      </c>
    </row>
    <row r="200" spans="1:5" x14ac:dyDescent="0.2">
      <c r="A200" s="126"/>
      <c r="B200" s="124"/>
      <c r="C200" s="126"/>
      <c r="D200" s="126"/>
      <c r="E200" s="126" t="str">
        <f t="shared" si="3"/>
        <v/>
      </c>
    </row>
    <row r="201" spans="1:5" x14ac:dyDescent="0.2">
      <c r="A201" s="126"/>
      <c r="B201" s="124"/>
      <c r="C201" s="126"/>
      <c r="D201" s="126"/>
      <c r="E201" s="126" t="str">
        <f t="shared" si="3"/>
        <v/>
      </c>
    </row>
    <row r="202" spans="1:5" x14ac:dyDescent="0.2">
      <c r="A202" s="126"/>
      <c r="B202" s="124"/>
      <c r="C202" s="126"/>
      <c r="D202" s="126"/>
      <c r="E202" s="126" t="str">
        <f t="shared" si="3"/>
        <v/>
      </c>
    </row>
    <row r="203" spans="1:5" x14ac:dyDescent="0.2">
      <c r="A203" s="126"/>
      <c r="B203" s="124"/>
      <c r="C203" s="126"/>
      <c r="D203" s="126"/>
      <c r="E203" s="126" t="str">
        <f t="shared" si="3"/>
        <v/>
      </c>
    </row>
    <row r="204" spans="1:5" x14ac:dyDescent="0.2">
      <c r="A204" s="126"/>
      <c r="B204" s="124"/>
      <c r="C204" s="126"/>
      <c r="D204" s="126"/>
      <c r="E204" s="126" t="str">
        <f t="shared" si="3"/>
        <v/>
      </c>
    </row>
    <row r="205" spans="1:5" x14ac:dyDescent="0.2">
      <c r="A205" s="126"/>
      <c r="B205" s="124"/>
      <c r="C205" s="126"/>
      <c r="D205" s="126"/>
      <c r="E205" s="126" t="str">
        <f t="shared" si="3"/>
        <v/>
      </c>
    </row>
    <row r="206" spans="1:5" x14ac:dyDescent="0.2">
      <c r="A206" s="126"/>
      <c r="B206" s="124"/>
      <c r="C206" s="126"/>
      <c r="D206" s="126"/>
      <c r="E206" s="126" t="str">
        <f t="shared" si="3"/>
        <v/>
      </c>
    </row>
    <row r="207" spans="1:5" x14ac:dyDescent="0.2">
      <c r="A207" s="126"/>
      <c r="B207" s="124"/>
      <c r="C207" s="126"/>
      <c r="D207" s="126"/>
      <c r="E207" s="126" t="str">
        <f t="shared" si="3"/>
        <v/>
      </c>
    </row>
    <row r="208" spans="1:5" x14ac:dyDescent="0.2">
      <c r="A208" s="126"/>
      <c r="B208" s="124"/>
      <c r="C208" s="126"/>
      <c r="D208" s="126"/>
      <c r="E208" s="126" t="str">
        <f t="shared" si="3"/>
        <v/>
      </c>
    </row>
    <row r="209" spans="1:5" x14ac:dyDescent="0.2">
      <c r="A209" s="126"/>
      <c r="B209" s="124"/>
      <c r="C209" s="126"/>
      <c r="D209" s="126"/>
      <c r="E209" s="126" t="str">
        <f t="shared" si="3"/>
        <v/>
      </c>
    </row>
    <row r="210" spans="1:5" x14ac:dyDescent="0.2">
      <c r="A210" s="126"/>
      <c r="B210" s="124"/>
      <c r="C210" s="126"/>
      <c r="D210" s="126"/>
      <c r="E210" s="126" t="str">
        <f t="shared" si="3"/>
        <v/>
      </c>
    </row>
    <row r="211" spans="1:5" x14ac:dyDescent="0.2">
      <c r="A211" s="126"/>
      <c r="B211" s="124"/>
      <c r="C211" s="126"/>
      <c r="D211" s="126"/>
      <c r="E211" s="126" t="str">
        <f t="shared" si="3"/>
        <v/>
      </c>
    </row>
    <row r="212" spans="1:5" x14ac:dyDescent="0.2">
      <c r="A212" s="126"/>
      <c r="B212" s="124"/>
      <c r="C212" s="126"/>
      <c r="D212" s="126"/>
      <c r="E212" s="126" t="str">
        <f t="shared" si="3"/>
        <v/>
      </c>
    </row>
    <row r="213" spans="1:5" x14ac:dyDescent="0.2">
      <c r="A213" s="126"/>
      <c r="B213" s="124"/>
      <c r="C213" s="126"/>
      <c r="D213" s="126"/>
      <c r="E213" s="126" t="str">
        <f t="shared" si="3"/>
        <v/>
      </c>
    </row>
    <row r="214" spans="1:5" x14ac:dyDescent="0.2">
      <c r="A214" s="126"/>
      <c r="B214" s="124"/>
      <c r="C214" s="126"/>
      <c r="D214" s="126"/>
      <c r="E214" s="126" t="str">
        <f t="shared" si="3"/>
        <v/>
      </c>
    </row>
    <row r="215" spans="1:5" x14ac:dyDescent="0.2">
      <c r="A215" s="126"/>
      <c r="B215" s="124"/>
      <c r="C215" s="126"/>
      <c r="D215" s="126"/>
      <c r="E215" s="126" t="str">
        <f t="shared" si="3"/>
        <v/>
      </c>
    </row>
    <row r="216" spans="1:5" x14ac:dyDescent="0.2">
      <c r="A216" s="126"/>
      <c r="B216" s="124"/>
      <c r="C216" s="126"/>
      <c r="D216" s="126"/>
      <c r="E216" s="126" t="str">
        <f t="shared" si="3"/>
        <v/>
      </c>
    </row>
    <row r="217" spans="1:5" x14ac:dyDescent="0.2">
      <c r="A217" s="126"/>
      <c r="B217" s="124"/>
      <c r="C217" s="126"/>
      <c r="D217" s="126"/>
      <c r="E217" s="126" t="str">
        <f t="shared" si="3"/>
        <v/>
      </c>
    </row>
    <row r="218" spans="1:5" x14ac:dyDescent="0.2">
      <c r="A218" s="126"/>
      <c r="B218" s="124"/>
      <c r="C218" s="126"/>
      <c r="D218" s="126"/>
      <c r="E218" s="126" t="str">
        <f t="shared" si="3"/>
        <v/>
      </c>
    </row>
    <row r="219" spans="1:5" x14ac:dyDescent="0.2">
      <c r="A219" s="126"/>
      <c r="B219" s="124"/>
      <c r="C219" s="126"/>
      <c r="D219" s="126"/>
      <c r="E219" s="126" t="str">
        <f t="shared" si="3"/>
        <v/>
      </c>
    </row>
    <row r="220" spans="1:5" x14ac:dyDescent="0.2">
      <c r="A220" s="126"/>
      <c r="B220" s="124"/>
      <c r="C220" s="126"/>
      <c r="D220" s="126"/>
      <c r="E220" s="126" t="str">
        <f t="shared" si="3"/>
        <v/>
      </c>
    </row>
    <row r="221" spans="1:5" x14ac:dyDescent="0.2">
      <c r="A221" s="126"/>
      <c r="B221" s="124"/>
      <c r="C221" s="126"/>
      <c r="D221" s="126"/>
      <c r="E221" s="126" t="str">
        <f t="shared" si="3"/>
        <v/>
      </c>
    </row>
    <row r="222" spans="1:5" x14ac:dyDescent="0.2">
      <c r="A222" s="126"/>
      <c r="B222" s="124"/>
      <c r="C222" s="126"/>
      <c r="D222" s="126"/>
      <c r="E222" s="126" t="str">
        <f t="shared" si="3"/>
        <v/>
      </c>
    </row>
    <row r="223" spans="1:5" x14ac:dyDescent="0.2">
      <c r="A223" s="126"/>
      <c r="B223" s="124"/>
      <c r="C223" s="126"/>
      <c r="D223" s="126"/>
      <c r="E223" s="126" t="str">
        <f t="shared" si="3"/>
        <v/>
      </c>
    </row>
    <row r="224" spans="1:5" x14ac:dyDescent="0.2">
      <c r="A224" s="126"/>
      <c r="B224" s="124"/>
      <c r="C224" s="126"/>
      <c r="D224" s="126"/>
      <c r="E224" s="126" t="str">
        <f t="shared" si="3"/>
        <v/>
      </c>
    </row>
    <row r="225" spans="1:5" x14ac:dyDescent="0.2">
      <c r="A225" s="126"/>
      <c r="B225" s="124"/>
      <c r="C225" s="126"/>
      <c r="D225" s="126"/>
      <c r="E225" s="126" t="str">
        <f t="shared" si="3"/>
        <v/>
      </c>
    </row>
    <row r="226" spans="1:5" x14ac:dyDescent="0.2">
      <c r="A226" s="126"/>
      <c r="B226" s="124"/>
      <c r="C226" s="126"/>
      <c r="D226" s="126"/>
      <c r="E226" s="126" t="str">
        <f t="shared" si="3"/>
        <v/>
      </c>
    </row>
    <row r="227" spans="1:5" x14ac:dyDescent="0.2">
      <c r="A227" s="126"/>
      <c r="B227" s="124"/>
      <c r="C227" s="126"/>
      <c r="D227" s="126"/>
      <c r="E227" s="126" t="str">
        <f t="shared" si="3"/>
        <v/>
      </c>
    </row>
    <row r="228" spans="1:5" x14ac:dyDescent="0.2">
      <c r="A228" s="126"/>
      <c r="B228" s="124"/>
      <c r="C228" s="126"/>
      <c r="D228" s="126"/>
      <c r="E228" s="126" t="str">
        <f t="shared" si="3"/>
        <v/>
      </c>
    </row>
    <row r="229" spans="1:5" x14ac:dyDescent="0.2">
      <c r="A229" s="126"/>
      <c r="B229" s="124"/>
      <c r="C229" s="126"/>
      <c r="D229" s="126"/>
      <c r="E229" s="126" t="str">
        <f t="shared" si="3"/>
        <v/>
      </c>
    </row>
    <row r="230" spans="1:5" x14ac:dyDescent="0.2">
      <c r="A230" s="126"/>
      <c r="B230" s="124"/>
      <c r="C230" s="126"/>
      <c r="D230" s="126"/>
      <c r="E230" s="126" t="str">
        <f t="shared" si="3"/>
        <v/>
      </c>
    </row>
    <row r="231" spans="1:5" x14ac:dyDescent="0.2">
      <c r="A231" s="126"/>
      <c r="B231" s="124"/>
      <c r="C231" s="126"/>
      <c r="D231" s="126"/>
      <c r="E231" s="126" t="str">
        <f t="shared" si="3"/>
        <v/>
      </c>
    </row>
    <row r="232" spans="1:5" x14ac:dyDescent="0.2">
      <c r="A232" s="126"/>
      <c r="B232" s="124"/>
      <c r="C232" s="126"/>
      <c r="D232" s="126"/>
      <c r="E232" s="126" t="str">
        <f t="shared" si="3"/>
        <v/>
      </c>
    </row>
    <row r="233" spans="1:5" x14ac:dyDescent="0.2">
      <c r="A233" s="126"/>
      <c r="B233" s="124"/>
      <c r="C233" s="126"/>
      <c r="D233" s="126"/>
      <c r="E233" s="126" t="str">
        <f t="shared" si="3"/>
        <v/>
      </c>
    </row>
    <row r="234" spans="1:5" x14ac:dyDescent="0.2">
      <c r="A234" s="126"/>
      <c r="B234" s="124"/>
      <c r="C234" s="126"/>
      <c r="D234" s="126"/>
      <c r="E234" s="126" t="str">
        <f t="shared" si="3"/>
        <v/>
      </c>
    </row>
    <row r="235" spans="1:5" x14ac:dyDescent="0.2">
      <c r="A235" s="126"/>
      <c r="B235" s="124"/>
      <c r="C235" s="126"/>
      <c r="D235" s="126"/>
      <c r="E235" s="126" t="str">
        <f t="shared" si="3"/>
        <v/>
      </c>
    </row>
    <row r="236" spans="1:5" x14ac:dyDescent="0.2">
      <c r="A236" s="126"/>
      <c r="B236" s="124"/>
      <c r="C236" s="126"/>
      <c r="D236" s="126"/>
      <c r="E236" s="126" t="str">
        <f t="shared" si="3"/>
        <v/>
      </c>
    </row>
    <row r="237" spans="1:5" x14ac:dyDescent="0.2">
      <c r="A237" s="126"/>
      <c r="B237" s="124"/>
      <c r="C237" s="126"/>
      <c r="D237" s="126"/>
      <c r="E237" s="126" t="str">
        <f t="shared" si="3"/>
        <v/>
      </c>
    </row>
    <row r="238" spans="1:5" x14ac:dyDescent="0.2">
      <c r="A238" s="126"/>
      <c r="B238" s="124"/>
      <c r="C238" s="126"/>
      <c r="D238" s="126"/>
      <c r="E238" s="126" t="str">
        <f t="shared" si="3"/>
        <v/>
      </c>
    </row>
    <row r="239" spans="1:5" x14ac:dyDescent="0.2">
      <c r="A239" s="126"/>
      <c r="B239" s="124"/>
      <c r="C239" s="126"/>
      <c r="D239" s="126"/>
      <c r="E239" s="126" t="str">
        <f t="shared" si="3"/>
        <v/>
      </c>
    </row>
    <row r="240" spans="1:5" x14ac:dyDescent="0.2">
      <c r="A240" s="126"/>
      <c r="B240" s="124"/>
      <c r="C240" s="126"/>
      <c r="D240" s="126"/>
      <c r="E240" s="126" t="str">
        <f t="shared" si="3"/>
        <v/>
      </c>
    </row>
    <row r="241" spans="1:5" x14ac:dyDescent="0.2">
      <c r="A241" s="126"/>
      <c r="B241" s="124"/>
      <c r="C241" s="126"/>
      <c r="D241" s="126"/>
      <c r="E241" s="126" t="str">
        <f t="shared" si="3"/>
        <v/>
      </c>
    </row>
    <row r="242" spans="1:5" x14ac:dyDescent="0.2">
      <c r="A242" s="126"/>
      <c r="B242" s="124"/>
      <c r="C242" s="126"/>
      <c r="D242" s="126"/>
      <c r="E242" s="126" t="str">
        <f t="shared" si="3"/>
        <v/>
      </c>
    </row>
    <row r="243" spans="1:5" x14ac:dyDescent="0.2">
      <c r="A243" s="126"/>
      <c r="B243" s="124"/>
      <c r="C243" s="126"/>
      <c r="D243" s="126"/>
      <c r="E243" s="126" t="str">
        <f t="shared" si="3"/>
        <v/>
      </c>
    </row>
    <row r="244" spans="1:5" x14ac:dyDescent="0.2">
      <c r="A244" s="126"/>
      <c r="B244" s="124"/>
      <c r="C244" s="126"/>
      <c r="D244" s="126"/>
      <c r="E244" s="126" t="str">
        <f t="shared" si="3"/>
        <v/>
      </c>
    </row>
    <row r="245" spans="1:5" x14ac:dyDescent="0.2">
      <c r="A245" s="126"/>
      <c r="B245" s="124"/>
      <c r="C245" s="126"/>
      <c r="D245" s="126"/>
      <c r="E245" s="126" t="str">
        <f t="shared" si="3"/>
        <v/>
      </c>
    </row>
    <row r="246" spans="1:5" x14ac:dyDescent="0.2">
      <c r="A246" s="126"/>
      <c r="B246" s="124"/>
      <c r="C246" s="126"/>
      <c r="D246" s="126"/>
      <c r="E246" s="126" t="str">
        <f t="shared" si="3"/>
        <v/>
      </c>
    </row>
    <row r="247" spans="1:5" x14ac:dyDescent="0.2">
      <c r="A247" s="126"/>
      <c r="B247" s="124"/>
      <c r="C247" s="126"/>
      <c r="D247" s="126"/>
      <c r="E247" s="126" t="str">
        <f t="shared" si="3"/>
        <v/>
      </c>
    </row>
    <row r="248" spans="1:5" x14ac:dyDescent="0.2">
      <c r="A248" s="126"/>
      <c r="B248" s="124"/>
      <c r="C248" s="126"/>
      <c r="D248" s="126"/>
      <c r="E248" s="126" t="str">
        <f t="shared" si="3"/>
        <v/>
      </c>
    </row>
    <row r="249" spans="1:5" x14ac:dyDescent="0.2">
      <c r="A249" s="126"/>
      <c r="B249" s="124"/>
      <c r="C249" s="126"/>
      <c r="D249" s="126"/>
      <c r="E249" s="126" t="str">
        <f t="shared" si="3"/>
        <v/>
      </c>
    </row>
    <row r="250" spans="1:5" x14ac:dyDescent="0.2">
      <c r="A250" s="126"/>
      <c r="B250" s="124"/>
      <c r="C250" s="126"/>
      <c r="D250" s="126"/>
      <c r="E250" s="126" t="str">
        <f t="shared" si="3"/>
        <v/>
      </c>
    </row>
    <row r="251" spans="1:5" x14ac:dyDescent="0.2">
      <c r="A251" s="126"/>
      <c r="B251" s="124"/>
      <c r="C251" s="126"/>
      <c r="D251" s="126"/>
      <c r="E251" s="126" t="str">
        <f t="shared" si="3"/>
        <v/>
      </c>
    </row>
    <row r="252" spans="1:5" x14ac:dyDescent="0.2">
      <c r="A252" s="126"/>
      <c r="B252" s="124"/>
      <c r="C252" s="126"/>
      <c r="D252" s="126"/>
      <c r="E252" s="126" t="str">
        <f t="shared" si="3"/>
        <v/>
      </c>
    </row>
    <row r="253" spans="1:5" x14ac:dyDescent="0.2">
      <c r="A253" s="126"/>
      <c r="B253" s="124"/>
      <c r="C253" s="126"/>
      <c r="D253" s="126"/>
      <c r="E253" s="126" t="str">
        <f t="shared" si="3"/>
        <v/>
      </c>
    </row>
    <row r="254" spans="1:5" x14ac:dyDescent="0.2">
      <c r="A254" s="126"/>
      <c r="B254" s="124"/>
      <c r="C254" s="126"/>
      <c r="D254" s="126"/>
      <c r="E254" s="126" t="str">
        <f t="shared" si="3"/>
        <v/>
      </c>
    </row>
    <row r="255" spans="1:5" x14ac:dyDescent="0.2">
      <c r="A255" s="126"/>
      <c r="B255" s="124"/>
      <c r="C255" s="126"/>
      <c r="D255" s="126"/>
      <c r="E255" s="126" t="str">
        <f t="shared" si="3"/>
        <v/>
      </c>
    </row>
    <row r="256" spans="1:5" x14ac:dyDescent="0.2">
      <c r="A256" s="126"/>
      <c r="B256" s="124"/>
      <c r="C256" s="126"/>
      <c r="D256" s="126"/>
      <c r="E256" s="126" t="str">
        <f t="shared" si="3"/>
        <v/>
      </c>
    </row>
    <row r="257" spans="1:5" x14ac:dyDescent="0.2">
      <c r="A257" s="126"/>
      <c r="B257" s="124"/>
      <c r="C257" s="126"/>
      <c r="D257" s="126"/>
      <c r="E257" s="126" t="str">
        <f t="shared" si="3"/>
        <v/>
      </c>
    </row>
    <row r="258" spans="1:5" x14ac:dyDescent="0.2">
      <c r="A258" s="126"/>
      <c r="B258" s="124"/>
      <c r="C258" s="126"/>
      <c r="D258" s="126"/>
      <c r="E258" s="126" t="str">
        <f t="shared" si="3"/>
        <v/>
      </c>
    </row>
    <row r="259" spans="1:5" x14ac:dyDescent="0.2">
      <c r="A259" s="126"/>
      <c r="B259" s="124"/>
      <c r="C259" s="126"/>
      <c r="D259" s="126"/>
      <c r="E259" s="126" t="str">
        <f t="shared" si="3"/>
        <v/>
      </c>
    </row>
    <row r="260" spans="1:5" x14ac:dyDescent="0.2">
      <c r="A260" s="126"/>
      <c r="B260" s="124"/>
      <c r="C260" s="126"/>
      <c r="D260" s="126"/>
      <c r="E260" s="126" t="str">
        <f t="shared" ref="E260:E323" si="4">IFERROR(VLOOKUP(D260,Tabla_Indices,5,FALSE),"")</f>
        <v/>
      </c>
    </row>
    <row r="261" spans="1:5" x14ac:dyDescent="0.2">
      <c r="A261" s="126"/>
      <c r="B261" s="124"/>
      <c r="C261" s="126"/>
      <c r="D261" s="126"/>
      <c r="E261" s="126" t="str">
        <f t="shared" si="4"/>
        <v/>
      </c>
    </row>
    <row r="262" spans="1:5" x14ac:dyDescent="0.2">
      <c r="A262" s="126"/>
      <c r="B262" s="124"/>
      <c r="C262" s="126"/>
      <c r="D262" s="126"/>
      <c r="E262" s="126" t="str">
        <f t="shared" si="4"/>
        <v/>
      </c>
    </row>
    <row r="263" spans="1:5" x14ac:dyDescent="0.2">
      <c r="A263" s="126"/>
      <c r="B263" s="124"/>
      <c r="C263" s="126"/>
      <c r="D263" s="126"/>
      <c r="E263" s="126" t="str">
        <f t="shared" si="4"/>
        <v/>
      </c>
    </row>
    <row r="264" spans="1:5" x14ac:dyDescent="0.2">
      <c r="A264" s="126"/>
      <c r="B264" s="124"/>
      <c r="C264" s="126"/>
      <c r="D264" s="126"/>
      <c r="E264" s="126" t="str">
        <f t="shared" si="4"/>
        <v/>
      </c>
    </row>
    <row r="265" spans="1:5" x14ac:dyDescent="0.2">
      <c r="A265" s="126"/>
      <c r="B265" s="124"/>
      <c r="C265" s="126"/>
      <c r="D265" s="126"/>
      <c r="E265" s="126" t="str">
        <f t="shared" si="4"/>
        <v/>
      </c>
    </row>
    <row r="266" spans="1:5" x14ac:dyDescent="0.2">
      <c r="A266" s="126"/>
      <c r="B266" s="124"/>
      <c r="C266" s="126"/>
      <c r="D266" s="126"/>
      <c r="E266" s="126" t="str">
        <f t="shared" si="4"/>
        <v/>
      </c>
    </row>
    <row r="267" spans="1:5" x14ac:dyDescent="0.2">
      <c r="A267" s="126"/>
      <c r="B267" s="124"/>
      <c r="C267" s="126"/>
      <c r="D267" s="126"/>
      <c r="E267" s="126" t="str">
        <f t="shared" si="4"/>
        <v/>
      </c>
    </row>
    <row r="268" spans="1:5" x14ac:dyDescent="0.2">
      <c r="A268" s="126"/>
      <c r="B268" s="124"/>
      <c r="C268" s="126"/>
      <c r="D268" s="126"/>
      <c r="E268" s="126" t="str">
        <f t="shared" si="4"/>
        <v/>
      </c>
    </row>
    <row r="269" spans="1:5" x14ac:dyDescent="0.2">
      <c r="A269" s="126"/>
      <c r="B269" s="124"/>
      <c r="C269" s="126"/>
      <c r="D269" s="126"/>
      <c r="E269" s="126" t="str">
        <f t="shared" si="4"/>
        <v/>
      </c>
    </row>
    <row r="270" spans="1:5" x14ac:dyDescent="0.2">
      <c r="A270" s="126"/>
      <c r="B270" s="124"/>
      <c r="C270" s="126"/>
      <c r="D270" s="126"/>
      <c r="E270" s="126" t="str">
        <f t="shared" si="4"/>
        <v/>
      </c>
    </row>
    <row r="271" spans="1:5" x14ac:dyDescent="0.2">
      <c r="A271" s="126"/>
      <c r="B271" s="124"/>
      <c r="C271" s="126"/>
      <c r="D271" s="126"/>
      <c r="E271" s="126" t="str">
        <f t="shared" si="4"/>
        <v/>
      </c>
    </row>
    <row r="272" spans="1:5" x14ac:dyDescent="0.2">
      <c r="A272" s="126"/>
      <c r="B272" s="124"/>
      <c r="C272" s="126"/>
      <c r="D272" s="126"/>
      <c r="E272" s="126" t="str">
        <f t="shared" si="4"/>
        <v/>
      </c>
    </row>
    <row r="273" spans="1:5" x14ac:dyDescent="0.2">
      <c r="A273" s="126"/>
      <c r="B273" s="124"/>
      <c r="C273" s="126"/>
      <c r="D273" s="126"/>
      <c r="E273" s="126" t="str">
        <f t="shared" si="4"/>
        <v/>
      </c>
    </row>
    <row r="274" spans="1:5" x14ac:dyDescent="0.2">
      <c r="A274" s="126"/>
      <c r="B274" s="124"/>
      <c r="C274" s="126"/>
      <c r="D274" s="126"/>
      <c r="E274" s="126" t="str">
        <f t="shared" si="4"/>
        <v/>
      </c>
    </row>
    <row r="275" spans="1:5" x14ac:dyDescent="0.2">
      <c r="A275" s="126"/>
      <c r="B275" s="124"/>
      <c r="C275" s="126"/>
      <c r="D275" s="126"/>
      <c r="E275" s="126" t="str">
        <f t="shared" si="4"/>
        <v/>
      </c>
    </row>
    <row r="276" spans="1:5" x14ac:dyDescent="0.2">
      <c r="A276" s="126"/>
      <c r="B276" s="124"/>
      <c r="C276" s="126"/>
      <c r="D276" s="126"/>
      <c r="E276" s="126" t="str">
        <f t="shared" si="4"/>
        <v/>
      </c>
    </row>
    <row r="277" spans="1:5" x14ac:dyDescent="0.2">
      <c r="A277" s="126"/>
      <c r="B277" s="124"/>
      <c r="C277" s="126"/>
      <c r="D277" s="126"/>
      <c r="E277" s="126" t="str">
        <f t="shared" si="4"/>
        <v/>
      </c>
    </row>
    <row r="278" spans="1:5" x14ac:dyDescent="0.2">
      <c r="A278" s="126"/>
      <c r="B278" s="124"/>
      <c r="C278" s="126"/>
      <c r="D278" s="126"/>
      <c r="E278" s="126" t="str">
        <f t="shared" si="4"/>
        <v/>
      </c>
    </row>
    <row r="279" spans="1:5" x14ac:dyDescent="0.2">
      <c r="A279" s="126"/>
      <c r="B279" s="124"/>
      <c r="C279" s="126"/>
      <c r="D279" s="126"/>
      <c r="E279" s="126" t="str">
        <f t="shared" si="4"/>
        <v/>
      </c>
    </row>
    <row r="280" spans="1:5" x14ac:dyDescent="0.2">
      <c r="A280" s="126"/>
      <c r="B280" s="124"/>
      <c r="C280" s="126"/>
      <c r="D280" s="126"/>
      <c r="E280" s="126" t="str">
        <f t="shared" si="4"/>
        <v/>
      </c>
    </row>
    <row r="281" spans="1:5" x14ac:dyDescent="0.2">
      <c r="A281" s="126"/>
      <c r="B281" s="124"/>
      <c r="C281" s="126"/>
      <c r="D281" s="126"/>
      <c r="E281" s="126" t="str">
        <f t="shared" si="4"/>
        <v/>
      </c>
    </row>
    <row r="282" spans="1:5" x14ac:dyDescent="0.2">
      <c r="A282" s="126"/>
      <c r="B282" s="124"/>
      <c r="C282" s="126"/>
      <c r="D282" s="126"/>
      <c r="E282" s="126" t="str">
        <f t="shared" si="4"/>
        <v/>
      </c>
    </row>
    <row r="283" spans="1:5" x14ac:dyDescent="0.2">
      <c r="A283" s="126"/>
      <c r="B283" s="124"/>
      <c r="C283" s="126"/>
      <c r="D283" s="126"/>
      <c r="E283" s="126" t="str">
        <f t="shared" si="4"/>
        <v/>
      </c>
    </row>
    <row r="284" spans="1:5" x14ac:dyDescent="0.2">
      <c r="A284" s="126"/>
      <c r="B284" s="124"/>
      <c r="C284" s="126"/>
      <c r="D284" s="126"/>
      <c r="E284" s="126" t="str">
        <f t="shared" si="4"/>
        <v/>
      </c>
    </row>
    <row r="285" spans="1:5" x14ac:dyDescent="0.2">
      <c r="A285" s="126"/>
      <c r="B285" s="124"/>
      <c r="C285" s="126"/>
      <c r="D285" s="126"/>
      <c r="E285" s="126" t="str">
        <f t="shared" si="4"/>
        <v/>
      </c>
    </row>
    <row r="286" spans="1:5" x14ac:dyDescent="0.2">
      <c r="A286" s="126"/>
      <c r="B286" s="124"/>
      <c r="C286" s="126"/>
      <c r="D286" s="126"/>
      <c r="E286" s="126" t="str">
        <f t="shared" si="4"/>
        <v/>
      </c>
    </row>
    <row r="287" spans="1:5" x14ac:dyDescent="0.2">
      <c r="A287" s="126"/>
      <c r="B287" s="124"/>
      <c r="C287" s="126"/>
      <c r="D287" s="126"/>
      <c r="E287" s="126" t="str">
        <f t="shared" si="4"/>
        <v/>
      </c>
    </row>
    <row r="288" spans="1:5" x14ac:dyDescent="0.2">
      <c r="A288" s="126"/>
      <c r="B288" s="124"/>
      <c r="C288" s="126"/>
      <c r="D288" s="126"/>
      <c r="E288" s="126" t="str">
        <f t="shared" si="4"/>
        <v/>
      </c>
    </row>
    <row r="289" spans="1:5" x14ac:dyDescent="0.2">
      <c r="A289" s="126"/>
      <c r="B289" s="124"/>
      <c r="C289" s="126"/>
      <c r="D289" s="126"/>
      <c r="E289" s="126" t="str">
        <f t="shared" si="4"/>
        <v/>
      </c>
    </row>
    <row r="290" spans="1:5" x14ac:dyDescent="0.2">
      <c r="A290" s="126"/>
      <c r="B290" s="124"/>
      <c r="C290" s="126"/>
      <c r="D290" s="126"/>
      <c r="E290" s="126" t="str">
        <f t="shared" si="4"/>
        <v/>
      </c>
    </row>
    <row r="291" spans="1:5" x14ac:dyDescent="0.2">
      <c r="A291" s="126"/>
      <c r="B291" s="124"/>
      <c r="C291" s="126"/>
      <c r="D291" s="126"/>
      <c r="E291" s="126" t="str">
        <f t="shared" si="4"/>
        <v/>
      </c>
    </row>
    <row r="292" spans="1:5" x14ac:dyDescent="0.2">
      <c r="A292" s="126"/>
      <c r="B292" s="124"/>
      <c r="C292" s="126"/>
      <c r="D292" s="126"/>
      <c r="E292" s="126" t="str">
        <f t="shared" si="4"/>
        <v/>
      </c>
    </row>
    <row r="293" spans="1:5" x14ac:dyDescent="0.2">
      <c r="A293" s="126"/>
      <c r="B293" s="124"/>
      <c r="C293" s="126"/>
      <c r="D293" s="126"/>
      <c r="E293" s="126" t="str">
        <f t="shared" si="4"/>
        <v/>
      </c>
    </row>
    <row r="294" spans="1:5" x14ac:dyDescent="0.2">
      <c r="A294" s="126"/>
      <c r="B294" s="124"/>
      <c r="C294" s="126"/>
      <c r="D294" s="126"/>
      <c r="E294" s="126" t="str">
        <f t="shared" si="4"/>
        <v/>
      </c>
    </row>
    <row r="295" spans="1:5" x14ac:dyDescent="0.2">
      <c r="A295" s="126"/>
      <c r="B295" s="124"/>
      <c r="C295" s="126"/>
      <c r="D295" s="126"/>
      <c r="E295" s="126" t="str">
        <f t="shared" si="4"/>
        <v/>
      </c>
    </row>
    <row r="296" spans="1:5" x14ac:dyDescent="0.2">
      <c r="A296" s="126"/>
      <c r="B296" s="124"/>
      <c r="C296" s="126"/>
      <c r="D296" s="126"/>
      <c r="E296" s="126" t="str">
        <f t="shared" si="4"/>
        <v/>
      </c>
    </row>
    <row r="297" spans="1:5" x14ac:dyDescent="0.2">
      <c r="A297" s="126"/>
      <c r="B297" s="124"/>
      <c r="C297" s="126"/>
      <c r="D297" s="126"/>
      <c r="E297" s="126" t="str">
        <f t="shared" si="4"/>
        <v/>
      </c>
    </row>
    <row r="298" spans="1:5" x14ac:dyDescent="0.2">
      <c r="A298" s="126"/>
      <c r="B298" s="124"/>
      <c r="C298" s="126"/>
      <c r="D298" s="126"/>
      <c r="E298" s="126" t="str">
        <f t="shared" si="4"/>
        <v/>
      </c>
    </row>
    <row r="299" spans="1:5" x14ac:dyDescent="0.2">
      <c r="A299" s="126"/>
      <c r="B299" s="124"/>
      <c r="C299" s="126"/>
      <c r="D299" s="126"/>
      <c r="E299" s="126" t="str">
        <f t="shared" si="4"/>
        <v/>
      </c>
    </row>
    <row r="300" spans="1:5" x14ac:dyDescent="0.2">
      <c r="A300" s="126"/>
      <c r="B300" s="124"/>
      <c r="C300" s="126"/>
      <c r="D300" s="126"/>
      <c r="E300" s="126" t="str">
        <f t="shared" si="4"/>
        <v/>
      </c>
    </row>
    <row r="301" spans="1:5" x14ac:dyDescent="0.2">
      <c r="A301" s="126"/>
      <c r="B301" s="124"/>
      <c r="C301" s="126"/>
      <c r="D301" s="126"/>
      <c r="E301" s="126" t="str">
        <f t="shared" si="4"/>
        <v/>
      </c>
    </row>
    <row r="302" spans="1:5" x14ac:dyDescent="0.2">
      <c r="A302" s="126"/>
      <c r="B302" s="124"/>
      <c r="C302" s="126"/>
      <c r="D302" s="126"/>
      <c r="E302" s="126" t="str">
        <f t="shared" si="4"/>
        <v/>
      </c>
    </row>
    <row r="303" spans="1:5" x14ac:dyDescent="0.2">
      <c r="A303" s="126"/>
      <c r="B303" s="124"/>
      <c r="C303" s="126"/>
      <c r="D303" s="126"/>
      <c r="E303" s="126" t="str">
        <f t="shared" si="4"/>
        <v/>
      </c>
    </row>
    <row r="304" spans="1:5" x14ac:dyDescent="0.2">
      <c r="A304" s="126"/>
      <c r="B304" s="124"/>
      <c r="C304" s="126"/>
      <c r="D304" s="126"/>
      <c r="E304" s="126" t="str">
        <f t="shared" si="4"/>
        <v/>
      </c>
    </row>
    <row r="305" spans="1:5" x14ac:dyDescent="0.2">
      <c r="A305" s="126"/>
      <c r="B305" s="124"/>
      <c r="C305" s="126"/>
      <c r="D305" s="126"/>
      <c r="E305" s="126" t="str">
        <f t="shared" si="4"/>
        <v/>
      </c>
    </row>
    <row r="306" spans="1:5" x14ac:dyDescent="0.2">
      <c r="A306" s="126"/>
      <c r="B306" s="124"/>
      <c r="C306" s="126"/>
      <c r="D306" s="126"/>
      <c r="E306" s="126" t="str">
        <f t="shared" si="4"/>
        <v/>
      </c>
    </row>
    <row r="307" spans="1:5" x14ac:dyDescent="0.2">
      <c r="A307" s="126"/>
      <c r="B307" s="124"/>
      <c r="C307" s="126"/>
      <c r="D307" s="126"/>
      <c r="E307" s="126" t="str">
        <f t="shared" si="4"/>
        <v/>
      </c>
    </row>
    <row r="308" spans="1:5" x14ac:dyDescent="0.2">
      <c r="A308" s="126"/>
      <c r="B308" s="124"/>
      <c r="C308" s="126"/>
      <c r="D308" s="126"/>
      <c r="E308" s="126" t="str">
        <f t="shared" si="4"/>
        <v/>
      </c>
    </row>
    <row r="309" spans="1:5" x14ac:dyDescent="0.2">
      <c r="A309" s="126"/>
      <c r="B309" s="124"/>
      <c r="C309" s="126"/>
      <c r="D309" s="126"/>
      <c r="E309" s="126" t="str">
        <f t="shared" si="4"/>
        <v/>
      </c>
    </row>
    <row r="310" spans="1:5" x14ac:dyDescent="0.2">
      <c r="A310" s="126"/>
      <c r="B310" s="124"/>
      <c r="C310" s="126"/>
      <c r="D310" s="126"/>
      <c r="E310" s="126" t="str">
        <f t="shared" si="4"/>
        <v/>
      </c>
    </row>
    <row r="311" spans="1:5" x14ac:dyDescent="0.2">
      <c r="A311" s="126"/>
      <c r="B311" s="124"/>
      <c r="C311" s="126"/>
      <c r="D311" s="126"/>
      <c r="E311" s="126" t="str">
        <f t="shared" si="4"/>
        <v/>
      </c>
    </row>
    <row r="312" spans="1:5" x14ac:dyDescent="0.2">
      <c r="A312" s="126"/>
      <c r="B312" s="124"/>
      <c r="C312" s="126"/>
      <c r="D312" s="126"/>
      <c r="E312" s="126" t="str">
        <f t="shared" si="4"/>
        <v/>
      </c>
    </row>
    <row r="313" spans="1:5" x14ac:dyDescent="0.2">
      <c r="A313" s="126"/>
      <c r="B313" s="124"/>
      <c r="C313" s="126"/>
      <c r="D313" s="126"/>
      <c r="E313" s="126" t="str">
        <f t="shared" si="4"/>
        <v/>
      </c>
    </row>
    <row r="314" spans="1:5" x14ac:dyDescent="0.2">
      <c r="A314" s="126"/>
      <c r="B314" s="124"/>
      <c r="C314" s="126"/>
      <c r="D314" s="126"/>
      <c r="E314" s="126" t="str">
        <f t="shared" si="4"/>
        <v/>
      </c>
    </row>
    <row r="315" spans="1:5" x14ac:dyDescent="0.2">
      <c r="A315" s="126"/>
      <c r="B315" s="124"/>
      <c r="C315" s="126"/>
      <c r="D315" s="126"/>
      <c r="E315" s="126" t="str">
        <f t="shared" si="4"/>
        <v/>
      </c>
    </row>
    <row r="316" spans="1:5" x14ac:dyDescent="0.2">
      <c r="A316" s="126"/>
      <c r="B316" s="124"/>
      <c r="C316" s="126"/>
      <c r="D316" s="126"/>
      <c r="E316" s="126" t="str">
        <f t="shared" si="4"/>
        <v/>
      </c>
    </row>
    <row r="317" spans="1:5" x14ac:dyDescent="0.2">
      <c r="A317" s="126"/>
      <c r="B317" s="124"/>
      <c r="C317" s="126"/>
      <c r="D317" s="126"/>
      <c r="E317" s="126" t="str">
        <f t="shared" si="4"/>
        <v/>
      </c>
    </row>
    <row r="318" spans="1:5" x14ac:dyDescent="0.2">
      <c r="A318" s="126"/>
      <c r="B318" s="124"/>
      <c r="C318" s="126"/>
      <c r="D318" s="126"/>
      <c r="E318" s="126" t="str">
        <f t="shared" si="4"/>
        <v/>
      </c>
    </row>
    <row r="319" spans="1:5" x14ac:dyDescent="0.2">
      <c r="A319" s="126"/>
      <c r="B319" s="124"/>
      <c r="C319" s="126"/>
      <c r="D319" s="126"/>
      <c r="E319" s="126" t="str">
        <f t="shared" si="4"/>
        <v/>
      </c>
    </row>
    <row r="320" spans="1:5" x14ac:dyDescent="0.2">
      <c r="A320" s="126"/>
      <c r="B320" s="124"/>
      <c r="C320" s="126"/>
      <c r="D320" s="126"/>
      <c r="E320" s="126" t="str">
        <f t="shared" si="4"/>
        <v/>
      </c>
    </row>
    <row r="321" spans="1:5" x14ac:dyDescent="0.2">
      <c r="A321" s="126"/>
      <c r="B321" s="124"/>
      <c r="C321" s="126"/>
      <c r="D321" s="126"/>
      <c r="E321" s="126" t="str">
        <f t="shared" si="4"/>
        <v/>
      </c>
    </row>
    <row r="322" spans="1:5" x14ac:dyDescent="0.2">
      <c r="A322" s="126"/>
      <c r="B322" s="124"/>
      <c r="C322" s="126"/>
      <c r="D322" s="126"/>
      <c r="E322" s="126" t="str">
        <f t="shared" si="4"/>
        <v/>
      </c>
    </row>
    <row r="323" spans="1:5" x14ac:dyDescent="0.2">
      <c r="A323" s="126"/>
      <c r="B323" s="124"/>
      <c r="C323" s="126"/>
      <c r="D323" s="126"/>
      <c r="E323" s="126" t="str">
        <f t="shared" si="4"/>
        <v/>
      </c>
    </row>
    <row r="324" spans="1:5" x14ac:dyDescent="0.2">
      <c r="A324" s="126"/>
      <c r="B324" s="124"/>
      <c r="C324" s="126"/>
      <c r="D324" s="126"/>
      <c r="E324" s="126" t="str">
        <f t="shared" ref="E324:E387" si="5">IFERROR(VLOOKUP(D324,Tabla_Indices,5,FALSE),"")</f>
        <v/>
      </c>
    </row>
    <row r="325" spans="1:5" x14ac:dyDescent="0.2">
      <c r="A325" s="126"/>
      <c r="B325" s="124"/>
      <c r="C325" s="126"/>
      <c r="D325" s="126"/>
      <c r="E325" s="126" t="str">
        <f t="shared" si="5"/>
        <v/>
      </c>
    </row>
    <row r="326" spans="1:5" x14ac:dyDescent="0.2">
      <c r="A326" s="126"/>
      <c r="B326" s="124"/>
      <c r="C326" s="126"/>
      <c r="D326" s="126"/>
      <c r="E326" s="126" t="str">
        <f t="shared" si="5"/>
        <v/>
      </c>
    </row>
    <row r="327" spans="1:5" x14ac:dyDescent="0.2">
      <c r="A327" s="126"/>
      <c r="B327" s="124"/>
      <c r="C327" s="126"/>
      <c r="D327" s="126"/>
      <c r="E327" s="126" t="str">
        <f t="shared" si="5"/>
        <v/>
      </c>
    </row>
    <row r="328" spans="1:5" x14ac:dyDescent="0.2">
      <c r="A328" s="126"/>
      <c r="B328" s="124"/>
      <c r="C328" s="126"/>
      <c r="D328" s="126"/>
      <c r="E328" s="126" t="str">
        <f t="shared" si="5"/>
        <v/>
      </c>
    </row>
    <row r="329" spans="1:5" x14ac:dyDescent="0.2">
      <c r="A329" s="126"/>
      <c r="B329" s="124"/>
      <c r="C329" s="126"/>
      <c r="D329" s="126"/>
      <c r="E329" s="126" t="str">
        <f t="shared" si="5"/>
        <v/>
      </c>
    </row>
    <row r="330" spans="1:5" x14ac:dyDescent="0.2">
      <c r="A330" s="126"/>
      <c r="B330" s="124"/>
      <c r="C330" s="126"/>
      <c r="D330" s="126"/>
      <c r="E330" s="126" t="str">
        <f t="shared" si="5"/>
        <v/>
      </c>
    </row>
    <row r="331" spans="1:5" x14ac:dyDescent="0.2">
      <c r="A331" s="126"/>
      <c r="B331" s="124"/>
      <c r="C331" s="126"/>
      <c r="D331" s="126"/>
      <c r="E331" s="126" t="str">
        <f t="shared" si="5"/>
        <v/>
      </c>
    </row>
    <row r="332" spans="1:5" x14ac:dyDescent="0.2">
      <c r="A332" s="126"/>
      <c r="B332" s="124"/>
      <c r="C332" s="126"/>
      <c r="D332" s="126"/>
      <c r="E332" s="126" t="str">
        <f t="shared" si="5"/>
        <v/>
      </c>
    </row>
    <row r="333" spans="1:5" x14ac:dyDescent="0.2">
      <c r="A333" s="126"/>
      <c r="B333" s="124"/>
      <c r="C333" s="126"/>
      <c r="D333" s="126"/>
      <c r="E333" s="126" t="str">
        <f t="shared" si="5"/>
        <v/>
      </c>
    </row>
    <row r="334" spans="1:5" x14ac:dyDescent="0.2">
      <c r="A334" s="126"/>
      <c r="B334" s="124"/>
      <c r="C334" s="126"/>
      <c r="D334" s="126"/>
      <c r="E334" s="126" t="str">
        <f t="shared" si="5"/>
        <v/>
      </c>
    </row>
    <row r="335" spans="1:5" x14ac:dyDescent="0.2">
      <c r="A335" s="126"/>
      <c r="B335" s="124"/>
      <c r="C335" s="126"/>
      <c r="D335" s="126"/>
      <c r="E335" s="126" t="str">
        <f t="shared" si="5"/>
        <v/>
      </c>
    </row>
    <row r="336" spans="1:5" x14ac:dyDescent="0.2">
      <c r="A336" s="126"/>
      <c r="B336" s="124"/>
      <c r="C336" s="126"/>
      <c r="D336" s="126"/>
      <c r="E336" s="126" t="str">
        <f t="shared" si="5"/>
        <v/>
      </c>
    </row>
    <row r="337" spans="1:5" x14ac:dyDescent="0.2">
      <c r="A337" s="126"/>
      <c r="B337" s="124"/>
      <c r="C337" s="126"/>
      <c r="D337" s="126"/>
      <c r="E337" s="126" t="str">
        <f t="shared" si="5"/>
        <v/>
      </c>
    </row>
    <row r="338" spans="1:5" x14ac:dyDescent="0.2">
      <c r="A338" s="126"/>
      <c r="B338" s="124"/>
      <c r="C338" s="126"/>
      <c r="D338" s="126"/>
      <c r="E338" s="126" t="str">
        <f t="shared" si="5"/>
        <v/>
      </c>
    </row>
    <row r="339" spans="1:5" x14ac:dyDescent="0.2">
      <c r="A339" s="126"/>
      <c r="B339" s="124"/>
      <c r="C339" s="126"/>
      <c r="D339" s="126"/>
      <c r="E339" s="126" t="str">
        <f t="shared" si="5"/>
        <v/>
      </c>
    </row>
    <row r="340" spans="1:5" x14ac:dyDescent="0.2">
      <c r="A340" s="126"/>
      <c r="B340" s="124"/>
      <c r="C340" s="126"/>
      <c r="D340" s="126"/>
      <c r="E340" s="126" t="str">
        <f t="shared" si="5"/>
        <v/>
      </c>
    </row>
    <row r="341" spans="1:5" x14ac:dyDescent="0.2">
      <c r="A341" s="126"/>
      <c r="B341" s="124"/>
      <c r="C341" s="126"/>
      <c r="D341" s="126"/>
      <c r="E341" s="126" t="str">
        <f t="shared" si="5"/>
        <v/>
      </c>
    </row>
    <row r="342" spans="1:5" x14ac:dyDescent="0.2">
      <c r="A342" s="126"/>
      <c r="B342" s="124"/>
      <c r="C342" s="126"/>
      <c r="D342" s="126"/>
      <c r="E342" s="126" t="str">
        <f t="shared" si="5"/>
        <v/>
      </c>
    </row>
    <row r="343" spans="1:5" x14ac:dyDescent="0.2">
      <c r="A343" s="126"/>
      <c r="B343" s="124"/>
      <c r="C343" s="126"/>
      <c r="D343" s="126"/>
      <c r="E343" s="126" t="str">
        <f t="shared" si="5"/>
        <v/>
      </c>
    </row>
    <row r="344" spans="1:5" x14ac:dyDescent="0.2">
      <c r="A344" s="126"/>
      <c r="B344" s="124"/>
      <c r="C344" s="126"/>
      <c r="D344" s="126"/>
      <c r="E344" s="126" t="str">
        <f t="shared" si="5"/>
        <v/>
      </c>
    </row>
    <row r="345" spans="1:5" x14ac:dyDescent="0.2">
      <c r="A345" s="126"/>
      <c r="B345" s="124"/>
      <c r="C345" s="126"/>
      <c r="D345" s="126"/>
      <c r="E345" s="126" t="str">
        <f t="shared" si="5"/>
        <v/>
      </c>
    </row>
    <row r="346" spans="1:5" x14ac:dyDescent="0.2">
      <c r="A346" s="126"/>
      <c r="B346" s="124"/>
      <c r="C346" s="126"/>
      <c r="D346" s="126"/>
      <c r="E346" s="126" t="str">
        <f t="shared" si="5"/>
        <v/>
      </c>
    </row>
    <row r="347" spans="1:5" x14ac:dyDescent="0.2">
      <c r="A347" s="126"/>
      <c r="B347" s="124"/>
      <c r="C347" s="126"/>
      <c r="D347" s="126"/>
      <c r="E347" s="126" t="str">
        <f t="shared" si="5"/>
        <v/>
      </c>
    </row>
    <row r="348" spans="1:5" x14ac:dyDescent="0.2">
      <c r="A348" s="126"/>
      <c r="B348" s="124"/>
      <c r="C348" s="126"/>
      <c r="D348" s="126"/>
      <c r="E348" s="126" t="str">
        <f t="shared" si="5"/>
        <v/>
      </c>
    </row>
    <row r="349" spans="1:5" x14ac:dyDescent="0.2">
      <c r="A349" s="126"/>
      <c r="B349" s="124"/>
      <c r="C349" s="126"/>
      <c r="D349" s="126"/>
      <c r="E349" s="126" t="str">
        <f t="shared" si="5"/>
        <v/>
      </c>
    </row>
    <row r="350" spans="1:5" x14ac:dyDescent="0.2">
      <c r="A350" s="126"/>
      <c r="B350" s="124"/>
      <c r="C350" s="126"/>
      <c r="D350" s="126"/>
      <c r="E350" s="126" t="str">
        <f t="shared" si="5"/>
        <v/>
      </c>
    </row>
    <row r="351" spans="1:5" x14ac:dyDescent="0.2">
      <c r="A351" s="126"/>
      <c r="B351" s="124"/>
      <c r="C351" s="126"/>
      <c r="D351" s="126"/>
      <c r="E351" s="126" t="str">
        <f t="shared" si="5"/>
        <v/>
      </c>
    </row>
    <row r="352" spans="1:5" x14ac:dyDescent="0.2">
      <c r="A352" s="126"/>
      <c r="B352" s="124"/>
      <c r="C352" s="126"/>
      <c r="D352" s="126"/>
      <c r="E352" s="126" t="str">
        <f t="shared" si="5"/>
        <v/>
      </c>
    </row>
    <row r="353" spans="1:5" x14ac:dyDescent="0.2">
      <c r="A353" s="126"/>
      <c r="B353" s="124"/>
      <c r="C353" s="126"/>
      <c r="D353" s="126"/>
      <c r="E353" s="126" t="str">
        <f t="shared" si="5"/>
        <v/>
      </c>
    </row>
    <row r="354" spans="1:5" x14ac:dyDescent="0.2">
      <c r="A354" s="126"/>
      <c r="B354" s="124"/>
      <c r="C354" s="126"/>
      <c r="D354" s="126"/>
      <c r="E354" s="126" t="str">
        <f t="shared" si="5"/>
        <v/>
      </c>
    </row>
    <row r="355" spans="1:5" x14ac:dyDescent="0.2">
      <c r="A355" s="126"/>
      <c r="B355" s="124"/>
      <c r="C355" s="126"/>
      <c r="D355" s="126"/>
      <c r="E355" s="126" t="str">
        <f t="shared" si="5"/>
        <v/>
      </c>
    </row>
    <row r="356" spans="1:5" x14ac:dyDescent="0.2">
      <c r="A356" s="126"/>
      <c r="B356" s="124"/>
      <c r="C356" s="126"/>
      <c r="D356" s="126"/>
      <c r="E356" s="126" t="str">
        <f t="shared" si="5"/>
        <v/>
      </c>
    </row>
    <row r="357" spans="1:5" x14ac:dyDescent="0.2">
      <c r="A357" s="126"/>
      <c r="B357" s="124"/>
      <c r="C357" s="126"/>
      <c r="D357" s="126"/>
      <c r="E357" s="126" t="str">
        <f t="shared" si="5"/>
        <v/>
      </c>
    </row>
    <row r="358" spans="1:5" x14ac:dyDescent="0.2">
      <c r="A358" s="126"/>
      <c r="B358" s="124"/>
      <c r="C358" s="126"/>
      <c r="D358" s="126"/>
      <c r="E358" s="126" t="str">
        <f t="shared" si="5"/>
        <v/>
      </c>
    </row>
    <row r="359" spans="1:5" x14ac:dyDescent="0.2">
      <c r="A359" s="126"/>
      <c r="B359" s="124"/>
      <c r="C359" s="126"/>
      <c r="D359" s="126"/>
      <c r="E359" s="126" t="str">
        <f t="shared" si="5"/>
        <v/>
      </c>
    </row>
    <row r="360" spans="1:5" x14ac:dyDescent="0.2">
      <c r="A360" s="126"/>
      <c r="B360" s="124"/>
      <c r="C360" s="126"/>
      <c r="D360" s="126"/>
      <c r="E360" s="126" t="str">
        <f t="shared" si="5"/>
        <v/>
      </c>
    </row>
    <row r="361" spans="1:5" x14ac:dyDescent="0.2">
      <c r="A361" s="126"/>
      <c r="B361" s="124"/>
      <c r="C361" s="126"/>
      <c r="D361" s="126"/>
      <c r="E361" s="126" t="str">
        <f t="shared" si="5"/>
        <v/>
      </c>
    </row>
    <row r="362" spans="1:5" x14ac:dyDescent="0.2">
      <c r="A362" s="126"/>
      <c r="B362" s="124"/>
      <c r="C362" s="126"/>
      <c r="D362" s="126"/>
      <c r="E362" s="126" t="str">
        <f t="shared" si="5"/>
        <v/>
      </c>
    </row>
    <row r="363" spans="1:5" x14ac:dyDescent="0.2">
      <c r="A363" s="126"/>
      <c r="B363" s="124"/>
      <c r="C363" s="126"/>
      <c r="D363" s="126"/>
      <c r="E363" s="126" t="str">
        <f t="shared" si="5"/>
        <v/>
      </c>
    </row>
    <row r="364" spans="1:5" x14ac:dyDescent="0.2">
      <c r="A364" s="126"/>
      <c r="B364" s="124"/>
      <c r="C364" s="126"/>
      <c r="D364" s="126"/>
      <c r="E364" s="126" t="str">
        <f t="shared" si="5"/>
        <v/>
      </c>
    </row>
    <row r="365" spans="1:5" x14ac:dyDescent="0.2">
      <c r="A365" s="126"/>
      <c r="B365" s="124"/>
      <c r="C365" s="126"/>
      <c r="D365" s="126"/>
      <c r="E365" s="126" t="str">
        <f t="shared" si="5"/>
        <v/>
      </c>
    </row>
    <row r="366" spans="1:5" x14ac:dyDescent="0.2">
      <c r="A366" s="126"/>
      <c r="B366" s="124"/>
      <c r="C366" s="126"/>
      <c r="D366" s="126"/>
      <c r="E366" s="126" t="str">
        <f t="shared" si="5"/>
        <v/>
      </c>
    </row>
    <row r="367" spans="1:5" x14ac:dyDescent="0.2">
      <c r="A367" s="126"/>
      <c r="B367" s="124"/>
      <c r="C367" s="126"/>
      <c r="D367" s="126"/>
      <c r="E367" s="126" t="str">
        <f t="shared" si="5"/>
        <v/>
      </c>
    </row>
    <row r="368" spans="1:5" x14ac:dyDescent="0.2">
      <c r="A368" s="126"/>
      <c r="B368" s="124"/>
      <c r="C368" s="126"/>
      <c r="D368" s="126"/>
      <c r="E368" s="126" t="str">
        <f t="shared" si="5"/>
        <v/>
      </c>
    </row>
    <row r="369" spans="1:5" x14ac:dyDescent="0.2">
      <c r="A369" s="126"/>
      <c r="B369" s="124"/>
      <c r="C369" s="126"/>
      <c r="D369" s="126"/>
      <c r="E369" s="126" t="str">
        <f t="shared" si="5"/>
        <v/>
      </c>
    </row>
    <row r="370" spans="1:5" x14ac:dyDescent="0.2">
      <c r="A370" s="126"/>
      <c r="B370" s="124"/>
      <c r="C370" s="126"/>
      <c r="D370" s="126"/>
      <c r="E370" s="126" t="str">
        <f t="shared" si="5"/>
        <v/>
      </c>
    </row>
    <row r="371" spans="1:5" x14ac:dyDescent="0.2">
      <c r="A371" s="126"/>
      <c r="B371" s="124"/>
      <c r="C371" s="126"/>
      <c r="D371" s="126"/>
      <c r="E371" s="126" t="str">
        <f t="shared" si="5"/>
        <v/>
      </c>
    </row>
    <row r="372" spans="1:5" x14ac:dyDescent="0.2">
      <c r="A372" s="126"/>
      <c r="B372" s="124"/>
      <c r="C372" s="126"/>
      <c r="D372" s="126"/>
      <c r="E372" s="126" t="str">
        <f t="shared" si="5"/>
        <v/>
      </c>
    </row>
    <row r="373" spans="1:5" x14ac:dyDescent="0.2">
      <c r="A373" s="126"/>
      <c r="B373" s="124"/>
      <c r="C373" s="126"/>
      <c r="D373" s="126"/>
      <c r="E373" s="126" t="str">
        <f t="shared" si="5"/>
        <v/>
      </c>
    </row>
    <row r="374" spans="1:5" x14ac:dyDescent="0.2">
      <c r="A374" s="126"/>
      <c r="B374" s="124"/>
      <c r="C374" s="126"/>
      <c r="D374" s="126"/>
      <c r="E374" s="126" t="str">
        <f t="shared" si="5"/>
        <v/>
      </c>
    </row>
    <row r="375" spans="1:5" x14ac:dyDescent="0.2">
      <c r="A375" s="126"/>
      <c r="B375" s="124"/>
      <c r="C375" s="126"/>
      <c r="D375" s="126"/>
      <c r="E375" s="126" t="str">
        <f t="shared" si="5"/>
        <v/>
      </c>
    </row>
    <row r="376" spans="1:5" x14ac:dyDescent="0.2">
      <c r="A376" s="126"/>
      <c r="B376" s="124"/>
      <c r="C376" s="126"/>
      <c r="D376" s="126"/>
      <c r="E376" s="126" t="str">
        <f t="shared" si="5"/>
        <v/>
      </c>
    </row>
    <row r="377" spans="1:5" x14ac:dyDescent="0.2">
      <c r="A377" s="126"/>
      <c r="B377" s="124"/>
      <c r="C377" s="126"/>
      <c r="D377" s="126"/>
      <c r="E377" s="126" t="str">
        <f t="shared" si="5"/>
        <v/>
      </c>
    </row>
    <row r="378" spans="1:5" x14ac:dyDescent="0.2">
      <c r="A378" s="126"/>
      <c r="B378" s="124"/>
      <c r="C378" s="126"/>
      <c r="D378" s="126"/>
      <c r="E378" s="126" t="str">
        <f t="shared" si="5"/>
        <v/>
      </c>
    </row>
    <row r="379" spans="1:5" x14ac:dyDescent="0.2">
      <c r="A379" s="126"/>
      <c r="B379" s="124"/>
      <c r="C379" s="126"/>
      <c r="D379" s="126"/>
      <c r="E379" s="126" t="str">
        <f t="shared" si="5"/>
        <v/>
      </c>
    </row>
    <row r="380" spans="1:5" x14ac:dyDescent="0.2">
      <c r="A380" s="126"/>
      <c r="B380" s="124"/>
      <c r="C380" s="126"/>
      <c r="D380" s="126"/>
      <c r="E380" s="126" t="str">
        <f t="shared" si="5"/>
        <v/>
      </c>
    </row>
    <row r="381" spans="1:5" x14ac:dyDescent="0.2">
      <c r="A381" s="126"/>
      <c r="B381" s="124"/>
      <c r="C381" s="126"/>
      <c r="D381" s="126"/>
      <c r="E381" s="126" t="str">
        <f t="shared" si="5"/>
        <v/>
      </c>
    </row>
    <row r="382" spans="1:5" x14ac:dyDescent="0.2">
      <c r="A382" s="126"/>
      <c r="B382" s="124"/>
      <c r="C382" s="126"/>
      <c r="D382" s="126"/>
      <c r="E382" s="126" t="str">
        <f t="shared" si="5"/>
        <v/>
      </c>
    </row>
    <row r="383" spans="1:5" x14ac:dyDescent="0.2">
      <c r="A383" s="126"/>
      <c r="B383" s="124"/>
      <c r="C383" s="126"/>
      <c r="D383" s="126"/>
      <c r="E383" s="126" t="str">
        <f t="shared" si="5"/>
        <v/>
      </c>
    </row>
    <row r="384" spans="1:5" x14ac:dyDescent="0.2">
      <c r="A384" s="126"/>
      <c r="B384" s="124"/>
      <c r="C384" s="126"/>
      <c r="D384" s="126"/>
      <c r="E384" s="126" t="str">
        <f t="shared" si="5"/>
        <v/>
      </c>
    </row>
    <row r="385" spans="1:5" x14ac:dyDescent="0.2">
      <c r="A385" s="126"/>
      <c r="B385" s="124"/>
      <c r="C385" s="126"/>
      <c r="D385" s="126"/>
      <c r="E385" s="126" t="str">
        <f t="shared" si="5"/>
        <v/>
      </c>
    </row>
    <row r="386" spans="1:5" x14ac:dyDescent="0.2">
      <c r="A386" s="126"/>
      <c r="B386" s="124"/>
      <c r="C386" s="126"/>
      <c r="D386" s="126"/>
      <c r="E386" s="126" t="str">
        <f t="shared" si="5"/>
        <v/>
      </c>
    </row>
    <row r="387" spans="1:5" x14ac:dyDescent="0.2">
      <c r="A387" s="126"/>
      <c r="B387" s="124"/>
      <c r="C387" s="126"/>
      <c r="D387" s="126"/>
      <c r="E387" s="126" t="str">
        <f t="shared" si="5"/>
        <v/>
      </c>
    </row>
    <row r="388" spans="1:5" x14ac:dyDescent="0.2">
      <c r="A388" s="126"/>
      <c r="B388" s="124"/>
      <c r="C388" s="126"/>
      <c r="D388" s="126"/>
      <c r="E388" s="126" t="str">
        <f t="shared" ref="E388:E451" si="6">IFERROR(VLOOKUP(D388,Tabla_Indices,5,FALSE),"")</f>
        <v/>
      </c>
    </row>
    <row r="389" spans="1:5" x14ac:dyDescent="0.2">
      <c r="A389" s="126"/>
      <c r="B389" s="124"/>
      <c r="C389" s="126"/>
      <c r="D389" s="126"/>
      <c r="E389" s="126" t="str">
        <f t="shared" si="6"/>
        <v/>
      </c>
    </row>
    <row r="390" spans="1:5" x14ac:dyDescent="0.2">
      <c r="A390" s="126"/>
      <c r="B390" s="124"/>
      <c r="C390" s="126"/>
      <c r="D390" s="126"/>
      <c r="E390" s="126" t="str">
        <f t="shared" si="6"/>
        <v/>
      </c>
    </row>
    <row r="391" spans="1:5" x14ac:dyDescent="0.2">
      <c r="A391" s="126"/>
      <c r="B391" s="124"/>
      <c r="C391" s="126"/>
      <c r="D391" s="126"/>
      <c r="E391" s="126" t="str">
        <f t="shared" si="6"/>
        <v/>
      </c>
    </row>
    <row r="392" spans="1:5" x14ac:dyDescent="0.2">
      <c r="A392" s="126"/>
      <c r="B392" s="124"/>
      <c r="C392" s="126"/>
      <c r="D392" s="126"/>
      <c r="E392" s="126" t="str">
        <f t="shared" si="6"/>
        <v/>
      </c>
    </row>
    <row r="393" spans="1:5" x14ac:dyDescent="0.2">
      <c r="A393" s="126"/>
      <c r="B393" s="124"/>
      <c r="C393" s="126"/>
      <c r="D393" s="126"/>
      <c r="E393" s="126" t="str">
        <f t="shared" si="6"/>
        <v/>
      </c>
    </row>
    <row r="394" spans="1:5" x14ac:dyDescent="0.2">
      <c r="A394" s="126"/>
      <c r="B394" s="124"/>
      <c r="C394" s="126"/>
      <c r="D394" s="126"/>
      <c r="E394" s="126" t="str">
        <f t="shared" si="6"/>
        <v/>
      </c>
    </row>
    <row r="395" spans="1:5" x14ac:dyDescent="0.2">
      <c r="A395" s="126"/>
      <c r="B395" s="124"/>
      <c r="C395" s="126"/>
      <c r="D395" s="126"/>
      <c r="E395" s="126" t="str">
        <f t="shared" si="6"/>
        <v/>
      </c>
    </row>
    <row r="396" spans="1:5" x14ac:dyDescent="0.2">
      <c r="A396" s="126"/>
      <c r="B396" s="124"/>
      <c r="C396" s="126"/>
      <c r="D396" s="126"/>
      <c r="E396" s="126" t="str">
        <f t="shared" si="6"/>
        <v/>
      </c>
    </row>
    <row r="397" spans="1:5" x14ac:dyDescent="0.2">
      <c r="A397" s="126"/>
      <c r="B397" s="124"/>
      <c r="C397" s="126"/>
      <c r="D397" s="126"/>
      <c r="E397" s="126" t="str">
        <f t="shared" si="6"/>
        <v/>
      </c>
    </row>
    <row r="398" spans="1:5" x14ac:dyDescent="0.2">
      <c r="A398" s="126"/>
      <c r="B398" s="124"/>
      <c r="C398" s="126"/>
      <c r="D398" s="126"/>
      <c r="E398" s="126" t="str">
        <f t="shared" si="6"/>
        <v/>
      </c>
    </row>
    <row r="399" spans="1:5" x14ac:dyDescent="0.2">
      <c r="A399" s="126"/>
      <c r="B399" s="124"/>
      <c r="C399" s="126"/>
      <c r="D399" s="126"/>
      <c r="E399" s="126" t="str">
        <f t="shared" si="6"/>
        <v/>
      </c>
    </row>
    <row r="400" spans="1:5" x14ac:dyDescent="0.2">
      <c r="A400" s="126"/>
      <c r="B400" s="124"/>
      <c r="C400" s="126"/>
      <c r="D400" s="126"/>
      <c r="E400" s="126" t="str">
        <f t="shared" si="6"/>
        <v/>
      </c>
    </row>
    <row r="401" spans="1:5" x14ac:dyDescent="0.2">
      <c r="A401" s="126"/>
      <c r="B401" s="124"/>
      <c r="C401" s="126"/>
      <c r="D401" s="126"/>
      <c r="E401" s="126" t="str">
        <f t="shared" si="6"/>
        <v/>
      </c>
    </row>
    <row r="402" spans="1:5" x14ac:dyDescent="0.2">
      <c r="A402" s="126"/>
      <c r="B402" s="124"/>
      <c r="C402" s="126"/>
      <c r="D402" s="126"/>
      <c r="E402" s="126" t="str">
        <f t="shared" si="6"/>
        <v/>
      </c>
    </row>
    <row r="403" spans="1:5" x14ac:dyDescent="0.2">
      <c r="A403" s="126"/>
      <c r="B403" s="124"/>
      <c r="C403" s="126"/>
      <c r="D403" s="126"/>
      <c r="E403" s="126" t="str">
        <f t="shared" si="6"/>
        <v/>
      </c>
    </row>
    <row r="404" spans="1:5" x14ac:dyDescent="0.2">
      <c r="A404" s="126"/>
      <c r="B404" s="124"/>
      <c r="C404" s="126"/>
      <c r="D404" s="126"/>
      <c r="E404" s="126" t="str">
        <f t="shared" si="6"/>
        <v/>
      </c>
    </row>
    <row r="405" spans="1:5" x14ac:dyDescent="0.2">
      <c r="A405" s="126"/>
      <c r="B405" s="124"/>
      <c r="C405" s="126"/>
      <c r="D405" s="126"/>
      <c r="E405" s="126" t="str">
        <f t="shared" si="6"/>
        <v/>
      </c>
    </row>
    <row r="406" spans="1:5" x14ac:dyDescent="0.2">
      <c r="A406" s="126"/>
      <c r="B406" s="124"/>
      <c r="C406" s="126"/>
      <c r="D406" s="126"/>
      <c r="E406" s="126" t="str">
        <f t="shared" si="6"/>
        <v/>
      </c>
    </row>
    <row r="407" spans="1:5" x14ac:dyDescent="0.2">
      <c r="A407" s="126"/>
      <c r="B407" s="124"/>
      <c r="C407" s="126"/>
      <c r="D407" s="126"/>
      <c r="E407" s="126" t="str">
        <f t="shared" si="6"/>
        <v/>
      </c>
    </row>
    <row r="408" spans="1:5" x14ac:dyDescent="0.2">
      <c r="A408" s="126"/>
      <c r="B408" s="124"/>
      <c r="C408" s="126"/>
      <c r="D408" s="126"/>
      <c r="E408" s="126" t="str">
        <f t="shared" si="6"/>
        <v/>
      </c>
    </row>
    <row r="409" spans="1:5" x14ac:dyDescent="0.2">
      <c r="A409" s="126"/>
      <c r="B409" s="124"/>
      <c r="C409" s="126"/>
      <c r="D409" s="126"/>
      <c r="E409" s="126" t="str">
        <f t="shared" si="6"/>
        <v/>
      </c>
    </row>
    <row r="410" spans="1:5" x14ac:dyDescent="0.2">
      <c r="A410" s="126"/>
      <c r="B410" s="124"/>
      <c r="C410" s="126"/>
      <c r="D410" s="126"/>
      <c r="E410" s="126" t="str">
        <f t="shared" si="6"/>
        <v/>
      </c>
    </row>
    <row r="411" spans="1:5" x14ac:dyDescent="0.2">
      <c r="A411" s="126"/>
      <c r="B411" s="124"/>
      <c r="C411" s="126"/>
      <c r="D411" s="126"/>
      <c r="E411" s="126" t="str">
        <f t="shared" si="6"/>
        <v/>
      </c>
    </row>
    <row r="412" spans="1:5" x14ac:dyDescent="0.2">
      <c r="A412" s="126"/>
      <c r="B412" s="124"/>
      <c r="C412" s="126"/>
      <c r="D412" s="126"/>
      <c r="E412" s="126" t="str">
        <f t="shared" si="6"/>
        <v/>
      </c>
    </row>
    <row r="413" spans="1:5" x14ac:dyDescent="0.2">
      <c r="A413" s="126"/>
      <c r="B413" s="124"/>
      <c r="C413" s="126"/>
      <c r="D413" s="126"/>
      <c r="E413" s="126" t="str">
        <f t="shared" si="6"/>
        <v/>
      </c>
    </row>
    <row r="414" spans="1:5" x14ac:dyDescent="0.2">
      <c r="A414" s="126"/>
      <c r="B414" s="124"/>
      <c r="C414" s="126"/>
      <c r="D414" s="126"/>
      <c r="E414" s="126" t="str">
        <f t="shared" si="6"/>
        <v/>
      </c>
    </row>
    <row r="415" spans="1:5" x14ac:dyDescent="0.2">
      <c r="A415" s="126"/>
      <c r="B415" s="124"/>
      <c r="C415" s="126"/>
      <c r="D415" s="126"/>
      <c r="E415" s="126" t="str">
        <f t="shared" si="6"/>
        <v/>
      </c>
    </row>
    <row r="416" spans="1:5" x14ac:dyDescent="0.2">
      <c r="A416" s="126"/>
      <c r="B416" s="124"/>
      <c r="C416" s="126"/>
      <c r="D416" s="126"/>
      <c r="E416" s="126" t="str">
        <f t="shared" si="6"/>
        <v/>
      </c>
    </row>
    <row r="417" spans="1:5" x14ac:dyDescent="0.2">
      <c r="A417" s="126"/>
      <c r="B417" s="124"/>
      <c r="C417" s="126"/>
      <c r="D417" s="126"/>
      <c r="E417" s="126" t="str">
        <f t="shared" si="6"/>
        <v/>
      </c>
    </row>
    <row r="418" spans="1:5" x14ac:dyDescent="0.2">
      <c r="A418" s="126"/>
      <c r="B418" s="124"/>
      <c r="C418" s="126"/>
      <c r="D418" s="126"/>
      <c r="E418" s="126" t="str">
        <f t="shared" si="6"/>
        <v/>
      </c>
    </row>
    <row r="419" spans="1:5" x14ac:dyDescent="0.2">
      <c r="A419" s="126"/>
      <c r="B419" s="124"/>
      <c r="C419" s="126"/>
      <c r="D419" s="126"/>
      <c r="E419" s="126" t="str">
        <f t="shared" si="6"/>
        <v/>
      </c>
    </row>
    <row r="420" spans="1:5" x14ac:dyDescent="0.2">
      <c r="A420" s="126"/>
      <c r="B420" s="124"/>
      <c r="C420" s="126"/>
      <c r="D420" s="126"/>
      <c r="E420" s="126" t="str">
        <f t="shared" si="6"/>
        <v/>
      </c>
    </row>
    <row r="421" spans="1:5" x14ac:dyDescent="0.2">
      <c r="A421" s="126"/>
      <c r="B421" s="124"/>
      <c r="C421" s="126"/>
      <c r="D421" s="126"/>
      <c r="E421" s="126" t="str">
        <f t="shared" si="6"/>
        <v/>
      </c>
    </row>
    <row r="422" spans="1:5" x14ac:dyDescent="0.2">
      <c r="A422" s="126"/>
      <c r="B422" s="124"/>
      <c r="C422" s="126"/>
      <c r="D422" s="126"/>
      <c r="E422" s="126" t="str">
        <f t="shared" si="6"/>
        <v/>
      </c>
    </row>
    <row r="423" spans="1:5" x14ac:dyDescent="0.2">
      <c r="A423" s="126"/>
      <c r="B423" s="124"/>
      <c r="C423" s="126"/>
      <c r="D423" s="126"/>
      <c r="E423" s="126" t="str">
        <f t="shared" si="6"/>
        <v/>
      </c>
    </row>
    <row r="424" spans="1:5" x14ac:dyDescent="0.2">
      <c r="A424" s="126"/>
      <c r="B424" s="124"/>
      <c r="C424" s="126"/>
      <c r="D424" s="126"/>
      <c r="E424" s="126" t="str">
        <f t="shared" si="6"/>
        <v/>
      </c>
    </row>
    <row r="425" spans="1:5" x14ac:dyDescent="0.2">
      <c r="A425" s="126"/>
      <c r="B425" s="124"/>
      <c r="C425" s="126"/>
      <c r="D425" s="126"/>
      <c r="E425" s="126" t="str">
        <f t="shared" si="6"/>
        <v/>
      </c>
    </row>
    <row r="426" spans="1:5" x14ac:dyDescent="0.2">
      <c r="A426" s="126"/>
      <c r="B426" s="124"/>
      <c r="C426" s="126"/>
      <c r="D426" s="126"/>
      <c r="E426" s="126" t="str">
        <f t="shared" si="6"/>
        <v/>
      </c>
    </row>
    <row r="427" spans="1:5" x14ac:dyDescent="0.2">
      <c r="A427" s="126"/>
      <c r="B427" s="124"/>
      <c r="C427" s="126"/>
      <c r="D427" s="126"/>
      <c r="E427" s="126" t="str">
        <f t="shared" si="6"/>
        <v/>
      </c>
    </row>
    <row r="428" spans="1:5" x14ac:dyDescent="0.2">
      <c r="A428" s="126"/>
      <c r="B428" s="124"/>
      <c r="C428" s="126"/>
      <c r="D428" s="126"/>
      <c r="E428" s="126" t="str">
        <f t="shared" si="6"/>
        <v/>
      </c>
    </row>
    <row r="429" spans="1:5" x14ac:dyDescent="0.2">
      <c r="A429" s="126"/>
      <c r="B429" s="124"/>
      <c r="C429" s="126"/>
      <c r="D429" s="126"/>
      <c r="E429" s="126" t="str">
        <f t="shared" si="6"/>
        <v/>
      </c>
    </row>
    <row r="430" spans="1:5" x14ac:dyDescent="0.2">
      <c r="A430" s="126"/>
      <c r="B430" s="124"/>
      <c r="C430" s="126"/>
      <c r="D430" s="126"/>
      <c r="E430" s="126" t="str">
        <f t="shared" si="6"/>
        <v/>
      </c>
    </row>
    <row r="431" spans="1:5" x14ac:dyDescent="0.2">
      <c r="A431" s="126"/>
      <c r="B431" s="124"/>
      <c r="C431" s="126"/>
      <c r="D431" s="126"/>
      <c r="E431" s="126" t="str">
        <f t="shared" si="6"/>
        <v/>
      </c>
    </row>
    <row r="432" spans="1:5" x14ac:dyDescent="0.2">
      <c r="A432" s="126"/>
      <c r="B432" s="124"/>
      <c r="C432" s="126"/>
      <c r="D432" s="126"/>
      <c r="E432" s="126" t="str">
        <f t="shared" si="6"/>
        <v/>
      </c>
    </row>
    <row r="433" spans="1:5" x14ac:dyDescent="0.2">
      <c r="A433" s="126"/>
      <c r="B433" s="124"/>
      <c r="C433" s="126"/>
      <c r="D433" s="126"/>
      <c r="E433" s="126" t="str">
        <f t="shared" si="6"/>
        <v/>
      </c>
    </row>
    <row r="434" spans="1:5" x14ac:dyDescent="0.2">
      <c r="A434" s="126"/>
      <c r="B434" s="124"/>
      <c r="C434" s="126"/>
      <c r="D434" s="126"/>
      <c r="E434" s="126" t="str">
        <f t="shared" si="6"/>
        <v/>
      </c>
    </row>
    <row r="435" spans="1:5" x14ac:dyDescent="0.2">
      <c r="A435" s="126"/>
      <c r="B435" s="124"/>
      <c r="C435" s="126"/>
      <c r="D435" s="126"/>
      <c r="E435" s="126" t="str">
        <f t="shared" si="6"/>
        <v/>
      </c>
    </row>
    <row r="436" spans="1:5" x14ac:dyDescent="0.2">
      <c r="A436" s="126"/>
      <c r="B436" s="124"/>
      <c r="C436" s="126"/>
      <c r="D436" s="126"/>
      <c r="E436" s="126" t="str">
        <f t="shared" si="6"/>
        <v/>
      </c>
    </row>
    <row r="437" spans="1:5" x14ac:dyDescent="0.2">
      <c r="A437" s="126"/>
      <c r="B437" s="124"/>
      <c r="C437" s="126"/>
      <c r="D437" s="126"/>
      <c r="E437" s="126" t="str">
        <f t="shared" si="6"/>
        <v/>
      </c>
    </row>
    <row r="438" spans="1:5" x14ac:dyDescent="0.2">
      <c r="A438" s="126"/>
      <c r="B438" s="124"/>
      <c r="C438" s="126"/>
      <c r="D438" s="126"/>
      <c r="E438" s="126" t="str">
        <f t="shared" si="6"/>
        <v/>
      </c>
    </row>
    <row r="439" spans="1:5" x14ac:dyDescent="0.2">
      <c r="A439" s="126"/>
      <c r="B439" s="124"/>
      <c r="C439" s="126"/>
      <c r="D439" s="126"/>
      <c r="E439" s="126" t="str">
        <f t="shared" si="6"/>
        <v/>
      </c>
    </row>
    <row r="440" spans="1:5" x14ac:dyDescent="0.2">
      <c r="A440" s="126"/>
      <c r="B440" s="124"/>
      <c r="C440" s="126"/>
      <c r="D440" s="126"/>
      <c r="E440" s="126" t="str">
        <f t="shared" si="6"/>
        <v/>
      </c>
    </row>
    <row r="441" spans="1:5" x14ac:dyDescent="0.2">
      <c r="A441" s="126"/>
      <c r="B441" s="124"/>
      <c r="C441" s="126"/>
      <c r="D441" s="126"/>
      <c r="E441" s="126" t="str">
        <f t="shared" si="6"/>
        <v/>
      </c>
    </row>
    <row r="442" spans="1:5" x14ac:dyDescent="0.2">
      <c r="A442" s="126"/>
      <c r="B442" s="124"/>
      <c r="C442" s="126"/>
      <c r="D442" s="126"/>
      <c r="E442" s="126" t="str">
        <f t="shared" si="6"/>
        <v/>
      </c>
    </row>
    <row r="443" spans="1:5" x14ac:dyDescent="0.2">
      <c r="A443" s="126"/>
      <c r="B443" s="124"/>
      <c r="C443" s="126"/>
      <c r="D443" s="126"/>
      <c r="E443" s="126" t="str">
        <f t="shared" si="6"/>
        <v/>
      </c>
    </row>
    <row r="444" spans="1:5" x14ac:dyDescent="0.2">
      <c r="A444" s="126"/>
      <c r="B444" s="124"/>
      <c r="C444" s="126"/>
      <c r="D444" s="126"/>
      <c r="E444" s="126" t="str">
        <f t="shared" si="6"/>
        <v/>
      </c>
    </row>
    <row r="445" spans="1:5" x14ac:dyDescent="0.2">
      <c r="A445" s="126"/>
      <c r="B445" s="124"/>
      <c r="C445" s="126"/>
      <c r="D445" s="126"/>
      <c r="E445" s="126" t="str">
        <f t="shared" si="6"/>
        <v/>
      </c>
    </row>
    <row r="446" spans="1:5" x14ac:dyDescent="0.2">
      <c r="A446" s="126"/>
      <c r="B446" s="124"/>
      <c r="C446" s="126"/>
      <c r="D446" s="126"/>
      <c r="E446" s="126" t="str">
        <f t="shared" si="6"/>
        <v/>
      </c>
    </row>
    <row r="447" spans="1:5" x14ac:dyDescent="0.2">
      <c r="A447" s="126"/>
      <c r="B447" s="124"/>
      <c r="C447" s="126"/>
      <c r="D447" s="126"/>
      <c r="E447" s="126" t="str">
        <f t="shared" si="6"/>
        <v/>
      </c>
    </row>
    <row r="448" spans="1:5" x14ac:dyDescent="0.2">
      <c r="A448" s="126"/>
      <c r="B448" s="124"/>
      <c r="C448" s="126"/>
      <c r="D448" s="126"/>
      <c r="E448" s="126" t="str">
        <f t="shared" si="6"/>
        <v/>
      </c>
    </row>
    <row r="449" spans="1:5" x14ac:dyDescent="0.2">
      <c r="A449" s="126"/>
      <c r="B449" s="124"/>
      <c r="C449" s="126"/>
      <c r="D449" s="126"/>
      <c r="E449" s="126" t="str">
        <f t="shared" si="6"/>
        <v/>
      </c>
    </row>
    <row r="450" spans="1:5" x14ac:dyDescent="0.2">
      <c r="A450" s="126"/>
      <c r="B450" s="124"/>
      <c r="C450" s="126"/>
      <c r="D450" s="126"/>
      <c r="E450" s="126" t="str">
        <f t="shared" si="6"/>
        <v/>
      </c>
    </row>
    <row r="451" spans="1:5" x14ac:dyDescent="0.2">
      <c r="A451" s="126"/>
      <c r="B451" s="124"/>
      <c r="C451" s="126"/>
      <c r="D451" s="126"/>
      <c r="E451" s="126" t="str">
        <f t="shared" si="6"/>
        <v/>
      </c>
    </row>
    <row r="452" spans="1:5" x14ac:dyDescent="0.2">
      <c r="A452" s="126"/>
      <c r="B452" s="124"/>
      <c r="C452" s="126"/>
      <c r="D452" s="126"/>
      <c r="E452" s="126" t="str">
        <f t="shared" ref="E452:E515" si="7">IFERROR(VLOOKUP(D452,Tabla_Indices,5,FALSE),"")</f>
        <v/>
      </c>
    </row>
    <row r="453" spans="1:5" x14ac:dyDescent="0.2">
      <c r="A453" s="126"/>
      <c r="B453" s="124"/>
      <c r="C453" s="126"/>
      <c r="D453" s="126"/>
      <c r="E453" s="126" t="str">
        <f t="shared" si="7"/>
        <v/>
      </c>
    </row>
    <row r="454" spans="1:5" x14ac:dyDescent="0.2">
      <c r="A454" s="126"/>
      <c r="B454" s="124"/>
      <c r="C454" s="126"/>
      <c r="D454" s="126"/>
      <c r="E454" s="126" t="str">
        <f t="shared" si="7"/>
        <v/>
      </c>
    </row>
    <row r="455" spans="1:5" x14ac:dyDescent="0.2">
      <c r="A455" s="126"/>
      <c r="B455" s="124"/>
      <c r="C455" s="126"/>
      <c r="D455" s="126"/>
      <c r="E455" s="126" t="str">
        <f t="shared" si="7"/>
        <v/>
      </c>
    </row>
    <row r="456" spans="1:5" x14ac:dyDescent="0.2">
      <c r="A456" s="126"/>
      <c r="B456" s="124"/>
      <c r="C456" s="126"/>
      <c r="D456" s="126"/>
      <c r="E456" s="126" t="str">
        <f t="shared" si="7"/>
        <v/>
      </c>
    </row>
    <row r="457" spans="1:5" x14ac:dyDescent="0.2">
      <c r="A457" s="126"/>
      <c r="B457" s="124"/>
      <c r="C457" s="126"/>
      <c r="D457" s="126"/>
      <c r="E457" s="126" t="str">
        <f t="shared" si="7"/>
        <v/>
      </c>
    </row>
    <row r="458" spans="1:5" x14ac:dyDescent="0.2">
      <c r="A458" s="126"/>
      <c r="B458" s="124"/>
      <c r="C458" s="126"/>
      <c r="D458" s="126"/>
      <c r="E458" s="126" t="str">
        <f t="shared" si="7"/>
        <v/>
      </c>
    </row>
    <row r="459" spans="1:5" x14ac:dyDescent="0.2">
      <c r="A459" s="126"/>
      <c r="B459" s="124"/>
      <c r="C459" s="126"/>
      <c r="D459" s="126"/>
      <c r="E459" s="126" t="str">
        <f t="shared" si="7"/>
        <v/>
      </c>
    </row>
    <row r="460" spans="1:5" x14ac:dyDescent="0.2">
      <c r="A460" s="126"/>
      <c r="B460" s="124"/>
      <c r="C460" s="126"/>
      <c r="D460" s="126"/>
      <c r="E460" s="126" t="str">
        <f t="shared" si="7"/>
        <v/>
      </c>
    </row>
    <row r="461" spans="1:5" x14ac:dyDescent="0.2">
      <c r="A461" s="126"/>
      <c r="B461" s="124"/>
      <c r="C461" s="126"/>
      <c r="D461" s="126"/>
      <c r="E461" s="126" t="str">
        <f t="shared" si="7"/>
        <v/>
      </c>
    </row>
    <row r="462" spans="1:5" x14ac:dyDescent="0.2">
      <c r="A462" s="126"/>
      <c r="B462" s="124"/>
      <c r="C462" s="126"/>
      <c r="D462" s="126"/>
      <c r="E462" s="126" t="str">
        <f t="shared" si="7"/>
        <v/>
      </c>
    </row>
    <row r="463" spans="1:5" x14ac:dyDescent="0.2">
      <c r="A463" s="126"/>
      <c r="B463" s="124"/>
      <c r="C463" s="126"/>
      <c r="D463" s="126"/>
      <c r="E463" s="126" t="str">
        <f t="shared" si="7"/>
        <v/>
      </c>
    </row>
    <row r="464" spans="1:5" x14ac:dyDescent="0.2">
      <c r="A464" s="126"/>
      <c r="B464" s="124"/>
      <c r="C464" s="126"/>
      <c r="D464" s="126"/>
      <c r="E464" s="126" t="str">
        <f t="shared" si="7"/>
        <v/>
      </c>
    </row>
    <row r="465" spans="1:5" x14ac:dyDescent="0.2">
      <c r="A465" s="126"/>
      <c r="B465" s="124"/>
      <c r="C465" s="126"/>
      <c r="D465" s="126"/>
      <c r="E465" s="126" t="str">
        <f t="shared" si="7"/>
        <v/>
      </c>
    </row>
    <row r="466" spans="1:5" x14ac:dyDescent="0.2">
      <c r="A466" s="126"/>
      <c r="B466" s="124"/>
      <c r="C466" s="126"/>
      <c r="D466" s="126"/>
      <c r="E466" s="126" t="str">
        <f t="shared" si="7"/>
        <v/>
      </c>
    </row>
    <row r="467" spans="1:5" x14ac:dyDescent="0.2">
      <c r="A467" s="126"/>
      <c r="B467" s="124"/>
      <c r="C467" s="126"/>
      <c r="D467" s="126"/>
      <c r="E467" s="126" t="str">
        <f t="shared" si="7"/>
        <v/>
      </c>
    </row>
    <row r="468" spans="1:5" x14ac:dyDescent="0.2">
      <c r="A468" s="126"/>
      <c r="B468" s="124"/>
      <c r="C468" s="126"/>
      <c r="D468" s="126"/>
      <c r="E468" s="126" t="str">
        <f t="shared" si="7"/>
        <v/>
      </c>
    </row>
    <row r="469" spans="1:5" x14ac:dyDescent="0.2">
      <c r="A469" s="126"/>
      <c r="B469" s="124"/>
      <c r="C469" s="126"/>
      <c r="D469" s="126"/>
      <c r="E469" s="126" t="str">
        <f t="shared" si="7"/>
        <v/>
      </c>
    </row>
    <row r="470" spans="1:5" x14ac:dyDescent="0.2">
      <c r="A470" s="126"/>
      <c r="B470" s="124"/>
      <c r="C470" s="126"/>
      <c r="D470" s="126"/>
      <c r="E470" s="126" t="str">
        <f t="shared" si="7"/>
        <v/>
      </c>
    </row>
    <row r="471" spans="1:5" x14ac:dyDescent="0.2">
      <c r="A471" s="126"/>
      <c r="B471" s="124"/>
      <c r="C471" s="126"/>
      <c r="D471" s="126"/>
      <c r="E471" s="126" t="str">
        <f t="shared" si="7"/>
        <v/>
      </c>
    </row>
    <row r="472" spans="1:5" x14ac:dyDescent="0.2">
      <c r="A472" s="126"/>
      <c r="B472" s="124"/>
      <c r="C472" s="126"/>
      <c r="D472" s="126"/>
      <c r="E472" s="126" t="str">
        <f t="shared" si="7"/>
        <v/>
      </c>
    </row>
    <row r="473" spans="1:5" x14ac:dyDescent="0.2">
      <c r="A473" s="126"/>
      <c r="B473" s="124"/>
      <c r="C473" s="126"/>
      <c r="D473" s="126"/>
      <c r="E473" s="126" t="str">
        <f t="shared" si="7"/>
        <v/>
      </c>
    </row>
    <row r="474" spans="1:5" x14ac:dyDescent="0.2">
      <c r="A474" s="126"/>
      <c r="B474" s="124"/>
      <c r="C474" s="126"/>
      <c r="D474" s="126"/>
      <c r="E474" s="126" t="str">
        <f t="shared" si="7"/>
        <v/>
      </c>
    </row>
    <row r="475" spans="1:5" x14ac:dyDescent="0.2">
      <c r="A475" s="126"/>
      <c r="B475" s="124"/>
      <c r="C475" s="126"/>
      <c r="D475" s="126"/>
      <c r="E475" s="126" t="str">
        <f t="shared" si="7"/>
        <v/>
      </c>
    </row>
    <row r="476" spans="1:5" x14ac:dyDescent="0.2">
      <c r="A476" s="126"/>
      <c r="B476" s="124"/>
      <c r="C476" s="126"/>
      <c r="D476" s="126"/>
      <c r="E476" s="126" t="str">
        <f t="shared" si="7"/>
        <v/>
      </c>
    </row>
    <row r="477" spans="1:5" x14ac:dyDescent="0.2">
      <c r="A477" s="126"/>
      <c r="B477" s="124"/>
      <c r="C477" s="126"/>
      <c r="D477" s="126"/>
      <c r="E477" s="126" t="str">
        <f t="shared" si="7"/>
        <v/>
      </c>
    </row>
    <row r="478" spans="1:5" x14ac:dyDescent="0.2">
      <c r="A478" s="126"/>
      <c r="B478" s="124"/>
      <c r="C478" s="126"/>
      <c r="D478" s="126"/>
      <c r="E478" s="126" t="str">
        <f t="shared" si="7"/>
        <v/>
      </c>
    </row>
    <row r="479" spans="1:5" x14ac:dyDescent="0.2">
      <c r="A479" s="126"/>
      <c r="B479" s="124"/>
      <c r="C479" s="126"/>
      <c r="D479" s="126"/>
      <c r="E479" s="126" t="str">
        <f t="shared" si="7"/>
        <v/>
      </c>
    </row>
    <row r="480" spans="1:5" x14ac:dyDescent="0.2">
      <c r="A480" s="126"/>
      <c r="B480" s="124"/>
      <c r="C480" s="126"/>
      <c r="D480" s="126"/>
      <c r="E480" s="126" t="str">
        <f t="shared" si="7"/>
        <v/>
      </c>
    </row>
    <row r="481" spans="1:5" x14ac:dyDescent="0.2">
      <c r="A481" s="126"/>
      <c r="B481" s="124"/>
      <c r="C481" s="126"/>
      <c r="D481" s="126"/>
      <c r="E481" s="126" t="str">
        <f t="shared" si="7"/>
        <v/>
      </c>
    </row>
    <row r="482" spans="1:5" x14ac:dyDescent="0.2">
      <c r="A482" s="126"/>
      <c r="B482" s="124"/>
      <c r="C482" s="126"/>
      <c r="D482" s="126"/>
      <c r="E482" s="126" t="str">
        <f t="shared" si="7"/>
        <v/>
      </c>
    </row>
    <row r="483" spans="1:5" x14ac:dyDescent="0.2">
      <c r="A483" s="126"/>
      <c r="B483" s="124"/>
      <c r="C483" s="126"/>
      <c r="D483" s="126"/>
      <c r="E483" s="126" t="str">
        <f t="shared" si="7"/>
        <v/>
      </c>
    </row>
    <row r="484" spans="1:5" x14ac:dyDescent="0.2">
      <c r="A484" s="126"/>
      <c r="B484" s="124"/>
      <c r="C484" s="126"/>
      <c r="D484" s="126"/>
      <c r="E484" s="126" t="str">
        <f t="shared" si="7"/>
        <v/>
      </c>
    </row>
    <row r="485" spans="1:5" x14ac:dyDescent="0.2">
      <c r="A485" s="126"/>
      <c r="B485" s="124"/>
      <c r="C485" s="126"/>
      <c r="D485" s="126"/>
      <c r="E485" s="126" t="str">
        <f t="shared" si="7"/>
        <v/>
      </c>
    </row>
    <row r="486" spans="1:5" x14ac:dyDescent="0.2">
      <c r="A486" s="126"/>
      <c r="B486" s="124"/>
      <c r="C486" s="126"/>
      <c r="D486" s="126"/>
      <c r="E486" s="126" t="str">
        <f t="shared" si="7"/>
        <v/>
      </c>
    </row>
    <row r="487" spans="1:5" x14ac:dyDescent="0.2">
      <c r="A487" s="126"/>
      <c r="B487" s="124"/>
      <c r="C487" s="126"/>
      <c r="D487" s="126"/>
      <c r="E487" s="126" t="str">
        <f t="shared" si="7"/>
        <v/>
      </c>
    </row>
    <row r="488" spans="1:5" x14ac:dyDescent="0.2">
      <c r="A488" s="126"/>
      <c r="B488" s="124"/>
      <c r="C488" s="126"/>
      <c r="D488" s="126"/>
      <c r="E488" s="126" t="str">
        <f t="shared" si="7"/>
        <v/>
      </c>
    </row>
    <row r="489" spans="1:5" x14ac:dyDescent="0.2">
      <c r="A489" s="126"/>
      <c r="B489" s="124"/>
      <c r="C489" s="126"/>
      <c r="D489" s="126"/>
      <c r="E489" s="126" t="str">
        <f t="shared" si="7"/>
        <v/>
      </c>
    </row>
    <row r="490" spans="1:5" x14ac:dyDescent="0.2">
      <c r="A490" s="126"/>
      <c r="B490" s="124"/>
      <c r="C490" s="126"/>
      <c r="D490" s="126"/>
      <c r="E490" s="126" t="str">
        <f t="shared" si="7"/>
        <v/>
      </c>
    </row>
    <row r="491" spans="1:5" x14ac:dyDescent="0.2">
      <c r="A491" s="126"/>
      <c r="B491" s="124"/>
      <c r="C491" s="126"/>
      <c r="D491" s="126"/>
      <c r="E491" s="126" t="str">
        <f t="shared" si="7"/>
        <v/>
      </c>
    </row>
    <row r="492" spans="1:5" x14ac:dyDescent="0.2">
      <c r="A492" s="126"/>
      <c r="B492" s="124"/>
      <c r="C492" s="126"/>
      <c r="D492" s="126"/>
      <c r="E492" s="126" t="str">
        <f t="shared" si="7"/>
        <v/>
      </c>
    </row>
    <row r="493" spans="1:5" x14ac:dyDescent="0.2">
      <c r="A493" s="126"/>
      <c r="B493" s="124"/>
      <c r="C493" s="126"/>
      <c r="D493" s="126"/>
      <c r="E493" s="126" t="str">
        <f t="shared" si="7"/>
        <v/>
      </c>
    </row>
    <row r="494" spans="1:5" x14ac:dyDescent="0.2">
      <c r="A494" s="126"/>
      <c r="B494" s="124"/>
      <c r="C494" s="126"/>
      <c r="D494" s="126"/>
      <c r="E494" s="126" t="str">
        <f t="shared" si="7"/>
        <v/>
      </c>
    </row>
    <row r="495" spans="1:5" x14ac:dyDescent="0.2">
      <c r="A495" s="126"/>
      <c r="B495" s="124"/>
      <c r="C495" s="126"/>
      <c r="D495" s="126"/>
      <c r="E495" s="126" t="str">
        <f t="shared" si="7"/>
        <v/>
      </c>
    </row>
    <row r="496" spans="1:5" x14ac:dyDescent="0.2">
      <c r="A496" s="126"/>
      <c r="B496" s="124"/>
      <c r="C496" s="126"/>
      <c r="D496" s="126"/>
      <c r="E496" s="126" t="str">
        <f t="shared" si="7"/>
        <v/>
      </c>
    </row>
    <row r="497" spans="1:5" x14ac:dyDescent="0.2">
      <c r="A497" s="126"/>
      <c r="B497" s="124"/>
      <c r="C497" s="126"/>
      <c r="D497" s="126"/>
      <c r="E497" s="126" t="str">
        <f t="shared" si="7"/>
        <v/>
      </c>
    </row>
    <row r="498" spans="1:5" x14ac:dyDescent="0.2">
      <c r="A498" s="126"/>
      <c r="B498" s="124"/>
      <c r="C498" s="126"/>
      <c r="D498" s="126"/>
      <c r="E498" s="126" t="str">
        <f t="shared" si="7"/>
        <v/>
      </c>
    </row>
    <row r="499" spans="1:5" x14ac:dyDescent="0.2">
      <c r="A499" s="126"/>
      <c r="B499" s="124"/>
      <c r="C499" s="126"/>
      <c r="D499" s="126"/>
      <c r="E499" s="126" t="str">
        <f t="shared" si="7"/>
        <v/>
      </c>
    </row>
    <row r="500" spans="1:5" x14ac:dyDescent="0.2">
      <c r="A500" s="126"/>
      <c r="B500" s="124"/>
      <c r="C500" s="126"/>
      <c r="D500" s="126"/>
      <c r="E500" s="126" t="str">
        <f t="shared" si="7"/>
        <v/>
      </c>
    </row>
    <row r="501" spans="1:5" x14ac:dyDescent="0.2">
      <c r="A501" s="126"/>
      <c r="B501" s="124"/>
      <c r="C501" s="126"/>
      <c r="D501" s="126"/>
      <c r="E501" s="126" t="str">
        <f t="shared" si="7"/>
        <v/>
      </c>
    </row>
    <row r="502" spans="1:5" x14ac:dyDescent="0.2">
      <c r="A502" s="126"/>
      <c r="B502" s="124"/>
      <c r="C502" s="126"/>
      <c r="D502" s="126"/>
      <c r="E502" s="126" t="str">
        <f t="shared" si="7"/>
        <v/>
      </c>
    </row>
    <row r="503" spans="1:5" x14ac:dyDescent="0.2">
      <c r="A503" s="126"/>
      <c r="B503" s="124"/>
      <c r="C503" s="126"/>
      <c r="D503" s="126"/>
      <c r="E503" s="126" t="str">
        <f t="shared" si="7"/>
        <v/>
      </c>
    </row>
    <row r="504" spans="1:5" x14ac:dyDescent="0.2">
      <c r="A504" s="126"/>
      <c r="B504" s="124"/>
      <c r="C504" s="126"/>
      <c r="D504" s="126"/>
      <c r="E504" s="126" t="str">
        <f t="shared" si="7"/>
        <v/>
      </c>
    </row>
    <row r="505" spans="1:5" x14ac:dyDescent="0.2">
      <c r="A505" s="126"/>
      <c r="B505" s="124"/>
      <c r="C505" s="126"/>
      <c r="D505" s="126"/>
      <c r="E505" s="126" t="str">
        <f t="shared" si="7"/>
        <v/>
      </c>
    </row>
    <row r="506" spans="1:5" x14ac:dyDescent="0.2">
      <c r="A506" s="126"/>
      <c r="B506" s="124"/>
      <c r="C506" s="126"/>
      <c r="D506" s="126"/>
      <c r="E506" s="126" t="str">
        <f t="shared" si="7"/>
        <v/>
      </c>
    </row>
    <row r="507" spans="1:5" x14ac:dyDescent="0.2">
      <c r="A507" s="126"/>
      <c r="B507" s="124"/>
      <c r="C507" s="126"/>
      <c r="D507" s="126"/>
      <c r="E507" s="126" t="str">
        <f t="shared" si="7"/>
        <v/>
      </c>
    </row>
    <row r="508" spans="1:5" x14ac:dyDescent="0.2">
      <c r="A508" s="126"/>
      <c r="B508" s="124"/>
      <c r="C508" s="126"/>
      <c r="D508" s="126"/>
      <c r="E508" s="126" t="str">
        <f t="shared" si="7"/>
        <v/>
      </c>
    </row>
    <row r="509" spans="1:5" x14ac:dyDescent="0.2">
      <c r="A509" s="126"/>
      <c r="B509" s="124"/>
      <c r="C509" s="126"/>
      <c r="D509" s="126"/>
      <c r="E509" s="126" t="str">
        <f t="shared" si="7"/>
        <v/>
      </c>
    </row>
    <row r="510" spans="1:5" x14ac:dyDescent="0.2">
      <c r="A510" s="126"/>
      <c r="B510" s="124"/>
      <c r="C510" s="126"/>
      <c r="D510" s="126"/>
      <c r="E510" s="126" t="str">
        <f t="shared" si="7"/>
        <v/>
      </c>
    </row>
    <row r="511" spans="1:5" x14ac:dyDescent="0.2">
      <c r="A511" s="126"/>
      <c r="B511" s="124"/>
      <c r="C511" s="126"/>
      <c r="D511" s="126"/>
      <c r="E511" s="126" t="str">
        <f t="shared" si="7"/>
        <v/>
      </c>
    </row>
    <row r="512" spans="1:5" x14ac:dyDescent="0.2">
      <c r="A512" s="126"/>
      <c r="B512" s="124"/>
      <c r="C512" s="126"/>
      <c r="D512" s="126"/>
      <c r="E512" s="126" t="str">
        <f t="shared" si="7"/>
        <v/>
      </c>
    </row>
    <row r="513" spans="1:5" x14ac:dyDescent="0.2">
      <c r="A513" s="126"/>
      <c r="B513" s="124"/>
      <c r="C513" s="126"/>
      <c r="D513" s="126"/>
      <c r="E513" s="126" t="str">
        <f t="shared" si="7"/>
        <v/>
      </c>
    </row>
    <row r="514" spans="1:5" x14ac:dyDescent="0.2">
      <c r="A514" s="126"/>
      <c r="B514" s="124"/>
      <c r="C514" s="126"/>
      <c r="D514" s="126"/>
      <c r="E514" s="126" t="str">
        <f t="shared" si="7"/>
        <v/>
      </c>
    </row>
    <row r="515" spans="1:5" x14ac:dyDescent="0.2">
      <c r="A515" s="126"/>
      <c r="B515" s="124"/>
      <c r="C515" s="126"/>
      <c r="D515" s="126"/>
      <c r="E515" s="126" t="str">
        <f t="shared" si="7"/>
        <v/>
      </c>
    </row>
    <row r="516" spans="1:5" x14ac:dyDescent="0.2">
      <c r="A516" s="126"/>
      <c r="B516" s="124"/>
      <c r="C516" s="126"/>
      <c r="D516" s="126"/>
      <c r="E516" s="126" t="str">
        <f t="shared" ref="E516:E544" si="8">IFERROR(VLOOKUP(D516,Tabla_Indices,5,FALSE),"")</f>
        <v/>
      </c>
    </row>
    <row r="517" spans="1:5" x14ac:dyDescent="0.2">
      <c r="A517" s="126"/>
      <c r="B517" s="124"/>
      <c r="C517" s="126"/>
      <c r="D517" s="126"/>
      <c r="E517" s="126" t="str">
        <f t="shared" si="8"/>
        <v/>
      </c>
    </row>
    <row r="518" spans="1:5" x14ac:dyDescent="0.2">
      <c r="A518" s="126"/>
      <c r="B518" s="124"/>
      <c r="C518" s="126"/>
      <c r="D518" s="126"/>
      <c r="E518" s="126" t="str">
        <f t="shared" si="8"/>
        <v/>
      </c>
    </row>
    <row r="519" spans="1:5" x14ac:dyDescent="0.2">
      <c r="A519" s="126"/>
      <c r="B519" s="124"/>
      <c r="C519" s="126"/>
      <c r="D519" s="126"/>
      <c r="E519" s="126" t="str">
        <f t="shared" si="8"/>
        <v/>
      </c>
    </row>
    <row r="520" spans="1:5" x14ac:dyDescent="0.2">
      <c r="A520" s="126"/>
      <c r="B520" s="124"/>
      <c r="C520" s="126"/>
      <c r="D520" s="126"/>
      <c r="E520" s="126" t="str">
        <f t="shared" si="8"/>
        <v/>
      </c>
    </row>
    <row r="521" spans="1:5" x14ac:dyDescent="0.2">
      <c r="A521" s="126"/>
      <c r="B521" s="124"/>
      <c r="C521" s="126"/>
      <c r="D521" s="126"/>
      <c r="E521" s="126" t="str">
        <f t="shared" si="8"/>
        <v/>
      </c>
    </row>
    <row r="522" spans="1:5" x14ac:dyDescent="0.2">
      <c r="A522" s="126"/>
      <c r="B522" s="124"/>
      <c r="C522" s="126"/>
      <c r="D522" s="126"/>
      <c r="E522" s="126" t="str">
        <f t="shared" si="8"/>
        <v/>
      </c>
    </row>
    <row r="523" spans="1:5" x14ac:dyDescent="0.2">
      <c r="A523" s="126"/>
      <c r="B523" s="124"/>
      <c r="C523" s="126"/>
      <c r="D523" s="126"/>
      <c r="E523" s="126" t="str">
        <f t="shared" si="8"/>
        <v/>
      </c>
    </row>
    <row r="524" spans="1:5" x14ac:dyDescent="0.2">
      <c r="A524" s="126"/>
      <c r="B524" s="124"/>
      <c r="C524" s="126"/>
      <c r="D524" s="126"/>
      <c r="E524" s="126" t="str">
        <f t="shared" si="8"/>
        <v/>
      </c>
    </row>
    <row r="525" spans="1:5" x14ac:dyDescent="0.2">
      <c r="A525" s="126"/>
      <c r="B525" s="124"/>
      <c r="C525" s="126"/>
      <c r="D525" s="126"/>
      <c r="E525" s="126" t="str">
        <f t="shared" si="8"/>
        <v/>
      </c>
    </row>
    <row r="526" spans="1:5" x14ac:dyDescent="0.2">
      <c r="A526" s="126"/>
      <c r="B526" s="124"/>
      <c r="C526" s="126"/>
      <c r="D526" s="126"/>
      <c r="E526" s="126" t="str">
        <f t="shared" si="8"/>
        <v/>
      </c>
    </row>
    <row r="527" spans="1:5" x14ac:dyDescent="0.2">
      <c r="A527" s="126"/>
      <c r="B527" s="124"/>
      <c r="C527" s="126"/>
      <c r="D527" s="126"/>
      <c r="E527" s="126" t="str">
        <f t="shared" si="8"/>
        <v/>
      </c>
    </row>
    <row r="528" spans="1:5" x14ac:dyDescent="0.2">
      <c r="A528" s="126"/>
      <c r="B528" s="124"/>
      <c r="C528" s="126"/>
      <c r="D528" s="126"/>
      <c r="E528" s="126" t="str">
        <f t="shared" si="8"/>
        <v/>
      </c>
    </row>
    <row r="529" spans="1:5" x14ac:dyDescent="0.2">
      <c r="A529" s="126"/>
      <c r="B529" s="124"/>
      <c r="C529" s="126"/>
      <c r="D529" s="126"/>
      <c r="E529" s="126" t="str">
        <f t="shared" si="8"/>
        <v/>
      </c>
    </row>
    <row r="530" spans="1:5" x14ac:dyDescent="0.2">
      <c r="A530" s="126"/>
      <c r="B530" s="124"/>
      <c r="C530" s="126"/>
      <c r="D530" s="126"/>
      <c r="E530" s="126" t="str">
        <f t="shared" si="8"/>
        <v/>
      </c>
    </row>
    <row r="531" spans="1:5" x14ac:dyDescent="0.2">
      <c r="A531" s="126"/>
      <c r="B531" s="124"/>
      <c r="C531" s="126"/>
      <c r="D531" s="126"/>
      <c r="E531" s="126" t="str">
        <f t="shared" si="8"/>
        <v/>
      </c>
    </row>
    <row r="532" spans="1:5" x14ac:dyDescent="0.2">
      <c r="A532" s="126"/>
      <c r="B532" s="124"/>
      <c r="C532" s="126"/>
      <c r="D532" s="126"/>
      <c r="E532" s="126" t="str">
        <f t="shared" si="8"/>
        <v/>
      </c>
    </row>
    <row r="533" spans="1:5" x14ac:dyDescent="0.2">
      <c r="A533" s="126"/>
      <c r="B533" s="124"/>
      <c r="C533" s="126"/>
      <c r="D533" s="126"/>
      <c r="E533" s="126" t="str">
        <f t="shared" si="8"/>
        <v/>
      </c>
    </row>
    <row r="534" spans="1:5" x14ac:dyDescent="0.2">
      <c r="A534" s="126"/>
      <c r="B534" s="124"/>
      <c r="C534" s="126"/>
      <c r="D534" s="126"/>
      <c r="E534" s="126" t="str">
        <f t="shared" si="8"/>
        <v/>
      </c>
    </row>
    <row r="535" spans="1:5" x14ac:dyDescent="0.2">
      <c r="A535" s="126"/>
      <c r="B535" s="124"/>
      <c r="C535" s="126"/>
      <c r="D535" s="126"/>
      <c r="E535" s="126" t="str">
        <f t="shared" si="8"/>
        <v/>
      </c>
    </row>
    <row r="536" spans="1:5" x14ac:dyDescent="0.2">
      <c r="A536" s="126"/>
      <c r="B536" s="124"/>
      <c r="C536" s="126"/>
      <c r="D536" s="126"/>
      <c r="E536" s="126" t="str">
        <f t="shared" si="8"/>
        <v/>
      </c>
    </row>
    <row r="537" spans="1:5" x14ac:dyDescent="0.2">
      <c r="A537" s="126"/>
      <c r="B537" s="124"/>
      <c r="C537" s="126"/>
      <c r="D537" s="126"/>
      <c r="E537" s="126" t="str">
        <f t="shared" si="8"/>
        <v/>
      </c>
    </row>
    <row r="538" spans="1:5" x14ac:dyDescent="0.2">
      <c r="A538" s="126"/>
      <c r="B538" s="124"/>
      <c r="C538" s="126"/>
      <c r="D538" s="126"/>
      <c r="E538" s="126" t="str">
        <f t="shared" si="8"/>
        <v/>
      </c>
    </row>
    <row r="539" spans="1:5" x14ac:dyDescent="0.2">
      <c r="A539" s="126"/>
      <c r="B539" s="124"/>
      <c r="C539" s="126"/>
      <c r="D539" s="126"/>
      <c r="E539" s="126" t="str">
        <f t="shared" si="8"/>
        <v/>
      </c>
    </row>
    <row r="540" spans="1:5" x14ac:dyDescent="0.2">
      <c r="A540" s="126"/>
      <c r="B540" s="124"/>
      <c r="C540" s="126"/>
      <c r="D540" s="126"/>
      <c r="E540" s="126" t="str">
        <f t="shared" si="8"/>
        <v/>
      </c>
    </row>
    <row r="541" spans="1:5" x14ac:dyDescent="0.2">
      <c r="A541" s="126"/>
      <c r="B541" s="124"/>
      <c r="C541" s="126"/>
      <c r="D541" s="126"/>
      <c r="E541" s="126" t="str">
        <f t="shared" si="8"/>
        <v/>
      </c>
    </row>
    <row r="542" spans="1:5" x14ac:dyDescent="0.2">
      <c r="A542" s="126"/>
      <c r="B542" s="124"/>
      <c r="C542" s="126"/>
      <c r="D542" s="126"/>
      <c r="E542" s="126" t="str">
        <f t="shared" si="8"/>
        <v/>
      </c>
    </row>
    <row r="543" spans="1:5" x14ac:dyDescent="0.2">
      <c r="A543" s="126"/>
      <c r="B543" s="124"/>
      <c r="C543" s="126"/>
      <c r="D543" s="126"/>
      <c r="E543" s="126" t="str">
        <f t="shared" si="8"/>
        <v/>
      </c>
    </row>
    <row r="544" spans="1:5" x14ac:dyDescent="0.2">
      <c r="A544" s="126"/>
      <c r="B544" s="124"/>
      <c r="C544" s="126"/>
      <c r="D544" s="126"/>
      <c r="E544" s="126" t="str">
        <f t="shared" si="8"/>
        <v/>
      </c>
    </row>
  </sheetData>
  <sortState ref="A33:G320">
    <sortCondition ref="A33:A320"/>
  </sortState>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pageSetUpPr fitToPage="1"/>
  </sheetPr>
  <dimension ref="A1:G67"/>
  <sheetViews>
    <sheetView showZeros="0" topLeftCell="A48" zoomScale="120" zoomScaleNormal="120" workbookViewId="0">
      <selection activeCell="D30" sqref="D30"/>
    </sheetView>
  </sheetViews>
  <sheetFormatPr baseColWidth="10" defaultColWidth="11.42578125" defaultRowHeight="11.25" x14ac:dyDescent="0.2"/>
  <cols>
    <col min="1" max="1" width="19.28515625" style="560" customWidth="1"/>
    <col min="2" max="2" width="19.140625" style="560" customWidth="1"/>
    <col min="3" max="3" width="37.7109375" style="560" customWidth="1"/>
    <col min="4" max="4" width="12.42578125" style="560" customWidth="1"/>
    <col min="5" max="5" width="11.42578125" style="560"/>
    <col min="6" max="6" width="12" style="560" bestFit="1" customWidth="1"/>
    <col min="7" max="7" width="12.7109375" style="560" customWidth="1"/>
    <col min="8" max="8" width="11.42578125" style="560"/>
    <col min="9" max="9" width="12.85546875" style="560" bestFit="1" customWidth="1"/>
    <col min="10" max="10" width="13.28515625" style="560" bestFit="1" customWidth="1"/>
    <col min="11" max="16384" width="11.42578125" style="560"/>
  </cols>
  <sheetData>
    <row r="1" spans="1:7" x14ac:dyDescent="0.2">
      <c r="A1" s="763" t="s">
        <v>1708</v>
      </c>
      <c r="B1" s="763"/>
      <c r="C1" s="763"/>
      <c r="D1" s="763"/>
      <c r="E1" s="763"/>
      <c r="F1" s="763"/>
      <c r="G1" s="763"/>
    </row>
    <row r="2" spans="1:7" x14ac:dyDescent="0.2">
      <c r="A2" s="561" t="s">
        <v>720</v>
      </c>
      <c r="B2" s="561" t="str">
        <f>Comitente</f>
        <v>DIRECCIÓN PROVINCIAL DE VIALIDAD</v>
      </c>
      <c r="C2" s="562"/>
      <c r="D2" s="563"/>
      <c r="E2" s="563"/>
      <c r="F2" s="564"/>
      <c r="G2" s="564"/>
    </row>
    <row r="3" spans="1:7" x14ac:dyDescent="0.2">
      <c r="A3" s="561" t="s">
        <v>721</v>
      </c>
      <c r="B3" s="561">
        <f>Contratista</f>
        <v>0</v>
      </c>
      <c r="C3" s="565"/>
      <c r="D3" s="565"/>
      <c r="E3" s="565"/>
      <c r="F3" s="561"/>
      <c r="G3" s="561"/>
    </row>
    <row r="4" spans="1:7" x14ac:dyDescent="0.2">
      <c r="A4" s="561" t="s">
        <v>23</v>
      </c>
      <c r="B4" s="561" t="str">
        <f>Obra</f>
        <v>PAVIMENTACION RUTAS VARIAS</v>
      </c>
      <c r="C4" s="565"/>
      <c r="D4" s="561" t="s">
        <v>34</v>
      </c>
      <c r="E4" s="561">
        <f>Fecha_Base</f>
        <v>43411</v>
      </c>
    </row>
    <row r="5" spans="1:7" x14ac:dyDescent="0.2">
      <c r="A5" s="566" t="s">
        <v>719</v>
      </c>
      <c r="B5" s="566" t="str">
        <f>Ubicación</f>
        <v>POCITO</v>
      </c>
      <c r="C5" s="566"/>
      <c r="D5" s="567"/>
      <c r="E5" s="568"/>
      <c r="F5" s="569"/>
      <c r="G5" s="570"/>
    </row>
    <row r="6" spans="1:7" x14ac:dyDescent="0.2">
      <c r="A6" s="566"/>
      <c r="B6" s="566"/>
      <c r="C6" s="566"/>
      <c r="D6" s="567"/>
      <c r="E6" s="568"/>
      <c r="F6" s="569"/>
      <c r="G6" s="570"/>
    </row>
    <row r="7" spans="1:7" x14ac:dyDescent="0.2">
      <c r="A7" s="566"/>
      <c r="B7" s="571"/>
      <c r="C7" s="572" t="s">
        <v>1709</v>
      </c>
      <c r="D7" s="567"/>
      <c r="E7" s="568"/>
      <c r="F7" s="566"/>
      <c r="G7" s="573"/>
    </row>
    <row r="8" spans="1:7" x14ac:dyDescent="0.2">
      <c r="A8" s="566"/>
      <c r="B8" s="571"/>
      <c r="C8" s="574"/>
      <c r="D8" s="575" t="s">
        <v>1710</v>
      </c>
      <c r="F8" s="566"/>
      <c r="G8" s="573"/>
    </row>
    <row r="9" spans="1:7" x14ac:dyDescent="0.2">
      <c r="A9" s="566"/>
      <c r="B9" s="571"/>
      <c r="C9" s="574"/>
      <c r="D9" s="568"/>
      <c r="F9" s="566"/>
      <c r="G9" s="573"/>
    </row>
    <row r="10" spans="1:7" x14ac:dyDescent="0.2">
      <c r="A10" s="576" t="s">
        <v>1711</v>
      </c>
      <c r="C10" s="560" t="s">
        <v>1042</v>
      </c>
      <c r="D10" s="600">
        <f>IF(V_U_Equipo+8*Interés_Anual/(2*2000)=0,0,8*Porcentaje_amortizaciónl_Equipo/V_U_Equipo)</f>
        <v>0</v>
      </c>
      <c r="F10" s="577"/>
      <c r="G10" s="573"/>
    </row>
    <row r="11" spans="1:7" x14ac:dyDescent="0.2">
      <c r="A11" s="578"/>
      <c r="C11" s="571"/>
      <c r="D11" s="601"/>
      <c r="F11" s="580"/>
      <c r="G11" s="573"/>
    </row>
    <row r="12" spans="1:7" x14ac:dyDescent="0.2">
      <c r="A12" s="566"/>
      <c r="D12" s="602"/>
      <c r="F12" s="566"/>
      <c r="G12" s="573"/>
    </row>
    <row r="13" spans="1:7" x14ac:dyDescent="0.2">
      <c r="A13" s="576" t="s">
        <v>1043</v>
      </c>
      <c r="C13" s="560" t="s">
        <v>1043</v>
      </c>
      <c r="D13" s="600">
        <f>IF(V_U_Equipo+8*Interés_Anual/(2*2000)=0,0,8*Interés_Anual/(2*2000))</f>
        <v>0</v>
      </c>
      <c r="F13" s="577"/>
      <c r="G13" s="573"/>
    </row>
    <row r="14" spans="1:7" x14ac:dyDescent="0.2">
      <c r="A14" s="578"/>
      <c r="C14" s="571"/>
      <c r="D14" s="601"/>
      <c r="F14" s="580"/>
      <c r="G14" s="573"/>
    </row>
    <row r="15" spans="1:7" x14ac:dyDescent="0.2">
      <c r="A15" s="578"/>
      <c r="C15" s="571"/>
      <c r="D15" s="601"/>
      <c r="F15" s="580"/>
      <c r="G15" s="573"/>
    </row>
    <row r="16" spans="1:7" x14ac:dyDescent="0.2">
      <c r="A16" s="576" t="s">
        <v>1044</v>
      </c>
      <c r="C16" s="560" t="s">
        <v>1044</v>
      </c>
      <c r="D16" s="600">
        <f>IF(V_U_Equipo*Porc_repuestos_reparaciones_de_amortización=0,0,8*Porcentaje_amortizaciónl_Equipo/V_U_Equipo*Porc_repuestos_reparaciones_de_amortización)</f>
        <v>0</v>
      </c>
      <c r="F16" s="580"/>
      <c r="G16" s="573"/>
    </row>
    <row r="17" spans="1:7" x14ac:dyDescent="0.2">
      <c r="A17" s="576"/>
      <c r="C17" s="571"/>
      <c r="D17" s="579"/>
      <c r="F17" s="566"/>
      <c r="G17" s="567"/>
    </row>
    <row r="18" spans="1:7" x14ac:dyDescent="0.2">
      <c r="A18" s="576"/>
      <c r="C18" s="571"/>
      <c r="D18" s="581"/>
      <c r="F18" s="566"/>
      <c r="G18" s="567"/>
    </row>
    <row r="19" spans="1:7" x14ac:dyDescent="0.2">
      <c r="A19" s="576" t="s">
        <v>1658</v>
      </c>
      <c r="C19" s="560" t="s">
        <v>882</v>
      </c>
      <c r="D19" s="599">
        <f>Consumo_gasoil_Equipo_porHP*8*Precio_gasoil</f>
        <v>0</v>
      </c>
      <c r="F19" s="566"/>
      <c r="G19" s="567"/>
    </row>
    <row r="20" spans="1:7" x14ac:dyDescent="0.2">
      <c r="A20" s="566"/>
      <c r="C20" s="571"/>
      <c r="D20" s="581"/>
      <c r="F20" s="566"/>
      <c r="G20" s="567"/>
    </row>
    <row r="21" spans="1:7" x14ac:dyDescent="0.2">
      <c r="A21" s="566"/>
      <c r="C21" s="571"/>
      <c r="D21" s="581"/>
      <c r="F21" s="566"/>
      <c r="G21" s="567"/>
    </row>
    <row r="22" spans="1:7" x14ac:dyDescent="0.2">
      <c r="A22" s="566"/>
      <c r="C22" s="560" t="s">
        <v>1045</v>
      </c>
      <c r="D22" s="599">
        <f>Consumo_gasoil_Equipo_porHP*8*Precio_gasoil*Porcentaje_lubricantes_respecto_al_combustible</f>
        <v>0</v>
      </c>
      <c r="F22" s="566"/>
      <c r="G22" s="582"/>
    </row>
    <row r="23" spans="1:7" x14ac:dyDescent="0.2">
      <c r="A23" s="566"/>
      <c r="B23" s="571"/>
      <c r="C23" s="571"/>
      <c r="D23" s="581"/>
      <c r="E23" s="582"/>
      <c r="F23" s="566"/>
      <c r="G23" s="567"/>
    </row>
    <row r="24" spans="1:7" x14ac:dyDescent="0.2">
      <c r="A24" s="566"/>
      <c r="B24" s="571" t="s">
        <v>1712</v>
      </c>
      <c r="C24" s="581"/>
      <c r="D24" s="581"/>
      <c r="E24" s="579"/>
      <c r="F24" s="566"/>
      <c r="G24" s="583"/>
    </row>
    <row r="25" spans="1:7" x14ac:dyDescent="0.2">
      <c r="A25" s="566"/>
      <c r="B25" s="584" t="s">
        <v>1713</v>
      </c>
      <c r="C25" s="585"/>
      <c r="D25" s="586"/>
      <c r="E25" s="568"/>
      <c r="F25" s="566"/>
      <c r="G25" s="583"/>
    </row>
    <row r="26" spans="1:7" x14ac:dyDescent="0.2">
      <c r="A26" s="566"/>
      <c r="B26" s="584" t="s">
        <v>1714</v>
      </c>
      <c r="C26" s="585"/>
      <c r="D26" s="587"/>
      <c r="E26" s="568"/>
      <c r="F26" s="566"/>
      <c r="G26" s="583"/>
    </row>
    <row r="27" spans="1:7" x14ac:dyDescent="0.2">
      <c r="A27" s="566"/>
      <c r="B27" s="588" t="s">
        <v>1715</v>
      </c>
      <c r="C27" s="585"/>
      <c r="D27" s="587"/>
      <c r="E27" s="568"/>
      <c r="F27" s="566"/>
      <c r="G27" s="583"/>
    </row>
    <row r="28" spans="1:7" x14ac:dyDescent="0.2">
      <c r="A28" s="566"/>
      <c r="B28" s="588" t="s">
        <v>1716</v>
      </c>
      <c r="C28" s="585"/>
      <c r="D28" s="587"/>
      <c r="E28" s="568"/>
      <c r="F28" s="566"/>
      <c r="G28" s="583"/>
    </row>
    <row r="29" spans="1:7" x14ac:dyDescent="0.2">
      <c r="A29" s="566"/>
      <c r="B29" s="588" t="s">
        <v>1717</v>
      </c>
      <c r="C29" s="585"/>
      <c r="D29" s="589"/>
      <c r="E29" s="568"/>
      <c r="F29" s="566"/>
      <c r="G29" s="583"/>
    </row>
    <row r="30" spans="1:7" x14ac:dyDescent="0.2">
      <c r="A30" s="566"/>
      <c r="B30" s="588" t="s">
        <v>1718</v>
      </c>
      <c r="C30" s="585"/>
      <c r="D30" s="590"/>
      <c r="E30" s="568"/>
      <c r="F30" s="566"/>
      <c r="G30" s="567"/>
    </row>
    <row r="31" spans="1:7" x14ac:dyDescent="0.2">
      <c r="A31" s="566"/>
      <c r="B31" s="588" t="s">
        <v>1719</v>
      </c>
      <c r="C31" s="585"/>
      <c r="D31" s="587"/>
      <c r="E31" s="568"/>
      <c r="F31" s="566"/>
      <c r="G31" s="567"/>
    </row>
    <row r="32" spans="1:7" x14ac:dyDescent="0.2">
      <c r="A32" s="581"/>
      <c r="B32" s="581"/>
      <c r="C32" s="581"/>
      <c r="D32" s="581"/>
      <c r="E32" s="581"/>
      <c r="F32" s="581"/>
      <c r="G32" s="581"/>
    </row>
    <row r="33" spans="1:7" x14ac:dyDescent="0.2">
      <c r="A33" s="581"/>
      <c r="B33" s="581"/>
      <c r="C33" s="572" t="s">
        <v>1720</v>
      </c>
      <c r="D33" s="581"/>
      <c r="E33" s="581"/>
      <c r="F33" s="581"/>
      <c r="G33" s="581"/>
    </row>
    <row r="34" spans="1:7" x14ac:dyDescent="0.2">
      <c r="A34" s="581"/>
      <c r="B34" s="581"/>
      <c r="C34" s="572"/>
      <c r="D34" s="581"/>
      <c r="E34" s="581" t="s">
        <v>1710</v>
      </c>
      <c r="F34" s="581"/>
      <c r="G34" s="581"/>
    </row>
    <row r="35" spans="1:7" x14ac:dyDescent="0.2">
      <c r="A35" s="566"/>
      <c r="B35" s="571"/>
      <c r="C35" s="574"/>
      <c r="D35" s="567"/>
      <c r="E35" s="568"/>
      <c r="F35" s="566"/>
      <c r="G35" s="567"/>
    </row>
    <row r="36" spans="1:7" x14ac:dyDescent="0.2">
      <c r="A36" s="566"/>
      <c r="B36" s="571"/>
      <c r="C36" s="560" t="s">
        <v>1042</v>
      </c>
      <c r="D36" s="577"/>
      <c r="E36" s="591">
        <f>IF(V_U_Camioneta_meses=0,0,P_Camioneta_Amortizar/V_U_Camioneta_meses)</f>
        <v>0</v>
      </c>
      <c r="F36" s="577"/>
      <c r="G36" s="572"/>
    </row>
    <row r="37" spans="1:7" x14ac:dyDescent="0.2">
      <c r="A37" s="566"/>
      <c r="B37" s="571"/>
      <c r="C37" s="571"/>
      <c r="D37" s="577"/>
      <c r="E37" s="582"/>
      <c r="F37" s="577"/>
      <c r="G37" s="572"/>
    </row>
    <row r="38" spans="1:7" x14ac:dyDescent="0.2">
      <c r="A38" s="566"/>
      <c r="B38" s="571"/>
      <c r="D38" s="568"/>
      <c r="E38" s="579"/>
      <c r="F38" s="580"/>
      <c r="G38" s="573"/>
    </row>
    <row r="39" spans="1:7" x14ac:dyDescent="0.2">
      <c r="A39" s="566"/>
      <c r="B39" s="571"/>
      <c r="C39" s="560" t="s">
        <v>1043</v>
      </c>
      <c r="D39" s="568"/>
      <c r="E39" s="591">
        <f>Interés_Anual/(2*12)</f>
        <v>0</v>
      </c>
      <c r="F39" s="580"/>
      <c r="G39" s="573"/>
    </row>
    <row r="40" spans="1:7" x14ac:dyDescent="0.2">
      <c r="A40" s="566"/>
      <c r="B40" s="571"/>
      <c r="C40" s="571"/>
      <c r="D40" s="568"/>
      <c r="E40" s="579"/>
      <c r="F40" s="580"/>
      <c r="G40" s="573"/>
    </row>
    <row r="41" spans="1:7" x14ac:dyDescent="0.2">
      <c r="A41" s="566"/>
      <c r="B41" s="571"/>
      <c r="C41" s="571"/>
      <c r="D41" s="568"/>
      <c r="E41" s="579"/>
      <c r="F41" s="580"/>
      <c r="G41" s="573"/>
    </row>
    <row r="42" spans="1:7" x14ac:dyDescent="0.2">
      <c r="A42" s="566"/>
      <c r="B42" s="571"/>
      <c r="C42" s="560" t="s">
        <v>1734</v>
      </c>
      <c r="D42" s="568"/>
      <c r="E42" s="591">
        <f>D59/12</f>
        <v>0</v>
      </c>
      <c r="F42" s="580"/>
      <c r="G42" s="573"/>
    </row>
    <row r="43" spans="1:7" x14ac:dyDescent="0.2">
      <c r="A43" s="566"/>
      <c r="B43" s="571"/>
      <c r="C43" s="571"/>
      <c r="D43" s="581"/>
      <c r="E43" s="579"/>
      <c r="F43" s="566"/>
      <c r="G43" s="567"/>
    </row>
    <row r="44" spans="1:7" x14ac:dyDescent="0.2">
      <c r="A44" s="566"/>
      <c r="B44" s="571"/>
      <c r="C44" s="571"/>
      <c r="D44" s="581"/>
      <c r="E44" s="579"/>
      <c r="F44" s="566"/>
      <c r="G44" s="567"/>
    </row>
    <row r="45" spans="1:7" x14ac:dyDescent="0.2">
      <c r="A45" s="566"/>
      <c r="B45" s="571"/>
      <c r="C45" s="560" t="s">
        <v>1721</v>
      </c>
      <c r="D45" s="581"/>
      <c r="E45" s="591">
        <f>D60/12</f>
        <v>0</v>
      </c>
      <c r="F45" s="566"/>
      <c r="G45" s="567"/>
    </row>
    <row r="46" spans="1:7" x14ac:dyDescent="0.2">
      <c r="A46" s="566"/>
      <c r="B46" s="571"/>
      <c r="C46" s="571"/>
      <c r="D46" s="581"/>
      <c r="E46" s="579"/>
      <c r="F46" s="566"/>
      <c r="G46" s="567"/>
    </row>
    <row r="47" spans="1:7" x14ac:dyDescent="0.2">
      <c r="A47" s="566"/>
      <c r="B47" s="571"/>
      <c r="C47" s="571"/>
      <c r="D47" s="581"/>
      <c r="E47" s="579"/>
      <c r="F47" s="566"/>
      <c r="G47" s="567"/>
    </row>
    <row r="48" spans="1:7" x14ac:dyDescent="0.2">
      <c r="A48" s="566"/>
      <c r="B48" s="571"/>
      <c r="C48" s="560" t="s">
        <v>1658</v>
      </c>
      <c r="D48" s="581"/>
      <c r="E48" s="592">
        <f>Consumo_gasoil_Camioneta_porkm*Precio_gasoil*(1+Porcentaje_Lubricantes_Camionetas)</f>
        <v>0</v>
      </c>
      <c r="F48" s="566"/>
      <c r="G48" s="567"/>
    </row>
    <row r="49" spans="1:7" x14ac:dyDescent="0.2">
      <c r="A49" s="566"/>
      <c r="B49" s="571"/>
      <c r="C49" s="571"/>
      <c r="D49" s="581"/>
      <c r="E49" s="579"/>
      <c r="F49" s="566"/>
      <c r="G49" s="567"/>
    </row>
    <row r="50" spans="1:7" x14ac:dyDescent="0.2">
      <c r="A50" s="566"/>
      <c r="B50" s="571"/>
      <c r="C50" s="571"/>
      <c r="D50" s="581"/>
      <c r="E50" s="579"/>
      <c r="F50" s="566"/>
      <c r="G50" s="567"/>
    </row>
    <row r="51" spans="1:7" x14ac:dyDescent="0.2">
      <c r="A51" s="566"/>
      <c r="B51" s="571"/>
      <c r="C51" s="571" t="s">
        <v>1722</v>
      </c>
      <c r="D51" s="581"/>
      <c r="E51" s="592">
        <f>IF(V_U_cámara_cubiertas_Camionetas=0,0,Cant_Cubiertas_Camioneta*Costo_de_cámaras_y_cubiertas_Camionetas/V_U_cámara_cubiertas_Camionetas)</f>
        <v>0</v>
      </c>
      <c r="F51" s="566"/>
      <c r="G51" s="567"/>
    </row>
    <row r="52" spans="1:7" x14ac:dyDescent="0.2">
      <c r="A52" s="566"/>
      <c r="B52" s="571"/>
      <c r="C52" s="571"/>
      <c r="D52" s="581"/>
      <c r="E52" s="579"/>
      <c r="F52" s="566"/>
      <c r="G52" s="567"/>
    </row>
    <row r="53" spans="1:7" x14ac:dyDescent="0.2">
      <c r="A53" s="566"/>
      <c r="B53" s="571"/>
      <c r="C53" s="571"/>
      <c r="D53" s="581"/>
      <c r="E53" s="579"/>
      <c r="F53" s="566"/>
      <c r="G53" s="567"/>
    </row>
    <row r="54" spans="1:7" x14ac:dyDescent="0.2">
      <c r="A54" s="566"/>
      <c r="B54" s="571"/>
      <c r="C54" s="571"/>
      <c r="D54" s="581"/>
      <c r="E54" s="582"/>
      <c r="F54" s="566"/>
      <c r="G54" s="567"/>
    </row>
    <row r="55" spans="1:7" x14ac:dyDescent="0.2">
      <c r="A55" s="581"/>
      <c r="B55" s="584" t="s">
        <v>1723</v>
      </c>
      <c r="C55" s="585"/>
      <c r="D55" s="587"/>
      <c r="E55" s="581"/>
      <c r="F55" s="581"/>
      <c r="G55" s="581"/>
    </row>
    <row r="56" spans="1:7" x14ac:dyDescent="0.2">
      <c r="A56" s="581"/>
      <c r="B56" s="593" t="s">
        <v>1724</v>
      </c>
      <c r="C56" s="585"/>
      <c r="D56" s="594"/>
      <c r="E56" s="581"/>
      <c r="F56" s="581"/>
      <c r="G56" s="581"/>
    </row>
    <row r="57" spans="1:7" x14ac:dyDescent="0.2">
      <c r="A57" s="581"/>
      <c r="B57" s="593" t="s">
        <v>1725</v>
      </c>
      <c r="C57" s="585"/>
      <c r="D57" s="595"/>
      <c r="E57" s="581"/>
      <c r="F57" s="581"/>
      <c r="G57" s="581"/>
    </row>
    <row r="58" spans="1:7" x14ac:dyDescent="0.2">
      <c r="A58" s="581"/>
      <c r="B58" s="593" t="s">
        <v>1726</v>
      </c>
      <c r="C58" s="585"/>
      <c r="D58" s="603"/>
      <c r="E58" s="581"/>
      <c r="F58" s="581"/>
      <c r="G58" s="581"/>
    </row>
    <row r="59" spans="1:7" x14ac:dyDescent="0.2">
      <c r="A59" s="581"/>
      <c r="B59" s="593" t="s">
        <v>1727</v>
      </c>
      <c r="C59" s="585"/>
      <c r="D59" s="587"/>
      <c r="E59" s="581"/>
      <c r="F59" s="581"/>
      <c r="G59" s="581"/>
    </row>
    <row r="60" spans="1:7" x14ac:dyDescent="0.2">
      <c r="A60" s="581"/>
      <c r="B60" s="593" t="s">
        <v>1728</v>
      </c>
      <c r="C60" s="585"/>
      <c r="D60" s="587"/>
      <c r="E60" s="581"/>
      <c r="F60" s="581"/>
      <c r="G60" s="581"/>
    </row>
    <row r="61" spans="1:7" x14ac:dyDescent="0.2">
      <c r="A61" s="581"/>
      <c r="B61" s="593" t="s">
        <v>1729</v>
      </c>
      <c r="C61" s="585"/>
      <c r="D61" s="596"/>
      <c r="E61" s="581"/>
      <c r="F61" s="581"/>
      <c r="G61" s="581"/>
    </row>
    <row r="62" spans="1:7" x14ac:dyDescent="0.2">
      <c r="A62" s="581"/>
      <c r="B62" s="593" t="s">
        <v>1730</v>
      </c>
      <c r="C62" s="585"/>
      <c r="D62" s="587"/>
      <c r="E62" s="581"/>
      <c r="F62" s="581"/>
      <c r="G62" s="581"/>
    </row>
    <row r="63" spans="1:7" x14ac:dyDescent="0.2">
      <c r="A63" s="581"/>
      <c r="B63" s="593" t="s">
        <v>1731</v>
      </c>
      <c r="C63" s="585"/>
      <c r="D63" s="597"/>
      <c r="E63" s="581"/>
      <c r="F63" s="581"/>
      <c r="G63" s="581"/>
    </row>
    <row r="64" spans="1:7" x14ac:dyDescent="0.2">
      <c r="A64" s="581"/>
      <c r="B64" s="593" t="s">
        <v>1732</v>
      </c>
      <c r="C64" s="585"/>
      <c r="D64" s="604"/>
      <c r="E64" s="581"/>
      <c r="F64" s="581"/>
      <c r="G64" s="581"/>
    </row>
    <row r="65" spans="1:7" x14ac:dyDescent="0.2">
      <c r="A65" s="581"/>
      <c r="B65" s="593" t="s">
        <v>1733</v>
      </c>
      <c r="C65" s="585"/>
      <c r="D65" s="598"/>
      <c r="E65" s="581"/>
      <c r="F65" s="581"/>
      <c r="G65" s="581"/>
    </row>
    <row r="66" spans="1:7" x14ac:dyDescent="0.2">
      <c r="A66" s="581"/>
      <c r="B66" s="581"/>
      <c r="C66" s="581"/>
      <c r="D66" s="581"/>
      <c r="E66" s="581"/>
      <c r="F66" s="581"/>
      <c r="G66" s="581"/>
    </row>
    <row r="67" spans="1:7" x14ac:dyDescent="0.2">
      <c r="A67" s="581"/>
      <c r="B67" s="581"/>
      <c r="C67" s="581"/>
      <c r="D67" s="581"/>
      <c r="E67" s="581"/>
      <c r="F67" s="581"/>
      <c r="G67" s="581"/>
    </row>
  </sheetData>
  <mergeCells count="1">
    <mergeCell ref="A1:G1"/>
  </mergeCells>
  <pageMargins left="1.1811023622047245" right="0.78740157480314965" top="1.1811023622047245" bottom="0.74803149606299213" header="0.39370078740157483" footer="0.39370078740157483"/>
  <pageSetup paperSize="9" scale="65" fitToHeight="0" orientation="portrait" r:id="rId1"/>
  <headerFooter>
    <oddHeader>&amp;L&amp;G</oddHeader>
  </headerFooter>
  <drawing r:id="rId2"/>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dimension ref="A1:U64"/>
  <sheetViews>
    <sheetView showZeros="0" topLeftCell="A7" workbookViewId="0">
      <selection activeCell="O22" sqref="O22"/>
    </sheetView>
  </sheetViews>
  <sheetFormatPr baseColWidth="10" defaultRowHeight="15" customHeight="1" x14ac:dyDescent="0.2"/>
  <cols>
    <col min="1" max="14" width="10.7109375" style="609" customWidth="1"/>
    <col min="15" max="15" width="23.7109375" style="609" customWidth="1"/>
    <col min="16" max="16" width="10.28515625" style="609" customWidth="1"/>
    <col min="17" max="256" width="11.42578125" style="609"/>
    <col min="257" max="257" width="7" style="609" customWidth="1"/>
    <col min="258" max="258" width="10.7109375" style="609" customWidth="1"/>
    <col min="259" max="259" width="10.5703125" style="609" customWidth="1"/>
    <col min="260" max="260" width="10.7109375" style="609" customWidth="1"/>
    <col min="261" max="261" width="10.28515625" style="609" customWidth="1"/>
    <col min="262" max="262" width="10.7109375" style="609" customWidth="1"/>
    <col min="263" max="263" width="9.42578125" style="609" customWidth="1"/>
    <col min="264" max="264" width="10.5703125" style="609" customWidth="1"/>
    <col min="265" max="265" width="13.7109375" style="609" customWidth="1"/>
    <col min="266" max="267" width="10.42578125" style="609" customWidth="1"/>
    <col min="268" max="268" width="10.28515625" style="609" customWidth="1"/>
    <col min="269" max="269" width="9.42578125" style="609" customWidth="1"/>
    <col min="270" max="270" width="8.7109375" style="609" customWidth="1"/>
    <col min="271" max="271" width="10.42578125" style="609" customWidth="1"/>
    <col min="272" max="272" width="10.28515625" style="609" customWidth="1"/>
    <col min="273" max="512" width="11.42578125" style="609"/>
    <col min="513" max="513" width="7" style="609" customWidth="1"/>
    <col min="514" max="514" width="10.7109375" style="609" customWidth="1"/>
    <col min="515" max="515" width="10.5703125" style="609" customWidth="1"/>
    <col min="516" max="516" width="10.7109375" style="609" customWidth="1"/>
    <col min="517" max="517" width="10.28515625" style="609" customWidth="1"/>
    <col min="518" max="518" width="10.7109375" style="609" customWidth="1"/>
    <col min="519" max="519" width="9.42578125" style="609" customWidth="1"/>
    <col min="520" max="520" width="10.5703125" style="609" customWidth="1"/>
    <col min="521" max="521" width="13.7109375" style="609" customWidth="1"/>
    <col min="522" max="523" width="10.42578125" style="609" customWidth="1"/>
    <col min="524" max="524" width="10.28515625" style="609" customWidth="1"/>
    <col min="525" max="525" width="9.42578125" style="609" customWidth="1"/>
    <col min="526" max="526" width="8.7109375" style="609" customWidth="1"/>
    <col min="527" max="527" width="10.42578125" style="609" customWidth="1"/>
    <col min="528" max="528" width="10.28515625" style="609" customWidth="1"/>
    <col min="529" max="768" width="11.42578125" style="609"/>
    <col min="769" max="769" width="7" style="609" customWidth="1"/>
    <col min="770" max="770" width="10.7109375" style="609" customWidth="1"/>
    <col min="771" max="771" width="10.5703125" style="609" customWidth="1"/>
    <col min="772" max="772" width="10.7109375" style="609" customWidth="1"/>
    <col min="773" max="773" width="10.28515625" style="609" customWidth="1"/>
    <col min="774" max="774" width="10.7109375" style="609" customWidth="1"/>
    <col min="775" max="775" width="9.42578125" style="609" customWidth="1"/>
    <col min="776" max="776" width="10.5703125" style="609" customWidth="1"/>
    <col min="777" max="777" width="13.7109375" style="609" customWidth="1"/>
    <col min="778" max="779" width="10.42578125" style="609" customWidth="1"/>
    <col min="780" max="780" width="10.28515625" style="609" customWidth="1"/>
    <col min="781" max="781" width="9.42578125" style="609" customWidth="1"/>
    <col min="782" max="782" width="8.7109375" style="609" customWidth="1"/>
    <col min="783" max="783" width="10.42578125" style="609" customWidth="1"/>
    <col min="784" max="784" width="10.28515625" style="609" customWidth="1"/>
    <col min="785" max="1024" width="11.42578125" style="609"/>
    <col min="1025" max="1025" width="7" style="609" customWidth="1"/>
    <col min="1026" max="1026" width="10.7109375" style="609" customWidth="1"/>
    <col min="1027" max="1027" width="10.5703125" style="609" customWidth="1"/>
    <col min="1028" max="1028" width="10.7109375" style="609" customWidth="1"/>
    <col min="1029" max="1029" width="10.28515625" style="609" customWidth="1"/>
    <col min="1030" max="1030" width="10.7109375" style="609" customWidth="1"/>
    <col min="1031" max="1031" width="9.42578125" style="609" customWidth="1"/>
    <col min="1032" max="1032" width="10.5703125" style="609" customWidth="1"/>
    <col min="1033" max="1033" width="13.7109375" style="609" customWidth="1"/>
    <col min="1034" max="1035" width="10.42578125" style="609" customWidth="1"/>
    <col min="1036" max="1036" width="10.28515625" style="609" customWidth="1"/>
    <col min="1037" max="1037" width="9.42578125" style="609" customWidth="1"/>
    <col min="1038" max="1038" width="8.7109375" style="609" customWidth="1"/>
    <col min="1039" max="1039" width="10.42578125" style="609" customWidth="1"/>
    <col min="1040" max="1040" width="10.28515625" style="609" customWidth="1"/>
    <col min="1041" max="1280" width="11.42578125" style="609"/>
    <col min="1281" max="1281" width="7" style="609" customWidth="1"/>
    <col min="1282" max="1282" width="10.7109375" style="609" customWidth="1"/>
    <col min="1283" max="1283" width="10.5703125" style="609" customWidth="1"/>
    <col min="1284" max="1284" width="10.7109375" style="609" customWidth="1"/>
    <col min="1285" max="1285" width="10.28515625" style="609" customWidth="1"/>
    <col min="1286" max="1286" width="10.7109375" style="609" customWidth="1"/>
    <col min="1287" max="1287" width="9.42578125" style="609" customWidth="1"/>
    <col min="1288" max="1288" width="10.5703125" style="609" customWidth="1"/>
    <col min="1289" max="1289" width="13.7109375" style="609" customWidth="1"/>
    <col min="1290" max="1291" width="10.42578125" style="609" customWidth="1"/>
    <col min="1292" max="1292" width="10.28515625" style="609" customWidth="1"/>
    <col min="1293" max="1293" width="9.42578125" style="609" customWidth="1"/>
    <col min="1294" max="1294" width="8.7109375" style="609" customWidth="1"/>
    <col min="1295" max="1295" width="10.42578125" style="609" customWidth="1"/>
    <col min="1296" max="1296" width="10.28515625" style="609" customWidth="1"/>
    <col min="1297" max="1536" width="11.42578125" style="609"/>
    <col min="1537" max="1537" width="7" style="609" customWidth="1"/>
    <col min="1538" max="1538" width="10.7109375" style="609" customWidth="1"/>
    <col min="1539" max="1539" width="10.5703125" style="609" customWidth="1"/>
    <col min="1540" max="1540" width="10.7109375" style="609" customWidth="1"/>
    <col min="1541" max="1541" width="10.28515625" style="609" customWidth="1"/>
    <col min="1542" max="1542" width="10.7109375" style="609" customWidth="1"/>
    <col min="1543" max="1543" width="9.42578125" style="609" customWidth="1"/>
    <col min="1544" max="1544" width="10.5703125" style="609" customWidth="1"/>
    <col min="1545" max="1545" width="13.7109375" style="609" customWidth="1"/>
    <col min="1546" max="1547" width="10.42578125" style="609" customWidth="1"/>
    <col min="1548" max="1548" width="10.28515625" style="609" customWidth="1"/>
    <col min="1549" max="1549" width="9.42578125" style="609" customWidth="1"/>
    <col min="1550" max="1550" width="8.7109375" style="609" customWidth="1"/>
    <col min="1551" max="1551" width="10.42578125" style="609" customWidth="1"/>
    <col min="1552" max="1552" width="10.28515625" style="609" customWidth="1"/>
    <col min="1553" max="1792" width="11.42578125" style="609"/>
    <col min="1793" max="1793" width="7" style="609" customWidth="1"/>
    <col min="1794" max="1794" width="10.7109375" style="609" customWidth="1"/>
    <col min="1795" max="1795" width="10.5703125" style="609" customWidth="1"/>
    <col min="1796" max="1796" width="10.7109375" style="609" customWidth="1"/>
    <col min="1797" max="1797" width="10.28515625" style="609" customWidth="1"/>
    <col min="1798" max="1798" width="10.7109375" style="609" customWidth="1"/>
    <col min="1799" max="1799" width="9.42578125" style="609" customWidth="1"/>
    <col min="1800" max="1800" width="10.5703125" style="609" customWidth="1"/>
    <col min="1801" max="1801" width="13.7109375" style="609" customWidth="1"/>
    <col min="1802" max="1803" width="10.42578125" style="609" customWidth="1"/>
    <col min="1804" max="1804" width="10.28515625" style="609" customWidth="1"/>
    <col min="1805" max="1805" width="9.42578125" style="609" customWidth="1"/>
    <col min="1806" max="1806" width="8.7109375" style="609" customWidth="1"/>
    <col min="1807" max="1807" width="10.42578125" style="609" customWidth="1"/>
    <col min="1808" max="1808" width="10.28515625" style="609" customWidth="1"/>
    <col min="1809" max="2048" width="11.42578125" style="609"/>
    <col min="2049" max="2049" width="7" style="609" customWidth="1"/>
    <col min="2050" max="2050" width="10.7109375" style="609" customWidth="1"/>
    <col min="2051" max="2051" width="10.5703125" style="609" customWidth="1"/>
    <col min="2052" max="2052" width="10.7109375" style="609" customWidth="1"/>
    <col min="2053" max="2053" width="10.28515625" style="609" customWidth="1"/>
    <col min="2054" max="2054" width="10.7109375" style="609" customWidth="1"/>
    <col min="2055" max="2055" width="9.42578125" style="609" customWidth="1"/>
    <col min="2056" max="2056" width="10.5703125" style="609" customWidth="1"/>
    <col min="2057" max="2057" width="13.7109375" style="609" customWidth="1"/>
    <col min="2058" max="2059" width="10.42578125" style="609" customWidth="1"/>
    <col min="2060" max="2060" width="10.28515625" style="609" customWidth="1"/>
    <col min="2061" max="2061" width="9.42578125" style="609" customWidth="1"/>
    <col min="2062" max="2062" width="8.7109375" style="609" customWidth="1"/>
    <col min="2063" max="2063" width="10.42578125" style="609" customWidth="1"/>
    <col min="2064" max="2064" width="10.28515625" style="609" customWidth="1"/>
    <col min="2065" max="2304" width="11.42578125" style="609"/>
    <col min="2305" max="2305" width="7" style="609" customWidth="1"/>
    <col min="2306" max="2306" width="10.7109375" style="609" customWidth="1"/>
    <col min="2307" max="2307" width="10.5703125" style="609" customWidth="1"/>
    <col min="2308" max="2308" width="10.7109375" style="609" customWidth="1"/>
    <col min="2309" max="2309" width="10.28515625" style="609" customWidth="1"/>
    <col min="2310" max="2310" width="10.7109375" style="609" customWidth="1"/>
    <col min="2311" max="2311" width="9.42578125" style="609" customWidth="1"/>
    <col min="2312" max="2312" width="10.5703125" style="609" customWidth="1"/>
    <col min="2313" max="2313" width="13.7109375" style="609" customWidth="1"/>
    <col min="2314" max="2315" width="10.42578125" style="609" customWidth="1"/>
    <col min="2316" max="2316" width="10.28515625" style="609" customWidth="1"/>
    <col min="2317" max="2317" width="9.42578125" style="609" customWidth="1"/>
    <col min="2318" max="2318" width="8.7109375" style="609" customWidth="1"/>
    <col min="2319" max="2319" width="10.42578125" style="609" customWidth="1"/>
    <col min="2320" max="2320" width="10.28515625" style="609" customWidth="1"/>
    <col min="2321" max="2560" width="11.42578125" style="609"/>
    <col min="2561" max="2561" width="7" style="609" customWidth="1"/>
    <col min="2562" max="2562" width="10.7109375" style="609" customWidth="1"/>
    <col min="2563" max="2563" width="10.5703125" style="609" customWidth="1"/>
    <col min="2564" max="2564" width="10.7109375" style="609" customWidth="1"/>
    <col min="2565" max="2565" width="10.28515625" style="609" customWidth="1"/>
    <col min="2566" max="2566" width="10.7109375" style="609" customWidth="1"/>
    <col min="2567" max="2567" width="9.42578125" style="609" customWidth="1"/>
    <col min="2568" max="2568" width="10.5703125" style="609" customWidth="1"/>
    <col min="2569" max="2569" width="13.7109375" style="609" customWidth="1"/>
    <col min="2570" max="2571" width="10.42578125" style="609" customWidth="1"/>
    <col min="2572" max="2572" width="10.28515625" style="609" customWidth="1"/>
    <col min="2573" max="2573" width="9.42578125" style="609" customWidth="1"/>
    <col min="2574" max="2574" width="8.7109375" style="609" customWidth="1"/>
    <col min="2575" max="2575" width="10.42578125" style="609" customWidth="1"/>
    <col min="2576" max="2576" width="10.28515625" style="609" customWidth="1"/>
    <col min="2577" max="2816" width="11.42578125" style="609"/>
    <col min="2817" max="2817" width="7" style="609" customWidth="1"/>
    <col min="2818" max="2818" width="10.7109375" style="609" customWidth="1"/>
    <col min="2819" max="2819" width="10.5703125" style="609" customWidth="1"/>
    <col min="2820" max="2820" width="10.7109375" style="609" customWidth="1"/>
    <col min="2821" max="2821" width="10.28515625" style="609" customWidth="1"/>
    <col min="2822" max="2822" width="10.7109375" style="609" customWidth="1"/>
    <col min="2823" max="2823" width="9.42578125" style="609" customWidth="1"/>
    <col min="2824" max="2824" width="10.5703125" style="609" customWidth="1"/>
    <col min="2825" max="2825" width="13.7109375" style="609" customWidth="1"/>
    <col min="2826" max="2827" width="10.42578125" style="609" customWidth="1"/>
    <col min="2828" max="2828" width="10.28515625" style="609" customWidth="1"/>
    <col min="2829" max="2829" width="9.42578125" style="609" customWidth="1"/>
    <col min="2830" max="2830" width="8.7109375" style="609" customWidth="1"/>
    <col min="2831" max="2831" width="10.42578125" style="609" customWidth="1"/>
    <col min="2832" max="2832" width="10.28515625" style="609" customWidth="1"/>
    <col min="2833" max="3072" width="11.42578125" style="609"/>
    <col min="3073" max="3073" width="7" style="609" customWidth="1"/>
    <col min="3074" max="3074" width="10.7109375" style="609" customWidth="1"/>
    <col min="3075" max="3075" width="10.5703125" style="609" customWidth="1"/>
    <col min="3076" max="3076" width="10.7109375" style="609" customWidth="1"/>
    <col min="3077" max="3077" width="10.28515625" style="609" customWidth="1"/>
    <col min="3078" max="3078" width="10.7109375" style="609" customWidth="1"/>
    <col min="3079" max="3079" width="9.42578125" style="609" customWidth="1"/>
    <col min="3080" max="3080" width="10.5703125" style="609" customWidth="1"/>
    <col min="3081" max="3081" width="13.7109375" style="609" customWidth="1"/>
    <col min="3082" max="3083" width="10.42578125" style="609" customWidth="1"/>
    <col min="3084" max="3084" width="10.28515625" style="609" customWidth="1"/>
    <col min="3085" max="3085" width="9.42578125" style="609" customWidth="1"/>
    <col min="3086" max="3086" width="8.7109375" style="609" customWidth="1"/>
    <col min="3087" max="3087" width="10.42578125" style="609" customWidth="1"/>
    <col min="3088" max="3088" width="10.28515625" style="609" customWidth="1"/>
    <col min="3089" max="3328" width="11.42578125" style="609"/>
    <col min="3329" max="3329" width="7" style="609" customWidth="1"/>
    <col min="3330" max="3330" width="10.7109375" style="609" customWidth="1"/>
    <col min="3331" max="3331" width="10.5703125" style="609" customWidth="1"/>
    <col min="3332" max="3332" width="10.7109375" style="609" customWidth="1"/>
    <col min="3333" max="3333" width="10.28515625" style="609" customWidth="1"/>
    <col min="3334" max="3334" width="10.7109375" style="609" customWidth="1"/>
    <col min="3335" max="3335" width="9.42578125" style="609" customWidth="1"/>
    <col min="3336" max="3336" width="10.5703125" style="609" customWidth="1"/>
    <col min="3337" max="3337" width="13.7109375" style="609" customWidth="1"/>
    <col min="3338" max="3339" width="10.42578125" style="609" customWidth="1"/>
    <col min="3340" max="3340" width="10.28515625" style="609" customWidth="1"/>
    <col min="3341" max="3341" width="9.42578125" style="609" customWidth="1"/>
    <col min="3342" max="3342" width="8.7109375" style="609" customWidth="1"/>
    <col min="3343" max="3343" width="10.42578125" style="609" customWidth="1"/>
    <col min="3344" max="3344" width="10.28515625" style="609" customWidth="1"/>
    <col min="3345" max="3584" width="11.42578125" style="609"/>
    <col min="3585" max="3585" width="7" style="609" customWidth="1"/>
    <col min="3586" max="3586" width="10.7109375" style="609" customWidth="1"/>
    <col min="3587" max="3587" width="10.5703125" style="609" customWidth="1"/>
    <col min="3588" max="3588" width="10.7109375" style="609" customWidth="1"/>
    <col min="3589" max="3589" width="10.28515625" style="609" customWidth="1"/>
    <col min="3590" max="3590" width="10.7109375" style="609" customWidth="1"/>
    <col min="3591" max="3591" width="9.42578125" style="609" customWidth="1"/>
    <col min="3592" max="3592" width="10.5703125" style="609" customWidth="1"/>
    <col min="3593" max="3593" width="13.7109375" style="609" customWidth="1"/>
    <col min="3594" max="3595" width="10.42578125" style="609" customWidth="1"/>
    <col min="3596" max="3596" width="10.28515625" style="609" customWidth="1"/>
    <col min="3597" max="3597" width="9.42578125" style="609" customWidth="1"/>
    <col min="3598" max="3598" width="8.7109375" style="609" customWidth="1"/>
    <col min="3599" max="3599" width="10.42578125" style="609" customWidth="1"/>
    <col min="3600" max="3600" width="10.28515625" style="609" customWidth="1"/>
    <col min="3601" max="3840" width="11.42578125" style="609"/>
    <col min="3841" max="3841" width="7" style="609" customWidth="1"/>
    <col min="3842" max="3842" width="10.7109375" style="609" customWidth="1"/>
    <col min="3843" max="3843" width="10.5703125" style="609" customWidth="1"/>
    <col min="3844" max="3844" width="10.7109375" style="609" customWidth="1"/>
    <col min="3845" max="3845" width="10.28515625" style="609" customWidth="1"/>
    <col min="3846" max="3846" width="10.7109375" style="609" customWidth="1"/>
    <col min="3847" max="3847" width="9.42578125" style="609" customWidth="1"/>
    <col min="3848" max="3848" width="10.5703125" style="609" customWidth="1"/>
    <col min="3849" max="3849" width="13.7109375" style="609" customWidth="1"/>
    <col min="3850" max="3851" width="10.42578125" style="609" customWidth="1"/>
    <col min="3852" max="3852" width="10.28515625" style="609" customWidth="1"/>
    <col min="3853" max="3853" width="9.42578125" style="609" customWidth="1"/>
    <col min="3854" max="3854" width="8.7109375" style="609" customWidth="1"/>
    <col min="3855" max="3855" width="10.42578125" style="609" customWidth="1"/>
    <col min="3856" max="3856" width="10.28515625" style="609" customWidth="1"/>
    <col min="3857" max="4096" width="11.42578125" style="609"/>
    <col min="4097" max="4097" width="7" style="609" customWidth="1"/>
    <col min="4098" max="4098" width="10.7109375" style="609" customWidth="1"/>
    <col min="4099" max="4099" width="10.5703125" style="609" customWidth="1"/>
    <col min="4100" max="4100" width="10.7109375" style="609" customWidth="1"/>
    <col min="4101" max="4101" width="10.28515625" style="609" customWidth="1"/>
    <col min="4102" max="4102" width="10.7109375" style="609" customWidth="1"/>
    <col min="4103" max="4103" width="9.42578125" style="609" customWidth="1"/>
    <col min="4104" max="4104" width="10.5703125" style="609" customWidth="1"/>
    <col min="4105" max="4105" width="13.7109375" style="609" customWidth="1"/>
    <col min="4106" max="4107" width="10.42578125" style="609" customWidth="1"/>
    <col min="4108" max="4108" width="10.28515625" style="609" customWidth="1"/>
    <col min="4109" max="4109" width="9.42578125" style="609" customWidth="1"/>
    <col min="4110" max="4110" width="8.7109375" style="609" customWidth="1"/>
    <col min="4111" max="4111" width="10.42578125" style="609" customWidth="1"/>
    <col min="4112" max="4112" width="10.28515625" style="609" customWidth="1"/>
    <col min="4113" max="4352" width="11.42578125" style="609"/>
    <col min="4353" max="4353" width="7" style="609" customWidth="1"/>
    <col min="4354" max="4354" width="10.7109375" style="609" customWidth="1"/>
    <col min="4355" max="4355" width="10.5703125" style="609" customWidth="1"/>
    <col min="4356" max="4356" width="10.7109375" style="609" customWidth="1"/>
    <col min="4357" max="4357" width="10.28515625" style="609" customWidth="1"/>
    <col min="4358" max="4358" width="10.7109375" style="609" customWidth="1"/>
    <col min="4359" max="4359" width="9.42578125" style="609" customWidth="1"/>
    <col min="4360" max="4360" width="10.5703125" style="609" customWidth="1"/>
    <col min="4361" max="4361" width="13.7109375" style="609" customWidth="1"/>
    <col min="4362" max="4363" width="10.42578125" style="609" customWidth="1"/>
    <col min="4364" max="4364" width="10.28515625" style="609" customWidth="1"/>
    <col min="4365" max="4365" width="9.42578125" style="609" customWidth="1"/>
    <col min="4366" max="4366" width="8.7109375" style="609" customWidth="1"/>
    <col min="4367" max="4367" width="10.42578125" style="609" customWidth="1"/>
    <col min="4368" max="4368" width="10.28515625" style="609" customWidth="1"/>
    <col min="4369" max="4608" width="11.42578125" style="609"/>
    <col min="4609" max="4609" width="7" style="609" customWidth="1"/>
    <col min="4610" max="4610" width="10.7109375" style="609" customWidth="1"/>
    <col min="4611" max="4611" width="10.5703125" style="609" customWidth="1"/>
    <col min="4612" max="4612" width="10.7109375" style="609" customWidth="1"/>
    <col min="4613" max="4613" width="10.28515625" style="609" customWidth="1"/>
    <col min="4614" max="4614" width="10.7109375" style="609" customWidth="1"/>
    <col min="4615" max="4615" width="9.42578125" style="609" customWidth="1"/>
    <col min="4616" max="4616" width="10.5703125" style="609" customWidth="1"/>
    <col min="4617" max="4617" width="13.7109375" style="609" customWidth="1"/>
    <col min="4618" max="4619" width="10.42578125" style="609" customWidth="1"/>
    <col min="4620" max="4620" width="10.28515625" style="609" customWidth="1"/>
    <col min="4621" max="4621" width="9.42578125" style="609" customWidth="1"/>
    <col min="4622" max="4622" width="8.7109375" style="609" customWidth="1"/>
    <col min="4623" max="4623" width="10.42578125" style="609" customWidth="1"/>
    <col min="4624" max="4624" width="10.28515625" style="609" customWidth="1"/>
    <col min="4625" max="4864" width="11.42578125" style="609"/>
    <col min="4865" max="4865" width="7" style="609" customWidth="1"/>
    <col min="4866" max="4866" width="10.7109375" style="609" customWidth="1"/>
    <col min="4867" max="4867" width="10.5703125" style="609" customWidth="1"/>
    <col min="4868" max="4868" width="10.7109375" style="609" customWidth="1"/>
    <col min="4869" max="4869" width="10.28515625" style="609" customWidth="1"/>
    <col min="4870" max="4870" width="10.7109375" style="609" customWidth="1"/>
    <col min="4871" max="4871" width="9.42578125" style="609" customWidth="1"/>
    <col min="4872" max="4872" width="10.5703125" style="609" customWidth="1"/>
    <col min="4873" max="4873" width="13.7109375" style="609" customWidth="1"/>
    <col min="4874" max="4875" width="10.42578125" style="609" customWidth="1"/>
    <col min="4876" max="4876" width="10.28515625" style="609" customWidth="1"/>
    <col min="4877" max="4877" width="9.42578125" style="609" customWidth="1"/>
    <col min="4878" max="4878" width="8.7109375" style="609" customWidth="1"/>
    <col min="4879" max="4879" width="10.42578125" style="609" customWidth="1"/>
    <col min="4880" max="4880" width="10.28515625" style="609" customWidth="1"/>
    <col min="4881" max="5120" width="11.42578125" style="609"/>
    <col min="5121" max="5121" width="7" style="609" customWidth="1"/>
    <col min="5122" max="5122" width="10.7109375" style="609" customWidth="1"/>
    <col min="5123" max="5123" width="10.5703125" style="609" customWidth="1"/>
    <col min="5124" max="5124" width="10.7109375" style="609" customWidth="1"/>
    <col min="5125" max="5125" width="10.28515625" style="609" customWidth="1"/>
    <col min="5126" max="5126" width="10.7109375" style="609" customWidth="1"/>
    <col min="5127" max="5127" width="9.42578125" style="609" customWidth="1"/>
    <col min="5128" max="5128" width="10.5703125" style="609" customWidth="1"/>
    <col min="5129" max="5129" width="13.7109375" style="609" customWidth="1"/>
    <col min="5130" max="5131" width="10.42578125" style="609" customWidth="1"/>
    <col min="5132" max="5132" width="10.28515625" style="609" customWidth="1"/>
    <col min="5133" max="5133" width="9.42578125" style="609" customWidth="1"/>
    <col min="5134" max="5134" width="8.7109375" style="609" customWidth="1"/>
    <col min="5135" max="5135" width="10.42578125" style="609" customWidth="1"/>
    <col min="5136" max="5136" width="10.28515625" style="609" customWidth="1"/>
    <col min="5137" max="5376" width="11.42578125" style="609"/>
    <col min="5377" max="5377" width="7" style="609" customWidth="1"/>
    <col min="5378" max="5378" width="10.7109375" style="609" customWidth="1"/>
    <col min="5379" max="5379" width="10.5703125" style="609" customWidth="1"/>
    <col min="5380" max="5380" width="10.7109375" style="609" customWidth="1"/>
    <col min="5381" max="5381" width="10.28515625" style="609" customWidth="1"/>
    <col min="5382" max="5382" width="10.7109375" style="609" customWidth="1"/>
    <col min="5383" max="5383" width="9.42578125" style="609" customWidth="1"/>
    <col min="5384" max="5384" width="10.5703125" style="609" customWidth="1"/>
    <col min="5385" max="5385" width="13.7109375" style="609" customWidth="1"/>
    <col min="5386" max="5387" width="10.42578125" style="609" customWidth="1"/>
    <col min="5388" max="5388" width="10.28515625" style="609" customWidth="1"/>
    <col min="5389" max="5389" width="9.42578125" style="609" customWidth="1"/>
    <col min="5390" max="5390" width="8.7109375" style="609" customWidth="1"/>
    <col min="5391" max="5391" width="10.42578125" style="609" customWidth="1"/>
    <col min="5392" max="5392" width="10.28515625" style="609" customWidth="1"/>
    <col min="5393" max="5632" width="11.42578125" style="609"/>
    <col min="5633" max="5633" width="7" style="609" customWidth="1"/>
    <col min="5634" max="5634" width="10.7109375" style="609" customWidth="1"/>
    <col min="5635" max="5635" width="10.5703125" style="609" customWidth="1"/>
    <col min="5636" max="5636" width="10.7109375" style="609" customWidth="1"/>
    <col min="5637" max="5637" width="10.28515625" style="609" customWidth="1"/>
    <col min="5638" max="5638" width="10.7109375" style="609" customWidth="1"/>
    <col min="5639" max="5639" width="9.42578125" style="609" customWidth="1"/>
    <col min="5640" max="5640" width="10.5703125" style="609" customWidth="1"/>
    <col min="5641" max="5641" width="13.7109375" style="609" customWidth="1"/>
    <col min="5642" max="5643" width="10.42578125" style="609" customWidth="1"/>
    <col min="5644" max="5644" width="10.28515625" style="609" customWidth="1"/>
    <col min="5645" max="5645" width="9.42578125" style="609" customWidth="1"/>
    <col min="5646" max="5646" width="8.7109375" style="609" customWidth="1"/>
    <col min="5647" max="5647" width="10.42578125" style="609" customWidth="1"/>
    <col min="5648" max="5648" width="10.28515625" style="609" customWidth="1"/>
    <col min="5649" max="5888" width="11.42578125" style="609"/>
    <col min="5889" max="5889" width="7" style="609" customWidth="1"/>
    <col min="5890" max="5890" width="10.7109375" style="609" customWidth="1"/>
    <col min="5891" max="5891" width="10.5703125" style="609" customWidth="1"/>
    <col min="5892" max="5892" width="10.7109375" style="609" customWidth="1"/>
    <col min="5893" max="5893" width="10.28515625" style="609" customWidth="1"/>
    <col min="5894" max="5894" width="10.7109375" style="609" customWidth="1"/>
    <col min="5895" max="5895" width="9.42578125" style="609" customWidth="1"/>
    <col min="5896" max="5896" width="10.5703125" style="609" customWidth="1"/>
    <col min="5897" max="5897" width="13.7109375" style="609" customWidth="1"/>
    <col min="5898" max="5899" width="10.42578125" style="609" customWidth="1"/>
    <col min="5900" max="5900" width="10.28515625" style="609" customWidth="1"/>
    <col min="5901" max="5901" width="9.42578125" style="609" customWidth="1"/>
    <col min="5902" max="5902" width="8.7109375" style="609" customWidth="1"/>
    <col min="5903" max="5903" width="10.42578125" style="609" customWidth="1"/>
    <col min="5904" max="5904" width="10.28515625" style="609" customWidth="1"/>
    <col min="5905" max="6144" width="11.42578125" style="609"/>
    <col min="6145" max="6145" width="7" style="609" customWidth="1"/>
    <col min="6146" max="6146" width="10.7109375" style="609" customWidth="1"/>
    <col min="6147" max="6147" width="10.5703125" style="609" customWidth="1"/>
    <col min="6148" max="6148" width="10.7109375" style="609" customWidth="1"/>
    <col min="6149" max="6149" width="10.28515625" style="609" customWidth="1"/>
    <col min="6150" max="6150" width="10.7109375" style="609" customWidth="1"/>
    <col min="6151" max="6151" width="9.42578125" style="609" customWidth="1"/>
    <col min="6152" max="6152" width="10.5703125" style="609" customWidth="1"/>
    <col min="6153" max="6153" width="13.7109375" style="609" customWidth="1"/>
    <col min="6154" max="6155" width="10.42578125" style="609" customWidth="1"/>
    <col min="6156" max="6156" width="10.28515625" style="609" customWidth="1"/>
    <col min="6157" max="6157" width="9.42578125" style="609" customWidth="1"/>
    <col min="6158" max="6158" width="8.7109375" style="609" customWidth="1"/>
    <col min="6159" max="6159" width="10.42578125" style="609" customWidth="1"/>
    <col min="6160" max="6160" width="10.28515625" style="609" customWidth="1"/>
    <col min="6161" max="6400" width="11.42578125" style="609"/>
    <col min="6401" max="6401" width="7" style="609" customWidth="1"/>
    <col min="6402" max="6402" width="10.7109375" style="609" customWidth="1"/>
    <col min="6403" max="6403" width="10.5703125" style="609" customWidth="1"/>
    <col min="6404" max="6404" width="10.7109375" style="609" customWidth="1"/>
    <col min="6405" max="6405" width="10.28515625" style="609" customWidth="1"/>
    <col min="6406" max="6406" width="10.7109375" style="609" customWidth="1"/>
    <col min="6407" max="6407" width="9.42578125" style="609" customWidth="1"/>
    <col min="6408" max="6408" width="10.5703125" style="609" customWidth="1"/>
    <col min="6409" max="6409" width="13.7109375" style="609" customWidth="1"/>
    <col min="6410" max="6411" width="10.42578125" style="609" customWidth="1"/>
    <col min="6412" max="6412" width="10.28515625" style="609" customWidth="1"/>
    <col min="6413" max="6413" width="9.42578125" style="609" customWidth="1"/>
    <col min="6414" max="6414" width="8.7109375" style="609" customWidth="1"/>
    <col min="6415" max="6415" width="10.42578125" style="609" customWidth="1"/>
    <col min="6416" max="6416" width="10.28515625" style="609" customWidth="1"/>
    <col min="6417" max="6656" width="11.42578125" style="609"/>
    <col min="6657" max="6657" width="7" style="609" customWidth="1"/>
    <col min="6658" max="6658" width="10.7109375" style="609" customWidth="1"/>
    <col min="6659" max="6659" width="10.5703125" style="609" customWidth="1"/>
    <col min="6660" max="6660" width="10.7109375" style="609" customWidth="1"/>
    <col min="6661" max="6661" width="10.28515625" style="609" customWidth="1"/>
    <col min="6662" max="6662" width="10.7109375" style="609" customWidth="1"/>
    <col min="6663" max="6663" width="9.42578125" style="609" customWidth="1"/>
    <col min="6664" max="6664" width="10.5703125" style="609" customWidth="1"/>
    <col min="6665" max="6665" width="13.7109375" style="609" customWidth="1"/>
    <col min="6666" max="6667" width="10.42578125" style="609" customWidth="1"/>
    <col min="6668" max="6668" width="10.28515625" style="609" customWidth="1"/>
    <col min="6669" max="6669" width="9.42578125" style="609" customWidth="1"/>
    <col min="6670" max="6670" width="8.7109375" style="609" customWidth="1"/>
    <col min="6671" max="6671" width="10.42578125" style="609" customWidth="1"/>
    <col min="6672" max="6672" width="10.28515625" style="609" customWidth="1"/>
    <col min="6673" max="6912" width="11.42578125" style="609"/>
    <col min="6913" max="6913" width="7" style="609" customWidth="1"/>
    <col min="6914" max="6914" width="10.7109375" style="609" customWidth="1"/>
    <col min="6915" max="6915" width="10.5703125" style="609" customWidth="1"/>
    <col min="6916" max="6916" width="10.7109375" style="609" customWidth="1"/>
    <col min="6917" max="6917" width="10.28515625" style="609" customWidth="1"/>
    <col min="6918" max="6918" width="10.7109375" style="609" customWidth="1"/>
    <col min="6919" max="6919" width="9.42578125" style="609" customWidth="1"/>
    <col min="6920" max="6920" width="10.5703125" style="609" customWidth="1"/>
    <col min="6921" max="6921" width="13.7109375" style="609" customWidth="1"/>
    <col min="6922" max="6923" width="10.42578125" style="609" customWidth="1"/>
    <col min="6924" max="6924" width="10.28515625" style="609" customWidth="1"/>
    <col min="6925" max="6925" width="9.42578125" style="609" customWidth="1"/>
    <col min="6926" max="6926" width="8.7109375" style="609" customWidth="1"/>
    <col min="6927" max="6927" width="10.42578125" style="609" customWidth="1"/>
    <col min="6928" max="6928" width="10.28515625" style="609" customWidth="1"/>
    <col min="6929" max="7168" width="11.42578125" style="609"/>
    <col min="7169" max="7169" width="7" style="609" customWidth="1"/>
    <col min="7170" max="7170" width="10.7109375" style="609" customWidth="1"/>
    <col min="7171" max="7171" width="10.5703125" style="609" customWidth="1"/>
    <col min="7172" max="7172" width="10.7109375" style="609" customWidth="1"/>
    <col min="7173" max="7173" width="10.28515625" style="609" customWidth="1"/>
    <col min="7174" max="7174" width="10.7109375" style="609" customWidth="1"/>
    <col min="7175" max="7175" width="9.42578125" style="609" customWidth="1"/>
    <col min="7176" max="7176" width="10.5703125" style="609" customWidth="1"/>
    <col min="7177" max="7177" width="13.7109375" style="609" customWidth="1"/>
    <col min="7178" max="7179" width="10.42578125" style="609" customWidth="1"/>
    <col min="7180" max="7180" width="10.28515625" style="609" customWidth="1"/>
    <col min="7181" max="7181" width="9.42578125" style="609" customWidth="1"/>
    <col min="7182" max="7182" width="8.7109375" style="609" customWidth="1"/>
    <col min="7183" max="7183" width="10.42578125" style="609" customWidth="1"/>
    <col min="7184" max="7184" width="10.28515625" style="609" customWidth="1"/>
    <col min="7185" max="7424" width="11.42578125" style="609"/>
    <col min="7425" max="7425" width="7" style="609" customWidth="1"/>
    <col min="7426" max="7426" width="10.7109375" style="609" customWidth="1"/>
    <col min="7427" max="7427" width="10.5703125" style="609" customWidth="1"/>
    <col min="7428" max="7428" width="10.7109375" style="609" customWidth="1"/>
    <col min="7429" max="7429" width="10.28515625" style="609" customWidth="1"/>
    <col min="7430" max="7430" width="10.7109375" style="609" customWidth="1"/>
    <col min="7431" max="7431" width="9.42578125" style="609" customWidth="1"/>
    <col min="7432" max="7432" width="10.5703125" style="609" customWidth="1"/>
    <col min="7433" max="7433" width="13.7109375" style="609" customWidth="1"/>
    <col min="7434" max="7435" width="10.42578125" style="609" customWidth="1"/>
    <col min="7436" max="7436" width="10.28515625" style="609" customWidth="1"/>
    <col min="7437" max="7437" width="9.42578125" style="609" customWidth="1"/>
    <col min="7438" max="7438" width="8.7109375" style="609" customWidth="1"/>
    <col min="7439" max="7439" width="10.42578125" style="609" customWidth="1"/>
    <col min="7440" max="7440" width="10.28515625" style="609" customWidth="1"/>
    <col min="7441" max="7680" width="11.42578125" style="609"/>
    <col min="7681" max="7681" width="7" style="609" customWidth="1"/>
    <col min="7682" max="7682" width="10.7109375" style="609" customWidth="1"/>
    <col min="7683" max="7683" width="10.5703125" style="609" customWidth="1"/>
    <col min="7684" max="7684" width="10.7109375" style="609" customWidth="1"/>
    <col min="7685" max="7685" width="10.28515625" style="609" customWidth="1"/>
    <col min="7686" max="7686" width="10.7109375" style="609" customWidth="1"/>
    <col min="7687" max="7687" width="9.42578125" style="609" customWidth="1"/>
    <col min="7688" max="7688" width="10.5703125" style="609" customWidth="1"/>
    <col min="7689" max="7689" width="13.7109375" style="609" customWidth="1"/>
    <col min="7690" max="7691" width="10.42578125" style="609" customWidth="1"/>
    <col min="7692" max="7692" width="10.28515625" style="609" customWidth="1"/>
    <col min="7693" max="7693" width="9.42578125" style="609" customWidth="1"/>
    <col min="7694" max="7694" width="8.7109375" style="609" customWidth="1"/>
    <col min="7695" max="7695" width="10.42578125" style="609" customWidth="1"/>
    <col min="7696" max="7696" width="10.28515625" style="609" customWidth="1"/>
    <col min="7697" max="7936" width="11.42578125" style="609"/>
    <col min="7937" max="7937" width="7" style="609" customWidth="1"/>
    <col min="7938" max="7938" width="10.7109375" style="609" customWidth="1"/>
    <col min="7939" max="7939" width="10.5703125" style="609" customWidth="1"/>
    <col min="7940" max="7940" width="10.7109375" style="609" customWidth="1"/>
    <col min="7941" max="7941" width="10.28515625" style="609" customWidth="1"/>
    <col min="7942" max="7942" width="10.7109375" style="609" customWidth="1"/>
    <col min="7943" max="7943" width="9.42578125" style="609" customWidth="1"/>
    <col min="7944" max="7944" width="10.5703125" style="609" customWidth="1"/>
    <col min="7945" max="7945" width="13.7109375" style="609" customWidth="1"/>
    <col min="7946" max="7947" width="10.42578125" style="609" customWidth="1"/>
    <col min="7948" max="7948" width="10.28515625" style="609" customWidth="1"/>
    <col min="7949" max="7949" width="9.42578125" style="609" customWidth="1"/>
    <col min="7950" max="7950" width="8.7109375" style="609" customWidth="1"/>
    <col min="7951" max="7951" width="10.42578125" style="609" customWidth="1"/>
    <col min="7952" max="7952" width="10.28515625" style="609" customWidth="1"/>
    <col min="7953" max="8192" width="11.42578125" style="609"/>
    <col min="8193" max="8193" width="7" style="609" customWidth="1"/>
    <col min="8194" max="8194" width="10.7109375" style="609" customWidth="1"/>
    <col min="8195" max="8195" width="10.5703125" style="609" customWidth="1"/>
    <col min="8196" max="8196" width="10.7109375" style="609" customWidth="1"/>
    <col min="8197" max="8197" width="10.28515625" style="609" customWidth="1"/>
    <col min="8198" max="8198" width="10.7109375" style="609" customWidth="1"/>
    <col min="8199" max="8199" width="9.42578125" style="609" customWidth="1"/>
    <col min="8200" max="8200" width="10.5703125" style="609" customWidth="1"/>
    <col min="8201" max="8201" width="13.7109375" style="609" customWidth="1"/>
    <col min="8202" max="8203" width="10.42578125" style="609" customWidth="1"/>
    <col min="8204" max="8204" width="10.28515625" style="609" customWidth="1"/>
    <col min="8205" max="8205" width="9.42578125" style="609" customWidth="1"/>
    <col min="8206" max="8206" width="8.7109375" style="609" customWidth="1"/>
    <col min="8207" max="8207" width="10.42578125" style="609" customWidth="1"/>
    <col min="8208" max="8208" width="10.28515625" style="609" customWidth="1"/>
    <col min="8209" max="8448" width="11.42578125" style="609"/>
    <col min="8449" max="8449" width="7" style="609" customWidth="1"/>
    <col min="8450" max="8450" width="10.7109375" style="609" customWidth="1"/>
    <col min="8451" max="8451" width="10.5703125" style="609" customWidth="1"/>
    <col min="8452" max="8452" width="10.7109375" style="609" customWidth="1"/>
    <col min="8453" max="8453" width="10.28515625" style="609" customWidth="1"/>
    <col min="8454" max="8454" width="10.7109375" style="609" customWidth="1"/>
    <col min="8455" max="8455" width="9.42578125" style="609" customWidth="1"/>
    <col min="8456" max="8456" width="10.5703125" style="609" customWidth="1"/>
    <col min="8457" max="8457" width="13.7109375" style="609" customWidth="1"/>
    <col min="8458" max="8459" width="10.42578125" style="609" customWidth="1"/>
    <col min="8460" max="8460" width="10.28515625" style="609" customWidth="1"/>
    <col min="8461" max="8461" width="9.42578125" style="609" customWidth="1"/>
    <col min="8462" max="8462" width="8.7109375" style="609" customWidth="1"/>
    <col min="8463" max="8463" width="10.42578125" style="609" customWidth="1"/>
    <col min="8464" max="8464" width="10.28515625" style="609" customWidth="1"/>
    <col min="8465" max="8704" width="11.42578125" style="609"/>
    <col min="8705" max="8705" width="7" style="609" customWidth="1"/>
    <col min="8706" max="8706" width="10.7109375" style="609" customWidth="1"/>
    <col min="8707" max="8707" width="10.5703125" style="609" customWidth="1"/>
    <col min="8708" max="8708" width="10.7109375" style="609" customWidth="1"/>
    <col min="8709" max="8709" width="10.28515625" style="609" customWidth="1"/>
    <col min="8710" max="8710" width="10.7109375" style="609" customWidth="1"/>
    <col min="8711" max="8711" width="9.42578125" style="609" customWidth="1"/>
    <col min="8712" max="8712" width="10.5703125" style="609" customWidth="1"/>
    <col min="8713" max="8713" width="13.7109375" style="609" customWidth="1"/>
    <col min="8714" max="8715" width="10.42578125" style="609" customWidth="1"/>
    <col min="8716" max="8716" width="10.28515625" style="609" customWidth="1"/>
    <col min="8717" max="8717" width="9.42578125" style="609" customWidth="1"/>
    <col min="8718" max="8718" width="8.7109375" style="609" customWidth="1"/>
    <col min="8719" max="8719" width="10.42578125" style="609" customWidth="1"/>
    <col min="8720" max="8720" width="10.28515625" style="609" customWidth="1"/>
    <col min="8721" max="8960" width="11.42578125" style="609"/>
    <col min="8961" max="8961" width="7" style="609" customWidth="1"/>
    <col min="8962" max="8962" width="10.7109375" style="609" customWidth="1"/>
    <col min="8963" max="8963" width="10.5703125" style="609" customWidth="1"/>
    <col min="8964" max="8964" width="10.7109375" style="609" customWidth="1"/>
    <col min="8965" max="8965" width="10.28515625" style="609" customWidth="1"/>
    <col min="8966" max="8966" width="10.7109375" style="609" customWidth="1"/>
    <col min="8967" max="8967" width="9.42578125" style="609" customWidth="1"/>
    <col min="8968" max="8968" width="10.5703125" style="609" customWidth="1"/>
    <col min="8969" max="8969" width="13.7109375" style="609" customWidth="1"/>
    <col min="8970" max="8971" width="10.42578125" style="609" customWidth="1"/>
    <col min="8972" max="8972" width="10.28515625" style="609" customWidth="1"/>
    <col min="8973" max="8973" width="9.42578125" style="609" customWidth="1"/>
    <col min="8974" max="8974" width="8.7109375" style="609" customWidth="1"/>
    <col min="8975" max="8975" width="10.42578125" style="609" customWidth="1"/>
    <col min="8976" max="8976" width="10.28515625" style="609" customWidth="1"/>
    <col min="8977" max="9216" width="11.42578125" style="609"/>
    <col min="9217" max="9217" width="7" style="609" customWidth="1"/>
    <col min="9218" max="9218" width="10.7109375" style="609" customWidth="1"/>
    <col min="9219" max="9219" width="10.5703125" style="609" customWidth="1"/>
    <col min="9220" max="9220" width="10.7109375" style="609" customWidth="1"/>
    <col min="9221" max="9221" width="10.28515625" style="609" customWidth="1"/>
    <col min="9222" max="9222" width="10.7109375" style="609" customWidth="1"/>
    <col min="9223" max="9223" width="9.42578125" style="609" customWidth="1"/>
    <col min="9224" max="9224" width="10.5703125" style="609" customWidth="1"/>
    <col min="9225" max="9225" width="13.7109375" style="609" customWidth="1"/>
    <col min="9226" max="9227" width="10.42578125" style="609" customWidth="1"/>
    <col min="9228" max="9228" width="10.28515625" style="609" customWidth="1"/>
    <col min="9229" max="9229" width="9.42578125" style="609" customWidth="1"/>
    <col min="9230" max="9230" width="8.7109375" style="609" customWidth="1"/>
    <col min="9231" max="9231" width="10.42578125" style="609" customWidth="1"/>
    <col min="9232" max="9232" width="10.28515625" style="609" customWidth="1"/>
    <col min="9233" max="9472" width="11.42578125" style="609"/>
    <col min="9473" max="9473" width="7" style="609" customWidth="1"/>
    <col min="9474" max="9474" width="10.7109375" style="609" customWidth="1"/>
    <col min="9475" max="9475" width="10.5703125" style="609" customWidth="1"/>
    <col min="9476" max="9476" width="10.7109375" style="609" customWidth="1"/>
    <col min="9477" max="9477" width="10.28515625" style="609" customWidth="1"/>
    <col min="9478" max="9478" width="10.7109375" style="609" customWidth="1"/>
    <col min="9479" max="9479" width="9.42578125" style="609" customWidth="1"/>
    <col min="9480" max="9480" width="10.5703125" style="609" customWidth="1"/>
    <col min="9481" max="9481" width="13.7109375" style="609" customWidth="1"/>
    <col min="9482" max="9483" width="10.42578125" style="609" customWidth="1"/>
    <col min="9484" max="9484" width="10.28515625" style="609" customWidth="1"/>
    <col min="9485" max="9485" width="9.42578125" style="609" customWidth="1"/>
    <col min="9486" max="9486" width="8.7109375" style="609" customWidth="1"/>
    <col min="9487" max="9487" width="10.42578125" style="609" customWidth="1"/>
    <col min="9488" max="9488" width="10.28515625" style="609" customWidth="1"/>
    <col min="9489" max="9728" width="11.42578125" style="609"/>
    <col min="9729" max="9729" width="7" style="609" customWidth="1"/>
    <col min="9730" max="9730" width="10.7109375" style="609" customWidth="1"/>
    <col min="9731" max="9731" width="10.5703125" style="609" customWidth="1"/>
    <col min="9732" max="9732" width="10.7109375" style="609" customWidth="1"/>
    <col min="9733" max="9733" width="10.28515625" style="609" customWidth="1"/>
    <col min="9734" max="9734" width="10.7109375" style="609" customWidth="1"/>
    <col min="9735" max="9735" width="9.42578125" style="609" customWidth="1"/>
    <col min="9736" max="9736" width="10.5703125" style="609" customWidth="1"/>
    <col min="9737" max="9737" width="13.7109375" style="609" customWidth="1"/>
    <col min="9738" max="9739" width="10.42578125" style="609" customWidth="1"/>
    <col min="9740" max="9740" width="10.28515625" style="609" customWidth="1"/>
    <col min="9741" max="9741" width="9.42578125" style="609" customWidth="1"/>
    <col min="9742" max="9742" width="8.7109375" style="609" customWidth="1"/>
    <col min="9743" max="9743" width="10.42578125" style="609" customWidth="1"/>
    <col min="9744" max="9744" width="10.28515625" style="609" customWidth="1"/>
    <col min="9745" max="9984" width="11.42578125" style="609"/>
    <col min="9985" max="9985" width="7" style="609" customWidth="1"/>
    <col min="9986" max="9986" width="10.7109375" style="609" customWidth="1"/>
    <col min="9987" max="9987" width="10.5703125" style="609" customWidth="1"/>
    <col min="9988" max="9988" width="10.7109375" style="609" customWidth="1"/>
    <col min="9989" max="9989" width="10.28515625" style="609" customWidth="1"/>
    <col min="9990" max="9990" width="10.7109375" style="609" customWidth="1"/>
    <col min="9991" max="9991" width="9.42578125" style="609" customWidth="1"/>
    <col min="9992" max="9992" width="10.5703125" style="609" customWidth="1"/>
    <col min="9993" max="9993" width="13.7109375" style="609" customWidth="1"/>
    <col min="9994" max="9995" width="10.42578125" style="609" customWidth="1"/>
    <col min="9996" max="9996" width="10.28515625" style="609" customWidth="1"/>
    <col min="9997" max="9997" width="9.42578125" style="609" customWidth="1"/>
    <col min="9998" max="9998" width="8.7109375" style="609" customWidth="1"/>
    <col min="9999" max="9999" width="10.42578125" style="609" customWidth="1"/>
    <col min="10000" max="10000" width="10.28515625" style="609" customWidth="1"/>
    <col min="10001" max="10240" width="11.42578125" style="609"/>
    <col min="10241" max="10241" width="7" style="609" customWidth="1"/>
    <col min="10242" max="10242" width="10.7109375" style="609" customWidth="1"/>
    <col min="10243" max="10243" width="10.5703125" style="609" customWidth="1"/>
    <col min="10244" max="10244" width="10.7109375" style="609" customWidth="1"/>
    <col min="10245" max="10245" width="10.28515625" style="609" customWidth="1"/>
    <col min="10246" max="10246" width="10.7109375" style="609" customWidth="1"/>
    <col min="10247" max="10247" width="9.42578125" style="609" customWidth="1"/>
    <col min="10248" max="10248" width="10.5703125" style="609" customWidth="1"/>
    <col min="10249" max="10249" width="13.7109375" style="609" customWidth="1"/>
    <col min="10250" max="10251" width="10.42578125" style="609" customWidth="1"/>
    <col min="10252" max="10252" width="10.28515625" style="609" customWidth="1"/>
    <col min="10253" max="10253" width="9.42578125" style="609" customWidth="1"/>
    <col min="10254" max="10254" width="8.7109375" style="609" customWidth="1"/>
    <col min="10255" max="10255" width="10.42578125" style="609" customWidth="1"/>
    <col min="10256" max="10256" width="10.28515625" style="609" customWidth="1"/>
    <col min="10257" max="10496" width="11.42578125" style="609"/>
    <col min="10497" max="10497" width="7" style="609" customWidth="1"/>
    <col min="10498" max="10498" width="10.7109375" style="609" customWidth="1"/>
    <col min="10499" max="10499" width="10.5703125" style="609" customWidth="1"/>
    <col min="10500" max="10500" width="10.7109375" style="609" customWidth="1"/>
    <col min="10501" max="10501" width="10.28515625" style="609" customWidth="1"/>
    <col min="10502" max="10502" width="10.7109375" style="609" customWidth="1"/>
    <col min="10503" max="10503" width="9.42578125" style="609" customWidth="1"/>
    <col min="10504" max="10504" width="10.5703125" style="609" customWidth="1"/>
    <col min="10505" max="10505" width="13.7109375" style="609" customWidth="1"/>
    <col min="10506" max="10507" width="10.42578125" style="609" customWidth="1"/>
    <col min="10508" max="10508" width="10.28515625" style="609" customWidth="1"/>
    <col min="10509" max="10509" width="9.42578125" style="609" customWidth="1"/>
    <col min="10510" max="10510" width="8.7109375" style="609" customWidth="1"/>
    <col min="10511" max="10511" width="10.42578125" style="609" customWidth="1"/>
    <col min="10512" max="10512" width="10.28515625" style="609" customWidth="1"/>
    <col min="10513" max="10752" width="11.42578125" style="609"/>
    <col min="10753" max="10753" width="7" style="609" customWidth="1"/>
    <col min="10754" max="10754" width="10.7109375" style="609" customWidth="1"/>
    <col min="10755" max="10755" width="10.5703125" style="609" customWidth="1"/>
    <col min="10756" max="10756" width="10.7109375" style="609" customWidth="1"/>
    <col min="10757" max="10757" width="10.28515625" style="609" customWidth="1"/>
    <col min="10758" max="10758" width="10.7109375" style="609" customWidth="1"/>
    <col min="10759" max="10759" width="9.42578125" style="609" customWidth="1"/>
    <col min="10760" max="10760" width="10.5703125" style="609" customWidth="1"/>
    <col min="10761" max="10761" width="13.7109375" style="609" customWidth="1"/>
    <col min="10762" max="10763" width="10.42578125" style="609" customWidth="1"/>
    <col min="10764" max="10764" width="10.28515625" style="609" customWidth="1"/>
    <col min="10765" max="10765" width="9.42578125" style="609" customWidth="1"/>
    <col min="10766" max="10766" width="8.7109375" style="609" customWidth="1"/>
    <col min="10767" max="10767" width="10.42578125" style="609" customWidth="1"/>
    <col min="10768" max="10768" width="10.28515625" style="609" customWidth="1"/>
    <col min="10769" max="11008" width="11.42578125" style="609"/>
    <col min="11009" max="11009" width="7" style="609" customWidth="1"/>
    <col min="11010" max="11010" width="10.7109375" style="609" customWidth="1"/>
    <col min="11011" max="11011" width="10.5703125" style="609" customWidth="1"/>
    <col min="11012" max="11012" width="10.7109375" style="609" customWidth="1"/>
    <col min="11013" max="11013" width="10.28515625" style="609" customWidth="1"/>
    <col min="11014" max="11014" width="10.7109375" style="609" customWidth="1"/>
    <col min="11015" max="11015" width="9.42578125" style="609" customWidth="1"/>
    <col min="11016" max="11016" width="10.5703125" style="609" customWidth="1"/>
    <col min="11017" max="11017" width="13.7109375" style="609" customWidth="1"/>
    <col min="11018" max="11019" width="10.42578125" style="609" customWidth="1"/>
    <col min="11020" max="11020" width="10.28515625" style="609" customWidth="1"/>
    <col min="11021" max="11021" width="9.42578125" style="609" customWidth="1"/>
    <col min="11022" max="11022" width="8.7109375" style="609" customWidth="1"/>
    <col min="11023" max="11023" width="10.42578125" style="609" customWidth="1"/>
    <col min="11024" max="11024" width="10.28515625" style="609" customWidth="1"/>
    <col min="11025" max="11264" width="11.42578125" style="609"/>
    <col min="11265" max="11265" width="7" style="609" customWidth="1"/>
    <col min="11266" max="11266" width="10.7109375" style="609" customWidth="1"/>
    <col min="11267" max="11267" width="10.5703125" style="609" customWidth="1"/>
    <col min="11268" max="11268" width="10.7109375" style="609" customWidth="1"/>
    <col min="11269" max="11269" width="10.28515625" style="609" customWidth="1"/>
    <col min="11270" max="11270" width="10.7109375" style="609" customWidth="1"/>
    <col min="11271" max="11271" width="9.42578125" style="609" customWidth="1"/>
    <col min="11272" max="11272" width="10.5703125" style="609" customWidth="1"/>
    <col min="11273" max="11273" width="13.7109375" style="609" customWidth="1"/>
    <col min="11274" max="11275" width="10.42578125" style="609" customWidth="1"/>
    <col min="11276" max="11276" width="10.28515625" style="609" customWidth="1"/>
    <col min="11277" max="11277" width="9.42578125" style="609" customWidth="1"/>
    <col min="11278" max="11278" width="8.7109375" style="609" customWidth="1"/>
    <col min="11279" max="11279" width="10.42578125" style="609" customWidth="1"/>
    <col min="11280" max="11280" width="10.28515625" style="609" customWidth="1"/>
    <col min="11281" max="11520" width="11.42578125" style="609"/>
    <col min="11521" max="11521" width="7" style="609" customWidth="1"/>
    <col min="11522" max="11522" width="10.7109375" style="609" customWidth="1"/>
    <col min="11523" max="11523" width="10.5703125" style="609" customWidth="1"/>
    <col min="11524" max="11524" width="10.7109375" style="609" customWidth="1"/>
    <col min="11525" max="11525" width="10.28515625" style="609" customWidth="1"/>
    <col min="11526" max="11526" width="10.7109375" style="609" customWidth="1"/>
    <col min="11527" max="11527" width="9.42578125" style="609" customWidth="1"/>
    <col min="11528" max="11528" width="10.5703125" style="609" customWidth="1"/>
    <col min="11529" max="11529" width="13.7109375" style="609" customWidth="1"/>
    <col min="11530" max="11531" width="10.42578125" style="609" customWidth="1"/>
    <col min="11532" max="11532" width="10.28515625" style="609" customWidth="1"/>
    <col min="11533" max="11533" width="9.42578125" style="609" customWidth="1"/>
    <col min="11534" max="11534" width="8.7109375" style="609" customWidth="1"/>
    <col min="11535" max="11535" width="10.42578125" style="609" customWidth="1"/>
    <col min="11536" max="11536" width="10.28515625" style="609" customWidth="1"/>
    <col min="11537" max="11776" width="11.42578125" style="609"/>
    <col min="11777" max="11777" width="7" style="609" customWidth="1"/>
    <col min="11778" max="11778" width="10.7109375" style="609" customWidth="1"/>
    <col min="11779" max="11779" width="10.5703125" style="609" customWidth="1"/>
    <col min="11780" max="11780" width="10.7109375" style="609" customWidth="1"/>
    <col min="11781" max="11781" width="10.28515625" style="609" customWidth="1"/>
    <col min="11782" max="11782" width="10.7109375" style="609" customWidth="1"/>
    <col min="11783" max="11783" width="9.42578125" style="609" customWidth="1"/>
    <col min="11784" max="11784" width="10.5703125" style="609" customWidth="1"/>
    <col min="11785" max="11785" width="13.7109375" style="609" customWidth="1"/>
    <col min="11786" max="11787" width="10.42578125" style="609" customWidth="1"/>
    <col min="11788" max="11788" width="10.28515625" style="609" customWidth="1"/>
    <col min="11789" max="11789" width="9.42578125" style="609" customWidth="1"/>
    <col min="11790" max="11790" width="8.7109375" style="609" customWidth="1"/>
    <col min="11791" max="11791" width="10.42578125" style="609" customWidth="1"/>
    <col min="11792" max="11792" width="10.28515625" style="609" customWidth="1"/>
    <col min="11793" max="12032" width="11.42578125" style="609"/>
    <col min="12033" max="12033" width="7" style="609" customWidth="1"/>
    <col min="12034" max="12034" width="10.7109375" style="609" customWidth="1"/>
    <col min="12035" max="12035" width="10.5703125" style="609" customWidth="1"/>
    <col min="12036" max="12036" width="10.7109375" style="609" customWidth="1"/>
    <col min="12037" max="12037" width="10.28515625" style="609" customWidth="1"/>
    <col min="12038" max="12038" width="10.7109375" style="609" customWidth="1"/>
    <col min="12039" max="12039" width="9.42578125" style="609" customWidth="1"/>
    <col min="12040" max="12040" width="10.5703125" style="609" customWidth="1"/>
    <col min="12041" max="12041" width="13.7109375" style="609" customWidth="1"/>
    <col min="12042" max="12043" width="10.42578125" style="609" customWidth="1"/>
    <col min="12044" max="12044" width="10.28515625" style="609" customWidth="1"/>
    <col min="12045" max="12045" width="9.42578125" style="609" customWidth="1"/>
    <col min="12046" max="12046" width="8.7109375" style="609" customWidth="1"/>
    <col min="12047" max="12047" width="10.42578125" style="609" customWidth="1"/>
    <col min="12048" max="12048" width="10.28515625" style="609" customWidth="1"/>
    <col min="12049" max="12288" width="11.42578125" style="609"/>
    <col min="12289" max="12289" width="7" style="609" customWidth="1"/>
    <col min="12290" max="12290" width="10.7109375" style="609" customWidth="1"/>
    <col min="12291" max="12291" width="10.5703125" style="609" customWidth="1"/>
    <col min="12292" max="12292" width="10.7109375" style="609" customWidth="1"/>
    <col min="12293" max="12293" width="10.28515625" style="609" customWidth="1"/>
    <col min="12294" max="12294" width="10.7109375" style="609" customWidth="1"/>
    <col min="12295" max="12295" width="9.42578125" style="609" customWidth="1"/>
    <col min="12296" max="12296" width="10.5703125" style="609" customWidth="1"/>
    <col min="12297" max="12297" width="13.7109375" style="609" customWidth="1"/>
    <col min="12298" max="12299" width="10.42578125" style="609" customWidth="1"/>
    <col min="12300" max="12300" width="10.28515625" style="609" customWidth="1"/>
    <col min="12301" max="12301" width="9.42578125" style="609" customWidth="1"/>
    <col min="12302" max="12302" width="8.7109375" style="609" customWidth="1"/>
    <col min="12303" max="12303" width="10.42578125" style="609" customWidth="1"/>
    <col min="12304" max="12304" width="10.28515625" style="609" customWidth="1"/>
    <col min="12305" max="12544" width="11.42578125" style="609"/>
    <col min="12545" max="12545" width="7" style="609" customWidth="1"/>
    <col min="12546" max="12546" width="10.7109375" style="609" customWidth="1"/>
    <col min="12547" max="12547" width="10.5703125" style="609" customWidth="1"/>
    <col min="12548" max="12548" width="10.7109375" style="609" customWidth="1"/>
    <col min="12549" max="12549" width="10.28515625" style="609" customWidth="1"/>
    <col min="12550" max="12550" width="10.7109375" style="609" customWidth="1"/>
    <col min="12551" max="12551" width="9.42578125" style="609" customWidth="1"/>
    <col min="12552" max="12552" width="10.5703125" style="609" customWidth="1"/>
    <col min="12553" max="12553" width="13.7109375" style="609" customWidth="1"/>
    <col min="12554" max="12555" width="10.42578125" style="609" customWidth="1"/>
    <col min="12556" max="12556" width="10.28515625" style="609" customWidth="1"/>
    <col min="12557" max="12557" width="9.42578125" style="609" customWidth="1"/>
    <col min="12558" max="12558" width="8.7109375" style="609" customWidth="1"/>
    <col min="12559" max="12559" width="10.42578125" style="609" customWidth="1"/>
    <col min="12560" max="12560" width="10.28515625" style="609" customWidth="1"/>
    <col min="12561" max="12800" width="11.42578125" style="609"/>
    <col min="12801" max="12801" width="7" style="609" customWidth="1"/>
    <col min="12802" max="12802" width="10.7109375" style="609" customWidth="1"/>
    <col min="12803" max="12803" width="10.5703125" style="609" customWidth="1"/>
    <col min="12804" max="12804" width="10.7109375" style="609" customWidth="1"/>
    <col min="12805" max="12805" width="10.28515625" style="609" customWidth="1"/>
    <col min="12806" max="12806" width="10.7109375" style="609" customWidth="1"/>
    <col min="12807" max="12807" width="9.42578125" style="609" customWidth="1"/>
    <col min="12808" max="12808" width="10.5703125" style="609" customWidth="1"/>
    <col min="12809" max="12809" width="13.7109375" style="609" customWidth="1"/>
    <col min="12810" max="12811" width="10.42578125" style="609" customWidth="1"/>
    <col min="12812" max="12812" width="10.28515625" style="609" customWidth="1"/>
    <col min="12813" max="12813" width="9.42578125" style="609" customWidth="1"/>
    <col min="12814" max="12814" width="8.7109375" style="609" customWidth="1"/>
    <col min="12815" max="12815" width="10.42578125" style="609" customWidth="1"/>
    <col min="12816" max="12816" width="10.28515625" style="609" customWidth="1"/>
    <col min="12817" max="13056" width="11.42578125" style="609"/>
    <col min="13057" max="13057" width="7" style="609" customWidth="1"/>
    <col min="13058" max="13058" width="10.7109375" style="609" customWidth="1"/>
    <col min="13059" max="13059" width="10.5703125" style="609" customWidth="1"/>
    <col min="13060" max="13060" width="10.7109375" style="609" customWidth="1"/>
    <col min="13061" max="13061" width="10.28515625" style="609" customWidth="1"/>
    <col min="13062" max="13062" width="10.7109375" style="609" customWidth="1"/>
    <col min="13063" max="13063" width="9.42578125" style="609" customWidth="1"/>
    <col min="13064" max="13064" width="10.5703125" style="609" customWidth="1"/>
    <col min="13065" max="13065" width="13.7109375" style="609" customWidth="1"/>
    <col min="13066" max="13067" width="10.42578125" style="609" customWidth="1"/>
    <col min="13068" max="13068" width="10.28515625" style="609" customWidth="1"/>
    <col min="13069" max="13069" width="9.42578125" style="609" customWidth="1"/>
    <col min="13070" max="13070" width="8.7109375" style="609" customWidth="1"/>
    <col min="13071" max="13071" width="10.42578125" style="609" customWidth="1"/>
    <col min="13072" max="13072" width="10.28515625" style="609" customWidth="1"/>
    <col min="13073" max="13312" width="11.42578125" style="609"/>
    <col min="13313" max="13313" width="7" style="609" customWidth="1"/>
    <col min="13314" max="13314" width="10.7109375" style="609" customWidth="1"/>
    <col min="13315" max="13315" width="10.5703125" style="609" customWidth="1"/>
    <col min="13316" max="13316" width="10.7109375" style="609" customWidth="1"/>
    <col min="13317" max="13317" width="10.28515625" style="609" customWidth="1"/>
    <col min="13318" max="13318" width="10.7109375" style="609" customWidth="1"/>
    <col min="13319" max="13319" width="9.42578125" style="609" customWidth="1"/>
    <col min="13320" max="13320" width="10.5703125" style="609" customWidth="1"/>
    <col min="13321" max="13321" width="13.7109375" style="609" customWidth="1"/>
    <col min="13322" max="13323" width="10.42578125" style="609" customWidth="1"/>
    <col min="13324" max="13324" width="10.28515625" style="609" customWidth="1"/>
    <col min="13325" max="13325" width="9.42578125" style="609" customWidth="1"/>
    <col min="13326" max="13326" width="8.7109375" style="609" customWidth="1"/>
    <col min="13327" max="13327" width="10.42578125" style="609" customWidth="1"/>
    <col min="13328" max="13328" width="10.28515625" style="609" customWidth="1"/>
    <col min="13329" max="13568" width="11.42578125" style="609"/>
    <col min="13569" max="13569" width="7" style="609" customWidth="1"/>
    <col min="13570" max="13570" width="10.7109375" style="609" customWidth="1"/>
    <col min="13571" max="13571" width="10.5703125" style="609" customWidth="1"/>
    <col min="13572" max="13572" width="10.7109375" style="609" customWidth="1"/>
    <col min="13573" max="13573" width="10.28515625" style="609" customWidth="1"/>
    <col min="13574" max="13574" width="10.7109375" style="609" customWidth="1"/>
    <col min="13575" max="13575" width="9.42578125" style="609" customWidth="1"/>
    <col min="13576" max="13576" width="10.5703125" style="609" customWidth="1"/>
    <col min="13577" max="13577" width="13.7109375" style="609" customWidth="1"/>
    <col min="13578" max="13579" width="10.42578125" style="609" customWidth="1"/>
    <col min="13580" max="13580" width="10.28515625" style="609" customWidth="1"/>
    <col min="13581" max="13581" width="9.42578125" style="609" customWidth="1"/>
    <col min="13582" max="13582" width="8.7109375" style="609" customWidth="1"/>
    <col min="13583" max="13583" width="10.42578125" style="609" customWidth="1"/>
    <col min="13584" max="13584" width="10.28515625" style="609" customWidth="1"/>
    <col min="13585" max="13824" width="11.42578125" style="609"/>
    <col min="13825" max="13825" width="7" style="609" customWidth="1"/>
    <col min="13826" max="13826" width="10.7109375" style="609" customWidth="1"/>
    <col min="13827" max="13827" width="10.5703125" style="609" customWidth="1"/>
    <col min="13828" max="13828" width="10.7109375" style="609" customWidth="1"/>
    <col min="13829" max="13829" width="10.28515625" style="609" customWidth="1"/>
    <col min="13830" max="13830" width="10.7109375" style="609" customWidth="1"/>
    <col min="13831" max="13831" width="9.42578125" style="609" customWidth="1"/>
    <col min="13832" max="13832" width="10.5703125" style="609" customWidth="1"/>
    <col min="13833" max="13833" width="13.7109375" style="609" customWidth="1"/>
    <col min="13834" max="13835" width="10.42578125" style="609" customWidth="1"/>
    <col min="13836" max="13836" width="10.28515625" style="609" customWidth="1"/>
    <col min="13837" max="13837" width="9.42578125" style="609" customWidth="1"/>
    <col min="13838" max="13838" width="8.7109375" style="609" customWidth="1"/>
    <col min="13839" max="13839" width="10.42578125" style="609" customWidth="1"/>
    <col min="13840" max="13840" width="10.28515625" style="609" customWidth="1"/>
    <col min="13841" max="14080" width="11.42578125" style="609"/>
    <col min="14081" max="14081" width="7" style="609" customWidth="1"/>
    <col min="14082" max="14082" width="10.7109375" style="609" customWidth="1"/>
    <col min="14083" max="14083" width="10.5703125" style="609" customWidth="1"/>
    <col min="14084" max="14084" width="10.7109375" style="609" customWidth="1"/>
    <col min="14085" max="14085" width="10.28515625" style="609" customWidth="1"/>
    <col min="14086" max="14086" width="10.7109375" style="609" customWidth="1"/>
    <col min="14087" max="14087" width="9.42578125" style="609" customWidth="1"/>
    <col min="14088" max="14088" width="10.5703125" style="609" customWidth="1"/>
    <col min="14089" max="14089" width="13.7109375" style="609" customWidth="1"/>
    <col min="14090" max="14091" width="10.42578125" style="609" customWidth="1"/>
    <col min="14092" max="14092" width="10.28515625" style="609" customWidth="1"/>
    <col min="14093" max="14093" width="9.42578125" style="609" customWidth="1"/>
    <col min="14094" max="14094" width="8.7109375" style="609" customWidth="1"/>
    <col min="14095" max="14095" width="10.42578125" style="609" customWidth="1"/>
    <col min="14096" max="14096" width="10.28515625" style="609" customWidth="1"/>
    <col min="14097" max="14336" width="11.42578125" style="609"/>
    <col min="14337" max="14337" width="7" style="609" customWidth="1"/>
    <col min="14338" max="14338" width="10.7109375" style="609" customWidth="1"/>
    <col min="14339" max="14339" width="10.5703125" style="609" customWidth="1"/>
    <col min="14340" max="14340" width="10.7109375" style="609" customWidth="1"/>
    <col min="14341" max="14341" width="10.28515625" style="609" customWidth="1"/>
    <col min="14342" max="14342" width="10.7109375" style="609" customWidth="1"/>
    <col min="14343" max="14343" width="9.42578125" style="609" customWidth="1"/>
    <col min="14344" max="14344" width="10.5703125" style="609" customWidth="1"/>
    <col min="14345" max="14345" width="13.7109375" style="609" customWidth="1"/>
    <col min="14346" max="14347" width="10.42578125" style="609" customWidth="1"/>
    <col min="14348" max="14348" width="10.28515625" style="609" customWidth="1"/>
    <col min="14349" max="14349" width="9.42578125" style="609" customWidth="1"/>
    <col min="14350" max="14350" width="8.7109375" style="609" customWidth="1"/>
    <col min="14351" max="14351" width="10.42578125" style="609" customWidth="1"/>
    <col min="14352" max="14352" width="10.28515625" style="609" customWidth="1"/>
    <col min="14353" max="14592" width="11.42578125" style="609"/>
    <col min="14593" max="14593" width="7" style="609" customWidth="1"/>
    <col min="14594" max="14594" width="10.7109375" style="609" customWidth="1"/>
    <col min="14595" max="14595" width="10.5703125" style="609" customWidth="1"/>
    <col min="14596" max="14596" width="10.7109375" style="609" customWidth="1"/>
    <col min="14597" max="14597" width="10.28515625" style="609" customWidth="1"/>
    <col min="14598" max="14598" width="10.7109375" style="609" customWidth="1"/>
    <col min="14599" max="14599" width="9.42578125" style="609" customWidth="1"/>
    <col min="14600" max="14600" width="10.5703125" style="609" customWidth="1"/>
    <col min="14601" max="14601" width="13.7109375" style="609" customWidth="1"/>
    <col min="14602" max="14603" width="10.42578125" style="609" customWidth="1"/>
    <col min="14604" max="14604" width="10.28515625" style="609" customWidth="1"/>
    <col min="14605" max="14605" width="9.42578125" style="609" customWidth="1"/>
    <col min="14606" max="14606" width="8.7109375" style="609" customWidth="1"/>
    <col min="14607" max="14607" width="10.42578125" style="609" customWidth="1"/>
    <col min="14608" max="14608" width="10.28515625" style="609" customWidth="1"/>
    <col min="14609" max="14848" width="11.42578125" style="609"/>
    <col min="14849" max="14849" width="7" style="609" customWidth="1"/>
    <col min="14850" max="14850" width="10.7109375" style="609" customWidth="1"/>
    <col min="14851" max="14851" width="10.5703125" style="609" customWidth="1"/>
    <col min="14852" max="14852" width="10.7109375" style="609" customWidth="1"/>
    <col min="14853" max="14853" width="10.28515625" style="609" customWidth="1"/>
    <col min="14854" max="14854" width="10.7109375" style="609" customWidth="1"/>
    <col min="14855" max="14855" width="9.42578125" style="609" customWidth="1"/>
    <col min="14856" max="14856" width="10.5703125" style="609" customWidth="1"/>
    <col min="14857" max="14857" width="13.7109375" style="609" customWidth="1"/>
    <col min="14858" max="14859" width="10.42578125" style="609" customWidth="1"/>
    <col min="14860" max="14860" width="10.28515625" style="609" customWidth="1"/>
    <col min="14861" max="14861" width="9.42578125" style="609" customWidth="1"/>
    <col min="14862" max="14862" width="8.7109375" style="609" customWidth="1"/>
    <col min="14863" max="14863" width="10.42578125" style="609" customWidth="1"/>
    <col min="14864" max="14864" width="10.28515625" style="609" customWidth="1"/>
    <col min="14865" max="15104" width="11.42578125" style="609"/>
    <col min="15105" max="15105" width="7" style="609" customWidth="1"/>
    <col min="15106" max="15106" width="10.7109375" style="609" customWidth="1"/>
    <col min="15107" max="15107" width="10.5703125" style="609" customWidth="1"/>
    <col min="15108" max="15108" width="10.7109375" style="609" customWidth="1"/>
    <col min="15109" max="15109" width="10.28515625" style="609" customWidth="1"/>
    <col min="15110" max="15110" width="10.7109375" style="609" customWidth="1"/>
    <col min="15111" max="15111" width="9.42578125" style="609" customWidth="1"/>
    <col min="15112" max="15112" width="10.5703125" style="609" customWidth="1"/>
    <col min="15113" max="15113" width="13.7109375" style="609" customWidth="1"/>
    <col min="15114" max="15115" width="10.42578125" style="609" customWidth="1"/>
    <col min="15116" max="15116" width="10.28515625" style="609" customWidth="1"/>
    <col min="15117" max="15117" width="9.42578125" style="609" customWidth="1"/>
    <col min="15118" max="15118" width="8.7109375" style="609" customWidth="1"/>
    <col min="15119" max="15119" width="10.42578125" style="609" customWidth="1"/>
    <col min="15120" max="15120" width="10.28515625" style="609" customWidth="1"/>
    <col min="15121" max="15360" width="11.42578125" style="609"/>
    <col min="15361" max="15361" width="7" style="609" customWidth="1"/>
    <col min="15362" max="15362" width="10.7109375" style="609" customWidth="1"/>
    <col min="15363" max="15363" width="10.5703125" style="609" customWidth="1"/>
    <col min="15364" max="15364" width="10.7109375" style="609" customWidth="1"/>
    <col min="15365" max="15365" width="10.28515625" style="609" customWidth="1"/>
    <col min="15366" max="15366" width="10.7109375" style="609" customWidth="1"/>
    <col min="15367" max="15367" width="9.42578125" style="609" customWidth="1"/>
    <col min="15368" max="15368" width="10.5703125" style="609" customWidth="1"/>
    <col min="15369" max="15369" width="13.7109375" style="609" customWidth="1"/>
    <col min="15370" max="15371" width="10.42578125" style="609" customWidth="1"/>
    <col min="15372" max="15372" width="10.28515625" style="609" customWidth="1"/>
    <col min="15373" max="15373" width="9.42578125" style="609" customWidth="1"/>
    <col min="15374" max="15374" width="8.7109375" style="609" customWidth="1"/>
    <col min="15375" max="15375" width="10.42578125" style="609" customWidth="1"/>
    <col min="15376" max="15376" width="10.28515625" style="609" customWidth="1"/>
    <col min="15377" max="15616" width="11.42578125" style="609"/>
    <col min="15617" max="15617" width="7" style="609" customWidth="1"/>
    <col min="15618" max="15618" width="10.7109375" style="609" customWidth="1"/>
    <col min="15619" max="15619" width="10.5703125" style="609" customWidth="1"/>
    <col min="15620" max="15620" width="10.7109375" style="609" customWidth="1"/>
    <col min="15621" max="15621" width="10.28515625" style="609" customWidth="1"/>
    <col min="15622" max="15622" width="10.7109375" style="609" customWidth="1"/>
    <col min="15623" max="15623" width="9.42578125" style="609" customWidth="1"/>
    <col min="15624" max="15624" width="10.5703125" style="609" customWidth="1"/>
    <col min="15625" max="15625" width="13.7109375" style="609" customWidth="1"/>
    <col min="15626" max="15627" width="10.42578125" style="609" customWidth="1"/>
    <col min="15628" max="15628" width="10.28515625" style="609" customWidth="1"/>
    <col min="15629" max="15629" width="9.42578125" style="609" customWidth="1"/>
    <col min="15630" max="15630" width="8.7109375" style="609" customWidth="1"/>
    <col min="15631" max="15631" width="10.42578125" style="609" customWidth="1"/>
    <col min="15632" max="15632" width="10.28515625" style="609" customWidth="1"/>
    <col min="15633" max="15872" width="11.42578125" style="609"/>
    <col min="15873" max="15873" width="7" style="609" customWidth="1"/>
    <col min="15874" max="15874" width="10.7109375" style="609" customWidth="1"/>
    <col min="15875" max="15875" width="10.5703125" style="609" customWidth="1"/>
    <col min="15876" max="15876" width="10.7109375" style="609" customWidth="1"/>
    <col min="15877" max="15877" width="10.28515625" style="609" customWidth="1"/>
    <col min="15878" max="15878" width="10.7109375" style="609" customWidth="1"/>
    <col min="15879" max="15879" width="9.42578125" style="609" customWidth="1"/>
    <col min="15880" max="15880" width="10.5703125" style="609" customWidth="1"/>
    <col min="15881" max="15881" width="13.7109375" style="609" customWidth="1"/>
    <col min="15882" max="15883" width="10.42578125" style="609" customWidth="1"/>
    <col min="15884" max="15884" width="10.28515625" style="609" customWidth="1"/>
    <col min="15885" max="15885" width="9.42578125" style="609" customWidth="1"/>
    <col min="15886" max="15886" width="8.7109375" style="609" customWidth="1"/>
    <col min="15887" max="15887" width="10.42578125" style="609" customWidth="1"/>
    <col min="15888" max="15888" width="10.28515625" style="609" customWidth="1"/>
    <col min="15889" max="16128" width="11.42578125" style="609"/>
    <col min="16129" max="16129" width="7" style="609" customWidth="1"/>
    <col min="16130" max="16130" width="10.7109375" style="609" customWidth="1"/>
    <col min="16131" max="16131" width="10.5703125" style="609" customWidth="1"/>
    <col min="16132" max="16132" width="10.7109375" style="609" customWidth="1"/>
    <col min="16133" max="16133" width="10.28515625" style="609" customWidth="1"/>
    <col min="16134" max="16134" width="10.7109375" style="609" customWidth="1"/>
    <col min="16135" max="16135" width="9.42578125" style="609" customWidth="1"/>
    <col min="16136" max="16136" width="10.5703125" style="609" customWidth="1"/>
    <col min="16137" max="16137" width="13.7109375" style="609" customWidth="1"/>
    <col min="16138" max="16139" width="10.42578125" style="609" customWidth="1"/>
    <col min="16140" max="16140" width="10.28515625" style="609" customWidth="1"/>
    <col min="16141" max="16141" width="9.42578125" style="609" customWidth="1"/>
    <col min="16142" max="16142" width="8.7109375" style="609" customWidth="1"/>
    <col min="16143" max="16143" width="10.42578125" style="609" customWidth="1"/>
    <col min="16144" max="16144" width="10.28515625" style="609" customWidth="1"/>
    <col min="16145" max="16384" width="11.42578125" style="609"/>
  </cols>
  <sheetData>
    <row r="1" spans="1:21" ht="15" customHeight="1" x14ac:dyDescent="0.2">
      <c r="A1" s="777" t="s">
        <v>1751</v>
      </c>
      <c r="B1" s="777"/>
      <c r="C1" s="777"/>
      <c r="D1" s="777"/>
      <c r="E1" s="777"/>
      <c r="F1" s="777"/>
      <c r="G1" s="777"/>
      <c r="H1" s="777"/>
      <c r="I1" s="777"/>
      <c r="J1" s="777"/>
      <c r="K1" s="777"/>
      <c r="L1" s="777"/>
      <c r="M1" s="777"/>
      <c r="N1" s="777"/>
      <c r="O1" s="777"/>
      <c r="P1" s="777"/>
    </row>
    <row r="2" spans="1:21" ht="15" customHeight="1" x14ac:dyDescent="0.2">
      <c r="A2" s="777" t="s">
        <v>1752</v>
      </c>
      <c r="B2" s="777"/>
      <c r="C2" s="777"/>
      <c r="D2" s="777"/>
      <c r="E2" s="777"/>
      <c r="F2" s="777" t="s">
        <v>1753</v>
      </c>
      <c r="G2" s="777"/>
      <c r="H2" s="777"/>
      <c r="I2" s="777"/>
      <c r="J2" s="777"/>
      <c r="K2" s="777"/>
      <c r="L2" s="777"/>
      <c r="M2" s="777"/>
      <c r="N2" s="777"/>
      <c r="O2" s="777"/>
      <c r="P2" s="777"/>
    </row>
    <row r="3" spans="1:21" ht="15" customHeight="1" x14ac:dyDescent="0.2">
      <c r="E3" s="610"/>
    </row>
    <row r="4" spans="1:21" ht="15" customHeight="1" x14ac:dyDescent="0.25">
      <c r="A4" s="778" t="s">
        <v>1754</v>
      </c>
      <c r="B4" s="778"/>
      <c r="C4" s="778"/>
      <c r="D4" s="778"/>
      <c r="E4" s="778"/>
      <c r="F4" s="610"/>
      <c r="K4" s="610"/>
      <c r="N4" s="610" t="s">
        <v>1755</v>
      </c>
      <c r="O4" s="611">
        <f>IF(HorasAmortizaciónEquipoCamión=0,0,ROUND(Valor_CamiónSolo*PorcentajeEquipoAmortizarCamión/HorasAmortizaciónEquipoCamión,3))</f>
        <v>0</v>
      </c>
    </row>
    <row r="5" spans="1:21" ht="15" customHeight="1" x14ac:dyDescent="0.2">
      <c r="A5" s="612"/>
      <c r="B5" s="612"/>
      <c r="C5" s="612"/>
      <c r="D5" s="612"/>
      <c r="E5" s="612"/>
      <c r="F5" s="610"/>
      <c r="K5" s="610"/>
      <c r="O5" s="613"/>
    </row>
    <row r="6" spans="1:21" ht="15" customHeight="1" x14ac:dyDescent="0.2">
      <c r="A6" s="681"/>
      <c r="B6" s="681"/>
      <c r="C6" s="681"/>
      <c r="D6" s="681"/>
      <c r="E6" s="681"/>
      <c r="F6" s="610"/>
      <c r="K6" s="610"/>
      <c r="O6" s="613"/>
      <c r="Q6" s="612"/>
      <c r="R6" s="612"/>
      <c r="S6" s="612"/>
      <c r="T6" s="612"/>
      <c r="U6" s="612"/>
    </row>
    <row r="7" spans="1:21" ht="15" customHeight="1" x14ac:dyDescent="0.2">
      <c r="A7" s="764" t="s">
        <v>1756</v>
      </c>
      <c r="B7" s="765"/>
      <c r="C7" s="765"/>
      <c r="D7" s="766"/>
      <c r="E7" s="659"/>
      <c r="F7" s="610"/>
      <c r="G7" s="614"/>
      <c r="H7" s="612"/>
      <c r="I7" s="779"/>
      <c r="J7" s="615"/>
      <c r="K7" s="616"/>
      <c r="N7" s="610" t="s">
        <v>1757</v>
      </c>
      <c r="O7" s="647">
        <f>ROUND(Valor_CamiónSolo*E10/4000,3)</f>
        <v>0</v>
      </c>
      <c r="Q7" s="614"/>
      <c r="R7" s="617"/>
      <c r="S7" s="774"/>
      <c r="T7" s="618"/>
      <c r="U7" s="615"/>
    </row>
    <row r="8" spans="1:21" ht="15" customHeight="1" x14ac:dyDescent="0.2">
      <c r="A8" s="764" t="s">
        <v>1758</v>
      </c>
      <c r="B8" s="765"/>
      <c r="C8" s="765"/>
      <c r="D8" s="766"/>
      <c r="E8" s="660"/>
      <c r="F8" s="610"/>
      <c r="G8" s="775"/>
      <c r="H8" s="775"/>
      <c r="I8" s="779"/>
      <c r="K8" s="610"/>
      <c r="O8" s="613"/>
      <c r="Q8" s="775"/>
      <c r="R8" s="775"/>
      <c r="S8" s="774"/>
      <c r="T8" s="612"/>
      <c r="U8" s="612"/>
    </row>
    <row r="9" spans="1:21" ht="15" customHeight="1" x14ac:dyDescent="0.2">
      <c r="A9" s="764" t="s">
        <v>1759</v>
      </c>
      <c r="B9" s="765"/>
      <c r="C9" s="765"/>
      <c r="D9" s="766"/>
      <c r="E9" s="661"/>
      <c r="F9" s="610"/>
      <c r="K9" s="610"/>
      <c r="O9" s="613"/>
    </row>
    <row r="10" spans="1:21" ht="15" customHeight="1" x14ac:dyDescent="0.2">
      <c r="A10" s="764" t="s">
        <v>1760</v>
      </c>
      <c r="B10" s="765"/>
      <c r="C10" s="765"/>
      <c r="D10" s="766"/>
      <c r="E10" s="661"/>
      <c r="F10" s="610"/>
      <c r="K10" s="610"/>
      <c r="N10" s="610" t="s">
        <v>1761</v>
      </c>
      <c r="O10" s="611">
        <f>ROUND(O4*Porcentaje_Reparaciones_Repuestos,3)</f>
        <v>0</v>
      </c>
      <c r="Q10" s="612"/>
      <c r="R10" s="612"/>
      <c r="S10" s="612"/>
      <c r="T10" s="612"/>
      <c r="U10" s="612"/>
    </row>
    <row r="11" spans="1:21" ht="15" customHeight="1" x14ac:dyDescent="0.2">
      <c r="A11" s="764" t="s">
        <v>1762</v>
      </c>
      <c r="B11" s="765"/>
      <c r="C11" s="765"/>
      <c r="D11" s="766"/>
      <c r="E11" s="661"/>
      <c r="F11" s="610"/>
      <c r="K11" s="610"/>
      <c r="O11" s="613"/>
      <c r="Q11" s="612"/>
      <c r="R11" s="612"/>
      <c r="S11" s="612"/>
      <c r="T11" s="612"/>
      <c r="U11" s="612"/>
    </row>
    <row r="12" spans="1:21" ht="15" customHeight="1" x14ac:dyDescent="0.2">
      <c r="A12" s="764" t="s">
        <v>1763</v>
      </c>
      <c r="B12" s="765"/>
      <c r="C12" s="765"/>
      <c r="D12" s="766"/>
      <c r="E12" s="661"/>
      <c r="F12" s="610"/>
      <c r="K12" s="610"/>
      <c r="O12" s="613"/>
      <c r="Q12" s="612"/>
      <c r="R12" s="612"/>
      <c r="S12" s="612"/>
      <c r="T12" s="612"/>
      <c r="U12" s="612"/>
    </row>
    <row r="13" spans="1:21" ht="15" customHeight="1" x14ac:dyDescent="0.2">
      <c r="A13" s="764" t="s">
        <v>1764</v>
      </c>
      <c r="B13" s="765"/>
      <c r="C13" s="765"/>
      <c r="D13" s="766"/>
      <c r="E13" s="660"/>
      <c r="F13" s="610"/>
      <c r="G13" s="612"/>
      <c r="H13" s="612"/>
      <c r="I13" s="612"/>
      <c r="J13" s="612"/>
      <c r="K13" s="619"/>
      <c r="N13" s="610" t="s">
        <v>1765</v>
      </c>
      <c r="O13" s="611">
        <f>ROUND(Tiempo_lavado_en_horas*Mano_Obra_Lavado*Cantidad_lavado_al_mes*12/2000,3)</f>
        <v>0</v>
      </c>
      <c r="Q13" s="612"/>
      <c r="R13" s="612"/>
      <c r="S13" s="612"/>
      <c r="T13" s="612"/>
      <c r="U13" s="612"/>
    </row>
    <row r="14" spans="1:21" ht="15" customHeight="1" x14ac:dyDescent="0.2">
      <c r="A14" s="764" t="s">
        <v>1766</v>
      </c>
      <c r="B14" s="765"/>
      <c r="C14" s="765"/>
      <c r="D14" s="766"/>
      <c r="E14" s="662"/>
      <c r="F14" s="610"/>
      <c r="G14" s="612"/>
      <c r="H14" s="612"/>
      <c r="I14" s="612"/>
      <c r="J14" s="612"/>
      <c r="K14" s="619"/>
      <c r="O14" s="613"/>
      <c r="Q14" s="612"/>
      <c r="R14" s="612"/>
      <c r="S14" s="612"/>
      <c r="T14" s="612"/>
      <c r="U14" s="612"/>
    </row>
    <row r="15" spans="1:21" ht="15" customHeight="1" x14ac:dyDescent="0.2">
      <c r="A15" s="764" t="s">
        <v>1767</v>
      </c>
      <c r="B15" s="765"/>
      <c r="C15" s="765"/>
      <c r="D15" s="766"/>
      <c r="E15" s="663"/>
      <c r="F15" s="610"/>
      <c r="G15" s="614"/>
      <c r="H15" s="612"/>
      <c r="I15" s="774"/>
      <c r="J15" s="615"/>
      <c r="K15" s="620"/>
      <c r="O15" s="613"/>
      <c r="Q15" s="621"/>
      <c r="R15" s="622"/>
      <c r="S15" s="774"/>
      <c r="T15" s="618"/>
      <c r="U15" s="623"/>
    </row>
    <row r="16" spans="1:21" ht="15" customHeight="1" x14ac:dyDescent="0.2">
      <c r="A16" s="764" t="s">
        <v>1768</v>
      </c>
      <c r="B16" s="765"/>
      <c r="C16" s="765"/>
      <c r="D16" s="766"/>
      <c r="E16" s="664"/>
      <c r="F16" s="610"/>
      <c r="G16" s="775"/>
      <c r="H16" s="775"/>
      <c r="I16" s="774"/>
      <c r="J16" s="612"/>
      <c r="K16" s="619"/>
      <c r="N16" s="610" t="s">
        <v>1769</v>
      </c>
      <c r="O16" s="611">
        <f>ROUND(Valor_CamiónSolo*PorSegurosPatentesImpustoCamión/2000,3)</f>
        <v>0</v>
      </c>
      <c r="Q16" s="776"/>
      <c r="R16" s="776"/>
      <c r="S16" s="774"/>
      <c r="T16" s="612"/>
      <c r="U16" s="612"/>
    </row>
    <row r="17" spans="1:21" ht="15" customHeight="1" x14ac:dyDescent="0.2">
      <c r="A17" s="764" t="s">
        <v>1770</v>
      </c>
      <c r="B17" s="765"/>
      <c r="C17" s="765"/>
      <c r="D17" s="766"/>
      <c r="E17" s="665"/>
      <c r="F17" s="610"/>
      <c r="K17" s="610"/>
      <c r="O17" s="613"/>
    </row>
    <row r="18" spans="1:21" ht="15" customHeight="1" x14ac:dyDescent="0.2">
      <c r="A18" s="764" t="s">
        <v>1771</v>
      </c>
      <c r="B18" s="765"/>
      <c r="C18" s="765"/>
      <c r="D18" s="766"/>
      <c r="E18" s="666"/>
      <c r="F18" s="610"/>
      <c r="K18" s="610"/>
      <c r="O18" s="613"/>
    </row>
    <row r="19" spans="1:21" ht="15" customHeight="1" x14ac:dyDescent="0.2">
      <c r="A19" s="764" t="s">
        <v>1772</v>
      </c>
      <c r="B19" s="765"/>
      <c r="C19" s="765"/>
      <c r="D19" s="766"/>
      <c r="E19" s="667"/>
      <c r="F19" s="610"/>
      <c r="G19" s="614"/>
      <c r="H19" s="612"/>
      <c r="I19" s="612"/>
      <c r="J19" s="615"/>
      <c r="K19" s="620"/>
      <c r="N19" s="610" t="s">
        <v>1773</v>
      </c>
      <c r="O19" s="611">
        <f>IF(V_Ul_cámara_cubiertas_CamiónSolo=0,0,ROUND(Cantidad_camaras_cubiertas*Valor_cámara_cubiertas_CamiónSolo/V_Ul_cámara_cubiertas_CamiónSolo,3))</f>
        <v>0</v>
      </c>
      <c r="Q19" s="624"/>
      <c r="R19" s="625"/>
      <c r="S19" s="626"/>
      <c r="T19" s="627"/>
      <c r="U19" s="628"/>
    </row>
    <row r="20" spans="1:21" ht="15" customHeight="1" x14ac:dyDescent="0.2">
      <c r="A20" s="764" t="s">
        <v>1774</v>
      </c>
      <c r="B20" s="765"/>
      <c r="C20" s="765"/>
      <c r="D20" s="766"/>
      <c r="E20" s="661"/>
      <c r="F20" s="610"/>
      <c r="G20" s="775"/>
      <c r="H20" s="775"/>
      <c r="I20" s="612"/>
      <c r="J20" s="612"/>
      <c r="K20" s="619"/>
      <c r="O20" s="613"/>
    </row>
    <row r="21" spans="1:21" ht="15" customHeight="1" x14ac:dyDescent="0.2">
      <c r="A21" s="764" t="s">
        <v>1825</v>
      </c>
      <c r="B21" s="765"/>
      <c r="C21" s="765"/>
      <c r="D21" s="766" t="s">
        <v>1775</v>
      </c>
      <c r="E21" s="668"/>
      <c r="G21" s="769"/>
      <c r="H21" s="769"/>
      <c r="I21" s="769"/>
      <c r="K21" s="610"/>
      <c r="O21" s="613"/>
    </row>
    <row r="22" spans="1:21" ht="15" customHeight="1" x14ac:dyDescent="0.2">
      <c r="A22" s="764" t="s">
        <v>1826</v>
      </c>
      <c r="B22" s="765"/>
      <c r="C22" s="765"/>
      <c r="D22" s="766" t="s">
        <v>1776</v>
      </c>
      <c r="E22" s="669"/>
      <c r="G22" s="612"/>
      <c r="H22" s="612"/>
      <c r="I22" s="612"/>
      <c r="J22" s="612"/>
      <c r="K22" s="619"/>
      <c r="N22" s="610" t="s">
        <v>1777</v>
      </c>
      <c r="O22" s="611">
        <f>ROUND(Consumo_gasoil_CamiónSolo_porkm*Costo_gasoil*(1+Porcentaje_Lubricantes),3)</f>
        <v>0</v>
      </c>
    </row>
    <row r="23" spans="1:21" ht="15" customHeight="1" x14ac:dyDescent="0.25">
      <c r="A23" s="682"/>
      <c r="B23" s="682"/>
      <c r="C23" s="682"/>
      <c r="D23" s="682"/>
      <c r="E23" s="682"/>
      <c r="G23" s="629"/>
      <c r="H23" s="630"/>
      <c r="I23" s="631"/>
      <c r="J23" s="632"/>
      <c r="K23" s="620"/>
    </row>
    <row r="24" spans="1:21" ht="15" customHeight="1" x14ac:dyDescent="0.2">
      <c r="A24" s="612"/>
      <c r="B24" s="612"/>
      <c r="C24" s="612"/>
      <c r="D24" s="612"/>
      <c r="E24" s="612"/>
      <c r="F24" s="612"/>
      <c r="G24" s="612"/>
      <c r="H24" s="612"/>
      <c r="I24" s="612"/>
      <c r="J24" s="612"/>
      <c r="K24" s="612"/>
      <c r="L24" s="612"/>
      <c r="M24" s="612"/>
      <c r="N24" s="612"/>
      <c r="O24" s="612"/>
      <c r="P24" s="612"/>
    </row>
    <row r="25" spans="1:21" ht="15" customHeight="1" x14ac:dyDescent="0.2">
      <c r="A25" s="771" t="s">
        <v>1778</v>
      </c>
      <c r="B25" s="771"/>
      <c r="C25" s="771"/>
      <c r="D25" s="771"/>
      <c r="E25" s="771"/>
      <c r="F25" s="771"/>
      <c r="G25" s="771"/>
      <c r="H25" s="772" t="s">
        <v>1779</v>
      </c>
      <c r="I25" s="772"/>
      <c r="J25" s="772"/>
      <c r="K25" s="772"/>
      <c r="L25" s="772"/>
      <c r="M25" s="772"/>
      <c r="N25" s="772"/>
      <c r="O25" s="772"/>
      <c r="P25" s="773" t="s">
        <v>1780</v>
      </c>
    </row>
    <row r="26" spans="1:21" ht="15" customHeight="1" x14ac:dyDescent="0.2">
      <c r="A26" s="633" t="s">
        <v>1781</v>
      </c>
      <c r="B26" s="633" t="s">
        <v>1782</v>
      </c>
      <c r="C26" s="633" t="s">
        <v>1783</v>
      </c>
      <c r="D26" s="633" t="s">
        <v>1784</v>
      </c>
      <c r="E26" s="633" t="s">
        <v>1785</v>
      </c>
      <c r="F26" s="633" t="s">
        <v>1040</v>
      </c>
      <c r="G26" s="633" t="s">
        <v>1786</v>
      </c>
      <c r="H26" s="768" t="s">
        <v>1711</v>
      </c>
      <c r="I26" s="768" t="s">
        <v>1787</v>
      </c>
      <c r="J26" s="633" t="s">
        <v>1788</v>
      </c>
      <c r="K26" s="633" t="s">
        <v>1789</v>
      </c>
      <c r="L26" s="633" t="s">
        <v>1790</v>
      </c>
      <c r="M26" s="633" t="s">
        <v>1791</v>
      </c>
      <c r="N26" s="633" t="s">
        <v>1792</v>
      </c>
      <c r="O26" s="634" t="s">
        <v>1793</v>
      </c>
      <c r="P26" s="773"/>
    </row>
    <row r="27" spans="1:21" ht="15" customHeight="1" x14ac:dyDescent="0.2">
      <c r="A27" s="633" t="s">
        <v>1794</v>
      </c>
      <c r="B27" s="633" t="s">
        <v>1795</v>
      </c>
      <c r="C27" s="633" t="s">
        <v>1796</v>
      </c>
      <c r="D27" s="633" t="s">
        <v>1797</v>
      </c>
      <c r="E27" s="633" t="s">
        <v>1798</v>
      </c>
      <c r="F27" s="633" t="s">
        <v>1799</v>
      </c>
      <c r="G27" s="633" t="s">
        <v>1800</v>
      </c>
      <c r="H27" s="768"/>
      <c r="I27" s="768"/>
      <c r="J27" s="633" t="s">
        <v>1801</v>
      </c>
      <c r="K27" s="633" t="s">
        <v>1802</v>
      </c>
      <c r="L27" s="633" t="s">
        <v>1803</v>
      </c>
      <c r="M27" s="633" t="s">
        <v>1804</v>
      </c>
      <c r="N27" s="633" t="s">
        <v>1805</v>
      </c>
      <c r="O27" s="634" t="s">
        <v>1806</v>
      </c>
      <c r="P27" s="773"/>
    </row>
    <row r="28" spans="1:21" ht="15" customHeight="1" x14ac:dyDescent="0.2">
      <c r="A28" s="767" t="s">
        <v>1807</v>
      </c>
      <c r="B28" s="767" t="s">
        <v>1808</v>
      </c>
      <c r="C28" s="767" t="s">
        <v>1809</v>
      </c>
      <c r="D28" s="767" t="s">
        <v>1810</v>
      </c>
      <c r="E28" s="767" t="s">
        <v>1811</v>
      </c>
      <c r="F28" s="767" t="s">
        <v>1812</v>
      </c>
      <c r="G28" s="767" t="s">
        <v>1813</v>
      </c>
      <c r="H28" s="767" t="s">
        <v>1814</v>
      </c>
      <c r="I28" s="767" t="s">
        <v>1815</v>
      </c>
      <c r="J28" s="767" t="s">
        <v>1816</v>
      </c>
      <c r="K28" s="767" t="s">
        <v>1817</v>
      </c>
      <c r="L28" s="767" t="s">
        <v>1818</v>
      </c>
      <c r="M28" s="767" t="s">
        <v>1819</v>
      </c>
      <c r="N28" s="767" t="s">
        <v>1820</v>
      </c>
      <c r="O28" s="767" t="s">
        <v>1821</v>
      </c>
      <c r="P28" s="770" t="s">
        <v>1822</v>
      </c>
    </row>
    <row r="29" spans="1:21" ht="15" customHeight="1" x14ac:dyDescent="0.2">
      <c r="A29" s="767"/>
      <c r="B29" s="767"/>
      <c r="C29" s="767"/>
      <c r="D29" s="767"/>
      <c r="E29" s="767"/>
      <c r="F29" s="767"/>
      <c r="G29" s="767"/>
      <c r="H29" s="767"/>
      <c r="I29" s="767"/>
      <c r="J29" s="767"/>
      <c r="K29" s="767"/>
      <c r="L29" s="767"/>
      <c r="M29" s="767"/>
      <c r="N29" s="767"/>
      <c r="O29" s="767"/>
      <c r="P29" s="770"/>
    </row>
    <row r="30" spans="1:21" ht="15" customHeight="1" x14ac:dyDescent="0.2">
      <c r="A30" s="635">
        <v>1</v>
      </c>
      <c r="B30" s="636"/>
      <c r="C30" s="637">
        <f>IF(B30=0,0,(2*A30*60)/B30)</f>
        <v>0</v>
      </c>
      <c r="D30" s="638"/>
      <c r="E30" s="637">
        <f t="shared" ref="E30:E64" si="0">+C30+D30</f>
        <v>0</v>
      </c>
      <c r="F30" s="639"/>
      <c r="G30" s="640">
        <f t="shared" ref="G30:G64" si="1">+A30*2</f>
        <v>2</v>
      </c>
      <c r="H30" s="641">
        <f t="shared" ref="H30:H64" si="2">A*(E30/60)</f>
        <v>0</v>
      </c>
      <c r="I30" s="641">
        <f t="shared" ref="I30:I38" si="3">B*(E30/60)</f>
        <v>0</v>
      </c>
      <c r="J30" s="641">
        <f t="shared" ref="J30:J38" si="4">C_*(C30/60)</f>
        <v>0</v>
      </c>
      <c r="K30" s="641">
        <f t="shared" ref="K30:K38" si="5">D*(E30/60)</f>
        <v>0</v>
      </c>
      <c r="L30" s="641">
        <f t="shared" ref="L30:L38" si="6">E*(E30/60)</f>
        <v>0</v>
      </c>
      <c r="M30" s="641">
        <f t="shared" ref="M30:M38" si="7">+G30*F_</f>
        <v>0</v>
      </c>
      <c r="N30" s="641">
        <f t="shared" ref="N30:N38" si="8">Mano_Obra_Lavado*(E30/60)</f>
        <v>0</v>
      </c>
      <c r="O30" s="641">
        <f t="shared" ref="O30:O38" si="9">+G30*G</f>
        <v>0</v>
      </c>
      <c r="P30" s="642">
        <f>IF(F30=0,0,ROUND(SUM(H30:O30)/F30,3))</f>
        <v>0</v>
      </c>
      <c r="R30" s="643"/>
    </row>
    <row r="31" spans="1:21" ht="15" customHeight="1" x14ac:dyDescent="0.2">
      <c r="A31" s="635">
        <v>1.5</v>
      </c>
      <c r="B31" s="636"/>
      <c r="C31" s="637">
        <f t="shared" ref="C31:C64" si="10">IF(B31=0,0,(2*A31*60)/B31)</f>
        <v>0</v>
      </c>
      <c r="D31" s="638"/>
      <c r="E31" s="637">
        <f t="shared" si="0"/>
        <v>0</v>
      </c>
      <c r="F31" s="639"/>
      <c r="G31" s="640">
        <f t="shared" si="1"/>
        <v>3</v>
      </c>
      <c r="H31" s="641">
        <f t="shared" si="2"/>
        <v>0</v>
      </c>
      <c r="I31" s="641">
        <f t="shared" si="3"/>
        <v>0</v>
      </c>
      <c r="J31" s="641">
        <f t="shared" si="4"/>
        <v>0</v>
      </c>
      <c r="K31" s="641">
        <f t="shared" si="5"/>
        <v>0</v>
      </c>
      <c r="L31" s="641">
        <f t="shared" si="6"/>
        <v>0</v>
      </c>
      <c r="M31" s="641">
        <f t="shared" si="7"/>
        <v>0</v>
      </c>
      <c r="N31" s="641">
        <f t="shared" si="8"/>
        <v>0</v>
      </c>
      <c r="O31" s="641">
        <f t="shared" si="9"/>
        <v>0</v>
      </c>
      <c r="P31" s="642">
        <f t="shared" ref="P31:P64" si="11">IF(F31=0,0,ROUND(SUM(H31:O31)/F31,3))</f>
        <v>0</v>
      </c>
      <c r="R31" s="643"/>
    </row>
    <row r="32" spans="1:21" ht="15" customHeight="1" x14ac:dyDescent="0.2">
      <c r="A32" s="635">
        <v>2</v>
      </c>
      <c r="B32" s="636"/>
      <c r="C32" s="637">
        <f t="shared" si="10"/>
        <v>0</v>
      </c>
      <c r="D32" s="638"/>
      <c r="E32" s="637">
        <f t="shared" si="0"/>
        <v>0</v>
      </c>
      <c r="F32" s="639"/>
      <c r="G32" s="640">
        <f t="shared" si="1"/>
        <v>4</v>
      </c>
      <c r="H32" s="641">
        <f t="shared" si="2"/>
        <v>0</v>
      </c>
      <c r="I32" s="641">
        <f t="shared" si="3"/>
        <v>0</v>
      </c>
      <c r="J32" s="641">
        <f t="shared" si="4"/>
        <v>0</v>
      </c>
      <c r="K32" s="641">
        <f t="shared" si="5"/>
        <v>0</v>
      </c>
      <c r="L32" s="641">
        <f t="shared" si="6"/>
        <v>0</v>
      </c>
      <c r="M32" s="641">
        <f t="shared" si="7"/>
        <v>0</v>
      </c>
      <c r="N32" s="641">
        <f t="shared" si="8"/>
        <v>0</v>
      </c>
      <c r="O32" s="641">
        <f t="shared" si="9"/>
        <v>0</v>
      </c>
      <c r="P32" s="642">
        <f t="shared" si="11"/>
        <v>0</v>
      </c>
      <c r="R32" s="643"/>
    </row>
    <row r="33" spans="1:18" ht="15" customHeight="1" x14ac:dyDescent="0.2">
      <c r="A33" s="635">
        <v>2.5</v>
      </c>
      <c r="B33" s="636"/>
      <c r="C33" s="637">
        <f t="shared" si="10"/>
        <v>0</v>
      </c>
      <c r="D33" s="638"/>
      <c r="E33" s="637">
        <f t="shared" si="0"/>
        <v>0</v>
      </c>
      <c r="F33" s="639"/>
      <c r="G33" s="640">
        <f t="shared" si="1"/>
        <v>5</v>
      </c>
      <c r="H33" s="641">
        <f t="shared" si="2"/>
        <v>0</v>
      </c>
      <c r="I33" s="641">
        <f t="shared" si="3"/>
        <v>0</v>
      </c>
      <c r="J33" s="641">
        <f t="shared" si="4"/>
        <v>0</v>
      </c>
      <c r="K33" s="641">
        <f t="shared" si="5"/>
        <v>0</v>
      </c>
      <c r="L33" s="641">
        <f t="shared" si="6"/>
        <v>0</v>
      </c>
      <c r="M33" s="641">
        <f t="shared" si="7"/>
        <v>0</v>
      </c>
      <c r="N33" s="641">
        <f t="shared" si="8"/>
        <v>0</v>
      </c>
      <c r="O33" s="641">
        <f t="shared" si="9"/>
        <v>0</v>
      </c>
      <c r="P33" s="642">
        <f t="shared" si="11"/>
        <v>0</v>
      </c>
      <c r="R33" s="643"/>
    </row>
    <row r="34" spans="1:18" ht="15" customHeight="1" x14ac:dyDescent="0.2">
      <c r="A34" s="635">
        <v>3</v>
      </c>
      <c r="B34" s="636"/>
      <c r="C34" s="637">
        <f t="shared" si="10"/>
        <v>0</v>
      </c>
      <c r="D34" s="638"/>
      <c r="E34" s="637">
        <f t="shared" si="0"/>
        <v>0</v>
      </c>
      <c r="F34" s="639"/>
      <c r="G34" s="640">
        <f t="shared" si="1"/>
        <v>6</v>
      </c>
      <c r="H34" s="641">
        <f t="shared" si="2"/>
        <v>0</v>
      </c>
      <c r="I34" s="641">
        <f t="shared" si="3"/>
        <v>0</v>
      </c>
      <c r="J34" s="641">
        <f t="shared" si="4"/>
        <v>0</v>
      </c>
      <c r="K34" s="641">
        <f t="shared" si="5"/>
        <v>0</v>
      </c>
      <c r="L34" s="641">
        <f t="shared" si="6"/>
        <v>0</v>
      </c>
      <c r="M34" s="641">
        <f t="shared" si="7"/>
        <v>0</v>
      </c>
      <c r="N34" s="641">
        <f t="shared" si="8"/>
        <v>0</v>
      </c>
      <c r="O34" s="641">
        <f t="shared" si="9"/>
        <v>0</v>
      </c>
      <c r="P34" s="642">
        <f t="shared" si="11"/>
        <v>0</v>
      </c>
      <c r="R34" s="643"/>
    </row>
    <row r="35" spans="1:18" ht="15" customHeight="1" x14ac:dyDescent="0.2">
      <c r="A35" s="635">
        <v>3.5</v>
      </c>
      <c r="B35" s="636"/>
      <c r="C35" s="637">
        <f t="shared" si="10"/>
        <v>0</v>
      </c>
      <c r="D35" s="638"/>
      <c r="E35" s="637">
        <f t="shared" si="0"/>
        <v>0</v>
      </c>
      <c r="F35" s="639"/>
      <c r="G35" s="640">
        <f t="shared" si="1"/>
        <v>7</v>
      </c>
      <c r="H35" s="641">
        <f t="shared" si="2"/>
        <v>0</v>
      </c>
      <c r="I35" s="641">
        <f t="shared" si="3"/>
        <v>0</v>
      </c>
      <c r="J35" s="641">
        <f t="shared" si="4"/>
        <v>0</v>
      </c>
      <c r="K35" s="641">
        <f t="shared" si="5"/>
        <v>0</v>
      </c>
      <c r="L35" s="641">
        <f t="shared" si="6"/>
        <v>0</v>
      </c>
      <c r="M35" s="641">
        <f t="shared" si="7"/>
        <v>0</v>
      </c>
      <c r="N35" s="641">
        <f t="shared" si="8"/>
        <v>0</v>
      </c>
      <c r="O35" s="641">
        <f t="shared" si="9"/>
        <v>0</v>
      </c>
      <c r="P35" s="642">
        <f t="shared" si="11"/>
        <v>0</v>
      </c>
      <c r="R35" s="643"/>
    </row>
    <row r="36" spans="1:18" ht="15" customHeight="1" x14ac:dyDescent="0.2">
      <c r="A36" s="635">
        <v>4</v>
      </c>
      <c r="B36" s="636"/>
      <c r="C36" s="637">
        <f t="shared" si="10"/>
        <v>0</v>
      </c>
      <c r="D36" s="638"/>
      <c r="E36" s="637">
        <f t="shared" si="0"/>
        <v>0</v>
      </c>
      <c r="F36" s="639"/>
      <c r="G36" s="640">
        <f t="shared" si="1"/>
        <v>8</v>
      </c>
      <c r="H36" s="641">
        <f t="shared" si="2"/>
        <v>0</v>
      </c>
      <c r="I36" s="641">
        <f t="shared" si="3"/>
        <v>0</v>
      </c>
      <c r="J36" s="641">
        <f t="shared" si="4"/>
        <v>0</v>
      </c>
      <c r="K36" s="641">
        <f t="shared" si="5"/>
        <v>0</v>
      </c>
      <c r="L36" s="641">
        <f t="shared" si="6"/>
        <v>0</v>
      </c>
      <c r="M36" s="641">
        <f t="shared" si="7"/>
        <v>0</v>
      </c>
      <c r="N36" s="641">
        <f t="shared" si="8"/>
        <v>0</v>
      </c>
      <c r="O36" s="641">
        <f t="shared" si="9"/>
        <v>0</v>
      </c>
      <c r="P36" s="642">
        <f t="shared" si="11"/>
        <v>0</v>
      </c>
      <c r="R36" s="643"/>
    </row>
    <row r="37" spans="1:18" ht="15" customHeight="1" x14ac:dyDescent="0.2">
      <c r="A37" s="635">
        <v>4.5</v>
      </c>
      <c r="B37" s="636"/>
      <c r="C37" s="637">
        <f t="shared" si="10"/>
        <v>0</v>
      </c>
      <c r="D37" s="638"/>
      <c r="E37" s="637">
        <f t="shared" si="0"/>
        <v>0</v>
      </c>
      <c r="F37" s="639"/>
      <c r="G37" s="640">
        <f t="shared" si="1"/>
        <v>9</v>
      </c>
      <c r="H37" s="641">
        <f t="shared" si="2"/>
        <v>0</v>
      </c>
      <c r="I37" s="641">
        <f t="shared" si="3"/>
        <v>0</v>
      </c>
      <c r="J37" s="641">
        <f t="shared" si="4"/>
        <v>0</v>
      </c>
      <c r="K37" s="641">
        <f t="shared" si="5"/>
        <v>0</v>
      </c>
      <c r="L37" s="641">
        <f t="shared" si="6"/>
        <v>0</v>
      </c>
      <c r="M37" s="641">
        <f t="shared" si="7"/>
        <v>0</v>
      </c>
      <c r="N37" s="641">
        <f t="shared" si="8"/>
        <v>0</v>
      </c>
      <c r="O37" s="641">
        <f t="shared" si="9"/>
        <v>0</v>
      </c>
      <c r="P37" s="642">
        <f t="shared" si="11"/>
        <v>0</v>
      </c>
      <c r="R37" s="643"/>
    </row>
    <row r="38" spans="1:18" ht="15" customHeight="1" x14ac:dyDescent="0.2">
      <c r="A38" s="635">
        <v>5</v>
      </c>
      <c r="B38" s="636"/>
      <c r="C38" s="637">
        <f t="shared" si="10"/>
        <v>0</v>
      </c>
      <c r="D38" s="638"/>
      <c r="E38" s="637">
        <f t="shared" si="0"/>
        <v>0</v>
      </c>
      <c r="F38" s="639"/>
      <c r="G38" s="640">
        <f t="shared" si="1"/>
        <v>10</v>
      </c>
      <c r="H38" s="641">
        <f t="shared" si="2"/>
        <v>0</v>
      </c>
      <c r="I38" s="641">
        <f t="shared" si="3"/>
        <v>0</v>
      </c>
      <c r="J38" s="641">
        <f t="shared" si="4"/>
        <v>0</v>
      </c>
      <c r="K38" s="641">
        <f t="shared" si="5"/>
        <v>0</v>
      </c>
      <c r="L38" s="641">
        <f t="shared" si="6"/>
        <v>0</v>
      </c>
      <c r="M38" s="641">
        <f t="shared" si="7"/>
        <v>0</v>
      </c>
      <c r="N38" s="641">
        <f t="shared" si="8"/>
        <v>0</v>
      </c>
      <c r="O38" s="641">
        <f t="shared" si="9"/>
        <v>0</v>
      </c>
      <c r="P38" s="642">
        <f t="shared" si="11"/>
        <v>0</v>
      </c>
      <c r="R38" s="643"/>
    </row>
    <row r="39" spans="1:18" ht="15" customHeight="1" x14ac:dyDescent="0.2">
      <c r="A39" s="635">
        <v>6</v>
      </c>
      <c r="B39" s="636"/>
      <c r="C39" s="637">
        <f t="shared" si="10"/>
        <v>0</v>
      </c>
      <c r="D39" s="638"/>
      <c r="E39" s="637">
        <f t="shared" si="0"/>
        <v>0</v>
      </c>
      <c r="F39" s="639"/>
      <c r="G39" s="640">
        <f t="shared" si="1"/>
        <v>12</v>
      </c>
      <c r="H39" s="641">
        <f t="shared" si="2"/>
        <v>0</v>
      </c>
      <c r="I39" s="641">
        <f t="shared" ref="I39:I64" si="12">B*(E39/60)</f>
        <v>0</v>
      </c>
      <c r="J39" s="641">
        <f t="shared" ref="J39:J64" si="13">C_*(C39/60)</f>
        <v>0</v>
      </c>
      <c r="K39" s="641">
        <f t="shared" ref="K39:K64" si="14">D*(E39/60)</f>
        <v>0</v>
      </c>
      <c r="L39" s="641">
        <f t="shared" ref="L39:L64" si="15">E*(E39/60)</f>
        <v>0</v>
      </c>
      <c r="M39" s="641">
        <f t="shared" ref="M39:M64" si="16">+G39*F_</f>
        <v>0</v>
      </c>
      <c r="N39" s="641">
        <f t="shared" ref="N39:N64" si="17">Mano_Obra_Lavado*(E39/60)</f>
        <v>0</v>
      </c>
      <c r="O39" s="641">
        <f t="shared" ref="O39:O64" si="18">+G39*G</f>
        <v>0</v>
      </c>
      <c r="P39" s="642">
        <f t="shared" si="11"/>
        <v>0</v>
      </c>
      <c r="R39" s="643"/>
    </row>
    <row r="40" spans="1:18" ht="15" customHeight="1" x14ac:dyDescent="0.2">
      <c r="A40" s="635">
        <v>7</v>
      </c>
      <c r="B40" s="636"/>
      <c r="C40" s="637">
        <f t="shared" si="10"/>
        <v>0</v>
      </c>
      <c r="D40" s="638"/>
      <c r="E40" s="637">
        <f t="shared" si="0"/>
        <v>0</v>
      </c>
      <c r="F40" s="639"/>
      <c r="G40" s="640">
        <f t="shared" si="1"/>
        <v>14</v>
      </c>
      <c r="H40" s="641">
        <f t="shared" si="2"/>
        <v>0</v>
      </c>
      <c r="I40" s="641">
        <f t="shared" si="12"/>
        <v>0</v>
      </c>
      <c r="J40" s="641">
        <f t="shared" si="13"/>
        <v>0</v>
      </c>
      <c r="K40" s="641">
        <f t="shared" si="14"/>
        <v>0</v>
      </c>
      <c r="L40" s="641">
        <f t="shared" si="15"/>
        <v>0</v>
      </c>
      <c r="M40" s="641">
        <f t="shared" si="16"/>
        <v>0</v>
      </c>
      <c r="N40" s="641">
        <f t="shared" si="17"/>
        <v>0</v>
      </c>
      <c r="O40" s="641">
        <f t="shared" si="18"/>
        <v>0</v>
      </c>
      <c r="P40" s="642">
        <f t="shared" si="11"/>
        <v>0</v>
      </c>
      <c r="R40" s="643"/>
    </row>
    <row r="41" spans="1:18" ht="15" customHeight="1" x14ac:dyDescent="0.2">
      <c r="A41" s="635">
        <v>8</v>
      </c>
      <c r="B41" s="636"/>
      <c r="C41" s="637">
        <f t="shared" si="10"/>
        <v>0</v>
      </c>
      <c r="D41" s="638"/>
      <c r="E41" s="637">
        <f t="shared" si="0"/>
        <v>0</v>
      </c>
      <c r="F41" s="639"/>
      <c r="G41" s="640">
        <f t="shared" si="1"/>
        <v>16</v>
      </c>
      <c r="H41" s="641">
        <f t="shared" si="2"/>
        <v>0</v>
      </c>
      <c r="I41" s="641">
        <f t="shared" si="12"/>
        <v>0</v>
      </c>
      <c r="J41" s="641">
        <f t="shared" si="13"/>
        <v>0</v>
      </c>
      <c r="K41" s="641">
        <f t="shared" si="14"/>
        <v>0</v>
      </c>
      <c r="L41" s="641">
        <f t="shared" si="15"/>
        <v>0</v>
      </c>
      <c r="M41" s="641">
        <f t="shared" si="16"/>
        <v>0</v>
      </c>
      <c r="N41" s="641">
        <f t="shared" si="17"/>
        <v>0</v>
      </c>
      <c r="O41" s="641">
        <f t="shared" si="18"/>
        <v>0</v>
      </c>
      <c r="P41" s="642">
        <f t="shared" si="11"/>
        <v>0</v>
      </c>
      <c r="R41" s="643"/>
    </row>
    <row r="42" spans="1:18" ht="15" customHeight="1" x14ac:dyDescent="0.2">
      <c r="A42" s="635">
        <v>9</v>
      </c>
      <c r="B42" s="636"/>
      <c r="C42" s="637">
        <f t="shared" si="10"/>
        <v>0</v>
      </c>
      <c r="D42" s="638"/>
      <c r="E42" s="637">
        <f t="shared" si="0"/>
        <v>0</v>
      </c>
      <c r="F42" s="639"/>
      <c r="G42" s="640">
        <f t="shared" si="1"/>
        <v>18</v>
      </c>
      <c r="H42" s="641">
        <f t="shared" si="2"/>
        <v>0</v>
      </c>
      <c r="I42" s="641">
        <f t="shared" si="12"/>
        <v>0</v>
      </c>
      <c r="J42" s="641">
        <f t="shared" si="13"/>
        <v>0</v>
      </c>
      <c r="K42" s="641">
        <f t="shared" si="14"/>
        <v>0</v>
      </c>
      <c r="L42" s="641">
        <f t="shared" si="15"/>
        <v>0</v>
      </c>
      <c r="M42" s="641">
        <f t="shared" si="16"/>
        <v>0</v>
      </c>
      <c r="N42" s="641">
        <f t="shared" si="17"/>
        <v>0</v>
      </c>
      <c r="O42" s="641">
        <f t="shared" si="18"/>
        <v>0</v>
      </c>
      <c r="P42" s="642">
        <f t="shared" si="11"/>
        <v>0</v>
      </c>
      <c r="R42" s="643"/>
    </row>
    <row r="43" spans="1:18" ht="15" customHeight="1" x14ac:dyDescent="0.2">
      <c r="A43" s="635">
        <v>10</v>
      </c>
      <c r="B43" s="636"/>
      <c r="C43" s="637">
        <f t="shared" si="10"/>
        <v>0</v>
      </c>
      <c r="D43" s="638"/>
      <c r="E43" s="637">
        <f t="shared" si="0"/>
        <v>0</v>
      </c>
      <c r="F43" s="639"/>
      <c r="G43" s="640">
        <f t="shared" si="1"/>
        <v>20</v>
      </c>
      <c r="H43" s="641">
        <f t="shared" si="2"/>
        <v>0</v>
      </c>
      <c r="I43" s="641">
        <f t="shared" si="12"/>
        <v>0</v>
      </c>
      <c r="J43" s="641">
        <f t="shared" si="13"/>
        <v>0</v>
      </c>
      <c r="K43" s="641">
        <f t="shared" si="14"/>
        <v>0</v>
      </c>
      <c r="L43" s="641">
        <f t="shared" si="15"/>
        <v>0</v>
      </c>
      <c r="M43" s="641">
        <f t="shared" si="16"/>
        <v>0</v>
      </c>
      <c r="N43" s="641">
        <f t="shared" si="17"/>
        <v>0</v>
      </c>
      <c r="O43" s="641">
        <f t="shared" si="18"/>
        <v>0</v>
      </c>
      <c r="P43" s="642">
        <f t="shared" si="11"/>
        <v>0</v>
      </c>
      <c r="R43" s="643"/>
    </row>
    <row r="44" spans="1:18" ht="15" customHeight="1" x14ac:dyDescent="0.2">
      <c r="A44" s="635">
        <v>12</v>
      </c>
      <c r="B44" s="636"/>
      <c r="C44" s="637">
        <f t="shared" si="10"/>
        <v>0</v>
      </c>
      <c r="D44" s="638"/>
      <c r="E44" s="637">
        <f t="shared" si="0"/>
        <v>0</v>
      </c>
      <c r="F44" s="639"/>
      <c r="G44" s="640">
        <f t="shared" si="1"/>
        <v>24</v>
      </c>
      <c r="H44" s="641">
        <f t="shared" si="2"/>
        <v>0</v>
      </c>
      <c r="I44" s="641">
        <f t="shared" si="12"/>
        <v>0</v>
      </c>
      <c r="J44" s="641">
        <f t="shared" si="13"/>
        <v>0</v>
      </c>
      <c r="K44" s="641">
        <f t="shared" si="14"/>
        <v>0</v>
      </c>
      <c r="L44" s="641">
        <f t="shared" si="15"/>
        <v>0</v>
      </c>
      <c r="M44" s="641">
        <f t="shared" si="16"/>
        <v>0</v>
      </c>
      <c r="N44" s="641">
        <f t="shared" si="17"/>
        <v>0</v>
      </c>
      <c r="O44" s="641">
        <f t="shared" si="18"/>
        <v>0</v>
      </c>
      <c r="P44" s="642">
        <f t="shared" si="11"/>
        <v>0</v>
      </c>
      <c r="R44" s="643"/>
    </row>
    <row r="45" spans="1:18" ht="15" customHeight="1" x14ac:dyDescent="0.2">
      <c r="A45" s="635">
        <v>15</v>
      </c>
      <c r="B45" s="636"/>
      <c r="C45" s="637">
        <f t="shared" si="10"/>
        <v>0</v>
      </c>
      <c r="D45" s="638"/>
      <c r="E45" s="637">
        <f t="shared" si="0"/>
        <v>0</v>
      </c>
      <c r="F45" s="639"/>
      <c r="G45" s="640">
        <f t="shared" si="1"/>
        <v>30</v>
      </c>
      <c r="H45" s="641">
        <f t="shared" si="2"/>
        <v>0</v>
      </c>
      <c r="I45" s="641">
        <f t="shared" si="12"/>
        <v>0</v>
      </c>
      <c r="J45" s="641">
        <f t="shared" si="13"/>
        <v>0</v>
      </c>
      <c r="K45" s="641">
        <f t="shared" si="14"/>
        <v>0</v>
      </c>
      <c r="L45" s="641">
        <f t="shared" si="15"/>
        <v>0</v>
      </c>
      <c r="M45" s="641">
        <f t="shared" si="16"/>
        <v>0</v>
      </c>
      <c r="N45" s="641">
        <f t="shared" si="17"/>
        <v>0</v>
      </c>
      <c r="O45" s="641">
        <f t="shared" si="18"/>
        <v>0</v>
      </c>
      <c r="P45" s="642">
        <f t="shared" si="11"/>
        <v>0</v>
      </c>
      <c r="R45" s="643"/>
    </row>
    <row r="46" spans="1:18" ht="15" customHeight="1" x14ac:dyDescent="0.2">
      <c r="A46" s="635">
        <v>17</v>
      </c>
      <c r="B46" s="636"/>
      <c r="C46" s="637">
        <f t="shared" si="10"/>
        <v>0</v>
      </c>
      <c r="D46" s="638"/>
      <c r="E46" s="637">
        <f t="shared" si="0"/>
        <v>0</v>
      </c>
      <c r="F46" s="639"/>
      <c r="G46" s="640">
        <f t="shared" si="1"/>
        <v>34</v>
      </c>
      <c r="H46" s="641">
        <f t="shared" si="2"/>
        <v>0</v>
      </c>
      <c r="I46" s="641">
        <f t="shared" si="12"/>
        <v>0</v>
      </c>
      <c r="J46" s="641">
        <f t="shared" si="13"/>
        <v>0</v>
      </c>
      <c r="K46" s="641">
        <f t="shared" si="14"/>
        <v>0</v>
      </c>
      <c r="L46" s="641">
        <f t="shared" si="15"/>
        <v>0</v>
      </c>
      <c r="M46" s="641">
        <f t="shared" si="16"/>
        <v>0</v>
      </c>
      <c r="N46" s="641">
        <f t="shared" si="17"/>
        <v>0</v>
      </c>
      <c r="O46" s="641">
        <f t="shared" si="18"/>
        <v>0</v>
      </c>
      <c r="P46" s="642">
        <f t="shared" si="11"/>
        <v>0</v>
      </c>
      <c r="R46" s="643"/>
    </row>
    <row r="47" spans="1:18" ht="15" customHeight="1" x14ac:dyDescent="0.2">
      <c r="A47" s="635">
        <v>19</v>
      </c>
      <c r="B47" s="636"/>
      <c r="C47" s="637">
        <f t="shared" si="10"/>
        <v>0</v>
      </c>
      <c r="D47" s="638"/>
      <c r="E47" s="637">
        <f t="shared" si="0"/>
        <v>0</v>
      </c>
      <c r="F47" s="639"/>
      <c r="G47" s="640">
        <f t="shared" si="1"/>
        <v>38</v>
      </c>
      <c r="H47" s="641">
        <f t="shared" si="2"/>
        <v>0</v>
      </c>
      <c r="I47" s="641">
        <f t="shared" si="12"/>
        <v>0</v>
      </c>
      <c r="J47" s="641">
        <f t="shared" si="13"/>
        <v>0</v>
      </c>
      <c r="K47" s="641">
        <f t="shared" si="14"/>
        <v>0</v>
      </c>
      <c r="L47" s="641">
        <f t="shared" si="15"/>
        <v>0</v>
      </c>
      <c r="M47" s="641">
        <f t="shared" si="16"/>
        <v>0</v>
      </c>
      <c r="N47" s="641">
        <f t="shared" si="17"/>
        <v>0</v>
      </c>
      <c r="O47" s="641">
        <f t="shared" si="18"/>
        <v>0</v>
      </c>
      <c r="P47" s="642">
        <f t="shared" si="11"/>
        <v>0</v>
      </c>
      <c r="R47" s="643"/>
    </row>
    <row r="48" spans="1:18" ht="15" customHeight="1" x14ac:dyDescent="0.2">
      <c r="A48" s="635">
        <v>20</v>
      </c>
      <c r="B48" s="636"/>
      <c r="C48" s="637">
        <f t="shared" si="10"/>
        <v>0</v>
      </c>
      <c r="D48" s="638"/>
      <c r="E48" s="637">
        <f t="shared" si="0"/>
        <v>0</v>
      </c>
      <c r="F48" s="639"/>
      <c r="G48" s="640">
        <f t="shared" si="1"/>
        <v>40</v>
      </c>
      <c r="H48" s="641">
        <f t="shared" si="2"/>
        <v>0</v>
      </c>
      <c r="I48" s="641">
        <f t="shared" si="12"/>
        <v>0</v>
      </c>
      <c r="J48" s="641">
        <f t="shared" si="13"/>
        <v>0</v>
      </c>
      <c r="K48" s="641">
        <f t="shared" si="14"/>
        <v>0</v>
      </c>
      <c r="L48" s="641">
        <f t="shared" si="15"/>
        <v>0</v>
      </c>
      <c r="M48" s="641">
        <f t="shared" si="16"/>
        <v>0</v>
      </c>
      <c r="N48" s="641">
        <f t="shared" si="17"/>
        <v>0</v>
      </c>
      <c r="O48" s="641">
        <f t="shared" si="18"/>
        <v>0</v>
      </c>
      <c r="P48" s="642">
        <f t="shared" si="11"/>
        <v>0</v>
      </c>
      <c r="R48" s="643"/>
    </row>
    <row r="49" spans="1:18" ht="15" customHeight="1" x14ac:dyDescent="0.2">
      <c r="A49" s="635">
        <v>25</v>
      </c>
      <c r="B49" s="636"/>
      <c r="C49" s="637">
        <f t="shared" si="10"/>
        <v>0</v>
      </c>
      <c r="D49" s="638"/>
      <c r="E49" s="637">
        <f t="shared" si="0"/>
        <v>0</v>
      </c>
      <c r="F49" s="639"/>
      <c r="G49" s="640">
        <f t="shared" si="1"/>
        <v>50</v>
      </c>
      <c r="H49" s="641">
        <f t="shared" si="2"/>
        <v>0</v>
      </c>
      <c r="I49" s="641">
        <f t="shared" si="12"/>
        <v>0</v>
      </c>
      <c r="J49" s="641">
        <f t="shared" si="13"/>
        <v>0</v>
      </c>
      <c r="K49" s="641">
        <f t="shared" si="14"/>
        <v>0</v>
      </c>
      <c r="L49" s="641">
        <f t="shared" si="15"/>
        <v>0</v>
      </c>
      <c r="M49" s="641">
        <f t="shared" si="16"/>
        <v>0</v>
      </c>
      <c r="N49" s="641">
        <f t="shared" si="17"/>
        <v>0</v>
      </c>
      <c r="O49" s="641">
        <f t="shared" si="18"/>
        <v>0</v>
      </c>
      <c r="P49" s="642">
        <f t="shared" si="11"/>
        <v>0</v>
      </c>
      <c r="R49" s="643"/>
    </row>
    <row r="50" spans="1:18" ht="15" customHeight="1" x14ac:dyDescent="0.2">
      <c r="A50" s="635">
        <v>30</v>
      </c>
      <c r="B50" s="636"/>
      <c r="C50" s="637">
        <f t="shared" si="10"/>
        <v>0</v>
      </c>
      <c r="D50" s="638"/>
      <c r="E50" s="637">
        <f t="shared" si="0"/>
        <v>0</v>
      </c>
      <c r="F50" s="639"/>
      <c r="G50" s="640">
        <f t="shared" si="1"/>
        <v>60</v>
      </c>
      <c r="H50" s="641">
        <f t="shared" si="2"/>
        <v>0</v>
      </c>
      <c r="I50" s="641">
        <f t="shared" si="12"/>
        <v>0</v>
      </c>
      <c r="J50" s="641">
        <f t="shared" si="13"/>
        <v>0</v>
      </c>
      <c r="K50" s="641">
        <f t="shared" si="14"/>
        <v>0</v>
      </c>
      <c r="L50" s="641">
        <f t="shared" si="15"/>
        <v>0</v>
      </c>
      <c r="M50" s="641">
        <f t="shared" si="16"/>
        <v>0</v>
      </c>
      <c r="N50" s="641">
        <f t="shared" si="17"/>
        <v>0</v>
      </c>
      <c r="O50" s="641">
        <f t="shared" si="18"/>
        <v>0</v>
      </c>
      <c r="P50" s="642">
        <f t="shared" si="11"/>
        <v>0</v>
      </c>
      <c r="R50" s="643"/>
    </row>
    <row r="51" spans="1:18" ht="15" customHeight="1" x14ac:dyDescent="0.2">
      <c r="A51" s="635">
        <v>35</v>
      </c>
      <c r="B51" s="636"/>
      <c r="C51" s="637">
        <f t="shared" si="10"/>
        <v>0</v>
      </c>
      <c r="D51" s="638"/>
      <c r="E51" s="637">
        <f t="shared" si="0"/>
        <v>0</v>
      </c>
      <c r="F51" s="639"/>
      <c r="G51" s="640">
        <f t="shared" si="1"/>
        <v>70</v>
      </c>
      <c r="H51" s="641">
        <f t="shared" si="2"/>
        <v>0</v>
      </c>
      <c r="I51" s="641">
        <f t="shared" si="12"/>
        <v>0</v>
      </c>
      <c r="J51" s="641">
        <f t="shared" si="13"/>
        <v>0</v>
      </c>
      <c r="K51" s="641">
        <f t="shared" si="14"/>
        <v>0</v>
      </c>
      <c r="L51" s="641">
        <f t="shared" si="15"/>
        <v>0</v>
      </c>
      <c r="M51" s="641">
        <f t="shared" si="16"/>
        <v>0</v>
      </c>
      <c r="N51" s="641">
        <f t="shared" si="17"/>
        <v>0</v>
      </c>
      <c r="O51" s="641">
        <f t="shared" si="18"/>
        <v>0</v>
      </c>
      <c r="P51" s="642">
        <f t="shared" si="11"/>
        <v>0</v>
      </c>
      <c r="R51" s="643"/>
    </row>
    <row r="52" spans="1:18" ht="15" customHeight="1" x14ac:dyDescent="0.2">
      <c r="A52" s="635">
        <v>40</v>
      </c>
      <c r="B52" s="636"/>
      <c r="C52" s="637">
        <f t="shared" si="10"/>
        <v>0</v>
      </c>
      <c r="D52" s="638"/>
      <c r="E52" s="637">
        <f t="shared" si="0"/>
        <v>0</v>
      </c>
      <c r="F52" s="639"/>
      <c r="G52" s="640">
        <f t="shared" si="1"/>
        <v>80</v>
      </c>
      <c r="H52" s="641">
        <f t="shared" si="2"/>
        <v>0</v>
      </c>
      <c r="I52" s="641">
        <f t="shared" si="12"/>
        <v>0</v>
      </c>
      <c r="J52" s="641">
        <f t="shared" si="13"/>
        <v>0</v>
      </c>
      <c r="K52" s="641">
        <f t="shared" si="14"/>
        <v>0</v>
      </c>
      <c r="L52" s="641">
        <f t="shared" si="15"/>
        <v>0</v>
      </c>
      <c r="M52" s="641">
        <f t="shared" si="16"/>
        <v>0</v>
      </c>
      <c r="N52" s="641">
        <f t="shared" si="17"/>
        <v>0</v>
      </c>
      <c r="O52" s="641">
        <f t="shared" si="18"/>
        <v>0</v>
      </c>
      <c r="P52" s="642">
        <f t="shared" si="11"/>
        <v>0</v>
      </c>
      <c r="R52" s="643"/>
    </row>
    <row r="53" spans="1:18" ht="15" customHeight="1" x14ac:dyDescent="0.2">
      <c r="A53" s="635">
        <v>45</v>
      </c>
      <c r="B53" s="636"/>
      <c r="C53" s="637">
        <f t="shared" si="10"/>
        <v>0</v>
      </c>
      <c r="D53" s="638"/>
      <c r="E53" s="637">
        <f t="shared" si="0"/>
        <v>0</v>
      </c>
      <c r="F53" s="639"/>
      <c r="G53" s="640">
        <f t="shared" si="1"/>
        <v>90</v>
      </c>
      <c r="H53" s="641">
        <f t="shared" si="2"/>
        <v>0</v>
      </c>
      <c r="I53" s="641">
        <f t="shared" si="12"/>
        <v>0</v>
      </c>
      <c r="J53" s="641">
        <f t="shared" si="13"/>
        <v>0</v>
      </c>
      <c r="K53" s="641">
        <f t="shared" si="14"/>
        <v>0</v>
      </c>
      <c r="L53" s="641">
        <f t="shared" si="15"/>
        <v>0</v>
      </c>
      <c r="M53" s="641">
        <f t="shared" si="16"/>
        <v>0</v>
      </c>
      <c r="N53" s="641">
        <f t="shared" si="17"/>
        <v>0</v>
      </c>
      <c r="O53" s="641">
        <f t="shared" si="18"/>
        <v>0</v>
      </c>
      <c r="P53" s="642">
        <f t="shared" si="11"/>
        <v>0</v>
      </c>
      <c r="R53" s="643"/>
    </row>
    <row r="54" spans="1:18" ht="15" customHeight="1" x14ac:dyDescent="0.2">
      <c r="A54" s="635">
        <v>50</v>
      </c>
      <c r="B54" s="636"/>
      <c r="C54" s="637">
        <f t="shared" si="10"/>
        <v>0</v>
      </c>
      <c r="D54" s="638"/>
      <c r="E54" s="637">
        <f t="shared" si="0"/>
        <v>0</v>
      </c>
      <c r="F54" s="639"/>
      <c r="G54" s="640">
        <f t="shared" si="1"/>
        <v>100</v>
      </c>
      <c r="H54" s="641">
        <f t="shared" si="2"/>
        <v>0</v>
      </c>
      <c r="I54" s="641">
        <f t="shared" si="12"/>
        <v>0</v>
      </c>
      <c r="J54" s="641">
        <f t="shared" si="13"/>
        <v>0</v>
      </c>
      <c r="K54" s="641">
        <f t="shared" si="14"/>
        <v>0</v>
      </c>
      <c r="L54" s="641">
        <f t="shared" si="15"/>
        <v>0</v>
      </c>
      <c r="M54" s="641">
        <f t="shared" si="16"/>
        <v>0</v>
      </c>
      <c r="N54" s="641">
        <f t="shared" si="17"/>
        <v>0</v>
      </c>
      <c r="O54" s="641">
        <f t="shared" si="18"/>
        <v>0</v>
      </c>
      <c r="P54" s="642">
        <f t="shared" si="11"/>
        <v>0</v>
      </c>
      <c r="R54" s="643"/>
    </row>
    <row r="55" spans="1:18" ht="15" customHeight="1" x14ac:dyDescent="0.2">
      <c r="A55" s="635">
        <v>55</v>
      </c>
      <c r="B55" s="636"/>
      <c r="C55" s="637">
        <f t="shared" si="10"/>
        <v>0</v>
      </c>
      <c r="D55" s="638"/>
      <c r="E55" s="637">
        <f t="shared" si="0"/>
        <v>0</v>
      </c>
      <c r="F55" s="639"/>
      <c r="G55" s="640">
        <f t="shared" si="1"/>
        <v>110</v>
      </c>
      <c r="H55" s="641">
        <f t="shared" si="2"/>
        <v>0</v>
      </c>
      <c r="I55" s="641">
        <f t="shared" si="12"/>
        <v>0</v>
      </c>
      <c r="J55" s="641">
        <f t="shared" si="13"/>
        <v>0</v>
      </c>
      <c r="K55" s="641">
        <f t="shared" si="14"/>
        <v>0</v>
      </c>
      <c r="L55" s="641">
        <f t="shared" si="15"/>
        <v>0</v>
      </c>
      <c r="M55" s="641">
        <f t="shared" si="16"/>
        <v>0</v>
      </c>
      <c r="N55" s="641">
        <f t="shared" si="17"/>
        <v>0</v>
      </c>
      <c r="O55" s="641">
        <f t="shared" si="18"/>
        <v>0</v>
      </c>
      <c r="P55" s="642">
        <f t="shared" si="11"/>
        <v>0</v>
      </c>
      <c r="R55" s="643"/>
    </row>
    <row r="56" spans="1:18" ht="15" customHeight="1" x14ac:dyDescent="0.2">
      <c r="A56" s="635">
        <v>60</v>
      </c>
      <c r="B56" s="636"/>
      <c r="C56" s="637">
        <f t="shared" si="10"/>
        <v>0</v>
      </c>
      <c r="D56" s="638"/>
      <c r="E56" s="637">
        <f t="shared" si="0"/>
        <v>0</v>
      </c>
      <c r="F56" s="639"/>
      <c r="G56" s="640">
        <f t="shared" si="1"/>
        <v>120</v>
      </c>
      <c r="H56" s="641">
        <f t="shared" si="2"/>
        <v>0</v>
      </c>
      <c r="I56" s="641">
        <f t="shared" si="12"/>
        <v>0</v>
      </c>
      <c r="J56" s="641">
        <f t="shared" si="13"/>
        <v>0</v>
      </c>
      <c r="K56" s="641">
        <f t="shared" si="14"/>
        <v>0</v>
      </c>
      <c r="L56" s="641">
        <f t="shared" si="15"/>
        <v>0</v>
      </c>
      <c r="M56" s="641">
        <f t="shared" si="16"/>
        <v>0</v>
      </c>
      <c r="N56" s="641">
        <f t="shared" si="17"/>
        <v>0</v>
      </c>
      <c r="O56" s="641">
        <f t="shared" si="18"/>
        <v>0</v>
      </c>
      <c r="P56" s="642">
        <f t="shared" si="11"/>
        <v>0</v>
      </c>
      <c r="R56" s="643"/>
    </row>
    <row r="57" spans="1:18" ht="15" customHeight="1" x14ac:dyDescent="0.2">
      <c r="A57" s="635">
        <v>65</v>
      </c>
      <c r="B57" s="636"/>
      <c r="C57" s="637">
        <f t="shared" si="10"/>
        <v>0</v>
      </c>
      <c r="D57" s="638"/>
      <c r="E57" s="637">
        <f t="shared" si="0"/>
        <v>0</v>
      </c>
      <c r="F57" s="639"/>
      <c r="G57" s="640">
        <f t="shared" si="1"/>
        <v>130</v>
      </c>
      <c r="H57" s="641">
        <f t="shared" si="2"/>
        <v>0</v>
      </c>
      <c r="I57" s="641">
        <f t="shared" si="12"/>
        <v>0</v>
      </c>
      <c r="J57" s="641">
        <f t="shared" si="13"/>
        <v>0</v>
      </c>
      <c r="K57" s="641">
        <f t="shared" si="14"/>
        <v>0</v>
      </c>
      <c r="L57" s="641">
        <f t="shared" si="15"/>
        <v>0</v>
      </c>
      <c r="M57" s="641">
        <f t="shared" si="16"/>
        <v>0</v>
      </c>
      <c r="N57" s="641">
        <f t="shared" si="17"/>
        <v>0</v>
      </c>
      <c r="O57" s="641">
        <f t="shared" si="18"/>
        <v>0</v>
      </c>
      <c r="P57" s="642">
        <f t="shared" si="11"/>
        <v>0</v>
      </c>
      <c r="R57" s="643"/>
    </row>
    <row r="58" spans="1:18" ht="15" customHeight="1" x14ac:dyDescent="0.2">
      <c r="A58" s="635">
        <v>70</v>
      </c>
      <c r="B58" s="636"/>
      <c r="C58" s="637">
        <f t="shared" si="10"/>
        <v>0</v>
      </c>
      <c r="D58" s="638"/>
      <c r="E58" s="637">
        <f t="shared" si="0"/>
        <v>0</v>
      </c>
      <c r="F58" s="639"/>
      <c r="G58" s="640">
        <f t="shared" si="1"/>
        <v>140</v>
      </c>
      <c r="H58" s="641">
        <f t="shared" si="2"/>
        <v>0</v>
      </c>
      <c r="I58" s="641">
        <f t="shared" si="12"/>
        <v>0</v>
      </c>
      <c r="J58" s="641">
        <f t="shared" si="13"/>
        <v>0</v>
      </c>
      <c r="K58" s="641">
        <f t="shared" si="14"/>
        <v>0</v>
      </c>
      <c r="L58" s="641">
        <f t="shared" si="15"/>
        <v>0</v>
      </c>
      <c r="M58" s="641">
        <f t="shared" si="16"/>
        <v>0</v>
      </c>
      <c r="N58" s="641">
        <f t="shared" si="17"/>
        <v>0</v>
      </c>
      <c r="O58" s="641">
        <f t="shared" si="18"/>
        <v>0</v>
      </c>
      <c r="P58" s="642">
        <f t="shared" si="11"/>
        <v>0</v>
      </c>
      <c r="R58" s="643"/>
    </row>
    <row r="59" spans="1:18" ht="15" customHeight="1" x14ac:dyDescent="0.2">
      <c r="A59" s="635">
        <v>75</v>
      </c>
      <c r="B59" s="636"/>
      <c r="C59" s="637">
        <f t="shared" si="10"/>
        <v>0</v>
      </c>
      <c r="D59" s="638"/>
      <c r="E59" s="637">
        <f t="shared" si="0"/>
        <v>0</v>
      </c>
      <c r="F59" s="639"/>
      <c r="G59" s="640">
        <f t="shared" si="1"/>
        <v>150</v>
      </c>
      <c r="H59" s="641">
        <f t="shared" si="2"/>
        <v>0</v>
      </c>
      <c r="I59" s="641">
        <f t="shared" si="12"/>
        <v>0</v>
      </c>
      <c r="J59" s="641">
        <f t="shared" si="13"/>
        <v>0</v>
      </c>
      <c r="K59" s="641">
        <f t="shared" si="14"/>
        <v>0</v>
      </c>
      <c r="L59" s="641">
        <f t="shared" si="15"/>
        <v>0</v>
      </c>
      <c r="M59" s="641">
        <f t="shared" si="16"/>
        <v>0</v>
      </c>
      <c r="N59" s="641">
        <f t="shared" si="17"/>
        <v>0</v>
      </c>
      <c r="O59" s="641">
        <f t="shared" si="18"/>
        <v>0</v>
      </c>
      <c r="P59" s="642">
        <f t="shared" si="11"/>
        <v>0</v>
      </c>
      <c r="R59" s="643"/>
    </row>
    <row r="60" spans="1:18" ht="15" customHeight="1" x14ac:dyDescent="0.2">
      <c r="A60" s="635">
        <v>80</v>
      </c>
      <c r="B60" s="636"/>
      <c r="C60" s="637">
        <f t="shared" si="10"/>
        <v>0</v>
      </c>
      <c r="D60" s="638"/>
      <c r="E60" s="637">
        <f t="shared" si="0"/>
        <v>0</v>
      </c>
      <c r="F60" s="639"/>
      <c r="G60" s="640">
        <f t="shared" si="1"/>
        <v>160</v>
      </c>
      <c r="H60" s="641">
        <f t="shared" si="2"/>
        <v>0</v>
      </c>
      <c r="I60" s="641">
        <f t="shared" si="12"/>
        <v>0</v>
      </c>
      <c r="J60" s="641">
        <f t="shared" si="13"/>
        <v>0</v>
      </c>
      <c r="K60" s="641">
        <f t="shared" si="14"/>
        <v>0</v>
      </c>
      <c r="L60" s="641">
        <f t="shared" si="15"/>
        <v>0</v>
      </c>
      <c r="M60" s="641">
        <f t="shared" si="16"/>
        <v>0</v>
      </c>
      <c r="N60" s="641">
        <f t="shared" si="17"/>
        <v>0</v>
      </c>
      <c r="O60" s="641">
        <f t="shared" si="18"/>
        <v>0</v>
      </c>
      <c r="P60" s="642">
        <f t="shared" si="11"/>
        <v>0</v>
      </c>
      <c r="R60" s="643"/>
    </row>
    <row r="61" spans="1:18" ht="15" customHeight="1" x14ac:dyDescent="0.2">
      <c r="A61" s="635">
        <v>85</v>
      </c>
      <c r="B61" s="636"/>
      <c r="C61" s="637">
        <f t="shared" si="10"/>
        <v>0</v>
      </c>
      <c r="D61" s="638"/>
      <c r="E61" s="637">
        <f t="shared" si="0"/>
        <v>0</v>
      </c>
      <c r="F61" s="639"/>
      <c r="G61" s="640">
        <f t="shared" si="1"/>
        <v>170</v>
      </c>
      <c r="H61" s="641">
        <f t="shared" si="2"/>
        <v>0</v>
      </c>
      <c r="I61" s="641">
        <f t="shared" si="12"/>
        <v>0</v>
      </c>
      <c r="J61" s="641">
        <f t="shared" si="13"/>
        <v>0</v>
      </c>
      <c r="K61" s="641">
        <f t="shared" si="14"/>
        <v>0</v>
      </c>
      <c r="L61" s="641">
        <f t="shared" si="15"/>
        <v>0</v>
      </c>
      <c r="M61" s="641">
        <f t="shared" si="16"/>
        <v>0</v>
      </c>
      <c r="N61" s="641">
        <f t="shared" si="17"/>
        <v>0</v>
      </c>
      <c r="O61" s="641">
        <f t="shared" si="18"/>
        <v>0</v>
      </c>
      <c r="P61" s="642">
        <f t="shared" si="11"/>
        <v>0</v>
      </c>
      <c r="R61" s="643"/>
    </row>
    <row r="62" spans="1:18" ht="15" customHeight="1" x14ac:dyDescent="0.2">
      <c r="A62" s="635">
        <v>90</v>
      </c>
      <c r="B62" s="636"/>
      <c r="C62" s="637">
        <f t="shared" si="10"/>
        <v>0</v>
      </c>
      <c r="D62" s="638"/>
      <c r="E62" s="637">
        <f t="shared" si="0"/>
        <v>0</v>
      </c>
      <c r="F62" s="639"/>
      <c r="G62" s="640">
        <f t="shared" si="1"/>
        <v>180</v>
      </c>
      <c r="H62" s="641">
        <f t="shared" si="2"/>
        <v>0</v>
      </c>
      <c r="I62" s="641">
        <f t="shared" si="12"/>
        <v>0</v>
      </c>
      <c r="J62" s="641">
        <f t="shared" si="13"/>
        <v>0</v>
      </c>
      <c r="K62" s="641">
        <f t="shared" si="14"/>
        <v>0</v>
      </c>
      <c r="L62" s="641">
        <f t="shared" si="15"/>
        <v>0</v>
      </c>
      <c r="M62" s="641">
        <f t="shared" si="16"/>
        <v>0</v>
      </c>
      <c r="N62" s="641">
        <f t="shared" si="17"/>
        <v>0</v>
      </c>
      <c r="O62" s="641">
        <f t="shared" si="18"/>
        <v>0</v>
      </c>
      <c r="P62" s="642">
        <f t="shared" si="11"/>
        <v>0</v>
      </c>
      <c r="R62" s="643"/>
    </row>
    <row r="63" spans="1:18" ht="15" customHeight="1" x14ac:dyDescent="0.2">
      <c r="A63" s="635">
        <v>95</v>
      </c>
      <c r="B63" s="636"/>
      <c r="C63" s="637">
        <f t="shared" si="10"/>
        <v>0</v>
      </c>
      <c r="D63" s="638"/>
      <c r="E63" s="637">
        <f t="shared" si="0"/>
        <v>0</v>
      </c>
      <c r="F63" s="639"/>
      <c r="G63" s="640">
        <f t="shared" si="1"/>
        <v>190</v>
      </c>
      <c r="H63" s="641">
        <f t="shared" si="2"/>
        <v>0</v>
      </c>
      <c r="I63" s="641">
        <f t="shared" si="12"/>
        <v>0</v>
      </c>
      <c r="J63" s="641">
        <f t="shared" si="13"/>
        <v>0</v>
      </c>
      <c r="K63" s="641">
        <f t="shared" si="14"/>
        <v>0</v>
      </c>
      <c r="L63" s="641">
        <f t="shared" si="15"/>
        <v>0</v>
      </c>
      <c r="M63" s="641">
        <f t="shared" si="16"/>
        <v>0</v>
      </c>
      <c r="N63" s="641">
        <f t="shared" si="17"/>
        <v>0</v>
      </c>
      <c r="O63" s="641">
        <f t="shared" si="18"/>
        <v>0</v>
      </c>
      <c r="P63" s="642">
        <f t="shared" si="11"/>
        <v>0</v>
      </c>
      <c r="R63" s="643"/>
    </row>
    <row r="64" spans="1:18" ht="15" customHeight="1" x14ac:dyDescent="0.2">
      <c r="A64" s="635">
        <v>100</v>
      </c>
      <c r="B64" s="636"/>
      <c r="C64" s="637">
        <f t="shared" si="10"/>
        <v>0</v>
      </c>
      <c r="D64" s="638"/>
      <c r="E64" s="637">
        <f t="shared" si="0"/>
        <v>0</v>
      </c>
      <c r="F64" s="639"/>
      <c r="G64" s="640">
        <f t="shared" si="1"/>
        <v>200</v>
      </c>
      <c r="H64" s="641">
        <f t="shared" si="2"/>
        <v>0</v>
      </c>
      <c r="I64" s="641">
        <f t="shared" si="12"/>
        <v>0</v>
      </c>
      <c r="J64" s="641">
        <f t="shared" si="13"/>
        <v>0</v>
      </c>
      <c r="K64" s="641">
        <f t="shared" si="14"/>
        <v>0</v>
      </c>
      <c r="L64" s="641">
        <f t="shared" si="15"/>
        <v>0</v>
      </c>
      <c r="M64" s="641">
        <f t="shared" si="16"/>
        <v>0</v>
      </c>
      <c r="N64" s="641">
        <f t="shared" si="17"/>
        <v>0</v>
      </c>
      <c r="O64" s="641">
        <f t="shared" si="18"/>
        <v>0</v>
      </c>
      <c r="P64" s="642">
        <f t="shared" si="11"/>
        <v>0</v>
      </c>
      <c r="R64" s="643"/>
    </row>
  </sheetData>
  <mergeCells count="50">
    <mergeCell ref="A1:P1"/>
    <mergeCell ref="A2:P2"/>
    <mergeCell ref="A4:E4"/>
    <mergeCell ref="I7:I8"/>
    <mergeCell ref="S7:S8"/>
    <mergeCell ref="G8:H8"/>
    <mergeCell ref="Q8:R8"/>
    <mergeCell ref="I15:I16"/>
    <mergeCell ref="S15:S16"/>
    <mergeCell ref="G16:H16"/>
    <mergeCell ref="Q16:R16"/>
    <mergeCell ref="G20:H20"/>
    <mergeCell ref="P28:P29"/>
    <mergeCell ref="A7:D7"/>
    <mergeCell ref="A8:D8"/>
    <mergeCell ref="A9:D9"/>
    <mergeCell ref="A10:D10"/>
    <mergeCell ref="A11:D11"/>
    <mergeCell ref="F28:F29"/>
    <mergeCell ref="G28:G29"/>
    <mergeCell ref="H28:H29"/>
    <mergeCell ref="I28:I29"/>
    <mergeCell ref="J28:J29"/>
    <mergeCell ref="K28:K29"/>
    <mergeCell ref="A25:G25"/>
    <mergeCell ref="H25:O25"/>
    <mergeCell ref="P25:P27"/>
    <mergeCell ref="H26:H27"/>
    <mergeCell ref="G21:I21"/>
    <mergeCell ref="A18:D18"/>
    <mergeCell ref="A19:D19"/>
    <mergeCell ref="A20:D20"/>
    <mergeCell ref="A21:D21"/>
    <mergeCell ref="A28:A29"/>
    <mergeCell ref="B28:B29"/>
    <mergeCell ref="C28:C29"/>
    <mergeCell ref="D28:D29"/>
    <mergeCell ref="E28:E29"/>
    <mergeCell ref="L28:L29"/>
    <mergeCell ref="M28:M29"/>
    <mergeCell ref="N28:N29"/>
    <mergeCell ref="O28:O29"/>
    <mergeCell ref="I26:I27"/>
    <mergeCell ref="A22:D22"/>
    <mergeCell ref="A12:D12"/>
    <mergeCell ref="A13:D13"/>
    <mergeCell ref="A14:D14"/>
    <mergeCell ref="A15:D15"/>
    <mergeCell ref="A16:D16"/>
    <mergeCell ref="A17:D17"/>
  </mergeCells>
  <printOptions horizontalCentered="1" verticalCentered="1"/>
  <pageMargins left="0.78740157480314965" right="0.78740157480314965" top="0.78740157480314965" bottom="0.59055118110236227" header="0.39370078740157483" footer="0"/>
  <pageSetup paperSize="9" scale="50" fitToWidth="0" fitToHeight="0" orientation="landscape" horizontalDpi="300" verticalDpi="300" r:id="rId1"/>
  <headerFooter alignWithMargins="0">
    <oddHeader>&amp;L&amp;G</oddHeader>
  </headerFooter>
  <drawing r:id="rId2"/>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dimension ref="A1:U65"/>
  <sheetViews>
    <sheetView showZeros="0" topLeftCell="A4" workbookViewId="0">
      <selection activeCell="A23" sqref="A23:E23"/>
    </sheetView>
  </sheetViews>
  <sheetFormatPr baseColWidth="10" defaultRowHeight="15" customHeight="1" x14ac:dyDescent="0.2"/>
  <cols>
    <col min="1" max="1" width="7.7109375" style="609" customWidth="1"/>
    <col min="2" max="4" width="10.7109375" style="609" customWidth="1"/>
    <col min="5" max="5" width="13.85546875" style="609" bestFit="1" customWidth="1"/>
    <col min="6" max="6" width="10.7109375" style="609" customWidth="1"/>
    <col min="7" max="7" width="9.42578125" style="609" customWidth="1"/>
    <col min="8" max="8" width="10.5703125" style="609" customWidth="1"/>
    <col min="9" max="9" width="13.7109375" style="609" customWidth="1"/>
    <col min="10" max="11" width="10.42578125" style="609" customWidth="1"/>
    <col min="12" max="12" width="10.28515625" style="609" customWidth="1"/>
    <col min="13" max="13" width="9.42578125" style="609" customWidth="1"/>
    <col min="14" max="14" width="8.7109375" style="609" customWidth="1"/>
    <col min="15" max="15" width="13.28515625" style="609" bestFit="1" customWidth="1"/>
    <col min="16" max="16" width="10.28515625" style="609" customWidth="1"/>
    <col min="17" max="256" width="11.42578125" style="609"/>
    <col min="257" max="257" width="7" style="609" customWidth="1"/>
    <col min="258" max="258" width="10.7109375" style="609" customWidth="1"/>
    <col min="259" max="259" width="10.5703125" style="609" customWidth="1"/>
    <col min="260" max="260" width="10.7109375" style="609" customWidth="1"/>
    <col min="261" max="261" width="10.28515625" style="609" customWidth="1"/>
    <col min="262" max="262" width="10.7109375" style="609" customWidth="1"/>
    <col min="263" max="263" width="9.42578125" style="609" customWidth="1"/>
    <col min="264" max="264" width="10.5703125" style="609" customWidth="1"/>
    <col min="265" max="265" width="13.7109375" style="609" customWidth="1"/>
    <col min="266" max="267" width="10.42578125" style="609" customWidth="1"/>
    <col min="268" max="268" width="10.28515625" style="609" customWidth="1"/>
    <col min="269" max="269" width="9.42578125" style="609" customWidth="1"/>
    <col min="270" max="270" width="8.7109375" style="609" customWidth="1"/>
    <col min="271" max="271" width="10.42578125" style="609" customWidth="1"/>
    <col min="272" max="272" width="10.28515625" style="609" customWidth="1"/>
    <col min="273" max="512" width="11.42578125" style="609"/>
    <col min="513" max="513" width="7" style="609" customWidth="1"/>
    <col min="514" max="514" width="10.7109375" style="609" customWidth="1"/>
    <col min="515" max="515" width="10.5703125" style="609" customWidth="1"/>
    <col min="516" max="516" width="10.7109375" style="609" customWidth="1"/>
    <col min="517" max="517" width="10.28515625" style="609" customWidth="1"/>
    <col min="518" max="518" width="10.7109375" style="609" customWidth="1"/>
    <col min="519" max="519" width="9.42578125" style="609" customWidth="1"/>
    <col min="520" max="520" width="10.5703125" style="609" customWidth="1"/>
    <col min="521" max="521" width="13.7109375" style="609" customWidth="1"/>
    <col min="522" max="523" width="10.42578125" style="609" customWidth="1"/>
    <col min="524" max="524" width="10.28515625" style="609" customWidth="1"/>
    <col min="525" max="525" width="9.42578125" style="609" customWidth="1"/>
    <col min="526" max="526" width="8.7109375" style="609" customWidth="1"/>
    <col min="527" max="527" width="10.42578125" style="609" customWidth="1"/>
    <col min="528" max="528" width="10.28515625" style="609" customWidth="1"/>
    <col min="529" max="768" width="11.42578125" style="609"/>
    <col min="769" max="769" width="7" style="609" customWidth="1"/>
    <col min="770" max="770" width="10.7109375" style="609" customWidth="1"/>
    <col min="771" max="771" width="10.5703125" style="609" customWidth="1"/>
    <col min="772" max="772" width="10.7109375" style="609" customWidth="1"/>
    <col min="773" max="773" width="10.28515625" style="609" customWidth="1"/>
    <col min="774" max="774" width="10.7109375" style="609" customWidth="1"/>
    <col min="775" max="775" width="9.42578125" style="609" customWidth="1"/>
    <col min="776" max="776" width="10.5703125" style="609" customWidth="1"/>
    <col min="777" max="777" width="13.7109375" style="609" customWidth="1"/>
    <col min="778" max="779" width="10.42578125" style="609" customWidth="1"/>
    <col min="780" max="780" width="10.28515625" style="609" customWidth="1"/>
    <col min="781" max="781" width="9.42578125" style="609" customWidth="1"/>
    <col min="782" max="782" width="8.7109375" style="609" customWidth="1"/>
    <col min="783" max="783" width="10.42578125" style="609" customWidth="1"/>
    <col min="784" max="784" width="10.28515625" style="609" customWidth="1"/>
    <col min="785" max="1024" width="11.42578125" style="609"/>
    <col min="1025" max="1025" width="7" style="609" customWidth="1"/>
    <col min="1026" max="1026" width="10.7109375" style="609" customWidth="1"/>
    <col min="1027" max="1027" width="10.5703125" style="609" customWidth="1"/>
    <col min="1028" max="1028" width="10.7109375" style="609" customWidth="1"/>
    <col min="1029" max="1029" width="10.28515625" style="609" customWidth="1"/>
    <col min="1030" max="1030" width="10.7109375" style="609" customWidth="1"/>
    <col min="1031" max="1031" width="9.42578125" style="609" customWidth="1"/>
    <col min="1032" max="1032" width="10.5703125" style="609" customWidth="1"/>
    <col min="1033" max="1033" width="13.7109375" style="609" customWidth="1"/>
    <col min="1034" max="1035" width="10.42578125" style="609" customWidth="1"/>
    <col min="1036" max="1036" width="10.28515625" style="609" customWidth="1"/>
    <col min="1037" max="1037" width="9.42578125" style="609" customWidth="1"/>
    <col min="1038" max="1038" width="8.7109375" style="609" customWidth="1"/>
    <col min="1039" max="1039" width="10.42578125" style="609" customWidth="1"/>
    <col min="1040" max="1040" width="10.28515625" style="609" customWidth="1"/>
    <col min="1041" max="1280" width="11.42578125" style="609"/>
    <col min="1281" max="1281" width="7" style="609" customWidth="1"/>
    <col min="1282" max="1282" width="10.7109375" style="609" customWidth="1"/>
    <col min="1283" max="1283" width="10.5703125" style="609" customWidth="1"/>
    <col min="1284" max="1284" width="10.7109375" style="609" customWidth="1"/>
    <col min="1285" max="1285" width="10.28515625" style="609" customWidth="1"/>
    <col min="1286" max="1286" width="10.7109375" style="609" customWidth="1"/>
    <col min="1287" max="1287" width="9.42578125" style="609" customWidth="1"/>
    <col min="1288" max="1288" width="10.5703125" style="609" customWidth="1"/>
    <col min="1289" max="1289" width="13.7109375" style="609" customWidth="1"/>
    <col min="1290" max="1291" width="10.42578125" style="609" customWidth="1"/>
    <col min="1292" max="1292" width="10.28515625" style="609" customWidth="1"/>
    <col min="1293" max="1293" width="9.42578125" style="609" customWidth="1"/>
    <col min="1294" max="1294" width="8.7109375" style="609" customWidth="1"/>
    <col min="1295" max="1295" width="10.42578125" style="609" customWidth="1"/>
    <col min="1296" max="1296" width="10.28515625" style="609" customWidth="1"/>
    <col min="1297" max="1536" width="11.42578125" style="609"/>
    <col min="1537" max="1537" width="7" style="609" customWidth="1"/>
    <col min="1538" max="1538" width="10.7109375" style="609" customWidth="1"/>
    <col min="1539" max="1539" width="10.5703125" style="609" customWidth="1"/>
    <col min="1540" max="1540" width="10.7109375" style="609" customWidth="1"/>
    <col min="1541" max="1541" width="10.28515625" style="609" customWidth="1"/>
    <col min="1542" max="1542" width="10.7109375" style="609" customWidth="1"/>
    <col min="1543" max="1543" width="9.42578125" style="609" customWidth="1"/>
    <col min="1544" max="1544" width="10.5703125" style="609" customWidth="1"/>
    <col min="1545" max="1545" width="13.7109375" style="609" customWidth="1"/>
    <col min="1546" max="1547" width="10.42578125" style="609" customWidth="1"/>
    <col min="1548" max="1548" width="10.28515625" style="609" customWidth="1"/>
    <col min="1549" max="1549" width="9.42578125" style="609" customWidth="1"/>
    <col min="1550" max="1550" width="8.7109375" style="609" customWidth="1"/>
    <col min="1551" max="1551" width="10.42578125" style="609" customWidth="1"/>
    <col min="1552" max="1552" width="10.28515625" style="609" customWidth="1"/>
    <col min="1553" max="1792" width="11.42578125" style="609"/>
    <col min="1793" max="1793" width="7" style="609" customWidth="1"/>
    <col min="1794" max="1794" width="10.7109375" style="609" customWidth="1"/>
    <col min="1795" max="1795" width="10.5703125" style="609" customWidth="1"/>
    <col min="1796" max="1796" width="10.7109375" style="609" customWidth="1"/>
    <col min="1797" max="1797" width="10.28515625" style="609" customWidth="1"/>
    <col min="1798" max="1798" width="10.7109375" style="609" customWidth="1"/>
    <col min="1799" max="1799" width="9.42578125" style="609" customWidth="1"/>
    <col min="1800" max="1800" width="10.5703125" style="609" customWidth="1"/>
    <col min="1801" max="1801" width="13.7109375" style="609" customWidth="1"/>
    <col min="1802" max="1803" width="10.42578125" style="609" customWidth="1"/>
    <col min="1804" max="1804" width="10.28515625" style="609" customWidth="1"/>
    <col min="1805" max="1805" width="9.42578125" style="609" customWidth="1"/>
    <col min="1806" max="1806" width="8.7109375" style="609" customWidth="1"/>
    <col min="1807" max="1807" width="10.42578125" style="609" customWidth="1"/>
    <col min="1808" max="1808" width="10.28515625" style="609" customWidth="1"/>
    <col min="1809" max="2048" width="11.42578125" style="609"/>
    <col min="2049" max="2049" width="7" style="609" customWidth="1"/>
    <col min="2050" max="2050" width="10.7109375" style="609" customWidth="1"/>
    <col min="2051" max="2051" width="10.5703125" style="609" customWidth="1"/>
    <col min="2052" max="2052" width="10.7109375" style="609" customWidth="1"/>
    <col min="2053" max="2053" width="10.28515625" style="609" customWidth="1"/>
    <col min="2054" max="2054" width="10.7109375" style="609" customWidth="1"/>
    <col min="2055" max="2055" width="9.42578125" style="609" customWidth="1"/>
    <col min="2056" max="2056" width="10.5703125" style="609" customWidth="1"/>
    <col min="2057" max="2057" width="13.7109375" style="609" customWidth="1"/>
    <col min="2058" max="2059" width="10.42578125" style="609" customWidth="1"/>
    <col min="2060" max="2060" width="10.28515625" style="609" customWidth="1"/>
    <col min="2061" max="2061" width="9.42578125" style="609" customWidth="1"/>
    <col min="2062" max="2062" width="8.7109375" style="609" customWidth="1"/>
    <col min="2063" max="2063" width="10.42578125" style="609" customWidth="1"/>
    <col min="2064" max="2064" width="10.28515625" style="609" customWidth="1"/>
    <col min="2065" max="2304" width="11.42578125" style="609"/>
    <col min="2305" max="2305" width="7" style="609" customWidth="1"/>
    <col min="2306" max="2306" width="10.7109375" style="609" customWidth="1"/>
    <col min="2307" max="2307" width="10.5703125" style="609" customWidth="1"/>
    <col min="2308" max="2308" width="10.7109375" style="609" customWidth="1"/>
    <col min="2309" max="2309" width="10.28515625" style="609" customWidth="1"/>
    <col min="2310" max="2310" width="10.7109375" style="609" customWidth="1"/>
    <col min="2311" max="2311" width="9.42578125" style="609" customWidth="1"/>
    <col min="2312" max="2312" width="10.5703125" style="609" customWidth="1"/>
    <col min="2313" max="2313" width="13.7109375" style="609" customWidth="1"/>
    <col min="2314" max="2315" width="10.42578125" style="609" customWidth="1"/>
    <col min="2316" max="2316" width="10.28515625" style="609" customWidth="1"/>
    <col min="2317" max="2317" width="9.42578125" style="609" customWidth="1"/>
    <col min="2318" max="2318" width="8.7109375" style="609" customWidth="1"/>
    <col min="2319" max="2319" width="10.42578125" style="609" customWidth="1"/>
    <col min="2320" max="2320" width="10.28515625" style="609" customWidth="1"/>
    <col min="2321" max="2560" width="11.42578125" style="609"/>
    <col min="2561" max="2561" width="7" style="609" customWidth="1"/>
    <col min="2562" max="2562" width="10.7109375" style="609" customWidth="1"/>
    <col min="2563" max="2563" width="10.5703125" style="609" customWidth="1"/>
    <col min="2564" max="2564" width="10.7109375" style="609" customWidth="1"/>
    <col min="2565" max="2565" width="10.28515625" style="609" customWidth="1"/>
    <col min="2566" max="2566" width="10.7109375" style="609" customWidth="1"/>
    <col min="2567" max="2567" width="9.42578125" style="609" customWidth="1"/>
    <col min="2568" max="2568" width="10.5703125" style="609" customWidth="1"/>
    <col min="2569" max="2569" width="13.7109375" style="609" customWidth="1"/>
    <col min="2570" max="2571" width="10.42578125" style="609" customWidth="1"/>
    <col min="2572" max="2572" width="10.28515625" style="609" customWidth="1"/>
    <col min="2573" max="2573" width="9.42578125" style="609" customWidth="1"/>
    <col min="2574" max="2574" width="8.7109375" style="609" customWidth="1"/>
    <col min="2575" max="2575" width="10.42578125" style="609" customWidth="1"/>
    <col min="2576" max="2576" width="10.28515625" style="609" customWidth="1"/>
    <col min="2577" max="2816" width="11.42578125" style="609"/>
    <col min="2817" max="2817" width="7" style="609" customWidth="1"/>
    <col min="2818" max="2818" width="10.7109375" style="609" customWidth="1"/>
    <col min="2819" max="2819" width="10.5703125" style="609" customWidth="1"/>
    <col min="2820" max="2820" width="10.7109375" style="609" customWidth="1"/>
    <col min="2821" max="2821" width="10.28515625" style="609" customWidth="1"/>
    <col min="2822" max="2822" width="10.7109375" style="609" customWidth="1"/>
    <col min="2823" max="2823" width="9.42578125" style="609" customWidth="1"/>
    <col min="2824" max="2824" width="10.5703125" style="609" customWidth="1"/>
    <col min="2825" max="2825" width="13.7109375" style="609" customWidth="1"/>
    <col min="2826" max="2827" width="10.42578125" style="609" customWidth="1"/>
    <col min="2828" max="2828" width="10.28515625" style="609" customWidth="1"/>
    <col min="2829" max="2829" width="9.42578125" style="609" customWidth="1"/>
    <col min="2830" max="2830" width="8.7109375" style="609" customWidth="1"/>
    <col min="2831" max="2831" width="10.42578125" style="609" customWidth="1"/>
    <col min="2832" max="2832" width="10.28515625" style="609" customWidth="1"/>
    <col min="2833" max="3072" width="11.42578125" style="609"/>
    <col min="3073" max="3073" width="7" style="609" customWidth="1"/>
    <col min="3074" max="3074" width="10.7109375" style="609" customWidth="1"/>
    <col min="3075" max="3075" width="10.5703125" style="609" customWidth="1"/>
    <col min="3076" max="3076" width="10.7109375" style="609" customWidth="1"/>
    <col min="3077" max="3077" width="10.28515625" style="609" customWidth="1"/>
    <col min="3078" max="3078" width="10.7109375" style="609" customWidth="1"/>
    <col min="3079" max="3079" width="9.42578125" style="609" customWidth="1"/>
    <col min="3080" max="3080" width="10.5703125" style="609" customWidth="1"/>
    <col min="3081" max="3081" width="13.7109375" style="609" customWidth="1"/>
    <col min="3082" max="3083" width="10.42578125" style="609" customWidth="1"/>
    <col min="3084" max="3084" width="10.28515625" style="609" customWidth="1"/>
    <col min="3085" max="3085" width="9.42578125" style="609" customWidth="1"/>
    <col min="3086" max="3086" width="8.7109375" style="609" customWidth="1"/>
    <col min="3087" max="3087" width="10.42578125" style="609" customWidth="1"/>
    <col min="3088" max="3088" width="10.28515625" style="609" customWidth="1"/>
    <col min="3089" max="3328" width="11.42578125" style="609"/>
    <col min="3329" max="3329" width="7" style="609" customWidth="1"/>
    <col min="3330" max="3330" width="10.7109375" style="609" customWidth="1"/>
    <col min="3331" max="3331" width="10.5703125" style="609" customWidth="1"/>
    <col min="3332" max="3332" width="10.7109375" style="609" customWidth="1"/>
    <col min="3333" max="3333" width="10.28515625" style="609" customWidth="1"/>
    <col min="3334" max="3334" width="10.7109375" style="609" customWidth="1"/>
    <col min="3335" max="3335" width="9.42578125" style="609" customWidth="1"/>
    <col min="3336" max="3336" width="10.5703125" style="609" customWidth="1"/>
    <col min="3337" max="3337" width="13.7109375" style="609" customWidth="1"/>
    <col min="3338" max="3339" width="10.42578125" style="609" customWidth="1"/>
    <col min="3340" max="3340" width="10.28515625" style="609" customWidth="1"/>
    <col min="3341" max="3341" width="9.42578125" style="609" customWidth="1"/>
    <col min="3342" max="3342" width="8.7109375" style="609" customWidth="1"/>
    <col min="3343" max="3343" width="10.42578125" style="609" customWidth="1"/>
    <col min="3344" max="3344" width="10.28515625" style="609" customWidth="1"/>
    <col min="3345" max="3584" width="11.42578125" style="609"/>
    <col min="3585" max="3585" width="7" style="609" customWidth="1"/>
    <col min="3586" max="3586" width="10.7109375" style="609" customWidth="1"/>
    <col min="3587" max="3587" width="10.5703125" style="609" customWidth="1"/>
    <col min="3588" max="3588" width="10.7109375" style="609" customWidth="1"/>
    <col min="3589" max="3589" width="10.28515625" style="609" customWidth="1"/>
    <col min="3590" max="3590" width="10.7109375" style="609" customWidth="1"/>
    <col min="3591" max="3591" width="9.42578125" style="609" customWidth="1"/>
    <col min="3592" max="3592" width="10.5703125" style="609" customWidth="1"/>
    <col min="3593" max="3593" width="13.7109375" style="609" customWidth="1"/>
    <col min="3594" max="3595" width="10.42578125" style="609" customWidth="1"/>
    <col min="3596" max="3596" width="10.28515625" style="609" customWidth="1"/>
    <col min="3597" max="3597" width="9.42578125" style="609" customWidth="1"/>
    <col min="3598" max="3598" width="8.7109375" style="609" customWidth="1"/>
    <col min="3599" max="3599" width="10.42578125" style="609" customWidth="1"/>
    <col min="3600" max="3600" width="10.28515625" style="609" customWidth="1"/>
    <col min="3601" max="3840" width="11.42578125" style="609"/>
    <col min="3841" max="3841" width="7" style="609" customWidth="1"/>
    <col min="3842" max="3842" width="10.7109375" style="609" customWidth="1"/>
    <col min="3843" max="3843" width="10.5703125" style="609" customWidth="1"/>
    <col min="3844" max="3844" width="10.7109375" style="609" customWidth="1"/>
    <col min="3845" max="3845" width="10.28515625" style="609" customWidth="1"/>
    <col min="3846" max="3846" width="10.7109375" style="609" customWidth="1"/>
    <col min="3847" max="3847" width="9.42578125" style="609" customWidth="1"/>
    <col min="3848" max="3848" width="10.5703125" style="609" customWidth="1"/>
    <col min="3849" max="3849" width="13.7109375" style="609" customWidth="1"/>
    <col min="3850" max="3851" width="10.42578125" style="609" customWidth="1"/>
    <col min="3852" max="3852" width="10.28515625" style="609" customWidth="1"/>
    <col min="3853" max="3853" width="9.42578125" style="609" customWidth="1"/>
    <col min="3854" max="3854" width="8.7109375" style="609" customWidth="1"/>
    <col min="3855" max="3855" width="10.42578125" style="609" customWidth="1"/>
    <col min="3856" max="3856" width="10.28515625" style="609" customWidth="1"/>
    <col min="3857" max="4096" width="11.42578125" style="609"/>
    <col min="4097" max="4097" width="7" style="609" customWidth="1"/>
    <col min="4098" max="4098" width="10.7109375" style="609" customWidth="1"/>
    <col min="4099" max="4099" width="10.5703125" style="609" customWidth="1"/>
    <col min="4100" max="4100" width="10.7109375" style="609" customWidth="1"/>
    <col min="4101" max="4101" width="10.28515625" style="609" customWidth="1"/>
    <col min="4102" max="4102" width="10.7109375" style="609" customWidth="1"/>
    <col min="4103" max="4103" width="9.42578125" style="609" customWidth="1"/>
    <col min="4104" max="4104" width="10.5703125" style="609" customWidth="1"/>
    <col min="4105" max="4105" width="13.7109375" style="609" customWidth="1"/>
    <col min="4106" max="4107" width="10.42578125" style="609" customWidth="1"/>
    <col min="4108" max="4108" width="10.28515625" style="609" customWidth="1"/>
    <col min="4109" max="4109" width="9.42578125" style="609" customWidth="1"/>
    <col min="4110" max="4110" width="8.7109375" style="609" customWidth="1"/>
    <col min="4111" max="4111" width="10.42578125" style="609" customWidth="1"/>
    <col min="4112" max="4112" width="10.28515625" style="609" customWidth="1"/>
    <col min="4113" max="4352" width="11.42578125" style="609"/>
    <col min="4353" max="4353" width="7" style="609" customWidth="1"/>
    <col min="4354" max="4354" width="10.7109375" style="609" customWidth="1"/>
    <col min="4355" max="4355" width="10.5703125" style="609" customWidth="1"/>
    <col min="4356" max="4356" width="10.7109375" style="609" customWidth="1"/>
    <col min="4357" max="4357" width="10.28515625" style="609" customWidth="1"/>
    <col min="4358" max="4358" width="10.7109375" style="609" customWidth="1"/>
    <col min="4359" max="4359" width="9.42578125" style="609" customWidth="1"/>
    <col min="4360" max="4360" width="10.5703125" style="609" customWidth="1"/>
    <col min="4361" max="4361" width="13.7109375" style="609" customWidth="1"/>
    <col min="4362" max="4363" width="10.42578125" style="609" customWidth="1"/>
    <col min="4364" max="4364" width="10.28515625" style="609" customWidth="1"/>
    <col min="4365" max="4365" width="9.42578125" style="609" customWidth="1"/>
    <col min="4366" max="4366" width="8.7109375" style="609" customWidth="1"/>
    <col min="4367" max="4367" width="10.42578125" style="609" customWidth="1"/>
    <col min="4368" max="4368" width="10.28515625" style="609" customWidth="1"/>
    <col min="4369" max="4608" width="11.42578125" style="609"/>
    <col min="4609" max="4609" width="7" style="609" customWidth="1"/>
    <col min="4610" max="4610" width="10.7109375" style="609" customWidth="1"/>
    <col min="4611" max="4611" width="10.5703125" style="609" customWidth="1"/>
    <col min="4612" max="4612" width="10.7109375" style="609" customWidth="1"/>
    <col min="4613" max="4613" width="10.28515625" style="609" customWidth="1"/>
    <col min="4614" max="4614" width="10.7109375" style="609" customWidth="1"/>
    <col min="4615" max="4615" width="9.42578125" style="609" customWidth="1"/>
    <col min="4616" max="4616" width="10.5703125" style="609" customWidth="1"/>
    <col min="4617" max="4617" width="13.7109375" style="609" customWidth="1"/>
    <col min="4618" max="4619" width="10.42578125" style="609" customWidth="1"/>
    <col min="4620" max="4620" width="10.28515625" style="609" customWidth="1"/>
    <col min="4621" max="4621" width="9.42578125" style="609" customWidth="1"/>
    <col min="4622" max="4622" width="8.7109375" style="609" customWidth="1"/>
    <col min="4623" max="4623" width="10.42578125" style="609" customWidth="1"/>
    <col min="4624" max="4624" width="10.28515625" style="609" customWidth="1"/>
    <col min="4625" max="4864" width="11.42578125" style="609"/>
    <col min="4865" max="4865" width="7" style="609" customWidth="1"/>
    <col min="4866" max="4866" width="10.7109375" style="609" customWidth="1"/>
    <col min="4867" max="4867" width="10.5703125" style="609" customWidth="1"/>
    <col min="4868" max="4868" width="10.7109375" style="609" customWidth="1"/>
    <col min="4869" max="4869" width="10.28515625" style="609" customWidth="1"/>
    <col min="4870" max="4870" width="10.7109375" style="609" customWidth="1"/>
    <col min="4871" max="4871" width="9.42578125" style="609" customWidth="1"/>
    <col min="4872" max="4872" width="10.5703125" style="609" customWidth="1"/>
    <col min="4873" max="4873" width="13.7109375" style="609" customWidth="1"/>
    <col min="4874" max="4875" width="10.42578125" style="609" customWidth="1"/>
    <col min="4876" max="4876" width="10.28515625" style="609" customWidth="1"/>
    <col min="4877" max="4877" width="9.42578125" style="609" customWidth="1"/>
    <col min="4878" max="4878" width="8.7109375" style="609" customWidth="1"/>
    <col min="4879" max="4879" width="10.42578125" style="609" customWidth="1"/>
    <col min="4880" max="4880" width="10.28515625" style="609" customWidth="1"/>
    <col min="4881" max="5120" width="11.42578125" style="609"/>
    <col min="5121" max="5121" width="7" style="609" customWidth="1"/>
    <col min="5122" max="5122" width="10.7109375" style="609" customWidth="1"/>
    <col min="5123" max="5123" width="10.5703125" style="609" customWidth="1"/>
    <col min="5124" max="5124" width="10.7109375" style="609" customWidth="1"/>
    <col min="5125" max="5125" width="10.28515625" style="609" customWidth="1"/>
    <col min="5126" max="5126" width="10.7109375" style="609" customWidth="1"/>
    <col min="5127" max="5127" width="9.42578125" style="609" customWidth="1"/>
    <col min="5128" max="5128" width="10.5703125" style="609" customWidth="1"/>
    <col min="5129" max="5129" width="13.7109375" style="609" customWidth="1"/>
    <col min="5130" max="5131" width="10.42578125" style="609" customWidth="1"/>
    <col min="5132" max="5132" width="10.28515625" style="609" customWidth="1"/>
    <col min="5133" max="5133" width="9.42578125" style="609" customWidth="1"/>
    <col min="5134" max="5134" width="8.7109375" style="609" customWidth="1"/>
    <col min="5135" max="5135" width="10.42578125" style="609" customWidth="1"/>
    <col min="5136" max="5136" width="10.28515625" style="609" customWidth="1"/>
    <col min="5137" max="5376" width="11.42578125" style="609"/>
    <col min="5377" max="5377" width="7" style="609" customWidth="1"/>
    <col min="5378" max="5378" width="10.7109375" style="609" customWidth="1"/>
    <col min="5379" max="5379" width="10.5703125" style="609" customWidth="1"/>
    <col min="5380" max="5380" width="10.7109375" style="609" customWidth="1"/>
    <col min="5381" max="5381" width="10.28515625" style="609" customWidth="1"/>
    <col min="5382" max="5382" width="10.7109375" style="609" customWidth="1"/>
    <col min="5383" max="5383" width="9.42578125" style="609" customWidth="1"/>
    <col min="5384" max="5384" width="10.5703125" style="609" customWidth="1"/>
    <col min="5385" max="5385" width="13.7109375" style="609" customWidth="1"/>
    <col min="5386" max="5387" width="10.42578125" style="609" customWidth="1"/>
    <col min="5388" max="5388" width="10.28515625" style="609" customWidth="1"/>
    <col min="5389" max="5389" width="9.42578125" style="609" customWidth="1"/>
    <col min="5390" max="5390" width="8.7109375" style="609" customWidth="1"/>
    <col min="5391" max="5391" width="10.42578125" style="609" customWidth="1"/>
    <col min="5392" max="5392" width="10.28515625" style="609" customWidth="1"/>
    <col min="5393" max="5632" width="11.42578125" style="609"/>
    <col min="5633" max="5633" width="7" style="609" customWidth="1"/>
    <col min="5634" max="5634" width="10.7109375" style="609" customWidth="1"/>
    <col min="5635" max="5635" width="10.5703125" style="609" customWidth="1"/>
    <col min="5636" max="5636" width="10.7109375" style="609" customWidth="1"/>
    <col min="5637" max="5637" width="10.28515625" style="609" customWidth="1"/>
    <col min="5638" max="5638" width="10.7109375" style="609" customWidth="1"/>
    <col min="5639" max="5639" width="9.42578125" style="609" customWidth="1"/>
    <col min="5640" max="5640" width="10.5703125" style="609" customWidth="1"/>
    <col min="5641" max="5641" width="13.7109375" style="609" customWidth="1"/>
    <col min="5642" max="5643" width="10.42578125" style="609" customWidth="1"/>
    <col min="5644" max="5644" width="10.28515625" style="609" customWidth="1"/>
    <col min="5645" max="5645" width="9.42578125" style="609" customWidth="1"/>
    <col min="5646" max="5646" width="8.7109375" style="609" customWidth="1"/>
    <col min="5647" max="5647" width="10.42578125" style="609" customWidth="1"/>
    <col min="5648" max="5648" width="10.28515625" style="609" customWidth="1"/>
    <col min="5649" max="5888" width="11.42578125" style="609"/>
    <col min="5889" max="5889" width="7" style="609" customWidth="1"/>
    <col min="5890" max="5890" width="10.7109375" style="609" customWidth="1"/>
    <col min="5891" max="5891" width="10.5703125" style="609" customWidth="1"/>
    <col min="5892" max="5892" width="10.7109375" style="609" customWidth="1"/>
    <col min="5893" max="5893" width="10.28515625" style="609" customWidth="1"/>
    <col min="5894" max="5894" width="10.7109375" style="609" customWidth="1"/>
    <col min="5895" max="5895" width="9.42578125" style="609" customWidth="1"/>
    <col min="5896" max="5896" width="10.5703125" style="609" customWidth="1"/>
    <col min="5897" max="5897" width="13.7109375" style="609" customWidth="1"/>
    <col min="5898" max="5899" width="10.42578125" style="609" customWidth="1"/>
    <col min="5900" max="5900" width="10.28515625" style="609" customWidth="1"/>
    <col min="5901" max="5901" width="9.42578125" style="609" customWidth="1"/>
    <col min="5902" max="5902" width="8.7109375" style="609" customWidth="1"/>
    <col min="5903" max="5903" width="10.42578125" style="609" customWidth="1"/>
    <col min="5904" max="5904" width="10.28515625" style="609" customWidth="1"/>
    <col min="5905" max="6144" width="11.42578125" style="609"/>
    <col min="6145" max="6145" width="7" style="609" customWidth="1"/>
    <col min="6146" max="6146" width="10.7109375" style="609" customWidth="1"/>
    <col min="6147" max="6147" width="10.5703125" style="609" customWidth="1"/>
    <col min="6148" max="6148" width="10.7109375" style="609" customWidth="1"/>
    <col min="6149" max="6149" width="10.28515625" style="609" customWidth="1"/>
    <col min="6150" max="6150" width="10.7109375" style="609" customWidth="1"/>
    <col min="6151" max="6151" width="9.42578125" style="609" customWidth="1"/>
    <col min="6152" max="6152" width="10.5703125" style="609" customWidth="1"/>
    <col min="6153" max="6153" width="13.7109375" style="609" customWidth="1"/>
    <col min="6154" max="6155" width="10.42578125" style="609" customWidth="1"/>
    <col min="6156" max="6156" width="10.28515625" style="609" customWidth="1"/>
    <col min="6157" max="6157" width="9.42578125" style="609" customWidth="1"/>
    <col min="6158" max="6158" width="8.7109375" style="609" customWidth="1"/>
    <col min="6159" max="6159" width="10.42578125" style="609" customWidth="1"/>
    <col min="6160" max="6160" width="10.28515625" style="609" customWidth="1"/>
    <col min="6161" max="6400" width="11.42578125" style="609"/>
    <col min="6401" max="6401" width="7" style="609" customWidth="1"/>
    <col min="6402" max="6402" width="10.7109375" style="609" customWidth="1"/>
    <col min="6403" max="6403" width="10.5703125" style="609" customWidth="1"/>
    <col min="6404" max="6404" width="10.7109375" style="609" customWidth="1"/>
    <col min="6405" max="6405" width="10.28515625" style="609" customWidth="1"/>
    <col min="6406" max="6406" width="10.7109375" style="609" customWidth="1"/>
    <col min="6407" max="6407" width="9.42578125" style="609" customWidth="1"/>
    <col min="6408" max="6408" width="10.5703125" style="609" customWidth="1"/>
    <col min="6409" max="6409" width="13.7109375" style="609" customWidth="1"/>
    <col min="6410" max="6411" width="10.42578125" style="609" customWidth="1"/>
    <col min="6412" max="6412" width="10.28515625" style="609" customWidth="1"/>
    <col min="6413" max="6413" width="9.42578125" style="609" customWidth="1"/>
    <col min="6414" max="6414" width="8.7109375" style="609" customWidth="1"/>
    <col min="6415" max="6415" width="10.42578125" style="609" customWidth="1"/>
    <col min="6416" max="6416" width="10.28515625" style="609" customWidth="1"/>
    <col min="6417" max="6656" width="11.42578125" style="609"/>
    <col min="6657" max="6657" width="7" style="609" customWidth="1"/>
    <col min="6658" max="6658" width="10.7109375" style="609" customWidth="1"/>
    <col min="6659" max="6659" width="10.5703125" style="609" customWidth="1"/>
    <col min="6660" max="6660" width="10.7109375" style="609" customWidth="1"/>
    <col min="6661" max="6661" width="10.28515625" style="609" customWidth="1"/>
    <col min="6662" max="6662" width="10.7109375" style="609" customWidth="1"/>
    <col min="6663" max="6663" width="9.42578125" style="609" customWidth="1"/>
    <col min="6664" max="6664" width="10.5703125" style="609" customWidth="1"/>
    <col min="6665" max="6665" width="13.7109375" style="609" customWidth="1"/>
    <col min="6666" max="6667" width="10.42578125" style="609" customWidth="1"/>
    <col min="6668" max="6668" width="10.28515625" style="609" customWidth="1"/>
    <col min="6669" max="6669" width="9.42578125" style="609" customWidth="1"/>
    <col min="6670" max="6670" width="8.7109375" style="609" customWidth="1"/>
    <col min="6671" max="6671" width="10.42578125" style="609" customWidth="1"/>
    <col min="6672" max="6672" width="10.28515625" style="609" customWidth="1"/>
    <col min="6673" max="6912" width="11.42578125" style="609"/>
    <col min="6913" max="6913" width="7" style="609" customWidth="1"/>
    <col min="6914" max="6914" width="10.7109375" style="609" customWidth="1"/>
    <col min="6915" max="6915" width="10.5703125" style="609" customWidth="1"/>
    <col min="6916" max="6916" width="10.7109375" style="609" customWidth="1"/>
    <col min="6917" max="6917" width="10.28515625" style="609" customWidth="1"/>
    <col min="6918" max="6918" width="10.7109375" style="609" customWidth="1"/>
    <col min="6919" max="6919" width="9.42578125" style="609" customWidth="1"/>
    <col min="6920" max="6920" width="10.5703125" style="609" customWidth="1"/>
    <col min="6921" max="6921" width="13.7109375" style="609" customWidth="1"/>
    <col min="6922" max="6923" width="10.42578125" style="609" customWidth="1"/>
    <col min="6924" max="6924" width="10.28515625" style="609" customWidth="1"/>
    <col min="6925" max="6925" width="9.42578125" style="609" customWidth="1"/>
    <col min="6926" max="6926" width="8.7109375" style="609" customWidth="1"/>
    <col min="6927" max="6927" width="10.42578125" style="609" customWidth="1"/>
    <col min="6928" max="6928" width="10.28515625" style="609" customWidth="1"/>
    <col min="6929" max="7168" width="11.42578125" style="609"/>
    <col min="7169" max="7169" width="7" style="609" customWidth="1"/>
    <col min="7170" max="7170" width="10.7109375" style="609" customWidth="1"/>
    <col min="7171" max="7171" width="10.5703125" style="609" customWidth="1"/>
    <col min="7172" max="7172" width="10.7109375" style="609" customWidth="1"/>
    <col min="7173" max="7173" width="10.28515625" style="609" customWidth="1"/>
    <col min="7174" max="7174" width="10.7109375" style="609" customWidth="1"/>
    <col min="7175" max="7175" width="9.42578125" style="609" customWidth="1"/>
    <col min="7176" max="7176" width="10.5703125" style="609" customWidth="1"/>
    <col min="7177" max="7177" width="13.7109375" style="609" customWidth="1"/>
    <col min="7178" max="7179" width="10.42578125" style="609" customWidth="1"/>
    <col min="7180" max="7180" width="10.28515625" style="609" customWidth="1"/>
    <col min="7181" max="7181" width="9.42578125" style="609" customWidth="1"/>
    <col min="7182" max="7182" width="8.7109375" style="609" customWidth="1"/>
    <col min="7183" max="7183" width="10.42578125" style="609" customWidth="1"/>
    <col min="7184" max="7184" width="10.28515625" style="609" customWidth="1"/>
    <col min="7185" max="7424" width="11.42578125" style="609"/>
    <col min="7425" max="7425" width="7" style="609" customWidth="1"/>
    <col min="7426" max="7426" width="10.7109375" style="609" customWidth="1"/>
    <col min="7427" max="7427" width="10.5703125" style="609" customWidth="1"/>
    <col min="7428" max="7428" width="10.7109375" style="609" customWidth="1"/>
    <col min="7429" max="7429" width="10.28515625" style="609" customWidth="1"/>
    <col min="7430" max="7430" width="10.7109375" style="609" customWidth="1"/>
    <col min="7431" max="7431" width="9.42578125" style="609" customWidth="1"/>
    <col min="7432" max="7432" width="10.5703125" style="609" customWidth="1"/>
    <col min="7433" max="7433" width="13.7109375" style="609" customWidth="1"/>
    <col min="7434" max="7435" width="10.42578125" style="609" customWidth="1"/>
    <col min="7436" max="7436" width="10.28515625" style="609" customWidth="1"/>
    <col min="7437" max="7437" width="9.42578125" style="609" customWidth="1"/>
    <col min="7438" max="7438" width="8.7109375" style="609" customWidth="1"/>
    <col min="7439" max="7439" width="10.42578125" style="609" customWidth="1"/>
    <col min="7440" max="7440" width="10.28515625" style="609" customWidth="1"/>
    <col min="7441" max="7680" width="11.42578125" style="609"/>
    <col min="7681" max="7681" width="7" style="609" customWidth="1"/>
    <col min="7682" max="7682" width="10.7109375" style="609" customWidth="1"/>
    <col min="7683" max="7683" width="10.5703125" style="609" customWidth="1"/>
    <col min="7684" max="7684" width="10.7109375" style="609" customWidth="1"/>
    <col min="7685" max="7685" width="10.28515625" style="609" customWidth="1"/>
    <col min="7686" max="7686" width="10.7109375" style="609" customWidth="1"/>
    <col min="7687" max="7687" width="9.42578125" style="609" customWidth="1"/>
    <col min="7688" max="7688" width="10.5703125" style="609" customWidth="1"/>
    <col min="7689" max="7689" width="13.7109375" style="609" customWidth="1"/>
    <col min="7690" max="7691" width="10.42578125" style="609" customWidth="1"/>
    <col min="7692" max="7692" width="10.28515625" style="609" customWidth="1"/>
    <col min="7693" max="7693" width="9.42578125" style="609" customWidth="1"/>
    <col min="7694" max="7694" width="8.7109375" style="609" customWidth="1"/>
    <col min="7695" max="7695" width="10.42578125" style="609" customWidth="1"/>
    <col min="7696" max="7696" width="10.28515625" style="609" customWidth="1"/>
    <col min="7697" max="7936" width="11.42578125" style="609"/>
    <col min="7937" max="7937" width="7" style="609" customWidth="1"/>
    <col min="7938" max="7938" width="10.7109375" style="609" customWidth="1"/>
    <col min="7939" max="7939" width="10.5703125" style="609" customWidth="1"/>
    <col min="7940" max="7940" width="10.7109375" style="609" customWidth="1"/>
    <col min="7941" max="7941" width="10.28515625" style="609" customWidth="1"/>
    <col min="7942" max="7942" width="10.7109375" style="609" customWidth="1"/>
    <col min="7943" max="7943" width="9.42578125" style="609" customWidth="1"/>
    <col min="7944" max="7944" width="10.5703125" style="609" customWidth="1"/>
    <col min="7945" max="7945" width="13.7109375" style="609" customWidth="1"/>
    <col min="7946" max="7947" width="10.42578125" style="609" customWidth="1"/>
    <col min="7948" max="7948" width="10.28515625" style="609" customWidth="1"/>
    <col min="7949" max="7949" width="9.42578125" style="609" customWidth="1"/>
    <col min="7950" max="7950" width="8.7109375" style="609" customWidth="1"/>
    <col min="7951" max="7951" width="10.42578125" style="609" customWidth="1"/>
    <col min="7952" max="7952" width="10.28515625" style="609" customWidth="1"/>
    <col min="7953" max="8192" width="11.42578125" style="609"/>
    <col min="8193" max="8193" width="7" style="609" customWidth="1"/>
    <col min="8194" max="8194" width="10.7109375" style="609" customWidth="1"/>
    <col min="8195" max="8195" width="10.5703125" style="609" customWidth="1"/>
    <col min="8196" max="8196" width="10.7109375" style="609" customWidth="1"/>
    <col min="8197" max="8197" width="10.28515625" style="609" customWidth="1"/>
    <col min="8198" max="8198" width="10.7109375" style="609" customWidth="1"/>
    <col min="8199" max="8199" width="9.42578125" style="609" customWidth="1"/>
    <col min="8200" max="8200" width="10.5703125" style="609" customWidth="1"/>
    <col min="8201" max="8201" width="13.7109375" style="609" customWidth="1"/>
    <col min="8202" max="8203" width="10.42578125" style="609" customWidth="1"/>
    <col min="8204" max="8204" width="10.28515625" style="609" customWidth="1"/>
    <col min="8205" max="8205" width="9.42578125" style="609" customWidth="1"/>
    <col min="8206" max="8206" width="8.7109375" style="609" customWidth="1"/>
    <col min="8207" max="8207" width="10.42578125" style="609" customWidth="1"/>
    <col min="8208" max="8208" width="10.28515625" style="609" customWidth="1"/>
    <col min="8209" max="8448" width="11.42578125" style="609"/>
    <col min="8449" max="8449" width="7" style="609" customWidth="1"/>
    <col min="8450" max="8450" width="10.7109375" style="609" customWidth="1"/>
    <col min="8451" max="8451" width="10.5703125" style="609" customWidth="1"/>
    <col min="8452" max="8452" width="10.7109375" style="609" customWidth="1"/>
    <col min="8453" max="8453" width="10.28515625" style="609" customWidth="1"/>
    <col min="8454" max="8454" width="10.7109375" style="609" customWidth="1"/>
    <col min="8455" max="8455" width="9.42578125" style="609" customWidth="1"/>
    <col min="8456" max="8456" width="10.5703125" style="609" customWidth="1"/>
    <col min="8457" max="8457" width="13.7109375" style="609" customWidth="1"/>
    <col min="8458" max="8459" width="10.42578125" style="609" customWidth="1"/>
    <col min="8460" max="8460" width="10.28515625" style="609" customWidth="1"/>
    <col min="8461" max="8461" width="9.42578125" style="609" customWidth="1"/>
    <col min="8462" max="8462" width="8.7109375" style="609" customWidth="1"/>
    <col min="8463" max="8463" width="10.42578125" style="609" customWidth="1"/>
    <col min="8464" max="8464" width="10.28515625" style="609" customWidth="1"/>
    <col min="8465" max="8704" width="11.42578125" style="609"/>
    <col min="8705" max="8705" width="7" style="609" customWidth="1"/>
    <col min="8706" max="8706" width="10.7109375" style="609" customWidth="1"/>
    <col min="8707" max="8707" width="10.5703125" style="609" customWidth="1"/>
    <col min="8708" max="8708" width="10.7109375" style="609" customWidth="1"/>
    <col min="8709" max="8709" width="10.28515625" style="609" customWidth="1"/>
    <col min="8710" max="8710" width="10.7109375" style="609" customWidth="1"/>
    <col min="8711" max="8711" width="9.42578125" style="609" customWidth="1"/>
    <col min="8712" max="8712" width="10.5703125" style="609" customWidth="1"/>
    <col min="8713" max="8713" width="13.7109375" style="609" customWidth="1"/>
    <col min="8714" max="8715" width="10.42578125" style="609" customWidth="1"/>
    <col min="8716" max="8716" width="10.28515625" style="609" customWidth="1"/>
    <col min="8717" max="8717" width="9.42578125" style="609" customWidth="1"/>
    <col min="8718" max="8718" width="8.7109375" style="609" customWidth="1"/>
    <col min="8719" max="8719" width="10.42578125" style="609" customWidth="1"/>
    <col min="8720" max="8720" width="10.28515625" style="609" customWidth="1"/>
    <col min="8721" max="8960" width="11.42578125" style="609"/>
    <col min="8961" max="8961" width="7" style="609" customWidth="1"/>
    <col min="8962" max="8962" width="10.7109375" style="609" customWidth="1"/>
    <col min="8963" max="8963" width="10.5703125" style="609" customWidth="1"/>
    <col min="8964" max="8964" width="10.7109375" style="609" customWidth="1"/>
    <col min="8965" max="8965" width="10.28515625" style="609" customWidth="1"/>
    <col min="8966" max="8966" width="10.7109375" style="609" customWidth="1"/>
    <col min="8967" max="8967" width="9.42578125" style="609" customWidth="1"/>
    <col min="8968" max="8968" width="10.5703125" style="609" customWidth="1"/>
    <col min="8969" max="8969" width="13.7109375" style="609" customWidth="1"/>
    <col min="8970" max="8971" width="10.42578125" style="609" customWidth="1"/>
    <col min="8972" max="8972" width="10.28515625" style="609" customWidth="1"/>
    <col min="8973" max="8973" width="9.42578125" style="609" customWidth="1"/>
    <col min="8974" max="8974" width="8.7109375" style="609" customWidth="1"/>
    <col min="8975" max="8975" width="10.42578125" style="609" customWidth="1"/>
    <col min="8976" max="8976" width="10.28515625" style="609" customWidth="1"/>
    <col min="8977" max="9216" width="11.42578125" style="609"/>
    <col min="9217" max="9217" width="7" style="609" customWidth="1"/>
    <col min="9218" max="9218" width="10.7109375" style="609" customWidth="1"/>
    <col min="9219" max="9219" width="10.5703125" style="609" customWidth="1"/>
    <col min="9220" max="9220" width="10.7109375" style="609" customWidth="1"/>
    <col min="9221" max="9221" width="10.28515625" style="609" customWidth="1"/>
    <col min="9222" max="9222" width="10.7109375" style="609" customWidth="1"/>
    <col min="9223" max="9223" width="9.42578125" style="609" customWidth="1"/>
    <col min="9224" max="9224" width="10.5703125" style="609" customWidth="1"/>
    <col min="9225" max="9225" width="13.7109375" style="609" customWidth="1"/>
    <col min="9226" max="9227" width="10.42578125" style="609" customWidth="1"/>
    <col min="9228" max="9228" width="10.28515625" style="609" customWidth="1"/>
    <col min="9229" max="9229" width="9.42578125" style="609" customWidth="1"/>
    <col min="9230" max="9230" width="8.7109375" style="609" customWidth="1"/>
    <col min="9231" max="9231" width="10.42578125" style="609" customWidth="1"/>
    <col min="9232" max="9232" width="10.28515625" style="609" customWidth="1"/>
    <col min="9233" max="9472" width="11.42578125" style="609"/>
    <col min="9473" max="9473" width="7" style="609" customWidth="1"/>
    <col min="9474" max="9474" width="10.7109375" style="609" customWidth="1"/>
    <col min="9475" max="9475" width="10.5703125" style="609" customWidth="1"/>
    <col min="9476" max="9476" width="10.7109375" style="609" customWidth="1"/>
    <col min="9477" max="9477" width="10.28515625" style="609" customWidth="1"/>
    <col min="9478" max="9478" width="10.7109375" style="609" customWidth="1"/>
    <col min="9479" max="9479" width="9.42578125" style="609" customWidth="1"/>
    <col min="9480" max="9480" width="10.5703125" style="609" customWidth="1"/>
    <col min="9481" max="9481" width="13.7109375" style="609" customWidth="1"/>
    <col min="9482" max="9483" width="10.42578125" style="609" customWidth="1"/>
    <col min="9484" max="9484" width="10.28515625" style="609" customWidth="1"/>
    <col min="9485" max="9485" width="9.42578125" style="609" customWidth="1"/>
    <col min="9486" max="9486" width="8.7109375" style="609" customWidth="1"/>
    <col min="9487" max="9487" width="10.42578125" style="609" customWidth="1"/>
    <col min="9488" max="9488" width="10.28515625" style="609" customWidth="1"/>
    <col min="9489" max="9728" width="11.42578125" style="609"/>
    <col min="9729" max="9729" width="7" style="609" customWidth="1"/>
    <col min="9730" max="9730" width="10.7109375" style="609" customWidth="1"/>
    <col min="9731" max="9731" width="10.5703125" style="609" customWidth="1"/>
    <col min="9732" max="9732" width="10.7109375" style="609" customWidth="1"/>
    <col min="9733" max="9733" width="10.28515625" style="609" customWidth="1"/>
    <col min="9734" max="9734" width="10.7109375" style="609" customWidth="1"/>
    <col min="9735" max="9735" width="9.42578125" style="609" customWidth="1"/>
    <col min="9736" max="9736" width="10.5703125" style="609" customWidth="1"/>
    <col min="9737" max="9737" width="13.7109375" style="609" customWidth="1"/>
    <col min="9738" max="9739" width="10.42578125" style="609" customWidth="1"/>
    <col min="9740" max="9740" width="10.28515625" style="609" customWidth="1"/>
    <col min="9741" max="9741" width="9.42578125" style="609" customWidth="1"/>
    <col min="9742" max="9742" width="8.7109375" style="609" customWidth="1"/>
    <col min="9743" max="9743" width="10.42578125" style="609" customWidth="1"/>
    <col min="9744" max="9744" width="10.28515625" style="609" customWidth="1"/>
    <col min="9745" max="9984" width="11.42578125" style="609"/>
    <col min="9985" max="9985" width="7" style="609" customWidth="1"/>
    <col min="9986" max="9986" width="10.7109375" style="609" customWidth="1"/>
    <col min="9987" max="9987" width="10.5703125" style="609" customWidth="1"/>
    <col min="9988" max="9988" width="10.7109375" style="609" customWidth="1"/>
    <col min="9989" max="9989" width="10.28515625" style="609" customWidth="1"/>
    <col min="9990" max="9990" width="10.7109375" style="609" customWidth="1"/>
    <col min="9991" max="9991" width="9.42578125" style="609" customWidth="1"/>
    <col min="9992" max="9992" width="10.5703125" style="609" customWidth="1"/>
    <col min="9993" max="9993" width="13.7109375" style="609" customWidth="1"/>
    <col min="9994" max="9995" width="10.42578125" style="609" customWidth="1"/>
    <col min="9996" max="9996" width="10.28515625" style="609" customWidth="1"/>
    <col min="9997" max="9997" width="9.42578125" style="609" customWidth="1"/>
    <col min="9998" max="9998" width="8.7109375" style="609" customWidth="1"/>
    <col min="9999" max="9999" width="10.42578125" style="609" customWidth="1"/>
    <col min="10000" max="10000" width="10.28515625" style="609" customWidth="1"/>
    <col min="10001" max="10240" width="11.42578125" style="609"/>
    <col min="10241" max="10241" width="7" style="609" customWidth="1"/>
    <col min="10242" max="10242" width="10.7109375" style="609" customWidth="1"/>
    <col min="10243" max="10243" width="10.5703125" style="609" customWidth="1"/>
    <col min="10244" max="10244" width="10.7109375" style="609" customWidth="1"/>
    <col min="10245" max="10245" width="10.28515625" style="609" customWidth="1"/>
    <col min="10246" max="10246" width="10.7109375" style="609" customWidth="1"/>
    <col min="10247" max="10247" width="9.42578125" style="609" customWidth="1"/>
    <col min="10248" max="10248" width="10.5703125" style="609" customWidth="1"/>
    <col min="10249" max="10249" width="13.7109375" style="609" customWidth="1"/>
    <col min="10250" max="10251" width="10.42578125" style="609" customWidth="1"/>
    <col min="10252" max="10252" width="10.28515625" style="609" customWidth="1"/>
    <col min="10253" max="10253" width="9.42578125" style="609" customWidth="1"/>
    <col min="10254" max="10254" width="8.7109375" style="609" customWidth="1"/>
    <col min="10255" max="10255" width="10.42578125" style="609" customWidth="1"/>
    <col min="10256" max="10256" width="10.28515625" style="609" customWidth="1"/>
    <col min="10257" max="10496" width="11.42578125" style="609"/>
    <col min="10497" max="10497" width="7" style="609" customWidth="1"/>
    <col min="10498" max="10498" width="10.7109375" style="609" customWidth="1"/>
    <col min="10499" max="10499" width="10.5703125" style="609" customWidth="1"/>
    <col min="10500" max="10500" width="10.7109375" style="609" customWidth="1"/>
    <col min="10501" max="10501" width="10.28515625" style="609" customWidth="1"/>
    <col min="10502" max="10502" width="10.7109375" style="609" customWidth="1"/>
    <col min="10503" max="10503" width="9.42578125" style="609" customWidth="1"/>
    <col min="10504" max="10504" width="10.5703125" style="609" customWidth="1"/>
    <col min="10505" max="10505" width="13.7109375" style="609" customWidth="1"/>
    <col min="10506" max="10507" width="10.42578125" style="609" customWidth="1"/>
    <col min="10508" max="10508" width="10.28515625" style="609" customWidth="1"/>
    <col min="10509" max="10509" width="9.42578125" style="609" customWidth="1"/>
    <col min="10510" max="10510" width="8.7109375" style="609" customWidth="1"/>
    <col min="10511" max="10511" width="10.42578125" style="609" customWidth="1"/>
    <col min="10512" max="10512" width="10.28515625" style="609" customWidth="1"/>
    <col min="10513" max="10752" width="11.42578125" style="609"/>
    <col min="10753" max="10753" width="7" style="609" customWidth="1"/>
    <col min="10754" max="10754" width="10.7109375" style="609" customWidth="1"/>
    <col min="10755" max="10755" width="10.5703125" style="609" customWidth="1"/>
    <col min="10756" max="10756" width="10.7109375" style="609" customWidth="1"/>
    <col min="10757" max="10757" width="10.28515625" style="609" customWidth="1"/>
    <col min="10758" max="10758" width="10.7109375" style="609" customWidth="1"/>
    <col min="10759" max="10759" width="9.42578125" style="609" customWidth="1"/>
    <col min="10760" max="10760" width="10.5703125" style="609" customWidth="1"/>
    <col min="10761" max="10761" width="13.7109375" style="609" customWidth="1"/>
    <col min="10762" max="10763" width="10.42578125" style="609" customWidth="1"/>
    <col min="10764" max="10764" width="10.28515625" style="609" customWidth="1"/>
    <col min="10765" max="10765" width="9.42578125" style="609" customWidth="1"/>
    <col min="10766" max="10766" width="8.7109375" style="609" customWidth="1"/>
    <col min="10767" max="10767" width="10.42578125" style="609" customWidth="1"/>
    <col min="10768" max="10768" width="10.28515625" style="609" customWidth="1"/>
    <col min="10769" max="11008" width="11.42578125" style="609"/>
    <col min="11009" max="11009" width="7" style="609" customWidth="1"/>
    <col min="11010" max="11010" width="10.7109375" style="609" customWidth="1"/>
    <col min="11011" max="11011" width="10.5703125" style="609" customWidth="1"/>
    <col min="11012" max="11012" width="10.7109375" style="609" customWidth="1"/>
    <col min="11013" max="11013" width="10.28515625" style="609" customWidth="1"/>
    <col min="11014" max="11014" width="10.7109375" style="609" customWidth="1"/>
    <col min="11015" max="11015" width="9.42578125" style="609" customWidth="1"/>
    <col min="11016" max="11016" width="10.5703125" style="609" customWidth="1"/>
    <col min="11017" max="11017" width="13.7109375" style="609" customWidth="1"/>
    <col min="11018" max="11019" width="10.42578125" style="609" customWidth="1"/>
    <col min="11020" max="11020" width="10.28515625" style="609" customWidth="1"/>
    <col min="11021" max="11021" width="9.42578125" style="609" customWidth="1"/>
    <col min="11022" max="11022" width="8.7109375" style="609" customWidth="1"/>
    <col min="11023" max="11023" width="10.42578125" style="609" customWidth="1"/>
    <col min="11024" max="11024" width="10.28515625" style="609" customWidth="1"/>
    <col min="11025" max="11264" width="11.42578125" style="609"/>
    <col min="11265" max="11265" width="7" style="609" customWidth="1"/>
    <col min="11266" max="11266" width="10.7109375" style="609" customWidth="1"/>
    <col min="11267" max="11267" width="10.5703125" style="609" customWidth="1"/>
    <col min="11268" max="11268" width="10.7109375" style="609" customWidth="1"/>
    <col min="11269" max="11269" width="10.28515625" style="609" customWidth="1"/>
    <col min="11270" max="11270" width="10.7109375" style="609" customWidth="1"/>
    <col min="11271" max="11271" width="9.42578125" style="609" customWidth="1"/>
    <col min="11272" max="11272" width="10.5703125" style="609" customWidth="1"/>
    <col min="11273" max="11273" width="13.7109375" style="609" customWidth="1"/>
    <col min="11274" max="11275" width="10.42578125" style="609" customWidth="1"/>
    <col min="11276" max="11276" width="10.28515625" style="609" customWidth="1"/>
    <col min="11277" max="11277" width="9.42578125" style="609" customWidth="1"/>
    <col min="11278" max="11278" width="8.7109375" style="609" customWidth="1"/>
    <col min="11279" max="11279" width="10.42578125" style="609" customWidth="1"/>
    <col min="11280" max="11280" width="10.28515625" style="609" customWidth="1"/>
    <col min="11281" max="11520" width="11.42578125" style="609"/>
    <col min="11521" max="11521" width="7" style="609" customWidth="1"/>
    <col min="11522" max="11522" width="10.7109375" style="609" customWidth="1"/>
    <col min="11523" max="11523" width="10.5703125" style="609" customWidth="1"/>
    <col min="11524" max="11524" width="10.7109375" style="609" customWidth="1"/>
    <col min="11525" max="11525" width="10.28515625" style="609" customWidth="1"/>
    <col min="11526" max="11526" width="10.7109375" style="609" customWidth="1"/>
    <col min="11527" max="11527" width="9.42578125" style="609" customWidth="1"/>
    <col min="11528" max="11528" width="10.5703125" style="609" customWidth="1"/>
    <col min="11529" max="11529" width="13.7109375" style="609" customWidth="1"/>
    <col min="11530" max="11531" width="10.42578125" style="609" customWidth="1"/>
    <col min="11532" max="11532" width="10.28515625" style="609" customWidth="1"/>
    <col min="11533" max="11533" width="9.42578125" style="609" customWidth="1"/>
    <col min="11534" max="11534" width="8.7109375" style="609" customWidth="1"/>
    <col min="11535" max="11535" width="10.42578125" style="609" customWidth="1"/>
    <col min="11536" max="11536" width="10.28515625" style="609" customWidth="1"/>
    <col min="11537" max="11776" width="11.42578125" style="609"/>
    <col min="11777" max="11777" width="7" style="609" customWidth="1"/>
    <col min="11778" max="11778" width="10.7109375" style="609" customWidth="1"/>
    <col min="11779" max="11779" width="10.5703125" style="609" customWidth="1"/>
    <col min="11780" max="11780" width="10.7109375" style="609" customWidth="1"/>
    <col min="11781" max="11781" width="10.28515625" style="609" customWidth="1"/>
    <col min="11782" max="11782" width="10.7109375" style="609" customWidth="1"/>
    <col min="11783" max="11783" width="9.42578125" style="609" customWidth="1"/>
    <col min="11784" max="11784" width="10.5703125" style="609" customWidth="1"/>
    <col min="11785" max="11785" width="13.7109375" style="609" customWidth="1"/>
    <col min="11786" max="11787" width="10.42578125" style="609" customWidth="1"/>
    <col min="11788" max="11788" width="10.28515625" style="609" customWidth="1"/>
    <col min="11789" max="11789" width="9.42578125" style="609" customWidth="1"/>
    <col min="11790" max="11790" width="8.7109375" style="609" customWidth="1"/>
    <col min="11791" max="11791" width="10.42578125" style="609" customWidth="1"/>
    <col min="11792" max="11792" width="10.28515625" style="609" customWidth="1"/>
    <col min="11793" max="12032" width="11.42578125" style="609"/>
    <col min="12033" max="12033" width="7" style="609" customWidth="1"/>
    <col min="12034" max="12034" width="10.7109375" style="609" customWidth="1"/>
    <col min="12035" max="12035" width="10.5703125" style="609" customWidth="1"/>
    <col min="12036" max="12036" width="10.7109375" style="609" customWidth="1"/>
    <col min="12037" max="12037" width="10.28515625" style="609" customWidth="1"/>
    <col min="12038" max="12038" width="10.7109375" style="609" customWidth="1"/>
    <col min="12039" max="12039" width="9.42578125" style="609" customWidth="1"/>
    <col min="12040" max="12040" width="10.5703125" style="609" customWidth="1"/>
    <col min="12041" max="12041" width="13.7109375" style="609" customWidth="1"/>
    <col min="12042" max="12043" width="10.42578125" style="609" customWidth="1"/>
    <col min="12044" max="12044" width="10.28515625" style="609" customWidth="1"/>
    <col min="12045" max="12045" width="9.42578125" style="609" customWidth="1"/>
    <col min="12046" max="12046" width="8.7109375" style="609" customWidth="1"/>
    <col min="12047" max="12047" width="10.42578125" style="609" customWidth="1"/>
    <col min="12048" max="12048" width="10.28515625" style="609" customWidth="1"/>
    <col min="12049" max="12288" width="11.42578125" style="609"/>
    <col min="12289" max="12289" width="7" style="609" customWidth="1"/>
    <col min="12290" max="12290" width="10.7109375" style="609" customWidth="1"/>
    <col min="12291" max="12291" width="10.5703125" style="609" customWidth="1"/>
    <col min="12292" max="12292" width="10.7109375" style="609" customWidth="1"/>
    <col min="12293" max="12293" width="10.28515625" style="609" customWidth="1"/>
    <col min="12294" max="12294" width="10.7109375" style="609" customWidth="1"/>
    <col min="12295" max="12295" width="9.42578125" style="609" customWidth="1"/>
    <col min="12296" max="12296" width="10.5703125" style="609" customWidth="1"/>
    <col min="12297" max="12297" width="13.7109375" style="609" customWidth="1"/>
    <col min="12298" max="12299" width="10.42578125" style="609" customWidth="1"/>
    <col min="12300" max="12300" width="10.28515625" style="609" customWidth="1"/>
    <col min="12301" max="12301" width="9.42578125" style="609" customWidth="1"/>
    <col min="12302" max="12302" width="8.7109375" style="609" customWidth="1"/>
    <col min="12303" max="12303" width="10.42578125" style="609" customWidth="1"/>
    <col min="12304" max="12304" width="10.28515625" style="609" customWidth="1"/>
    <col min="12305" max="12544" width="11.42578125" style="609"/>
    <col min="12545" max="12545" width="7" style="609" customWidth="1"/>
    <col min="12546" max="12546" width="10.7109375" style="609" customWidth="1"/>
    <col min="12547" max="12547" width="10.5703125" style="609" customWidth="1"/>
    <col min="12548" max="12548" width="10.7109375" style="609" customWidth="1"/>
    <col min="12549" max="12549" width="10.28515625" style="609" customWidth="1"/>
    <col min="12550" max="12550" width="10.7109375" style="609" customWidth="1"/>
    <col min="12551" max="12551" width="9.42578125" style="609" customWidth="1"/>
    <col min="12552" max="12552" width="10.5703125" style="609" customWidth="1"/>
    <col min="12553" max="12553" width="13.7109375" style="609" customWidth="1"/>
    <col min="12554" max="12555" width="10.42578125" style="609" customWidth="1"/>
    <col min="12556" max="12556" width="10.28515625" style="609" customWidth="1"/>
    <col min="12557" max="12557" width="9.42578125" style="609" customWidth="1"/>
    <col min="12558" max="12558" width="8.7109375" style="609" customWidth="1"/>
    <col min="12559" max="12559" width="10.42578125" style="609" customWidth="1"/>
    <col min="12560" max="12560" width="10.28515625" style="609" customWidth="1"/>
    <col min="12561" max="12800" width="11.42578125" style="609"/>
    <col min="12801" max="12801" width="7" style="609" customWidth="1"/>
    <col min="12802" max="12802" width="10.7109375" style="609" customWidth="1"/>
    <col min="12803" max="12803" width="10.5703125" style="609" customWidth="1"/>
    <col min="12804" max="12804" width="10.7109375" style="609" customWidth="1"/>
    <col min="12805" max="12805" width="10.28515625" style="609" customWidth="1"/>
    <col min="12806" max="12806" width="10.7109375" style="609" customWidth="1"/>
    <col min="12807" max="12807" width="9.42578125" style="609" customWidth="1"/>
    <col min="12808" max="12808" width="10.5703125" style="609" customWidth="1"/>
    <col min="12809" max="12809" width="13.7109375" style="609" customWidth="1"/>
    <col min="12810" max="12811" width="10.42578125" style="609" customWidth="1"/>
    <col min="12812" max="12812" width="10.28515625" style="609" customWidth="1"/>
    <col min="12813" max="12813" width="9.42578125" style="609" customWidth="1"/>
    <col min="12814" max="12814" width="8.7109375" style="609" customWidth="1"/>
    <col min="12815" max="12815" width="10.42578125" style="609" customWidth="1"/>
    <col min="12816" max="12816" width="10.28515625" style="609" customWidth="1"/>
    <col min="12817" max="13056" width="11.42578125" style="609"/>
    <col min="13057" max="13057" width="7" style="609" customWidth="1"/>
    <col min="13058" max="13058" width="10.7109375" style="609" customWidth="1"/>
    <col min="13059" max="13059" width="10.5703125" style="609" customWidth="1"/>
    <col min="13060" max="13060" width="10.7109375" style="609" customWidth="1"/>
    <col min="13061" max="13061" width="10.28515625" style="609" customWidth="1"/>
    <col min="13062" max="13062" width="10.7109375" style="609" customWidth="1"/>
    <col min="13063" max="13063" width="9.42578125" style="609" customWidth="1"/>
    <col min="13064" max="13064" width="10.5703125" style="609" customWidth="1"/>
    <col min="13065" max="13065" width="13.7109375" style="609" customWidth="1"/>
    <col min="13066" max="13067" width="10.42578125" style="609" customWidth="1"/>
    <col min="13068" max="13068" width="10.28515625" style="609" customWidth="1"/>
    <col min="13069" max="13069" width="9.42578125" style="609" customWidth="1"/>
    <col min="13070" max="13070" width="8.7109375" style="609" customWidth="1"/>
    <col min="13071" max="13071" width="10.42578125" style="609" customWidth="1"/>
    <col min="13072" max="13072" width="10.28515625" style="609" customWidth="1"/>
    <col min="13073" max="13312" width="11.42578125" style="609"/>
    <col min="13313" max="13313" width="7" style="609" customWidth="1"/>
    <col min="13314" max="13314" width="10.7109375" style="609" customWidth="1"/>
    <col min="13315" max="13315" width="10.5703125" style="609" customWidth="1"/>
    <col min="13316" max="13316" width="10.7109375" style="609" customWidth="1"/>
    <col min="13317" max="13317" width="10.28515625" style="609" customWidth="1"/>
    <col min="13318" max="13318" width="10.7109375" style="609" customWidth="1"/>
    <col min="13319" max="13319" width="9.42578125" style="609" customWidth="1"/>
    <col min="13320" max="13320" width="10.5703125" style="609" customWidth="1"/>
    <col min="13321" max="13321" width="13.7109375" style="609" customWidth="1"/>
    <col min="13322" max="13323" width="10.42578125" style="609" customWidth="1"/>
    <col min="13324" max="13324" width="10.28515625" style="609" customWidth="1"/>
    <col min="13325" max="13325" width="9.42578125" style="609" customWidth="1"/>
    <col min="13326" max="13326" width="8.7109375" style="609" customWidth="1"/>
    <col min="13327" max="13327" width="10.42578125" style="609" customWidth="1"/>
    <col min="13328" max="13328" width="10.28515625" style="609" customWidth="1"/>
    <col min="13329" max="13568" width="11.42578125" style="609"/>
    <col min="13569" max="13569" width="7" style="609" customWidth="1"/>
    <col min="13570" max="13570" width="10.7109375" style="609" customWidth="1"/>
    <col min="13571" max="13571" width="10.5703125" style="609" customWidth="1"/>
    <col min="13572" max="13572" width="10.7109375" style="609" customWidth="1"/>
    <col min="13573" max="13573" width="10.28515625" style="609" customWidth="1"/>
    <col min="13574" max="13574" width="10.7109375" style="609" customWidth="1"/>
    <col min="13575" max="13575" width="9.42578125" style="609" customWidth="1"/>
    <col min="13576" max="13576" width="10.5703125" style="609" customWidth="1"/>
    <col min="13577" max="13577" width="13.7109375" style="609" customWidth="1"/>
    <col min="13578" max="13579" width="10.42578125" style="609" customWidth="1"/>
    <col min="13580" max="13580" width="10.28515625" style="609" customWidth="1"/>
    <col min="13581" max="13581" width="9.42578125" style="609" customWidth="1"/>
    <col min="13582" max="13582" width="8.7109375" style="609" customWidth="1"/>
    <col min="13583" max="13583" width="10.42578125" style="609" customWidth="1"/>
    <col min="13584" max="13584" width="10.28515625" style="609" customWidth="1"/>
    <col min="13585" max="13824" width="11.42578125" style="609"/>
    <col min="13825" max="13825" width="7" style="609" customWidth="1"/>
    <col min="13826" max="13826" width="10.7109375" style="609" customWidth="1"/>
    <col min="13827" max="13827" width="10.5703125" style="609" customWidth="1"/>
    <col min="13828" max="13828" width="10.7109375" style="609" customWidth="1"/>
    <col min="13829" max="13829" width="10.28515625" style="609" customWidth="1"/>
    <col min="13830" max="13830" width="10.7109375" style="609" customWidth="1"/>
    <col min="13831" max="13831" width="9.42578125" style="609" customWidth="1"/>
    <col min="13832" max="13832" width="10.5703125" style="609" customWidth="1"/>
    <col min="13833" max="13833" width="13.7109375" style="609" customWidth="1"/>
    <col min="13834" max="13835" width="10.42578125" style="609" customWidth="1"/>
    <col min="13836" max="13836" width="10.28515625" style="609" customWidth="1"/>
    <col min="13837" max="13837" width="9.42578125" style="609" customWidth="1"/>
    <col min="13838" max="13838" width="8.7109375" style="609" customWidth="1"/>
    <col min="13839" max="13839" width="10.42578125" style="609" customWidth="1"/>
    <col min="13840" max="13840" width="10.28515625" style="609" customWidth="1"/>
    <col min="13841" max="14080" width="11.42578125" style="609"/>
    <col min="14081" max="14081" width="7" style="609" customWidth="1"/>
    <col min="14082" max="14082" width="10.7109375" style="609" customWidth="1"/>
    <col min="14083" max="14083" width="10.5703125" style="609" customWidth="1"/>
    <col min="14084" max="14084" width="10.7109375" style="609" customWidth="1"/>
    <col min="14085" max="14085" width="10.28515625" style="609" customWidth="1"/>
    <col min="14086" max="14086" width="10.7109375" style="609" customWidth="1"/>
    <col min="14087" max="14087" width="9.42578125" style="609" customWidth="1"/>
    <col min="14088" max="14088" width="10.5703125" style="609" customWidth="1"/>
    <col min="14089" max="14089" width="13.7109375" style="609" customWidth="1"/>
    <col min="14090" max="14091" width="10.42578125" style="609" customWidth="1"/>
    <col min="14092" max="14092" width="10.28515625" style="609" customWidth="1"/>
    <col min="14093" max="14093" width="9.42578125" style="609" customWidth="1"/>
    <col min="14094" max="14094" width="8.7109375" style="609" customWidth="1"/>
    <col min="14095" max="14095" width="10.42578125" style="609" customWidth="1"/>
    <col min="14096" max="14096" width="10.28515625" style="609" customWidth="1"/>
    <col min="14097" max="14336" width="11.42578125" style="609"/>
    <col min="14337" max="14337" width="7" style="609" customWidth="1"/>
    <col min="14338" max="14338" width="10.7109375" style="609" customWidth="1"/>
    <col min="14339" max="14339" width="10.5703125" style="609" customWidth="1"/>
    <col min="14340" max="14340" width="10.7109375" style="609" customWidth="1"/>
    <col min="14341" max="14341" width="10.28515625" style="609" customWidth="1"/>
    <col min="14342" max="14342" width="10.7109375" style="609" customWidth="1"/>
    <col min="14343" max="14343" width="9.42578125" style="609" customWidth="1"/>
    <col min="14344" max="14344" width="10.5703125" style="609" customWidth="1"/>
    <col min="14345" max="14345" width="13.7109375" style="609" customWidth="1"/>
    <col min="14346" max="14347" width="10.42578125" style="609" customWidth="1"/>
    <col min="14348" max="14348" width="10.28515625" style="609" customWidth="1"/>
    <col min="14349" max="14349" width="9.42578125" style="609" customWidth="1"/>
    <col min="14350" max="14350" width="8.7109375" style="609" customWidth="1"/>
    <col min="14351" max="14351" width="10.42578125" style="609" customWidth="1"/>
    <col min="14352" max="14352" width="10.28515625" style="609" customWidth="1"/>
    <col min="14353" max="14592" width="11.42578125" style="609"/>
    <col min="14593" max="14593" width="7" style="609" customWidth="1"/>
    <col min="14594" max="14594" width="10.7109375" style="609" customWidth="1"/>
    <col min="14595" max="14595" width="10.5703125" style="609" customWidth="1"/>
    <col min="14596" max="14596" width="10.7109375" style="609" customWidth="1"/>
    <col min="14597" max="14597" width="10.28515625" style="609" customWidth="1"/>
    <col min="14598" max="14598" width="10.7109375" style="609" customWidth="1"/>
    <col min="14599" max="14599" width="9.42578125" style="609" customWidth="1"/>
    <col min="14600" max="14600" width="10.5703125" style="609" customWidth="1"/>
    <col min="14601" max="14601" width="13.7109375" style="609" customWidth="1"/>
    <col min="14602" max="14603" width="10.42578125" style="609" customWidth="1"/>
    <col min="14604" max="14604" width="10.28515625" style="609" customWidth="1"/>
    <col min="14605" max="14605" width="9.42578125" style="609" customWidth="1"/>
    <col min="14606" max="14606" width="8.7109375" style="609" customWidth="1"/>
    <col min="14607" max="14607" width="10.42578125" style="609" customWidth="1"/>
    <col min="14608" max="14608" width="10.28515625" style="609" customWidth="1"/>
    <col min="14609" max="14848" width="11.42578125" style="609"/>
    <col min="14849" max="14849" width="7" style="609" customWidth="1"/>
    <col min="14850" max="14850" width="10.7109375" style="609" customWidth="1"/>
    <col min="14851" max="14851" width="10.5703125" style="609" customWidth="1"/>
    <col min="14852" max="14852" width="10.7109375" style="609" customWidth="1"/>
    <col min="14853" max="14853" width="10.28515625" style="609" customWidth="1"/>
    <col min="14854" max="14854" width="10.7109375" style="609" customWidth="1"/>
    <col min="14855" max="14855" width="9.42578125" style="609" customWidth="1"/>
    <col min="14856" max="14856" width="10.5703125" style="609" customWidth="1"/>
    <col min="14857" max="14857" width="13.7109375" style="609" customWidth="1"/>
    <col min="14858" max="14859" width="10.42578125" style="609" customWidth="1"/>
    <col min="14860" max="14860" width="10.28515625" style="609" customWidth="1"/>
    <col min="14861" max="14861" width="9.42578125" style="609" customWidth="1"/>
    <col min="14862" max="14862" width="8.7109375" style="609" customWidth="1"/>
    <col min="14863" max="14863" width="10.42578125" style="609" customWidth="1"/>
    <col min="14864" max="14864" width="10.28515625" style="609" customWidth="1"/>
    <col min="14865" max="15104" width="11.42578125" style="609"/>
    <col min="15105" max="15105" width="7" style="609" customWidth="1"/>
    <col min="15106" max="15106" width="10.7109375" style="609" customWidth="1"/>
    <col min="15107" max="15107" width="10.5703125" style="609" customWidth="1"/>
    <col min="15108" max="15108" width="10.7109375" style="609" customWidth="1"/>
    <col min="15109" max="15109" width="10.28515625" style="609" customWidth="1"/>
    <col min="15110" max="15110" width="10.7109375" style="609" customWidth="1"/>
    <col min="15111" max="15111" width="9.42578125" style="609" customWidth="1"/>
    <col min="15112" max="15112" width="10.5703125" style="609" customWidth="1"/>
    <col min="15113" max="15113" width="13.7109375" style="609" customWidth="1"/>
    <col min="15114" max="15115" width="10.42578125" style="609" customWidth="1"/>
    <col min="15116" max="15116" width="10.28515625" style="609" customWidth="1"/>
    <col min="15117" max="15117" width="9.42578125" style="609" customWidth="1"/>
    <col min="15118" max="15118" width="8.7109375" style="609" customWidth="1"/>
    <col min="15119" max="15119" width="10.42578125" style="609" customWidth="1"/>
    <col min="15120" max="15120" width="10.28515625" style="609" customWidth="1"/>
    <col min="15121" max="15360" width="11.42578125" style="609"/>
    <col min="15361" max="15361" width="7" style="609" customWidth="1"/>
    <col min="15362" max="15362" width="10.7109375" style="609" customWidth="1"/>
    <col min="15363" max="15363" width="10.5703125" style="609" customWidth="1"/>
    <col min="15364" max="15364" width="10.7109375" style="609" customWidth="1"/>
    <col min="15365" max="15365" width="10.28515625" style="609" customWidth="1"/>
    <col min="15366" max="15366" width="10.7109375" style="609" customWidth="1"/>
    <col min="15367" max="15367" width="9.42578125" style="609" customWidth="1"/>
    <col min="15368" max="15368" width="10.5703125" style="609" customWidth="1"/>
    <col min="15369" max="15369" width="13.7109375" style="609" customWidth="1"/>
    <col min="15370" max="15371" width="10.42578125" style="609" customWidth="1"/>
    <col min="15372" max="15372" width="10.28515625" style="609" customWidth="1"/>
    <col min="15373" max="15373" width="9.42578125" style="609" customWidth="1"/>
    <col min="15374" max="15374" width="8.7109375" style="609" customWidth="1"/>
    <col min="15375" max="15375" width="10.42578125" style="609" customWidth="1"/>
    <col min="15376" max="15376" width="10.28515625" style="609" customWidth="1"/>
    <col min="15377" max="15616" width="11.42578125" style="609"/>
    <col min="15617" max="15617" width="7" style="609" customWidth="1"/>
    <col min="15618" max="15618" width="10.7109375" style="609" customWidth="1"/>
    <col min="15619" max="15619" width="10.5703125" style="609" customWidth="1"/>
    <col min="15620" max="15620" width="10.7109375" style="609" customWidth="1"/>
    <col min="15621" max="15621" width="10.28515625" style="609" customWidth="1"/>
    <col min="15622" max="15622" width="10.7109375" style="609" customWidth="1"/>
    <col min="15623" max="15623" width="9.42578125" style="609" customWidth="1"/>
    <col min="15624" max="15624" width="10.5703125" style="609" customWidth="1"/>
    <col min="15625" max="15625" width="13.7109375" style="609" customWidth="1"/>
    <col min="15626" max="15627" width="10.42578125" style="609" customWidth="1"/>
    <col min="15628" max="15628" width="10.28515625" style="609" customWidth="1"/>
    <col min="15629" max="15629" width="9.42578125" style="609" customWidth="1"/>
    <col min="15630" max="15630" width="8.7109375" style="609" customWidth="1"/>
    <col min="15631" max="15631" width="10.42578125" style="609" customWidth="1"/>
    <col min="15632" max="15632" width="10.28515625" style="609" customWidth="1"/>
    <col min="15633" max="15872" width="11.42578125" style="609"/>
    <col min="15873" max="15873" width="7" style="609" customWidth="1"/>
    <col min="15874" max="15874" width="10.7109375" style="609" customWidth="1"/>
    <col min="15875" max="15875" width="10.5703125" style="609" customWidth="1"/>
    <col min="15876" max="15876" width="10.7109375" style="609" customWidth="1"/>
    <col min="15877" max="15877" width="10.28515625" style="609" customWidth="1"/>
    <col min="15878" max="15878" width="10.7109375" style="609" customWidth="1"/>
    <col min="15879" max="15879" width="9.42578125" style="609" customWidth="1"/>
    <col min="15880" max="15880" width="10.5703125" style="609" customWidth="1"/>
    <col min="15881" max="15881" width="13.7109375" style="609" customWidth="1"/>
    <col min="15882" max="15883" width="10.42578125" style="609" customWidth="1"/>
    <col min="15884" max="15884" width="10.28515625" style="609" customWidth="1"/>
    <col min="15885" max="15885" width="9.42578125" style="609" customWidth="1"/>
    <col min="15886" max="15886" width="8.7109375" style="609" customWidth="1"/>
    <col min="15887" max="15887" width="10.42578125" style="609" customWidth="1"/>
    <col min="15888" max="15888" width="10.28515625" style="609" customWidth="1"/>
    <col min="15889" max="16128" width="11.42578125" style="609"/>
    <col min="16129" max="16129" width="7" style="609" customWidth="1"/>
    <col min="16130" max="16130" width="10.7109375" style="609" customWidth="1"/>
    <col min="16131" max="16131" width="10.5703125" style="609" customWidth="1"/>
    <col min="16132" max="16132" width="10.7109375" style="609" customWidth="1"/>
    <col min="16133" max="16133" width="10.28515625" style="609" customWidth="1"/>
    <col min="16134" max="16134" width="10.7109375" style="609" customWidth="1"/>
    <col min="16135" max="16135" width="9.42578125" style="609" customWidth="1"/>
    <col min="16136" max="16136" width="10.5703125" style="609" customWidth="1"/>
    <col min="16137" max="16137" width="13.7109375" style="609" customWidth="1"/>
    <col min="16138" max="16139" width="10.42578125" style="609" customWidth="1"/>
    <col min="16140" max="16140" width="10.28515625" style="609" customWidth="1"/>
    <col min="16141" max="16141" width="9.42578125" style="609" customWidth="1"/>
    <col min="16142" max="16142" width="8.7109375" style="609" customWidth="1"/>
    <col min="16143" max="16143" width="10.42578125" style="609" customWidth="1"/>
    <col min="16144" max="16144" width="10.28515625" style="609" customWidth="1"/>
    <col min="16145" max="16384" width="11.42578125" style="609"/>
  </cols>
  <sheetData>
    <row r="1" spans="1:21" ht="15" customHeight="1" x14ac:dyDescent="0.2">
      <c r="A1" s="777" t="s">
        <v>1751</v>
      </c>
      <c r="B1" s="777"/>
      <c r="C1" s="777"/>
      <c r="D1" s="777"/>
      <c r="E1" s="777"/>
      <c r="F1" s="777"/>
      <c r="G1" s="777"/>
      <c r="H1" s="777"/>
      <c r="I1" s="777"/>
      <c r="J1" s="777"/>
      <c r="K1" s="777"/>
      <c r="L1" s="777"/>
      <c r="M1" s="777"/>
      <c r="N1" s="777"/>
      <c r="O1" s="777"/>
      <c r="P1" s="777"/>
    </row>
    <row r="2" spans="1:21" ht="15" customHeight="1" x14ac:dyDescent="0.2">
      <c r="A2" s="777" t="s">
        <v>1823</v>
      </c>
      <c r="B2" s="777"/>
      <c r="C2" s="777"/>
      <c r="D2" s="777"/>
      <c r="E2" s="777"/>
      <c r="F2" s="777" t="s">
        <v>1753</v>
      </c>
      <c r="G2" s="777"/>
      <c r="H2" s="777"/>
      <c r="I2" s="777"/>
      <c r="J2" s="777"/>
      <c r="K2" s="777"/>
      <c r="L2" s="777"/>
      <c r="M2" s="777"/>
      <c r="N2" s="777"/>
      <c r="O2" s="777"/>
      <c r="P2" s="777"/>
    </row>
    <row r="3" spans="1:21" ht="15" customHeight="1" x14ac:dyDescent="0.2">
      <c r="E3" s="610"/>
    </row>
    <row r="4" spans="1:21" ht="15" customHeight="1" x14ac:dyDescent="0.25">
      <c r="A4" s="778" t="s">
        <v>1754</v>
      </c>
      <c r="B4" s="778"/>
      <c r="C4" s="778"/>
      <c r="D4" s="778"/>
      <c r="E4" s="778"/>
      <c r="F4" s="610"/>
      <c r="K4" s="610"/>
      <c r="N4" s="610" t="s">
        <v>1755</v>
      </c>
      <c r="O4" s="611">
        <f>IF(HorasAmortizaciónEquipoCamión=0,0,ROUND(Valor_CamiónAcoplado*PorcentajeEquipoAmortizarCamión/HorasAmortizaciónEquipoCamión,3))</f>
        <v>0</v>
      </c>
    </row>
    <row r="5" spans="1:21" ht="15" customHeight="1" x14ac:dyDescent="0.2">
      <c r="A5" s="612"/>
      <c r="B5" s="612"/>
      <c r="C5" s="612"/>
      <c r="D5" s="612"/>
      <c r="E5" s="612"/>
      <c r="F5" s="610"/>
      <c r="K5" s="610"/>
      <c r="O5" s="613"/>
    </row>
    <row r="6" spans="1:21" ht="15" customHeight="1" x14ac:dyDescent="0.2">
      <c r="A6" s="681"/>
      <c r="B6" s="681"/>
      <c r="C6" s="681"/>
      <c r="D6" s="681"/>
      <c r="E6" s="681"/>
      <c r="F6" s="610"/>
      <c r="K6" s="610"/>
      <c r="O6" s="613"/>
      <c r="Q6" s="612"/>
      <c r="R6" s="612"/>
      <c r="S6" s="612"/>
      <c r="T6" s="612"/>
      <c r="U6" s="612"/>
    </row>
    <row r="7" spans="1:21" ht="15" customHeight="1" x14ac:dyDescent="0.2">
      <c r="A7" s="780" t="s">
        <v>1756</v>
      </c>
      <c r="B7" s="780"/>
      <c r="C7" s="780"/>
      <c r="D7" s="780"/>
      <c r="E7" s="670"/>
      <c r="F7" s="610"/>
      <c r="G7" s="614"/>
      <c r="H7" s="612"/>
      <c r="I7" s="779"/>
      <c r="J7" s="615"/>
      <c r="K7" s="616"/>
      <c r="N7" s="610" t="s">
        <v>1757</v>
      </c>
      <c r="O7" s="611">
        <f>ROUND(Valor_CamiónAcoplado*E10/4000,3)</f>
        <v>0</v>
      </c>
      <c r="Q7" s="614"/>
      <c r="R7" s="617"/>
      <c r="S7" s="774"/>
      <c r="T7" s="618"/>
      <c r="U7" s="615"/>
    </row>
    <row r="8" spans="1:21" ht="15" customHeight="1" x14ac:dyDescent="0.2">
      <c r="A8" s="780" t="s">
        <v>1758</v>
      </c>
      <c r="B8" s="780"/>
      <c r="C8" s="780"/>
      <c r="D8" s="780"/>
      <c r="E8" s="671"/>
      <c r="F8" s="610"/>
      <c r="G8" s="775"/>
      <c r="H8" s="775"/>
      <c r="I8" s="779"/>
      <c r="K8" s="610"/>
      <c r="O8" s="613"/>
      <c r="Q8" s="775"/>
      <c r="R8" s="775"/>
      <c r="S8" s="774"/>
      <c r="T8" s="612"/>
      <c r="U8" s="612"/>
    </row>
    <row r="9" spans="1:21" ht="15" customHeight="1" x14ac:dyDescent="0.2">
      <c r="A9" s="780" t="s">
        <v>1759</v>
      </c>
      <c r="B9" s="780"/>
      <c r="C9" s="780"/>
      <c r="D9" s="780"/>
      <c r="E9" s="672"/>
      <c r="F9" s="610"/>
      <c r="K9" s="610"/>
      <c r="O9" s="613"/>
    </row>
    <row r="10" spans="1:21" ht="15" customHeight="1" x14ac:dyDescent="0.2">
      <c r="A10" s="780" t="s">
        <v>1760</v>
      </c>
      <c r="B10" s="780"/>
      <c r="C10" s="780"/>
      <c r="D10" s="780"/>
      <c r="E10" s="672"/>
      <c r="F10" s="610"/>
      <c r="K10" s="610"/>
      <c r="N10" s="610" t="s">
        <v>1761</v>
      </c>
      <c r="O10" s="611">
        <f>ROUND(O4*Porcentaje_Reparaciones_Repuestos,3)</f>
        <v>0</v>
      </c>
      <c r="Q10" s="612"/>
      <c r="R10" s="612"/>
      <c r="S10" s="612"/>
      <c r="T10" s="612"/>
      <c r="U10" s="612"/>
    </row>
    <row r="11" spans="1:21" ht="15" customHeight="1" x14ac:dyDescent="0.2">
      <c r="A11" s="780" t="s">
        <v>1762</v>
      </c>
      <c r="B11" s="780"/>
      <c r="C11" s="780"/>
      <c r="D11" s="780"/>
      <c r="E11" s="672"/>
      <c r="F11" s="610"/>
      <c r="K11" s="610"/>
      <c r="O11" s="613"/>
      <c r="Q11" s="612"/>
      <c r="R11" s="612"/>
      <c r="S11" s="612"/>
      <c r="T11" s="612"/>
      <c r="U11" s="612"/>
    </row>
    <row r="12" spans="1:21" ht="15" customHeight="1" x14ac:dyDescent="0.2">
      <c r="A12" s="780" t="s">
        <v>1763</v>
      </c>
      <c r="B12" s="780"/>
      <c r="C12" s="780"/>
      <c r="D12" s="780"/>
      <c r="E12" s="672"/>
      <c r="F12" s="610"/>
      <c r="K12" s="610"/>
      <c r="O12" s="613"/>
      <c r="Q12" s="612"/>
      <c r="R12" s="612"/>
      <c r="S12" s="612"/>
      <c r="T12" s="612"/>
      <c r="U12" s="612"/>
    </row>
    <row r="13" spans="1:21" ht="15" customHeight="1" x14ac:dyDescent="0.2">
      <c r="A13" s="780" t="s">
        <v>1764</v>
      </c>
      <c r="B13" s="780"/>
      <c r="C13" s="780"/>
      <c r="D13" s="780"/>
      <c r="E13" s="671"/>
      <c r="F13" s="610"/>
      <c r="G13" s="612"/>
      <c r="H13" s="612"/>
      <c r="I13" s="612"/>
      <c r="J13" s="612"/>
      <c r="K13" s="619"/>
      <c r="N13" s="610" t="s">
        <v>1765</v>
      </c>
      <c r="O13" s="611">
        <f>ROUND(Tiempo_lavado_en_horas*Mano_Obra_Lavado*Cantidad_lavado_al_mes*12/2000,3)</f>
        <v>0</v>
      </c>
      <c r="Q13" s="612"/>
      <c r="R13" s="612"/>
      <c r="S13" s="612"/>
      <c r="T13" s="612"/>
      <c r="U13" s="612"/>
    </row>
    <row r="14" spans="1:21" ht="15" customHeight="1" x14ac:dyDescent="0.2">
      <c r="A14" s="780" t="s">
        <v>1766</v>
      </c>
      <c r="B14" s="780"/>
      <c r="C14" s="780"/>
      <c r="D14" s="780"/>
      <c r="E14" s="673"/>
      <c r="F14" s="610"/>
      <c r="G14" s="612"/>
      <c r="H14" s="612"/>
      <c r="I14" s="612"/>
      <c r="J14" s="612"/>
      <c r="K14" s="619"/>
      <c r="O14" s="613"/>
      <c r="Q14" s="612"/>
      <c r="R14" s="612"/>
      <c r="S14" s="612"/>
      <c r="T14" s="612"/>
      <c r="U14" s="612"/>
    </row>
    <row r="15" spans="1:21" ht="15" customHeight="1" x14ac:dyDescent="0.2">
      <c r="A15" s="780" t="s">
        <v>1767</v>
      </c>
      <c r="B15" s="780"/>
      <c r="C15" s="780"/>
      <c r="D15" s="780"/>
      <c r="E15" s="674"/>
      <c r="F15" s="610"/>
      <c r="G15" s="614"/>
      <c r="H15" s="612"/>
      <c r="I15" s="774"/>
      <c r="J15" s="615"/>
      <c r="K15" s="620"/>
      <c r="O15" s="613"/>
      <c r="Q15" s="621"/>
      <c r="R15" s="622"/>
      <c r="S15" s="774"/>
      <c r="T15" s="618"/>
      <c r="U15" s="623"/>
    </row>
    <row r="16" spans="1:21" ht="15" customHeight="1" x14ac:dyDescent="0.2">
      <c r="A16" s="780" t="s">
        <v>1768</v>
      </c>
      <c r="B16" s="780"/>
      <c r="C16" s="780"/>
      <c r="D16" s="780"/>
      <c r="E16" s="675"/>
      <c r="F16" s="610"/>
      <c r="G16" s="775"/>
      <c r="H16" s="775"/>
      <c r="I16" s="774"/>
      <c r="J16" s="612"/>
      <c r="K16" s="619"/>
      <c r="N16" s="610" t="s">
        <v>1769</v>
      </c>
      <c r="O16" s="611">
        <f>ROUND(Valor_CamiónAcoplado*PorSegurosPatentesImpustoCamión/2000,3)</f>
        <v>0</v>
      </c>
      <c r="Q16" s="776"/>
      <c r="R16" s="776"/>
      <c r="S16" s="774"/>
      <c r="T16" s="612"/>
      <c r="U16" s="612"/>
    </row>
    <row r="17" spans="1:21" ht="15" customHeight="1" x14ac:dyDescent="0.2">
      <c r="A17" s="780" t="s">
        <v>1770</v>
      </c>
      <c r="B17" s="780"/>
      <c r="C17" s="780"/>
      <c r="D17" s="780"/>
      <c r="E17" s="676"/>
      <c r="F17" s="610"/>
      <c r="K17" s="610"/>
      <c r="O17" s="613"/>
    </row>
    <row r="18" spans="1:21" ht="15" customHeight="1" x14ac:dyDescent="0.2">
      <c r="A18" s="780" t="s">
        <v>1771</v>
      </c>
      <c r="B18" s="780"/>
      <c r="C18" s="780"/>
      <c r="D18" s="780"/>
      <c r="E18" s="677"/>
      <c r="F18" s="610"/>
      <c r="K18" s="610"/>
      <c r="O18" s="613"/>
    </row>
    <row r="19" spans="1:21" ht="15" customHeight="1" x14ac:dyDescent="0.2">
      <c r="A19" s="780" t="s">
        <v>1772</v>
      </c>
      <c r="B19" s="780"/>
      <c r="C19" s="780"/>
      <c r="D19" s="780"/>
      <c r="E19" s="678"/>
      <c r="F19" s="610"/>
      <c r="G19" s="614"/>
      <c r="H19" s="612"/>
      <c r="I19" s="612"/>
      <c r="J19" s="615"/>
      <c r="K19" s="620"/>
      <c r="N19" s="610" t="s">
        <v>1773</v>
      </c>
      <c r="O19" s="611">
        <f>IF(V_U_cámara_cubiertas_CamiónAcoplado=0,0,ROUND(Cantidad_camaras_cubiertas*Valor_cámara_cubiertas_CamiónAcoplado/V_U_cámara_cubiertas_CamiónAcoplado,3))</f>
        <v>0</v>
      </c>
      <c r="Q19" s="624"/>
      <c r="R19" s="625"/>
      <c r="S19" s="626"/>
      <c r="T19" s="627"/>
      <c r="U19" s="628"/>
    </row>
    <row r="20" spans="1:21" ht="15" customHeight="1" x14ac:dyDescent="0.2">
      <c r="A20" s="780" t="s">
        <v>1774</v>
      </c>
      <c r="B20" s="780"/>
      <c r="C20" s="780"/>
      <c r="D20" s="780"/>
      <c r="E20" s="672"/>
      <c r="F20" s="610"/>
      <c r="G20" s="775"/>
      <c r="H20" s="775"/>
      <c r="I20" s="612"/>
      <c r="J20" s="612"/>
      <c r="K20" s="619"/>
      <c r="O20" s="613"/>
    </row>
    <row r="21" spans="1:21" ht="15" customHeight="1" x14ac:dyDescent="0.2">
      <c r="A21" s="780" t="s">
        <v>1825</v>
      </c>
      <c r="B21" s="780"/>
      <c r="C21" s="780"/>
      <c r="D21" s="780" t="s">
        <v>1775</v>
      </c>
      <c r="E21" s="679"/>
      <c r="G21" s="769"/>
      <c r="H21" s="769"/>
      <c r="I21" s="769"/>
      <c r="K21" s="610"/>
      <c r="O21" s="613"/>
    </row>
    <row r="22" spans="1:21" ht="15" customHeight="1" x14ac:dyDescent="0.2">
      <c r="A22" s="780" t="s">
        <v>1826</v>
      </c>
      <c r="B22" s="780"/>
      <c r="C22" s="780"/>
      <c r="D22" s="780" t="s">
        <v>1776</v>
      </c>
      <c r="E22" s="680"/>
      <c r="G22" s="612"/>
      <c r="H22" s="612"/>
      <c r="I22" s="612"/>
      <c r="J22" s="612"/>
      <c r="K22" s="619"/>
      <c r="N22" s="610" t="s">
        <v>1777</v>
      </c>
      <c r="O22" s="611">
        <f>ROUND(Consumo_gasoil_CamiónAcoplado_porkm*Costo_gasoil*(1+Porcentaje_Lubricantes),3)</f>
        <v>0</v>
      </c>
    </row>
    <row r="23" spans="1:21" ht="15" customHeight="1" x14ac:dyDescent="0.25">
      <c r="A23" s="682"/>
      <c r="B23" s="682"/>
      <c r="C23" s="682"/>
      <c r="D23" s="682"/>
      <c r="E23" s="682"/>
      <c r="G23" s="629"/>
      <c r="H23" s="630"/>
      <c r="I23" s="631"/>
      <c r="J23" s="632"/>
      <c r="K23" s="620"/>
    </row>
    <row r="24" spans="1:21" s="612" customFormat="1" ht="15" customHeight="1" x14ac:dyDescent="0.2"/>
    <row r="25" spans="1:21" ht="15" customHeight="1" x14ac:dyDescent="0.2">
      <c r="A25" s="771" t="s">
        <v>1778</v>
      </c>
      <c r="B25" s="771"/>
      <c r="C25" s="771"/>
      <c r="D25" s="771"/>
      <c r="E25" s="771"/>
      <c r="F25" s="771"/>
      <c r="G25" s="771"/>
      <c r="H25" s="772" t="s">
        <v>1779</v>
      </c>
      <c r="I25" s="772"/>
      <c r="J25" s="772"/>
      <c r="K25" s="772"/>
      <c r="L25" s="772"/>
      <c r="M25" s="772"/>
      <c r="N25" s="772"/>
      <c r="O25" s="772"/>
      <c r="P25" s="773" t="s">
        <v>1780</v>
      </c>
    </row>
    <row r="26" spans="1:21" ht="15" customHeight="1" x14ac:dyDescent="0.2">
      <c r="A26" s="633" t="s">
        <v>1781</v>
      </c>
      <c r="B26" s="633" t="s">
        <v>1782</v>
      </c>
      <c r="C26" s="633" t="s">
        <v>1783</v>
      </c>
      <c r="D26" s="633" t="s">
        <v>1784</v>
      </c>
      <c r="E26" s="633" t="s">
        <v>1785</v>
      </c>
      <c r="F26" s="633" t="s">
        <v>1040</v>
      </c>
      <c r="G26" s="633" t="s">
        <v>1786</v>
      </c>
      <c r="H26" s="768" t="s">
        <v>1711</v>
      </c>
      <c r="I26" s="768" t="s">
        <v>1787</v>
      </c>
      <c r="J26" s="633" t="s">
        <v>1788</v>
      </c>
      <c r="K26" s="633" t="s">
        <v>1789</v>
      </c>
      <c r="L26" s="633" t="s">
        <v>1790</v>
      </c>
      <c r="M26" s="633" t="s">
        <v>1791</v>
      </c>
      <c r="N26" s="633" t="s">
        <v>1792</v>
      </c>
      <c r="O26" s="634" t="s">
        <v>1824</v>
      </c>
      <c r="P26" s="773"/>
    </row>
    <row r="27" spans="1:21" ht="15" customHeight="1" x14ac:dyDescent="0.2">
      <c r="A27" s="633" t="s">
        <v>1794</v>
      </c>
      <c r="B27" s="633" t="s">
        <v>1795</v>
      </c>
      <c r="C27" s="633" t="s">
        <v>1796</v>
      </c>
      <c r="D27" s="633" t="s">
        <v>1797</v>
      </c>
      <c r="E27" s="633" t="s">
        <v>1798</v>
      </c>
      <c r="F27" s="633" t="s">
        <v>1799</v>
      </c>
      <c r="G27" s="633" t="s">
        <v>1800</v>
      </c>
      <c r="H27" s="768"/>
      <c r="I27" s="768"/>
      <c r="J27" s="633" t="s">
        <v>1801</v>
      </c>
      <c r="K27" s="633" t="s">
        <v>1802</v>
      </c>
      <c r="L27" s="633" t="s">
        <v>1803</v>
      </c>
      <c r="M27" s="633" t="s">
        <v>1804</v>
      </c>
      <c r="N27" s="633" t="s">
        <v>1805</v>
      </c>
      <c r="O27" s="634" t="s">
        <v>1806</v>
      </c>
      <c r="P27" s="773"/>
    </row>
    <row r="28" spans="1:21" ht="15" customHeight="1" x14ac:dyDescent="0.2">
      <c r="A28" s="767" t="s">
        <v>1807</v>
      </c>
      <c r="B28" s="767" t="s">
        <v>1808</v>
      </c>
      <c r="C28" s="767" t="s">
        <v>1809</v>
      </c>
      <c r="D28" s="767" t="s">
        <v>1810</v>
      </c>
      <c r="E28" s="767" t="s">
        <v>1811</v>
      </c>
      <c r="F28" s="767" t="s">
        <v>1812</v>
      </c>
      <c r="G28" s="767" t="s">
        <v>1813</v>
      </c>
      <c r="H28" s="767" t="s">
        <v>1814</v>
      </c>
      <c r="I28" s="767" t="s">
        <v>1815</v>
      </c>
      <c r="J28" s="767" t="s">
        <v>1816</v>
      </c>
      <c r="K28" s="767" t="s">
        <v>1817</v>
      </c>
      <c r="L28" s="767" t="s">
        <v>1818</v>
      </c>
      <c r="M28" s="767" t="s">
        <v>1819</v>
      </c>
      <c r="N28" s="767" t="s">
        <v>1820</v>
      </c>
      <c r="O28" s="767" t="s">
        <v>1821</v>
      </c>
      <c r="P28" s="770" t="s">
        <v>1822</v>
      </c>
    </row>
    <row r="29" spans="1:21" ht="15" customHeight="1" x14ac:dyDescent="0.2">
      <c r="A29" s="767"/>
      <c r="B29" s="767"/>
      <c r="C29" s="767"/>
      <c r="D29" s="767"/>
      <c r="E29" s="767"/>
      <c r="F29" s="767"/>
      <c r="G29" s="767"/>
      <c r="H29" s="767"/>
      <c r="I29" s="767"/>
      <c r="J29" s="767"/>
      <c r="K29" s="767"/>
      <c r="L29" s="767"/>
      <c r="M29" s="767"/>
      <c r="N29" s="767"/>
      <c r="O29" s="767"/>
      <c r="P29" s="770"/>
    </row>
    <row r="30" spans="1:21" ht="15" customHeight="1" x14ac:dyDescent="0.2">
      <c r="A30" s="635">
        <v>55</v>
      </c>
      <c r="B30" s="644"/>
      <c r="C30" s="637">
        <f>IF(B30=0,0,(2*A30*60)/B30)</f>
        <v>0</v>
      </c>
      <c r="D30" s="637"/>
      <c r="E30" s="637">
        <f t="shared" ref="E30:E64" si="0">+C30+D30</f>
        <v>0</v>
      </c>
      <c r="F30" s="645">
        <f>A30*$E$21</f>
        <v>0</v>
      </c>
      <c r="G30" s="640">
        <f t="shared" ref="G30:G64" si="1">+A30*2</f>
        <v>110</v>
      </c>
      <c r="H30" s="641">
        <f>'Transp. Camión con Acoplado'!A*(E30/60)</f>
        <v>0</v>
      </c>
      <c r="I30" s="641">
        <f>'Transp. Camión con Acoplado'!B*(E30/60)</f>
        <v>0</v>
      </c>
      <c r="J30" s="641">
        <f>'Transp. Camión con Acoplado'!C_*(C30/60)</f>
        <v>0</v>
      </c>
      <c r="K30" s="641">
        <f>'Transp. Camión con Acoplado'!D*(E30/60)</f>
        <v>0</v>
      </c>
      <c r="L30" s="641">
        <f>'Transp. Camión con Acoplado'!E*(E30/60)</f>
        <v>0</v>
      </c>
      <c r="M30" s="641">
        <f>'Transp. Camión con Acoplado'!F_*G30</f>
        <v>0</v>
      </c>
      <c r="N30" s="641">
        <f t="shared" ref="N30:N64" si="2">Mano_Obra_Lavado*(E30/60)</f>
        <v>0</v>
      </c>
      <c r="O30" s="641">
        <f>+G30*'Transp. Camión con Acoplado'!G</f>
        <v>0</v>
      </c>
      <c r="P30" s="642">
        <f>IF(F30=0,0,ROUND(SUM(H30:O30)/F30,3))</f>
        <v>0</v>
      </c>
      <c r="R30" s="643"/>
    </row>
    <row r="31" spans="1:21" ht="15" customHeight="1" x14ac:dyDescent="0.2">
      <c r="A31" s="635">
        <v>60</v>
      </c>
      <c r="B31" s="644"/>
      <c r="C31" s="637">
        <f t="shared" ref="C31:C64" si="3">IF(B31=0,0,(2*A31*60)/B31)</f>
        <v>0</v>
      </c>
      <c r="D31" s="637"/>
      <c r="E31" s="637">
        <f t="shared" si="0"/>
        <v>0</v>
      </c>
      <c r="F31" s="645">
        <f t="shared" ref="F31:F64" si="4">A31*$E$21</f>
        <v>0</v>
      </c>
      <c r="G31" s="640">
        <f t="shared" si="1"/>
        <v>120</v>
      </c>
      <c r="H31" s="641">
        <f>'Transp. Camión con Acoplado'!A*(E31/60)</f>
        <v>0</v>
      </c>
      <c r="I31" s="641">
        <f>'Transp. Camión con Acoplado'!B*(E31/60)</f>
        <v>0</v>
      </c>
      <c r="J31" s="641">
        <f>'Transp. Camión con Acoplado'!C_*(C31/60)</f>
        <v>0</v>
      </c>
      <c r="K31" s="641">
        <f>'Transp. Camión con Acoplado'!D*(E31/60)</f>
        <v>0</v>
      </c>
      <c r="L31" s="641">
        <f>'Transp. Camión con Acoplado'!E*(E31/60)</f>
        <v>0</v>
      </c>
      <c r="M31" s="641">
        <f>'Transp. Camión con Acoplado'!F_*G31</f>
        <v>0</v>
      </c>
      <c r="N31" s="641">
        <f t="shared" si="2"/>
        <v>0</v>
      </c>
      <c r="O31" s="641">
        <f>+G31*'Transp. Camión con Acoplado'!G</f>
        <v>0</v>
      </c>
      <c r="P31" s="642">
        <f t="shared" ref="P31:P64" si="5">IF(F31=0,0,ROUND(SUM(H31:O31)/F31,3))</f>
        <v>0</v>
      </c>
      <c r="R31" s="643"/>
    </row>
    <row r="32" spans="1:21" ht="15" customHeight="1" x14ac:dyDescent="0.2">
      <c r="A32" s="635">
        <v>65</v>
      </c>
      <c r="B32" s="644"/>
      <c r="C32" s="637">
        <f t="shared" si="3"/>
        <v>0</v>
      </c>
      <c r="D32" s="637"/>
      <c r="E32" s="637">
        <f t="shared" si="0"/>
        <v>0</v>
      </c>
      <c r="F32" s="645">
        <f t="shared" si="4"/>
        <v>0</v>
      </c>
      <c r="G32" s="640">
        <f t="shared" si="1"/>
        <v>130</v>
      </c>
      <c r="H32" s="641">
        <f>'Transp. Camión con Acoplado'!A*(E32/60)</f>
        <v>0</v>
      </c>
      <c r="I32" s="641">
        <f>'Transp. Camión con Acoplado'!B*(E32/60)</f>
        <v>0</v>
      </c>
      <c r="J32" s="641">
        <f>'Transp. Camión con Acoplado'!C_*(C32/60)</f>
        <v>0</v>
      </c>
      <c r="K32" s="641">
        <f>'Transp. Camión con Acoplado'!D*(E32/60)</f>
        <v>0</v>
      </c>
      <c r="L32" s="641">
        <f>'Transp. Camión con Acoplado'!E*(E32/60)</f>
        <v>0</v>
      </c>
      <c r="M32" s="641">
        <f>'Transp. Camión con Acoplado'!F_*G32</f>
        <v>0</v>
      </c>
      <c r="N32" s="641">
        <f t="shared" si="2"/>
        <v>0</v>
      </c>
      <c r="O32" s="641">
        <f>+G32*'Transp. Camión con Acoplado'!G</f>
        <v>0</v>
      </c>
      <c r="P32" s="642">
        <f t="shared" si="5"/>
        <v>0</v>
      </c>
      <c r="R32" s="643"/>
    </row>
    <row r="33" spans="1:18" ht="15" customHeight="1" x14ac:dyDescent="0.2">
      <c r="A33" s="635">
        <v>70</v>
      </c>
      <c r="B33" s="644"/>
      <c r="C33" s="637">
        <f t="shared" si="3"/>
        <v>0</v>
      </c>
      <c r="D33" s="637"/>
      <c r="E33" s="637">
        <f t="shared" si="0"/>
        <v>0</v>
      </c>
      <c r="F33" s="645">
        <f t="shared" si="4"/>
        <v>0</v>
      </c>
      <c r="G33" s="640">
        <f t="shared" si="1"/>
        <v>140</v>
      </c>
      <c r="H33" s="641">
        <f>'Transp. Camión con Acoplado'!A*(E33/60)</f>
        <v>0</v>
      </c>
      <c r="I33" s="641">
        <f>'Transp. Camión con Acoplado'!B*(E33/60)</f>
        <v>0</v>
      </c>
      <c r="J33" s="641">
        <f>'Transp. Camión con Acoplado'!C_*(C33/60)</f>
        <v>0</v>
      </c>
      <c r="K33" s="641">
        <f>'Transp. Camión con Acoplado'!D*(E33/60)</f>
        <v>0</v>
      </c>
      <c r="L33" s="641">
        <f>'Transp. Camión con Acoplado'!E*(E33/60)</f>
        <v>0</v>
      </c>
      <c r="M33" s="641">
        <f>'Transp. Camión con Acoplado'!F_*G33</f>
        <v>0</v>
      </c>
      <c r="N33" s="641">
        <f t="shared" si="2"/>
        <v>0</v>
      </c>
      <c r="O33" s="641">
        <f>+G33*'Transp. Camión con Acoplado'!G</f>
        <v>0</v>
      </c>
      <c r="P33" s="642">
        <f t="shared" si="5"/>
        <v>0</v>
      </c>
      <c r="R33" s="643"/>
    </row>
    <row r="34" spans="1:18" ht="15" customHeight="1" x14ac:dyDescent="0.2">
      <c r="A34" s="635">
        <v>75</v>
      </c>
      <c r="B34" s="644"/>
      <c r="C34" s="637">
        <f t="shared" si="3"/>
        <v>0</v>
      </c>
      <c r="D34" s="637"/>
      <c r="E34" s="637">
        <f t="shared" si="0"/>
        <v>0</v>
      </c>
      <c r="F34" s="645">
        <f t="shared" si="4"/>
        <v>0</v>
      </c>
      <c r="G34" s="640">
        <f t="shared" si="1"/>
        <v>150</v>
      </c>
      <c r="H34" s="641">
        <f>'Transp. Camión con Acoplado'!A*(E34/60)</f>
        <v>0</v>
      </c>
      <c r="I34" s="641">
        <f>'Transp. Camión con Acoplado'!B*(E34/60)</f>
        <v>0</v>
      </c>
      <c r="J34" s="641">
        <f>'Transp. Camión con Acoplado'!C_*(C34/60)</f>
        <v>0</v>
      </c>
      <c r="K34" s="641">
        <f>'Transp. Camión con Acoplado'!D*(E34/60)</f>
        <v>0</v>
      </c>
      <c r="L34" s="641">
        <f>'Transp. Camión con Acoplado'!E*(E34/60)</f>
        <v>0</v>
      </c>
      <c r="M34" s="641">
        <f>'Transp. Camión con Acoplado'!F_*G34</f>
        <v>0</v>
      </c>
      <c r="N34" s="641">
        <f t="shared" si="2"/>
        <v>0</v>
      </c>
      <c r="O34" s="641">
        <f>+G34*'Transp. Camión con Acoplado'!G</f>
        <v>0</v>
      </c>
      <c r="P34" s="642">
        <f t="shared" si="5"/>
        <v>0</v>
      </c>
      <c r="R34" s="643"/>
    </row>
    <row r="35" spans="1:18" ht="15" customHeight="1" x14ac:dyDescent="0.2">
      <c r="A35" s="635">
        <v>80</v>
      </c>
      <c r="B35" s="644"/>
      <c r="C35" s="637">
        <f t="shared" si="3"/>
        <v>0</v>
      </c>
      <c r="D35" s="637"/>
      <c r="E35" s="637">
        <f t="shared" si="0"/>
        <v>0</v>
      </c>
      <c r="F35" s="645">
        <f t="shared" si="4"/>
        <v>0</v>
      </c>
      <c r="G35" s="640">
        <f t="shared" si="1"/>
        <v>160</v>
      </c>
      <c r="H35" s="641">
        <f>'Transp. Camión con Acoplado'!A*(E35/60)</f>
        <v>0</v>
      </c>
      <c r="I35" s="641">
        <f>'Transp. Camión con Acoplado'!B*(E35/60)</f>
        <v>0</v>
      </c>
      <c r="J35" s="641">
        <f>'Transp. Camión con Acoplado'!C_*(C35/60)</f>
        <v>0</v>
      </c>
      <c r="K35" s="641">
        <f>'Transp. Camión con Acoplado'!D*(E35/60)</f>
        <v>0</v>
      </c>
      <c r="L35" s="641">
        <f>'Transp. Camión con Acoplado'!E*(E35/60)</f>
        <v>0</v>
      </c>
      <c r="M35" s="641">
        <f>'Transp. Camión con Acoplado'!F_*G35</f>
        <v>0</v>
      </c>
      <c r="N35" s="641">
        <f t="shared" si="2"/>
        <v>0</v>
      </c>
      <c r="O35" s="641">
        <f>+G35*'Transp. Camión con Acoplado'!G</f>
        <v>0</v>
      </c>
      <c r="P35" s="642">
        <f t="shared" si="5"/>
        <v>0</v>
      </c>
      <c r="R35" s="643"/>
    </row>
    <row r="36" spans="1:18" ht="15" customHeight="1" x14ac:dyDescent="0.2">
      <c r="A36" s="635">
        <v>85</v>
      </c>
      <c r="B36" s="644"/>
      <c r="C36" s="637">
        <f t="shared" si="3"/>
        <v>0</v>
      </c>
      <c r="D36" s="637"/>
      <c r="E36" s="637">
        <f t="shared" si="0"/>
        <v>0</v>
      </c>
      <c r="F36" s="645">
        <f t="shared" si="4"/>
        <v>0</v>
      </c>
      <c r="G36" s="640">
        <f t="shared" si="1"/>
        <v>170</v>
      </c>
      <c r="H36" s="641">
        <f>'Transp. Camión con Acoplado'!A*(E36/60)</f>
        <v>0</v>
      </c>
      <c r="I36" s="641">
        <f>'Transp. Camión con Acoplado'!B*(E36/60)</f>
        <v>0</v>
      </c>
      <c r="J36" s="641">
        <f>'Transp. Camión con Acoplado'!C_*(C36/60)</f>
        <v>0</v>
      </c>
      <c r="K36" s="641">
        <f>'Transp. Camión con Acoplado'!D*(E36/60)</f>
        <v>0</v>
      </c>
      <c r="L36" s="641">
        <f>'Transp. Camión con Acoplado'!E*(E36/60)</f>
        <v>0</v>
      </c>
      <c r="M36" s="641">
        <f>'Transp. Camión con Acoplado'!F_*G36</f>
        <v>0</v>
      </c>
      <c r="N36" s="641">
        <f t="shared" si="2"/>
        <v>0</v>
      </c>
      <c r="O36" s="641">
        <f>+G36*'Transp. Camión con Acoplado'!G</f>
        <v>0</v>
      </c>
      <c r="P36" s="642">
        <f t="shared" si="5"/>
        <v>0</v>
      </c>
      <c r="R36" s="643"/>
    </row>
    <row r="37" spans="1:18" ht="15" customHeight="1" x14ac:dyDescent="0.2">
      <c r="A37" s="635">
        <v>90</v>
      </c>
      <c r="B37" s="644"/>
      <c r="C37" s="637">
        <f t="shared" si="3"/>
        <v>0</v>
      </c>
      <c r="D37" s="637"/>
      <c r="E37" s="637">
        <f t="shared" si="0"/>
        <v>0</v>
      </c>
      <c r="F37" s="645">
        <f t="shared" si="4"/>
        <v>0</v>
      </c>
      <c r="G37" s="640">
        <f t="shared" si="1"/>
        <v>180</v>
      </c>
      <c r="H37" s="641">
        <f>'Transp. Camión con Acoplado'!A*(E37/60)</f>
        <v>0</v>
      </c>
      <c r="I37" s="641">
        <f>'Transp. Camión con Acoplado'!B*(E37/60)</f>
        <v>0</v>
      </c>
      <c r="J37" s="641">
        <f>'Transp. Camión con Acoplado'!C_*(C37/60)</f>
        <v>0</v>
      </c>
      <c r="K37" s="641">
        <f>'Transp. Camión con Acoplado'!D*(E37/60)</f>
        <v>0</v>
      </c>
      <c r="L37" s="641">
        <f>'Transp. Camión con Acoplado'!E*(E37/60)</f>
        <v>0</v>
      </c>
      <c r="M37" s="641">
        <f>'Transp. Camión con Acoplado'!F_*G37</f>
        <v>0</v>
      </c>
      <c r="N37" s="641">
        <f t="shared" si="2"/>
        <v>0</v>
      </c>
      <c r="O37" s="641">
        <f>+G37*'Transp. Camión con Acoplado'!G</f>
        <v>0</v>
      </c>
      <c r="P37" s="642">
        <f t="shared" si="5"/>
        <v>0</v>
      </c>
      <c r="R37" s="643"/>
    </row>
    <row r="38" spans="1:18" ht="15" customHeight="1" x14ac:dyDescent="0.2">
      <c r="A38" s="635">
        <v>95</v>
      </c>
      <c r="B38" s="644"/>
      <c r="C38" s="637">
        <f t="shared" si="3"/>
        <v>0</v>
      </c>
      <c r="D38" s="637"/>
      <c r="E38" s="637">
        <f t="shared" si="0"/>
        <v>0</v>
      </c>
      <c r="F38" s="645">
        <f t="shared" si="4"/>
        <v>0</v>
      </c>
      <c r="G38" s="640">
        <f t="shared" si="1"/>
        <v>190</v>
      </c>
      <c r="H38" s="641">
        <f>'Transp. Camión con Acoplado'!A*(E38/60)</f>
        <v>0</v>
      </c>
      <c r="I38" s="641">
        <f>'Transp. Camión con Acoplado'!B*(E38/60)</f>
        <v>0</v>
      </c>
      <c r="J38" s="641">
        <f>'Transp. Camión con Acoplado'!C_*(C38/60)</f>
        <v>0</v>
      </c>
      <c r="K38" s="641">
        <f>'Transp. Camión con Acoplado'!D*(E38/60)</f>
        <v>0</v>
      </c>
      <c r="L38" s="641">
        <f>'Transp. Camión con Acoplado'!E*(E38/60)</f>
        <v>0</v>
      </c>
      <c r="M38" s="641">
        <f>'Transp. Camión con Acoplado'!F_*G38</f>
        <v>0</v>
      </c>
      <c r="N38" s="641">
        <f t="shared" si="2"/>
        <v>0</v>
      </c>
      <c r="O38" s="641">
        <f>+G38*'Transp. Camión con Acoplado'!G</f>
        <v>0</v>
      </c>
      <c r="P38" s="642">
        <f t="shared" si="5"/>
        <v>0</v>
      </c>
      <c r="R38" s="643"/>
    </row>
    <row r="39" spans="1:18" ht="15" customHeight="1" x14ac:dyDescent="0.2">
      <c r="A39" s="635">
        <v>100</v>
      </c>
      <c r="B39" s="644"/>
      <c r="C39" s="637">
        <f t="shared" si="3"/>
        <v>0</v>
      </c>
      <c r="D39" s="637"/>
      <c r="E39" s="637">
        <f t="shared" si="0"/>
        <v>0</v>
      </c>
      <c r="F39" s="645">
        <f t="shared" si="4"/>
        <v>0</v>
      </c>
      <c r="G39" s="640">
        <f t="shared" si="1"/>
        <v>200</v>
      </c>
      <c r="H39" s="641">
        <f>'Transp. Camión con Acoplado'!A*(E39/60)</f>
        <v>0</v>
      </c>
      <c r="I39" s="641">
        <f>'Transp. Camión con Acoplado'!B*(E39/60)</f>
        <v>0</v>
      </c>
      <c r="J39" s="641">
        <f>'Transp. Camión con Acoplado'!C_*(C39/60)</f>
        <v>0</v>
      </c>
      <c r="K39" s="641">
        <f>'Transp. Camión con Acoplado'!D*(E39/60)</f>
        <v>0</v>
      </c>
      <c r="L39" s="641">
        <f>'Transp. Camión con Acoplado'!E*(E39/60)</f>
        <v>0</v>
      </c>
      <c r="M39" s="641">
        <f>'Transp. Camión con Acoplado'!F_*G39</f>
        <v>0</v>
      </c>
      <c r="N39" s="641">
        <f t="shared" si="2"/>
        <v>0</v>
      </c>
      <c r="O39" s="641">
        <f>+G39*'Transp. Camión con Acoplado'!G</f>
        <v>0</v>
      </c>
      <c r="P39" s="642">
        <f t="shared" si="5"/>
        <v>0</v>
      </c>
      <c r="R39" s="643"/>
    </row>
    <row r="40" spans="1:18" ht="15" customHeight="1" x14ac:dyDescent="0.2">
      <c r="A40" s="635">
        <v>105</v>
      </c>
      <c r="B40" s="644"/>
      <c r="C40" s="637">
        <f t="shared" si="3"/>
        <v>0</v>
      </c>
      <c r="D40" s="637"/>
      <c r="E40" s="637">
        <f t="shared" si="0"/>
        <v>0</v>
      </c>
      <c r="F40" s="645">
        <f t="shared" si="4"/>
        <v>0</v>
      </c>
      <c r="G40" s="640">
        <f t="shared" si="1"/>
        <v>210</v>
      </c>
      <c r="H40" s="641">
        <f>'Transp. Camión con Acoplado'!A*(E40/60)</f>
        <v>0</v>
      </c>
      <c r="I40" s="641">
        <f>'Transp. Camión con Acoplado'!B*(E40/60)</f>
        <v>0</v>
      </c>
      <c r="J40" s="641">
        <f>'Transp. Camión con Acoplado'!C_*(C40/60)</f>
        <v>0</v>
      </c>
      <c r="K40" s="641">
        <f>'Transp. Camión con Acoplado'!D*(E40/60)</f>
        <v>0</v>
      </c>
      <c r="L40" s="641">
        <f>'Transp. Camión con Acoplado'!E*(E40/60)</f>
        <v>0</v>
      </c>
      <c r="M40" s="641">
        <f>'Transp. Camión con Acoplado'!F_*G40</f>
        <v>0</v>
      </c>
      <c r="N40" s="641">
        <f t="shared" si="2"/>
        <v>0</v>
      </c>
      <c r="O40" s="641">
        <f>+G40*'Transp. Camión con Acoplado'!G</f>
        <v>0</v>
      </c>
      <c r="P40" s="642">
        <f t="shared" si="5"/>
        <v>0</v>
      </c>
      <c r="R40" s="643"/>
    </row>
    <row r="41" spans="1:18" ht="15" customHeight="1" x14ac:dyDescent="0.2">
      <c r="A41" s="635">
        <v>110</v>
      </c>
      <c r="B41" s="644"/>
      <c r="C41" s="637">
        <f t="shared" si="3"/>
        <v>0</v>
      </c>
      <c r="D41" s="637"/>
      <c r="E41" s="637">
        <f t="shared" si="0"/>
        <v>0</v>
      </c>
      <c r="F41" s="645">
        <f t="shared" si="4"/>
        <v>0</v>
      </c>
      <c r="G41" s="640">
        <f t="shared" si="1"/>
        <v>220</v>
      </c>
      <c r="H41" s="641">
        <f>'Transp. Camión con Acoplado'!A*(E41/60)</f>
        <v>0</v>
      </c>
      <c r="I41" s="641">
        <f>'Transp. Camión con Acoplado'!B*(E41/60)</f>
        <v>0</v>
      </c>
      <c r="J41" s="641">
        <f>'Transp. Camión con Acoplado'!C_*(C41/60)</f>
        <v>0</v>
      </c>
      <c r="K41" s="641">
        <f>'Transp. Camión con Acoplado'!D*(E41/60)</f>
        <v>0</v>
      </c>
      <c r="L41" s="641">
        <f>'Transp. Camión con Acoplado'!E*(E41/60)</f>
        <v>0</v>
      </c>
      <c r="M41" s="641">
        <f>'Transp. Camión con Acoplado'!F_*G41</f>
        <v>0</v>
      </c>
      <c r="N41" s="641">
        <f t="shared" si="2"/>
        <v>0</v>
      </c>
      <c r="O41" s="641">
        <f>+G41*'Transp. Camión con Acoplado'!G</f>
        <v>0</v>
      </c>
      <c r="P41" s="642">
        <f t="shared" si="5"/>
        <v>0</v>
      </c>
      <c r="R41" s="643"/>
    </row>
    <row r="42" spans="1:18" ht="15" customHeight="1" x14ac:dyDescent="0.2">
      <c r="A42" s="635">
        <v>120</v>
      </c>
      <c r="B42" s="644"/>
      <c r="C42" s="637">
        <f t="shared" si="3"/>
        <v>0</v>
      </c>
      <c r="D42" s="637"/>
      <c r="E42" s="637">
        <f t="shared" si="0"/>
        <v>0</v>
      </c>
      <c r="F42" s="645">
        <f t="shared" si="4"/>
        <v>0</v>
      </c>
      <c r="G42" s="640">
        <f t="shared" si="1"/>
        <v>240</v>
      </c>
      <c r="H42" s="641">
        <f>'Transp. Camión con Acoplado'!A*(E42/60)</f>
        <v>0</v>
      </c>
      <c r="I42" s="641">
        <f>'Transp. Camión con Acoplado'!B*(E42/60)</f>
        <v>0</v>
      </c>
      <c r="J42" s="641">
        <f>'Transp. Camión con Acoplado'!C_*(C42/60)</f>
        <v>0</v>
      </c>
      <c r="K42" s="641">
        <f>'Transp. Camión con Acoplado'!D*(E42/60)</f>
        <v>0</v>
      </c>
      <c r="L42" s="641">
        <f>'Transp. Camión con Acoplado'!E*(E42/60)</f>
        <v>0</v>
      </c>
      <c r="M42" s="641">
        <f>'Transp. Camión con Acoplado'!F_*G42</f>
        <v>0</v>
      </c>
      <c r="N42" s="641">
        <f t="shared" si="2"/>
        <v>0</v>
      </c>
      <c r="O42" s="641">
        <f>+G42*'Transp. Camión con Acoplado'!G</f>
        <v>0</v>
      </c>
      <c r="P42" s="642">
        <f t="shared" si="5"/>
        <v>0</v>
      </c>
      <c r="R42" s="643"/>
    </row>
    <row r="43" spans="1:18" ht="15" customHeight="1" x14ac:dyDescent="0.2">
      <c r="A43" s="635">
        <v>130</v>
      </c>
      <c r="B43" s="644"/>
      <c r="C43" s="637">
        <f t="shared" si="3"/>
        <v>0</v>
      </c>
      <c r="D43" s="637"/>
      <c r="E43" s="637">
        <f t="shared" si="0"/>
        <v>0</v>
      </c>
      <c r="F43" s="645">
        <f t="shared" si="4"/>
        <v>0</v>
      </c>
      <c r="G43" s="640">
        <f t="shared" si="1"/>
        <v>260</v>
      </c>
      <c r="H43" s="641">
        <f>'Transp. Camión con Acoplado'!A*(E43/60)</f>
        <v>0</v>
      </c>
      <c r="I43" s="641">
        <f>'Transp. Camión con Acoplado'!B*(E43/60)</f>
        <v>0</v>
      </c>
      <c r="J43" s="641">
        <f>'Transp. Camión con Acoplado'!C_*(C43/60)</f>
        <v>0</v>
      </c>
      <c r="K43" s="641">
        <f>'Transp. Camión con Acoplado'!D*(E43/60)</f>
        <v>0</v>
      </c>
      <c r="L43" s="641">
        <f>'Transp. Camión con Acoplado'!E*(E43/60)</f>
        <v>0</v>
      </c>
      <c r="M43" s="641">
        <f>'Transp. Camión con Acoplado'!F_*G43</f>
        <v>0</v>
      </c>
      <c r="N43" s="641">
        <f t="shared" si="2"/>
        <v>0</v>
      </c>
      <c r="O43" s="641">
        <f>+G43*'Transp. Camión con Acoplado'!G</f>
        <v>0</v>
      </c>
      <c r="P43" s="642">
        <f t="shared" si="5"/>
        <v>0</v>
      </c>
      <c r="R43" s="643"/>
    </row>
    <row r="44" spans="1:18" ht="15" customHeight="1" x14ac:dyDescent="0.2">
      <c r="A44" s="635">
        <v>140</v>
      </c>
      <c r="B44" s="644"/>
      <c r="C44" s="637">
        <f t="shared" si="3"/>
        <v>0</v>
      </c>
      <c r="D44" s="637"/>
      <c r="E44" s="637">
        <f t="shared" si="0"/>
        <v>0</v>
      </c>
      <c r="F44" s="645">
        <f t="shared" si="4"/>
        <v>0</v>
      </c>
      <c r="G44" s="640">
        <f t="shared" si="1"/>
        <v>280</v>
      </c>
      <c r="H44" s="641">
        <f>'Transp. Camión con Acoplado'!A*(E44/60)</f>
        <v>0</v>
      </c>
      <c r="I44" s="641">
        <f>'Transp. Camión con Acoplado'!B*(E44/60)</f>
        <v>0</v>
      </c>
      <c r="J44" s="641">
        <f>'Transp. Camión con Acoplado'!C_*(C44/60)</f>
        <v>0</v>
      </c>
      <c r="K44" s="641">
        <f>'Transp. Camión con Acoplado'!D*(E44/60)</f>
        <v>0</v>
      </c>
      <c r="L44" s="641">
        <f>'Transp. Camión con Acoplado'!E*(E44/60)</f>
        <v>0</v>
      </c>
      <c r="M44" s="641">
        <f>'Transp. Camión con Acoplado'!F_*G44</f>
        <v>0</v>
      </c>
      <c r="N44" s="641">
        <f t="shared" si="2"/>
        <v>0</v>
      </c>
      <c r="O44" s="641">
        <f>+G44*'Transp. Camión con Acoplado'!G</f>
        <v>0</v>
      </c>
      <c r="P44" s="642">
        <f t="shared" si="5"/>
        <v>0</v>
      </c>
      <c r="R44" s="643"/>
    </row>
    <row r="45" spans="1:18" ht="15" customHeight="1" x14ac:dyDescent="0.2">
      <c r="A45" s="635">
        <v>150</v>
      </c>
      <c r="B45" s="644"/>
      <c r="C45" s="637">
        <f t="shared" si="3"/>
        <v>0</v>
      </c>
      <c r="D45" s="637"/>
      <c r="E45" s="637">
        <f t="shared" si="0"/>
        <v>0</v>
      </c>
      <c r="F45" s="645">
        <f t="shared" si="4"/>
        <v>0</v>
      </c>
      <c r="G45" s="640">
        <f t="shared" si="1"/>
        <v>300</v>
      </c>
      <c r="H45" s="641">
        <f>'Transp. Camión con Acoplado'!A*(E45/60)</f>
        <v>0</v>
      </c>
      <c r="I45" s="641">
        <f>'Transp. Camión con Acoplado'!B*(E45/60)</f>
        <v>0</v>
      </c>
      <c r="J45" s="641">
        <f>'Transp. Camión con Acoplado'!C_*(C45/60)</f>
        <v>0</v>
      </c>
      <c r="K45" s="641">
        <f>'Transp. Camión con Acoplado'!D*(E45/60)</f>
        <v>0</v>
      </c>
      <c r="L45" s="641">
        <f>'Transp. Camión con Acoplado'!E*(E45/60)</f>
        <v>0</v>
      </c>
      <c r="M45" s="641">
        <f>'Transp. Camión con Acoplado'!F_*G45</f>
        <v>0</v>
      </c>
      <c r="N45" s="641">
        <f t="shared" si="2"/>
        <v>0</v>
      </c>
      <c r="O45" s="641">
        <f>+G45*'Transp. Camión con Acoplado'!G</f>
        <v>0</v>
      </c>
      <c r="P45" s="642">
        <f t="shared" si="5"/>
        <v>0</v>
      </c>
      <c r="R45" s="643"/>
    </row>
    <row r="46" spans="1:18" ht="15" customHeight="1" x14ac:dyDescent="0.2">
      <c r="A46" s="635">
        <v>160</v>
      </c>
      <c r="B46" s="644"/>
      <c r="C46" s="637">
        <f t="shared" si="3"/>
        <v>0</v>
      </c>
      <c r="D46" s="637"/>
      <c r="E46" s="637">
        <f t="shared" si="0"/>
        <v>0</v>
      </c>
      <c r="F46" s="645">
        <f t="shared" si="4"/>
        <v>0</v>
      </c>
      <c r="G46" s="640">
        <f t="shared" si="1"/>
        <v>320</v>
      </c>
      <c r="H46" s="641">
        <f>'Transp. Camión con Acoplado'!A*(E46/60)</f>
        <v>0</v>
      </c>
      <c r="I46" s="641">
        <f>'Transp. Camión con Acoplado'!B*(E46/60)</f>
        <v>0</v>
      </c>
      <c r="J46" s="641">
        <f>'Transp. Camión con Acoplado'!C_*(C46/60)</f>
        <v>0</v>
      </c>
      <c r="K46" s="641">
        <f>'Transp. Camión con Acoplado'!D*(E46/60)</f>
        <v>0</v>
      </c>
      <c r="L46" s="641">
        <f>'Transp. Camión con Acoplado'!E*(E46/60)</f>
        <v>0</v>
      </c>
      <c r="M46" s="641">
        <f>'Transp. Camión con Acoplado'!F_*G46</f>
        <v>0</v>
      </c>
      <c r="N46" s="641">
        <f t="shared" si="2"/>
        <v>0</v>
      </c>
      <c r="O46" s="641">
        <f>+G46*'Transp. Camión con Acoplado'!G</f>
        <v>0</v>
      </c>
      <c r="P46" s="642">
        <f t="shared" si="5"/>
        <v>0</v>
      </c>
      <c r="R46" s="643"/>
    </row>
    <row r="47" spans="1:18" ht="15" customHeight="1" x14ac:dyDescent="0.2">
      <c r="A47" s="635">
        <v>170</v>
      </c>
      <c r="B47" s="644"/>
      <c r="C47" s="637">
        <f t="shared" si="3"/>
        <v>0</v>
      </c>
      <c r="D47" s="637"/>
      <c r="E47" s="637">
        <f t="shared" si="0"/>
        <v>0</v>
      </c>
      <c r="F47" s="645">
        <f t="shared" si="4"/>
        <v>0</v>
      </c>
      <c r="G47" s="640">
        <f t="shared" si="1"/>
        <v>340</v>
      </c>
      <c r="H47" s="641">
        <f>'Transp. Camión con Acoplado'!A*(E47/60)</f>
        <v>0</v>
      </c>
      <c r="I47" s="641">
        <f>'Transp. Camión con Acoplado'!B*(E47/60)</f>
        <v>0</v>
      </c>
      <c r="J47" s="641">
        <f>'Transp. Camión con Acoplado'!C_*(C47/60)</f>
        <v>0</v>
      </c>
      <c r="K47" s="641">
        <f>'Transp. Camión con Acoplado'!D*(E47/60)</f>
        <v>0</v>
      </c>
      <c r="L47" s="641">
        <f>'Transp. Camión con Acoplado'!E*(E47/60)</f>
        <v>0</v>
      </c>
      <c r="M47" s="641">
        <f>'Transp. Camión con Acoplado'!F_*G47</f>
        <v>0</v>
      </c>
      <c r="N47" s="641">
        <f t="shared" si="2"/>
        <v>0</v>
      </c>
      <c r="O47" s="641">
        <f>+G47*'Transp. Camión con Acoplado'!G</f>
        <v>0</v>
      </c>
      <c r="P47" s="642">
        <f t="shared" si="5"/>
        <v>0</v>
      </c>
      <c r="R47" s="643"/>
    </row>
    <row r="48" spans="1:18" ht="15" customHeight="1" x14ac:dyDescent="0.2">
      <c r="A48" s="635">
        <v>180</v>
      </c>
      <c r="B48" s="644"/>
      <c r="C48" s="637">
        <f t="shared" si="3"/>
        <v>0</v>
      </c>
      <c r="D48" s="637"/>
      <c r="E48" s="637">
        <f t="shared" si="0"/>
        <v>0</v>
      </c>
      <c r="F48" s="645">
        <f t="shared" si="4"/>
        <v>0</v>
      </c>
      <c r="G48" s="640">
        <f t="shared" si="1"/>
        <v>360</v>
      </c>
      <c r="H48" s="641">
        <f>'Transp. Camión con Acoplado'!A*(E48/60)</f>
        <v>0</v>
      </c>
      <c r="I48" s="641">
        <f>'Transp. Camión con Acoplado'!B*(E48/60)</f>
        <v>0</v>
      </c>
      <c r="J48" s="641">
        <f>'Transp. Camión con Acoplado'!C_*(C48/60)</f>
        <v>0</v>
      </c>
      <c r="K48" s="641">
        <f>'Transp. Camión con Acoplado'!D*(E48/60)</f>
        <v>0</v>
      </c>
      <c r="L48" s="641">
        <f>'Transp. Camión con Acoplado'!E*(E48/60)</f>
        <v>0</v>
      </c>
      <c r="M48" s="641">
        <f>'Transp. Camión con Acoplado'!F_*G48</f>
        <v>0</v>
      </c>
      <c r="N48" s="641">
        <f t="shared" si="2"/>
        <v>0</v>
      </c>
      <c r="O48" s="641">
        <f>+G48*'Transp. Camión con Acoplado'!G</f>
        <v>0</v>
      </c>
      <c r="P48" s="642">
        <f t="shared" si="5"/>
        <v>0</v>
      </c>
      <c r="R48" s="643"/>
    </row>
    <row r="49" spans="1:18" ht="15" customHeight="1" x14ac:dyDescent="0.2">
      <c r="A49" s="635">
        <v>200</v>
      </c>
      <c r="B49" s="644"/>
      <c r="C49" s="637">
        <f t="shared" si="3"/>
        <v>0</v>
      </c>
      <c r="D49" s="637"/>
      <c r="E49" s="637">
        <f t="shared" si="0"/>
        <v>0</v>
      </c>
      <c r="F49" s="645">
        <f t="shared" si="4"/>
        <v>0</v>
      </c>
      <c r="G49" s="640">
        <f t="shared" si="1"/>
        <v>400</v>
      </c>
      <c r="H49" s="641">
        <f>'Transp. Camión con Acoplado'!A*(E49/60)</f>
        <v>0</v>
      </c>
      <c r="I49" s="641">
        <f>'Transp. Camión con Acoplado'!B*(E49/60)</f>
        <v>0</v>
      </c>
      <c r="J49" s="641">
        <f>'Transp. Camión con Acoplado'!C_*(C49/60)</f>
        <v>0</v>
      </c>
      <c r="K49" s="641">
        <f>'Transp. Camión con Acoplado'!D*(E49/60)</f>
        <v>0</v>
      </c>
      <c r="L49" s="641">
        <f>'Transp. Camión con Acoplado'!E*(E49/60)</f>
        <v>0</v>
      </c>
      <c r="M49" s="641">
        <f>'Transp. Camión con Acoplado'!F_*G49</f>
        <v>0</v>
      </c>
      <c r="N49" s="641">
        <f t="shared" si="2"/>
        <v>0</v>
      </c>
      <c r="O49" s="641">
        <f>+G49*'Transp. Camión con Acoplado'!G</f>
        <v>0</v>
      </c>
      <c r="P49" s="642">
        <f t="shared" si="5"/>
        <v>0</v>
      </c>
      <c r="R49" s="643"/>
    </row>
    <row r="50" spans="1:18" ht="15" customHeight="1" x14ac:dyDescent="0.2">
      <c r="A50" s="635">
        <v>225</v>
      </c>
      <c r="B50" s="644"/>
      <c r="C50" s="637">
        <f t="shared" si="3"/>
        <v>0</v>
      </c>
      <c r="D50" s="637"/>
      <c r="E50" s="637">
        <f t="shared" si="0"/>
        <v>0</v>
      </c>
      <c r="F50" s="645">
        <f t="shared" si="4"/>
        <v>0</v>
      </c>
      <c r="G50" s="640">
        <f t="shared" si="1"/>
        <v>450</v>
      </c>
      <c r="H50" s="641">
        <f>'Transp. Camión con Acoplado'!A*(E50/60)</f>
        <v>0</v>
      </c>
      <c r="I50" s="641">
        <f>'Transp. Camión con Acoplado'!B*(E50/60)</f>
        <v>0</v>
      </c>
      <c r="J50" s="641">
        <f>'Transp. Camión con Acoplado'!C_*(C50/60)</f>
        <v>0</v>
      </c>
      <c r="K50" s="641">
        <f>'Transp. Camión con Acoplado'!D*(E50/60)</f>
        <v>0</v>
      </c>
      <c r="L50" s="641">
        <f>'Transp. Camión con Acoplado'!E*(E50/60)</f>
        <v>0</v>
      </c>
      <c r="M50" s="641">
        <f>'Transp. Camión con Acoplado'!F_*G50</f>
        <v>0</v>
      </c>
      <c r="N50" s="641">
        <f t="shared" si="2"/>
        <v>0</v>
      </c>
      <c r="O50" s="641">
        <f>+G50*'Transp. Camión con Acoplado'!G</f>
        <v>0</v>
      </c>
      <c r="P50" s="642">
        <f t="shared" si="5"/>
        <v>0</v>
      </c>
      <c r="R50" s="643"/>
    </row>
    <row r="51" spans="1:18" ht="15" customHeight="1" x14ac:dyDescent="0.2">
      <c r="A51" s="635">
        <v>250</v>
      </c>
      <c r="B51" s="644"/>
      <c r="C51" s="637">
        <f t="shared" si="3"/>
        <v>0</v>
      </c>
      <c r="D51" s="637"/>
      <c r="E51" s="637">
        <f t="shared" si="0"/>
        <v>0</v>
      </c>
      <c r="F51" s="645">
        <f t="shared" si="4"/>
        <v>0</v>
      </c>
      <c r="G51" s="640">
        <f t="shared" si="1"/>
        <v>500</v>
      </c>
      <c r="H51" s="641">
        <f>'Transp. Camión con Acoplado'!A*(E51/60)</f>
        <v>0</v>
      </c>
      <c r="I51" s="641">
        <f>'Transp. Camión con Acoplado'!B*(E51/60)</f>
        <v>0</v>
      </c>
      <c r="J51" s="641">
        <f>'Transp. Camión con Acoplado'!C_*(C51/60)</f>
        <v>0</v>
      </c>
      <c r="K51" s="641">
        <f>'Transp. Camión con Acoplado'!D*(E51/60)</f>
        <v>0</v>
      </c>
      <c r="L51" s="641">
        <f>'Transp. Camión con Acoplado'!E*(E51/60)</f>
        <v>0</v>
      </c>
      <c r="M51" s="641">
        <f>'Transp. Camión con Acoplado'!F_*G51</f>
        <v>0</v>
      </c>
      <c r="N51" s="641">
        <f t="shared" si="2"/>
        <v>0</v>
      </c>
      <c r="O51" s="641">
        <f>+G51*'Transp. Camión con Acoplado'!G</f>
        <v>0</v>
      </c>
      <c r="P51" s="642">
        <f t="shared" si="5"/>
        <v>0</v>
      </c>
      <c r="R51" s="643"/>
    </row>
    <row r="52" spans="1:18" ht="15" customHeight="1" x14ac:dyDescent="0.2">
      <c r="A52" s="635">
        <v>275</v>
      </c>
      <c r="B52" s="644"/>
      <c r="C52" s="637">
        <f t="shared" si="3"/>
        <v>0</v>
      </c>
      <c r="D52" s="637"/>
      <c r="E52" s="637">
        <f t="shared" si="0"/>
        <v>0</v>
      </c>
      <c r="F52" s="645">
        <f t="shared" si="4"/>
        <v>0</v>
      </c>
      <c r="G52" s="640">
        <f t="shared" si="1"/>
        <v>550</v>
      </c>
      <c r="H52" s="641">
        <f>'Transp. Camión con Acoplado'!A*(E52/60)</f>
        <v>0</v>
      </c>
      <c r="I52" s="641">
        <f>'Transp. Camión con Acoplado'!B*(E52/60)</f>
        <v>0</v>
      </c>
      <c r="J52" s="641">
        <f>'Transp. Camión con Acoplado'!C_*(C52/60)</f>
        <v>0</v>
      </c>
      <c r="K52" s="641">
        <f>'Transp. Camión con Acoplado'!D*(E52/60)</f>
        <v>0</v>
      </c>
      <c r="L52" s="641">
        <f>'Transp. Camión con Acoplado'!E*(E52/60)</f>
        <v>0</v>
      </c>
      <c r="M52" s="641">
        <f>'Transp. Camión con Acoplado'!F_*G52</f>
        <v>0</v>
      </c>
      <c r="N52" s="641">
        <f t="shared" si="2"/>
        <v>0</v>
      </c>
      <c r="O52" s="641">
        <f>+G52*'Transp. Camión con Acoplado'!G</f>
        <v>0</v>
      </c>
      <c r="P52" s="642">
        <f t="shared" si="5"/>
        <v>0</v>
      </c>
      <c r="R52" s="643"/>
    </row>
    <row r="53" spans="1:18" ht="15" customHeight="1" x14ac:dyDescent="0.2">
      <c r="A53" s="635">
        <v>300</v>
      </c>
      <c r="B53" s="644"/>
      <c r="C53" s="637">
        <f t="shared" si="3"/>
        <v>0</v>
      </c>
      <c r="D53" s="637"/>
      <c r="E53" s="637">
        <f t="shared" si="0"/>
        <v>0</v>
      </c>
      <c r="F53" s="645">
        <f t="shared" si="4"/>
        <v>0</v>
      </c>
      <c r="G53" s="640">
        <f t="shared" si="1"/>
        <v>600</v>
      </c>
      <c r="H53" s="641">
        <f>'Transp. Camión con Acoplado'!A*(E53/60)</f>
        <v>0</v>
      </c>
      <c r="I53" s="641">
        <f>'Transp. Camión con Acoplado'!B*(E53/60)</f>
        <v>0</v>
      </c>
      <c r="J53" s="641">
        <f>'Transp. Camión con Acoplado'!C_*(C53/60)</f>
        <v>0</v>
      </c>
      <c r="K53" s="641">
        <f>'Transp. Camión con Acoplado'!D*(E53/60)</f>
        <v>0</v>
      </c>
      <c r="L53" s="641">
        <f>'Transp. Camión con Acoplado'!E*(E53/60)</f>
        <v>0</v>
      </c>
      <c r="M53" s="641">
        <f>'Transp. Camión con Acoplado'!F_*G53</f>
        <v>0</v>
      </c>
      <c r="N53" s="641">
        <f t="shared" si="2"/>
        <v>0</v>
      </c>
      <c r="O53" s="641">
        <f>+G53*'Transp. Camión con Acoplado'!G</f>
        <v>0</v>
      </c>
      <c r="P53" s="642">
        <f t="shared" si="5"/>
        <v>0</v>
      </c>
      <c r="R53" s="643"/>
    </row>
    <row r="54" spans="1:18" ht="15" customHeight="1" x14ac:dyDescent="0.2">
      <c r="A54" s="635">
        <v>325</v>
      </c>
      <c r="B54" s="644"/>
      <c r="C54" s="637">
        <f t="shared" si="3"/>
        <v>0</v>
      </c>
      <c r="D54" s="637"/>
      <c r="E54" s="637">
        <f t="shared" si="0"/>
        <v>0</v>
      </c>
      <c r="F54" s="645">
        <f t="shared" si="4"/>
        <v>0</v>
      </c>
      <c r="G54" s="640">
        <f t="shared" si="1"/>
        <v>650</v>
      </c>
      <c r="H54" s="641">
        <f>'Transp. Camión con Acoplado'!A*(E54/60)</f>
        <v>0</v>
      </c>
      <c r="I54" s="641">
        <f>'Transp. Camión con Acoplado'!B*(E54/60)</f>
        <v>0</v>
      </c>
      <c r="J54" s="641">
        <f>'Transp. Camión con Acoplado'!C_*(C54/60)</f>
        <v>0</v>
      </c>
      <c r="K54" s="641">
        <f>'Transp. Camión con Acoplado'!D*(E54/60)</f>
        <v>0</v>
      </c>
      <c r="L54" s="641">
        <f>'Transp. Camión con Acoplado'!E*(E54/60)</f>
        <v>0</v>
      </c>
      <c r="M54" s="641">
        <f>'Transp. Camión con Acoplado'!F_*G54</f>
        <v>0</v>
      </c>
      <c r="N54" s="641">
        <f t="shared" si="2"/>
        <v>0</v>
      </c>
      <c r="O54" s="641">
        <f>+G54*'Transp. Camión con Acoplado'!G</f>
        <v>0</v>
      </c>
      <c r="P54" s="642">
        <f t="shared" si="5"/>
        <v>0</v>
      </c>
      <c r="R54" s="643"/>
    </row>
    <row r="55" spans="1:18" ht="15" customHeight="1" x14ac:dyDescent="0.2">
      <c r="A55" s="635">
        <v>350</v>
      </c>
      <c r="B55" s="644"/>
      <c r="C55" s="637">
        <f t="shared" si="3"/>
        <v>0</v>
      </c>
      <c r="D55" s="637"/>
      <c r="E55" s="637">
        <f t="shared" si="0"/>
        <v>0</v>
      </c>
      <c r="F55" s="645">
        <f t="shared" si="4"/>
        <v>0</v>
      </c>
      <c r="G55" s="640">
        <f t="shared" si="1"/>
        <v>700</v>
      </c>
      <c r="H55" s="641">
        <f>'Transp. Camión con Acoplado'!A*(E55/60)</f>
        <v>0</v>
      </c>
      <c r="I55" s="641">
        <f>'Transp. Camión con Acoplado'!B*(E55/60)</f>
        <v>0</v>
      </c>
      <c r="J55" s="641">
        <f>'Transp. Camión con Acoplado'!C_*(C55/60)</f>
        <v>0</v>
      </c>
      <c r="K55" s="641">
        <f>'Transp. Camión con Acoplado'!D*(E55/60)</f>
        <v>0</v>
      </c>
      <c r="L55" s="641">
        <f>'Transp. Camión con Acoplado'!E*(E55/60)</f>
        <v>0</v>
      </c>
      <c r="M55" s="641">
        <f>'Transp. Camión con Acoplado'!F_*G55</f>
        <v>0</v>
      </c>
      <c r="N55" s="641">
        <f t="shared" si="2"/>
        <v>0</v>
      </c>
      <c r="O55" s="641">
        <f>+G55*'Transp. Camión con Acoplado'!G</f>
        <v>0</v>
      </c>
      <c r="P55" s="642">
        <f t="shared" si="5"/>
        <v>0</v>
      </c>
      <c r="R55" s="643"/>
    </row>
    <row r="56" spans="1:18" ht="15" customHeight="1" x14ac:dyDescent="0.2">
      <c r="A56" s="635">
        <v>375</v>
      </c>
      <c r="B56" s="644"/>
      <c r="C56" s="637">
        <f t="shared" si="3"/>
        <v>0</v>
      </c>
      <c r="D56" s="637"/>
      <c r="E56" s="637">
        <f t="shared" si="0"/>
        <v>0</v>
      </c>
      <c r="F56" s="645">
        <f t="shared" si="4"/>
        <v>0</v>
      </c>
      <c r="G56" s="640">
        <f t="shared" si="1"/>
        <v>750</v>
      </c>
      <c r="H56" s="641">
        <f>'Transp. Camión con Acoplado'!A*(E56/60)</f>
        <v>0</v>
      </c>
      <c r="I56" s="641">
        <f>'Transp. Camión con Acoplado'!B*(E56/60)</f>
        <v>0</v>
      </c>
      <c r="J56" s="641">
        <f>'Transp. Camión con Acoplado'!C_*(C56/60)</f>
        <v>0</v>
      </c>
      <c r="K56" s="641">
        <f>'Transp. Camión con Acoplado'!D*(E56/60)</f>
        <v>0</v>
      </c>
      <c r="L56" s="641">
        <f>'Transp. Camión con Acoplado'!E*(E56/60)</f>
        <v>0</v>
      </c>
      <c r="M56" s="641">
        <f>'Transp. Camión con Acoplado'!F_*G56</f>
        <v>0</v>
      </c>
      <c r="N56" s="641">
        <f t="shared" si="2"/>
        <v>0</v>
      </c>
      <c r="O56" s="641">
        <f>+G56*'Transp. Camión con Acoplado'!G</f>
        <v>0</v>
      </c>
      <c r="P56" s="642">
        <f t="shared" si="5"/>
        <v>0</v>
      </c>
      <c r="R56" s="643"/>
    </row>
    <row r="57" spans="1:18" ht="15" customHeight="1" x14ac:dyDescent="0.2">
      <c r="A57" s="635">
        <v>400</v>
      </c>
      <c r="B57" s="644"/>
      <c r="C57" s="637">
        <f t="shared" si="3"/>
        <v>0</v>
      </c>
      <c r="D57" s="637"/>
      <c r="E57" s="637">
        <f t="shared" si="0"/>
        <v>0</v>
      </c>
      <c r="F57" s="645">
        <f t="shared" si="4"/>
        <v>0</v>
      </c>
      <c r="G57" s="640">
        <f t="shared" si="1"/>
        <v>800</v>
      </c>
      <c r="H57" s="641">
        <f>'Transp. Camión con Acoplado'!A*(E57/60)</f>
        <v>0</v>
      </c>
      <c r="I57" s="641">
        <f>'Transp. Camión con Acoplado'!B*(E57/60)</f>
        <v>0</v>
      </c>
      <c r="J57" s="641">
        <f>'Transp. Camión con Acoplado'!C_*(C57/60)</f>
        <v>0</v>
      </c>
      <c r="K57" s="641">
        <f>'Transp. Camión con Acoplado'!D*(E57/60)</f>
        <v>0</v>
      </c>
      <c r="L57" s="641">
        <f>'Transp. Camión con Acoplado'!E*(E57/60)</f>
        <v>0</v>
      </c>
      <c r="M57" s="641">
        <f>'Transp. Camión con Acoplado'!F_*G57</f>
        <v>0</v>
      </c>
      <c r="N57" s="641">
        <f t="shared" si="2"/>
        <v>0</v>
      </c>
      <c r="O57" s="641">
        <f>+G57*'Transp. Camión con Acoplado'!G</f>
        <v>0</v>
      </c>
      <c r="P57" s="642">
        <f t="shared" si="5"/>
        <v>0</v>
      </c>
      <c r="R57" s="643"/>
    </row>
    <row r="58" spans="1:18" ht="15" customHeight="1" x14ac:dyDescent="0.2">
      <c r="A58" s="635">
        <v>425</v>
      </c>
      <c r="B58" s="644"/>
      <c r="C58" s="637">
        <f t="shared" si="3"/>
        <v>0</v>
      </c>
      <c r="D58" s="637"/>
      <c r="E58" s="637">
        <f t="shared" si="0"/>
        <v>0</v>
      </c>
      <c r="F58" s="645">
        <f t="shared" si="4"/>
        <v>0</v>
      </c>
      <c r="G58" s="640">
        <f t="shared" si="1"/>
        <v>850</v>
      </c>
      <c r="H58" s="641">
        <f>'Transp. Camión con Acoplado'!A*(E58/60)</f>
        <v>0</v>
      </c>
      <c r="I58" s="641">
        <f>'Transp. Camión con Acoplado'!B*(E58/60)</f>
        <v>0</v>
      </c>
      <c r="J58" s="641">
        <f>'Transp. Camión con Acoplado'!C_*(C58/60)</f>
        <v>0</v>
      </c>
      <c r="K58" s="641">
        <f>'Transp. Camión con Acoplado'!D*(E58/60)</f>
        <v>0</v>
      </c>
      <c r="L58" s="641">
        <f>'Transp. Camión con Acoplado'!E*(E58/60)</f>
        <v>0</v>
      </c>
      <c r="M58" s="641">
        <f>'Transp. Camión con Acoplado'!F_*G58</f>
        <v>0</v>
      </c>
      <c r="N58" s="641">
        <f t="shared" si="2"/>
        <v>0</v>
      </c>
      <c r="O58" s="641">
        <f>+G58*'Transp. Camión con Acoplado'!G</f>
        <v>0</v>
      </c>
      <c r="P58" s="642">
        <f t="shared" si="5"/>
        <v>0</v>
      </c>
      <c r="R58" s="643"/>
    </row>
    <row r="59" spans="1:18" ht="15" customHeight="1" x14ac:dyDescent="0.2">
      <c r="A59" s="635">
        <v>450</v>
      </c>
      <c r="B59" s="644"/>
      <c r="C59" s="637">
        <f t="shared" si="3"/>
        <v>0</v>
      </c>
      <c r="D59" s="637"/>
      <c r="E59" s="637">
        <f t="shared" si="0"/>
        <v>0</v>
      </c>
      <c r="F59" s="645">
        <f t="shared" si="4"/>
        <v>0</v>
      </c>
      <c r="G59" s="640">
        <f t="shared" si="1"/>
        <v>900</v>
      </c>
      <c r="H59" s="641">
        <f>'Transp. Camión con Acoplado'!A*(E59/60)</f>
        <v>0</v>
      </c>
      <c r="I59" s="641">
        <f>'Transp. Camión con Acoplado'!B*(E59/60)</f>
        <v>0</v>
      </c>
      <c r="J59" s="641">
        <f>'Transp. Camión con Acoplado'!C_*(C59/60)</f>
        <v>0</v>
      </c>
      <c r="K59" s="641">
        <f>'Transp. Camión con Acoplado'!D*(E59/60)</f>
        <v>0</v>
      </c>
      <c r="L59" s="641">
        <f>'Transp. Camión con Acoplado'!E*(E59/60)</f>
        <v>0</v>
      </c>
      <c r="M59" s="641">
        <f>'Transp. Camión con Acoplado'!F_*G59</f>
        <v>0</v>
      </c>
      <c r="N59" s="641">
        <f t="shared" si="2"/>
        <v>0</v>
      </c>
      <c r="O59" s="641">
        <f>+G59*'Transp. Camión con Acoplado'!G</f>
        <v>0</v>
      </c>
      <c r="P59" s="642">
        <f t="shared" si="5"/>
        <v>0</v>
      </c>
      <c r="R59" s="643"/>
    </row>
    <row r="60" spans="1:18" ht="15" customHeight="1" x14ac:dyDescent="0.2">
      <c r="A60" s="635">
        <v>475</v>
      </c>
      <c r="B60" s="644"/>
      <c r="C60" s="637">
        <f t="shared" si="3"/>
        <v>0</v>
      </c>
      <c r="D60" s="637"/>
      <c r="E60" s="637">
        <f t="shared" si="0"/>
        <v>0</v>
      </c>
      <c r="F60" s="645">
        <f t="shared" si="4"/>
        <v>0</v>
      </c>
      <c r="G60" s="640">
        <f t="shared" si="1"/>
        <v>950</v>
      </c>
      <c r="H60" s="641">
        <f>'Transp. Camión con Acoplado'!A*(E60/60)</f>
        <v>0</v>
      </c>
      <c r="I60" s="641">
        <f>'Transp. Camión con Acoplado'!B*(E60/60)</f>
        <v>0</v>
      </c>
      <c r="J60" s="641">
        <f>'Transp. Camión con Acoplado'!C_*(C60/60)</f>
        <v>0</v>
      </c>
      <c r="K60" s="641">
        <f>'Transp. Camión con Acoplado'!D*(E60/60)</f>
        <v>0</v>
      </c>
      <c r="L60" s="641">
        <f>'Transp. Camión con Acoplado'!E*(E60/60)</f>
        <v>0</v>
      </c>
      <c r="M60" s="641">
        <f>'Transp. Camión con Acoplado'!F_*G60</f>
        <v>0</v>
      </c>
      <c r="N60" s="641">
        <f t="shared" si="2"/>
        <v>0</v>
      </c>
      <c r="O60" s="641">
        <f>+G60*'Transp. Camión con Acoplado'!G</f>
        <v>0</v>
      </c>
      <c r="P60" s="642">
        <f t="shared" si="5"/>
        <v>0</v>
      </c>
      <c r="R60" s="643"/>
    </row>
    <row r="61" spans="1:18" ht="15" customHeight="1" x14ac:dyDescent="0.2">
      <c r="A61" s="635">
        <v>500</v>
      </c>
      <c r="B61" s="644"/>
      <c r="C61" s="637">
        <f t="shared" si="3"/>
        <v>0</v>
      </c>
      <c r="D61" s="637"/>
      <c r="E61" s="637">
        <f t="shared" si="0"/>
        <v>0</v>
      </c>
      <c r="F61" s="645">
        <f t="shared" si="4"/>
        <v>0</v>
      </c>
      <c r="G61" s="640">
        <f t="shared" si="1"/>
        <v>1000</v>
      </c>
      <c r="H61" s="641">
        <f>'Transp. Camión con Acoplado'!A*(E61/60)</f>
        <v>0</v>
      </c>
      <c r="I61" s="641">
        <f>'Transp. Camión con Acoplado'!B*(E61/60)</f>
        <v>0</v>
      </c>
      <c r="J61" s="641">
        <f>'Transp. Camión con Acoplado'!C_*(C61/60)</f>
        <v>0</v>
      </c>
      <c r="K61" s="641">
        <f>'Transp. Camión con Acoplado'!D*(E61/60)</f>
        <v>0</v>
      </c>
      <c r="L61" s="641">
        <f>'Transp. Camión con Acoplado'!E*(E61/60)</f>
        <v>0</v>
      </c>
      <c r="M61" s="641">
        <f>'Transp. Camión con Acoplado'!F_*G61</f>
        <v>0</v>
      </c>
      <c r="N61" s="641">
        <f t="shared" si="2"/>
        <v>0</v>
      </c>
      <c r="O61" s="641">
        <f>+G61*'Transp. Camión con Acoplado'!G</f>
        <v>0</v>
      </c>
      <c r="P61" s="642">
        <f t="shared" si="5"/>
        <v>0</v>
      </c>
      <c r="R61" s="643"/>
    </row>
    <row r="62" spans="1:18" ht="15" customHeight="1" x14ac:dyDescent="0.2">
      <c r="A62" s="635">
        <v>600</v>
      </c>
      <c r="B62" s="644"/>
      <c r="C62" s="637">
        <f t="shared" si="3"/>
        <v>0</v>
      </c>
      <c r="D62" s="637"/>
      <c r="E62" s="637">
        <f t="shared" si="0"/>
        <v>0</v>
      </c>
      <c r="F62" s="645">
        <f t="shared" si="4"/>
        <v>0</v>
      </c>
      <c r="G62" s="640">
        <f t="shared" si="1"/>
        <v>1200</v>
      </c>
      <c r="H62" s="641">
        <f>'Transp. Camión con Acoplado'!A*(E62/60)</f>
        <v>0</v>
      </c>
      <c r="I62" s="641">
        <f>'Transp. Camión con Acoplado'!B*(E62/60)</f>
        <v>0</v>
      </c>
      <c r="J62" s="641">
        <f>'Transp. Camión con Acoplado'!C_*(C62/60)</f>
        <v>0</v>
      </c>
      <c r="K62" s="641">
        <f>'Transp. Camión con Acoplado'!D*(E62/60)</f>
        <v>0</v>
      </c>
      <c r="L62" s="641">
        <f>'Transp. Camión con Acoplado'!E*(E62/60)</f>
        <v>0</v>
      </c>
      <c r="M62" s="641">
        <f>'Transp. Camión con Acoplado'!F_*G62</f>
        <v>0</v>
      </c>
      <c r="N62" s="641">
        <f t="shared" si="2"/>
        <v>0</v>
      </c>
      <c r="O62" s="641">
        <f>+G62*'Transp. Camión con Acoplado'!G</f>
        <v>0</v>
      </c>
      <c r="P62" s="642">
        <f t="shared" si="5"/>
        <v>0</v>
      </c>
      <c r="R62" s="643"/>
    </row>
    <row r="63" spans="1:18" ht="15" customHeight="1" x14ac:dyDescent="0.2">
      <c r="A63" s="635">
        <v>800</v>
      </c>
      <c r="B63" s="644"/>
      <c r="C63" s="637">
        <f t="shared" si="3"/>
        <v>0</v>
      </c>
      <c r="D63" s="637"/>
      <c r="E63" s="637">
        <f t="shared" si="0"/>
        <v>0</v>
      </c>
      <c r="F63" s="645">
        <f t="shared" si="4"/>
        <v>0</v>
      </c>
      <c r="G63" s="640">
        <f t="shared" si="1"/>
        <v>1600</v>
      </c>
      <c r="H63" s="641">
        <f>'Transp. Camión con Acoplado'!A*(E63/60)</f>
        <v>0</v>
      </c>
      <c r="I63" s="641">
        <f>'Transp. Camión con Acoplado'!B*(E63/60)</f>
        <v>0</v>
      </c>
      <c r="J63" s="641">
        <f>'Transp. Camión con Acoplado'!C_*(C63/60)</f>
        <v>0</v>
      </c>
      <c r="K63" s="641">
        <f>'Transp. Camión con Acoplado'!D*(E63/60)</f>
        <v>0</v>
      </c>
      <c r="L63" s="641">
        <f>'Transp. Camión con Acoplado'!E*(E63/60)</f>
        <v>0</v>
      </c>
      <c r="M63" s="641">
        <f>'Transp. Camión con Acoplado'!F_*G63</f>
        <v>0</v>
      </c>
      <c r="N63" s="641">
        <f t="shared" si="2"/>
        <v>0</v>
      </c>
      <c r="O63" s="641">
        <f>+G63*'Transp. Camión con Acoplado'!G</f>
        <v>0</v>
      </c>
      <c r="P63" s="642">
        <f t="shared" si="5"/>
        <v>0</v>
      </c>
      <c r="R63" s="643"/>
    </row>
    <row r="64" spans="1:18" ht="15" customHeight="1" x14ac:dyDescent="0.2">
      <c r="A64" s="635">
        <v>1000</v>
      </c>
      <c r="B64" s="644"/>
      <c r="C64" s="637">
        <f t="shared" si="3"/>
        <v>0</v>
      </c>
      <c r="D64" s="637"/>
      <c r="E64" s="637">
        <f t="shared" si="0"/>
        <v>0</v>
      </c>
      <c r="F64" s="645">
        <f t="shared" si="4"/>
        <v>0</v>
      </c>
      <c r="G64" s="640">
        <f t="shared" si="1"/>
        <v>2000</v>
      </c>
      <c r="H64" s="641">
        <f>'Transp. Camión con Acoplado'!A*(E64/60)</f>
        <v>0</v>
      </c>
      <c r="I64" s="641">
        <f>'Transp. Camión con Acoplado'!B*(E64/60)</f>
        <v>0</v>
      </c>
      <c r="J64" s="641">
        <f>'Transp. Camión con Acoplado'!C_*(C64/60)</f>
        <v>0</v>
      </c>
      <c r="K64" s="641">
        <f>'Transp. Camión con Acoplado'!D*(E64/60)</f>
        <v>0</v>
      </c>
      <c r="L64" s="641">
        <f>'Transp. Camión con Acoplado'!E*(E64/60)</f>
        <v>0</v>
      </c>
      <c r="M64" s="641">
        <f>'Transp. Camión con Acoplado'!F_*G64</f>
        <v>0</v>
      </c>
      <c r="N64" s="641">
        <f t="shared" si="2"/>
        <v>0</v>
      </c>
      <c r="O64" s="641">
        <f>+G64*'Transp. Camión con Acoplado'!G</f>
        <v>0</v>
      </c>
      <c r="P64" s="642">
        <f t="shared" si="5"/>
        <v>0</v>
      </c>
      <c r="R64" s="646"/>
    </row>
    <row r="65" spans="13:16" ht="15" customHeight="1" x14ac:dyDescent="0.2">
      <c r="M65" s="781"/>
      <c r="N65" s="781"/>
      <c r="O65" s="781"/>
      <c r="P65" s="781"/>
    </row>
  </sheetData>
  <mergeCells count="51">
    <mergeCell ref="S7:S8"/>
    <mergeCell ref="G8:H8"/>
    <mergeCell ref="Q8:R8"/>
    <mergeCell ref="G21:I21"/>
    <mergeCell ref="A1:P1"/>
    <mergeCell ref="A2:P2"/>
    <mergeCell ref="A4:E4"/>
    <mergeCell ref="I7:I8"/>
    <mergeCell ref="I15:I16"/>
    <mergeCell ref="S15:S16"/>
    <mergeCell ref="G16:H16"/>
    <mergeCell ref="Q16:R16"/>
    <mergeCell ref="G20:H20"/>
    <mergeCell ref="A20:D20"/>
    <mergeCell ref="A21:D21"/>
    <mergeCell ref="A28:A29"/>
    <mergeCell ref="B28:B29"/>
    <mergeCell ref="C28:C29"/>
    <mergeCell ref="D28:D29"/>
    <mergeCell ref="E28:E29"/>
    <mergeCell ref="A25:G25"/>
    <mergeCell ref="H25:O25"/>
    <mergeCell ref="P25:P27"/>
    <mergeCell ref="H26:H27"/>
    <mergeCell ref="I26:I27"/>
    <mergeCell ref="M65:P65"/>
    <mergeCell ref="F28:F29"/>
    <mergeCell ref="G28:G29"/>
    <mergeCell ref="H28:H29"/>
    <mergeCell ref="I28:I29"/>
    <mergeCell ref="J28:J29"/>
    <mergeCell ref="K28:K29"/>
    <mergeCell ref="L28:L29"/>
    <mergeCell ref="M28:M29"/>
    <mergeCell ref="N28:N29"/>
    <mergeCell ref="O28:O29"/>
    <mergeCell ref="P28:P29"/>
    <mergeCell ref="A22:D22"/>
    <mergeCell ref="A7:D7"/>
    <mergeCell ref="A8:D8"/>
    <mergeCell ref="A9:D9"/>
    <mergeCell ref="A10:D10"/>
    <mergeCell ref="A11:D11"/>
    <mergeCell ref="A12:D12"/>
    <mergeCell ref="A13:D13"/>
    <mergeCell ref="A14:D14"/>
    <mergeCell ref="A15:D15"/>
    <mergeCell ref="A16:D16"/>
    <mergeCell ref="A17:D17"/>
    <mergeCell ref="A18:D18"/>
    <mergeCell ref="A19:D19"/>
  </mergeCells>
  <printOptions horizontalCentered="1" verticalCentered="1"/>
  <pageMargins left="0.59055118110236227" right="0.78740157480314965" top="0.59055118110236227" bottom="0.98425196850393704" header="0" footer="0"/>
  <pageSetup paperSize="9" scale="50" orientation="landscape" horizontalDpi="300" verticalDpi="300" r:id="rId1"/>
  <headerFooter alignWithMargins="0">
    <oddHeader>&amp;L&amp;G</oddHeader>
  </headerFooter>
  <drawing r:id="rId2"/>
  <legacyDrawingHF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dimension ref="A1:L16"/>
  <sheetViews>
    <sheetView workbookViewId="0">
      <selection activeCell="B14" sqref="B14"/>
    </sheetView>
  </sheetViews>
  <sheetFormatPr baseColWidth="10" defaultColWidth="11.42578125" defaultRowHeight="12.75" x14ac:dyDescent="0.2"/>
  <cols>
    <col min="1" max="1" width="8.28515625" style="684" customWidth="1"/>
    <col min="2" max="2" width="22.42578125" style="684" customWidth="1"/>
    <col min="3" max="3" width="15.85546875" style="684" customWidth="1"/>
    <col min="4" max="9" width="13.85546875" style="684" customWidth="1"/>
    <col min="10" max="10" width="16.7109375" style="684" customWidth="1"/>
    <col min="11" max="11" width="13.85546875" style="684" customWidth="1"/>
    <col min="12" max="12" width="15.140625" style="684" customWidth="1"/>
    <col min="13" max="16384" width="11.42578125" style="684"/>
  </cols>
  <sheetData>
    <row r="1" spans="1:12" x14ac:dyDescent="0.2">
      <c r="A1" s="683" t="s">
        <v>1859</v>
      </c>
    </row>
    <row r="3" spans="1:12" s="686" customFormat="1" ht="38.25" x14ac:dyDescent="0.2">
      <c r="A3" s="685" t="s">
        <v>1860</v>
      </c>
      <c r="B3" s="685" t="s">
        <v>1861</v>
      </c>
      <c r="C3" s="685" t="s">
        <v>1862</v>
      </c>
      <c r="D3" s="685" t="s">
        <v>1863</v>
      </c>
      <c r="E3" s="685" t="s">
        <v>1864</v>
      </c>
      <c r="F3" s="685" t="s">
        <v>1865</v>
      </c>
      <c r="G3" s="685" t="s">
        <v>1866</v>
      </c>
      <c r="H3" s="685" t="s">
        <v>1867</v>
      </c>
      <c r="I3" s="685" t="s">
        <v>1868</v>
      </c>
      <c r="J3" s="685" t="s">
        <v>1869</v>
      </c>
      <c r="K3" s="685" t="s">
        <v>1870</v>
      </c>
      <c r="L3" s="685" t="s">
        <v>1871</v>
      </c>
    </row>
    <row r="4" spans="1:12" x14ac:dyDescent="0.2">
      <c r="A4" s="687"/>
      <c r="B4" s="687"/>
      <c r="C4" s="687"/>
      <c r="D4" s="688"/>
      <c r="E4" s="689"/>
      <c r="F4" s="687"/>
      <c r="G4" s="687"/>
      <c r="H4" s="687"/>
      <c r="I4" s="687"/>
      <c r="J4" s="687"/>
      <c r="K4" s="687"/>
      <c r="L4" s="690"/>
    </row>
    <row r="5" spans="1:12" x14ac:dyDescent="0.2">
      <c r="A5" s="687"/>
      <c r="B5" s="687"/>
      <c r="C5" s="687"/>
      <c r="D5" s="688"/>
      <c r="E5" s="689"/>
      <c r="F5" s="687"/>
      <c r="G5" s="687"/>
      <c r="H5" s="687"/>
      <c r="I5" s="687"/>
      <c r="J5" s="687"/>
      <c r="K5" s="687"/>
      <c r="L5" s="690"/>
    </row>
    <row r="6" spans="1:12" x14ac:dyDescent="0.2">
      <c r="A6" s="687"/>
      <c r="B6" s="687"/>
      <c r="C6" s="687"/>
      <c r="D6" s="688"/>
      <c r="E6" s="689"/>
      <c r="F6" s="687"/>
      <c r="G6" s="687"/>
      <c r="H6" s="687"/>
      <c r="I6" s="687"/>
      <c r="J6" s="687"/>
      <c r="K6" s="687"/>
      <c r="L6" s="690"/>
    </row>
    <row r="11" spans="1:12" x14ac:dyDescent="0.2">
      <c r="A11" s="683" t="s">
        <v>1872</v>
      </c>
    </row>
    <row r="13" spans="1:12" ht="38.25" x14ac:dyDescent="0.2">
      <c r="A13" s="685" t="s">
        <v>1860</v>
      </c>
      <c r="B13" s="685" t="s">
        <v>1861</v>
      </c>
      <c r="C13" s="685" t="s">
        <v>1862</v>
      </c>
      <c r="D13" s="685" t="s">
        <v>1863</v>
      </c>
      <c r="E13" s="685" t="s">
        <v>1864</v>
      </c>
      <c r="F13" s="685" t="s">
        <v>1865</v>
      </c>
      <c r="G13" s="685" t="s">
        <v>1866</v>
      </c>
      <c r="H13" s="685" t="s">
        <v>1867</v>
      </c>
      <c r="I13" s="685" t="s">
        <v>1868</v>
      </c>
      <c r="J13" s="685" t="s">
        <v>1869</v>
      </c>
      <c r="K13" s="685" t="s">
        <v>1870</v>
      </c>
      <c r="L13" s="685" t="s">
        <v>1871</v>
      </c>
    </row>
    <row r="14" spans="1:12" x14ac:dyDescent="0.2">
      <c r="A14" s="687"/>
      <c r="B14" s="687"/>
      <c r="C14" s="687"/>
      <c r="D14" s="688"/>
      <c r="E14" s="689"/>
      <c r="F14" s="687"/>
      <c r="G14" s="687"/>
      <c r="H14" s="687"/>
      <c r="I14" s="687"/>
      <c r="J14" s="687"/>
      <c r="K14" s="687"/>
      <c r="L14" s="690"/>
    </row>
    <row r="15" spans="1:12" x14ac:dyDescent="0.2">
      <c r="A15" s="687"/>
      <c r="B15" s="687"/>
      <c r="C15" s="687"/>
      <c r="D15" s="688"/>
      <c r="E15" s="689"/>
      <c r="F15" s="687"/>
      <c r="G15" s="687"/>
      <c r="H15" s="687"/>
      <c r="I15" s="687"/>
      <c r="J15" s="687"/>
      <c r="K15" s="687"/>
      <c r="L15" s="690"/>
    </row>
    <row r="16" spans="1:12" x14ac:dyDescent="0.2">
      <c r="A16" s="687"/>
      <c r="B16" s="687"/>
      <c r="C16" s="687"/>
      <c r="D16" s="688"/>
      <c r="E16" s="689"/>
      <c r="F16" s="687"/>
      <c r="G16" s="687"/>
      <c r="H16" s="687"/>
      <c r="I16" s="687"/>
      <c r="J16" s="687"/>
      <c r="K16" s="687"/>
      <c r="L16" s="690"/>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dimension ref="A1:G969"/>
  <sheetViews>
    <sheetView showGridLines="0" topLeftCell="A349" zoomScaleNormal="100" workbookViewId="0">
      <selection activeCell="A351" sqref="A351"/>
    </sheetView>
  </sheetViews>
  <sheetFormatPr baseColWidth="10" defaultColWidth="11.42578125" defaultRowHeight="11.25" x14ac:dyDescent="0.2"/>
  <cols>
    <col min="1" max="1" width="22" style="21" bestFit="1" customWidth="1"/>
    <col min="2" max="2" width="6.140625" style="21" customWidth="1"/>
    <col min="3" max="3" width="1.42578125" style="21" customWidth="1"/>
    <col min="4" max="4" width="2.7109375" style="19" customWidth="1"/>
    <col min="5" max="5" width="33.85546875" style="21" customWidth="1"/>
    <col min="6" max="7" width="10.7109375" style="21" customWidth="1"/>
    <col min="8" max="16384" width="11.42578125" style="21"/>
  </cols>
  <sheetData>
    <row r="1" spans="1:7" s="17" customFormat="1" x14ac:dyDescent="0.2">
      <c r="B1" s="17" t="s">
        <v>548</v>
      </c>
      <c r="D1" s="18"/>
    </row>
    <row r="3" spans="1:7" ht="12.75" customHeight="1" x14ac:dyDescent="0.2">
      <c r="A3" s="782" t="s">
        <v>349</v>
      </c>
      <c r="B3" s="19" t="s">
        <v>44</v>
      </c>
      <c r="C3" s="20"/>
      <c r="D3" s="20"/>
      <c r="E3" s="782" t="s">
        <v>45</v>
      </c>
      <c r="F3" s="20"/>
      <c r="G3" s="20"/>
    </row>
    <row r="4" spans="1:7" x14ac:dyDescent="0.2">
      <c r="A4" s="782"/>
      <c r="B4" s="19" t="s">
        <v>46</v>
      </c>
      <c r="C4" s="20"/>
      <c r="D4" s="20"/>
      <c r="E4" s="782"/>
      <c r="F4" s="20"/>
      <c r="G4" s="20"/>
    </row>
    <row r="5" spans="1:7" x14ac:dyDescent="0.2">
      <c r="A5" s="18"/>
      <c r="B5" s="18"/>
      <c r="C5" s="18"/>
      <c r="D5" s="18"/>
      <c r="E5" s="18"/>
      <c r="F5" s="18"/>
      <c r="G5" s="18"/>
    </row>
    <row r="6" spans="1:7" ht="11.25" customHeight="1" x14ac:dyDescent="0.2">
      <c r="A6" s="19" t="str">
        <f t="shared" ref="A6:A69" si="0">CONCATENATE("INDEC-CM - ",B6,C6,D6)</f>
        <v>INDEC-CM - 37210-51</v>
      </c>
      <c r="B6" s="22">
        <v>37210</v>
      </c>
      <c r="C6" s="23" t="s">
        <v>47</v>
      </c>
      <c r="D6" s="19">
        <v>51</v>
      </c>
      <c r="E6" s="21" t="s">
        <v>48</v>
      </c>
    </row>
    <row r="7" spans="1:7" x14ac:dyDescent="0.2">
      <c r="A7" s="19" t="str">
        <f t="shared" si="0"/>
        <v>INDEC-CM - 37210-52</v>
      </c>
      <c r="B7" s="22">
        <v>37210</v>
      </c>
      <c r="C7" s="23" t="s">
        <v>47</v>
      </c>
      <c r="D7" s="19">
        <v>52</v>
      </c>
      <c r="E7" s="21" t="s">
        <v>49</v>
      </c>
    </row>
    <row r="8" spans="1:7" x14ac:dyDescent="0.2">
      <c r="A8" s="19" t="str">
        <f t="shared" si="0"/>
        <v>INDEC-CM - 42911-81</v>
      </c>
      <c r="B8" s="22">
        <v>42911</v>
      </c>
      <c r="C8" s="23" t="s">
        <v>47</v>
      </c>
      <c r="D8" s="19">
        <v>81</v>
      </c>
      <c r="E8" s="24" t="s">
        <v>50</v>
      </c>
      <c r="F8" s="24"/>
      <c r="G8" s="24"/>
    </row>
    <row r="9" spans="1:7" x14ac:dyDescent="0.2">
      <c r="A9" s="19" t="str">
        <f t="shared" si="0"/>
        <v>INDEC-CM - 41242-11</v>
      </c>
      <c r="B9" s="22">
        <v>41242</v>
      </c>
      <c r="C9" s="23" t="s">
        <v>47</v>
      </c>
      <c r="D9" s="19">
        <v>11</v>
      </c>
      <c r="E9" s="24" t="s">
        <v>51</v>
      </c>
      <c r="F9" s="24"/>
      <c r="G9" s="24"/>
    </row>
    <row r="10" spans="1:7" x14ac:dyDescent="0.2">
      <c r="A10" s="19" t="str">
        <f t="shared" si="0"/>
        <v>INDEC-CM - 37440-21</v>
      </c>
      <c r="B10" s="22">
        <v>37440</v>
      </c>
      <c r="C10" s="23" t="s">
        <v>47</v>
      </c>
      <c r="D10" s="19">
        <v>21</v>
      </c>
      <c r="E10" s="21" t="s">
        <v>52</v>
      </c>
    </row>
    <row r="11" spans="1:7" x14ac:dyDescent="0.2">
      <c r="A11" s="19" t="str">
        <f t="shared" si="0"/>
        <v>INDEC-CM - 38130-13</v>
      </c>
      <c r="B11" s="22">
        <v>38130</v>
      </c>
      <c r="C11" s="23" t="s">
        <v>47</v>
      </c>
      <c r="D11" s="19">
        <v>13</v>
      </c>
      <c r="E11" s="24" t="s">
        <v>53</v>
      </c>
      <c r="F11" s="24"/>
      <c r="G11" s="24"/>
    </row>
    <row r="12" spans="1:7" x14ac:dyDescent="0.2">
      <c r="A12" s="19" t="str">
        <f t="shared" si="0"/>
        <v>INDEC-CM - 38130-12</v>
      </c>
      <c r="B12" s="22">
        <v>38130</v>
      </c>
      <c r="C12" s="23" t="s">
        <v>47</v>
      </c>
      <c r="D12" s="19">
        <v>12</v>
      </c>
      <c r="E12" s="24" t="s">
        <v>54</v>
      </c>
      <c r="F12" s="24"/>
      <c r="G12" s="24"/>
    </row>
    <row r="13" spans="1:7" x14ac:dyDescent="0.2">
      <c r="A13" s="19" t="str">
        <f t="shared" si="0"/>
        <v>INDEC-CM - 38130-11</v>
      </c>
      <c r="B13" s="22">
        <v>38130</v>
      </c>
      <c r="C13" s="23" t="s">
        <v>47</v>
      </c>
      <c r="D13" s="19">
        <v>11</v>
      </c>
      <c r="E13" s="24" t="s">
        <v>55</v>
      </c>
      <c r="F13" s="24"/>
      <c r="G13" s="24"/>
    </row>
    <row r="14" spans="1:7" x14ac:dyDescent="0.2">
      <c r="A14" s="19" t="str">
        <f t="shared" si="0"/>
        <v>INDEC-CM - 27230-11</v>
      </c>
      <c r="B14" s="22">
        <v>27230</v>
      </c>
      <c r="C14" s="23" t="s">
        <v>47</v>
      </c>
      <c r="D14" s="19">
        <v>11</v>
      </c>
      <c r="E14" s="24" t="s">
        <v>56</v>
      </c>
      <c r="F14" s="24"/>
      <c r="G14" s="24"/>
    </row>
    <row r="15" spans="1:7" x14ac:dyDescent="0.2">
      <c r="A15" s="19" t="str">
        <f t="shared" si="0"/>
        <v>INDEC-CM - 44821-11</v>
      </c>
      <c r="B15" s="22">
        <v>44821</v>
      </c>
      <c r="C15" s="23" t="s">
        <v>47</v>
      </c>
      <c r="D15" s="19">
        <v>11</v>
      </c>
      <c r="E15" s="21" t="s">
        <v>57</v>
      </c>
    </row>
    <row r="16" spans="1:7" x14ac:dyDescent="0.2">
      <c r="A16" s="19" t="str">
        <f t="shared" si="0"/>
        <v>INDEC-CM - 37560-11</v>
      </c>
      <c r="B16" s="22">
        <v>37560</v>
      </c>
      <c r="C16" s="23" t="s">
        <v>47</v>
      </c>
      <c r="D16" s="19">
        <v>11</v>
      </c>
      <c r="E16" s="24" t="s">
        <v>58</v>
      </c>
      <c r="F16" s="24"/>
      <c r="G16" s="24"/>
    </row>
    <row r="17" spans="1:7" x14ac:dyDescent="0.2">
      <c r="A17" s="19" t="str">
        <f t="shared" si="0"/>
        <v>INDEC-CM - 15400-11</v>
      </c>
      <c r="B17" s="22">
        <v>15400</v>
      </c>
      <c r="C17" s="23" t="s">
        <v>47</v>
      </c>
      <c r="D17" s="19">
        <v>11</v>
      </c>
      <c r="E17" s="24" t="s">
        <v>59</v>
      </c>
      <c r="F17" s="24"/>
      <c r="G17" s="24"/>
    </row>
    <row r="18" spans="1:7" x14ac:dyDescent="0.2">
      <c r="A18" s="19" t="str">
        <f t="shared" si="0"/>
        <v>INDEC-CM - 15310-11</v>
      </c>
      <c r="B18" s="22">
        <v>15310</v>
      </c>
      <c r="C18" s="23" t="s">
        <v>47</v>
      </c>
      <c r="D18" s="19">
        <v>11</v>
      </c>
      <c r="E18" s="21" t="s">
        <v>60</v>
      </c>
    </row>
    <row r="19" spans="1:7" x14ac:dyDescent="0.2">
      <c r="A19" s="19" t="str">
        <f t="shared" si="0"/>
        <v>INDEC-CM - 46531-11</v>
      </c>
      <c r="B19" s="22">
        <v>46531</v>
      </c>
      <c r="C19" s="23" t="s">
        <v>47</v>
      </c>
      <c r="D19" s="19">
        <v>11</v>
      </c>
      <c r="E19" s="24" t="s">
        <v>61</v>
      </c>
      <c r="F19" s="24"/>
      <c r="G19" s="24"/>
    </row>
    <row r="20" spans="1:7" x14ac:dyDescent="0.2">
      <c r="A20" s="19" t="str">
        <f t="shared" si="0"/>
        <v>INDEC-CM - 43540-11</v>
      </c>
      <c r="B20" s="22">
        <v>43540</v>
      </c>
      <c r="C20" s="23" t="s">
        <v>47</v>
      </c>
      <c r="D20" s="19">
        <v>11</v>
      </c>
      <c r="E20" s="21" t="s">
        <v>62</v>
      </c>
    </row>
    <row r="21" spans="1:7" x14ac:dyDescent="0.2">
      <c r="A21" s="19" t="str">
        <f t="shared" si="0"/>
        <v>INDEC-CM - 43540-12</v>
      </c>
      <c r="B21" s="22">
        <v>43540</v>
      </c>
      <c r="C21" s="23" t="s">
        <v>47</v>
      </c>
      <c r="D21" s="19">
        <v>12</v>
      </c>
      <c r="E21" s="21" t="s">
        <v>63</v>
      </c>
    </row>
    <row r="22" spans="1:7" x14ac:dyDescent="0.2">
      <c r="A22" s="19" t="str">
        <f t="shared" si="0"/>
        <v>INDEC-CM - 37370-21</v>
      </c>
      <c r="B22" s="22">
        <v>37370</v>
      </c>
      <c r="C22" s="23" t="s">
        <v>47</v>
      </c>
      <c r="D22" s="19">
        <v>21</v>
      </c>
      <c r="E22" s="21" t="s">
        <v>64</v>
      </c>
    </row>
    <row r="23" spans="1:7" x14ac:dyDescent="0.2">
      <c r="A23" s="19" t="str">
        <f t="shared" si="0"/>
        <v>INDEC-CM - 37370-11</v>
      </c>
      <c r="B23" s="22">
        <v>37370</v>
      </c>
      <c r="C23" s="23" t="s">
        <v>47</v>
      </c>
      <c r="D23" s="19">
        <v>11</v>
      </c>
      <c r="E23" s="21" t="s">
        <v>65</v>
      </c>
    </row>
    <row r="24" spans="1:7" x14ac:dyDescent="0.2">
      <c r="A24" s="19" t="str">
        <f t="shared" si="0"/>
        <v>INDEC-CM - 37370-12</v>
      </c>
      <c r="B24" s="22">
        <v>37370</v>
      </c>
      <c r="C24" s="23" t="s">
        <v>47</v>
      </c>
      <c r="D24" s="19">
        <v>12</v>
      </c>
      <c r="E24" s="21" t="s">
        <v>66</v>
      </c>
    </row>
    <row r="25" spans="1:7" x14ac:dyDescent="0.2">
      <c r="A25" s="19" t="str">
        <f t="shared" si="0"/>
        <v>INDEC-CM - 37690-11</v>
      </c>
      <c r="B25" s="22">
        <v>37690</v>
      </c>
      <c r="C25" s="23" t="s">
        <v>47</v>
      </c>
      <c r="D25" s="19">
        <v>11</v>
      </c>
      <c r="E25" s="21" t="s">
        <v>67</v>
      </c>
    </row>
    <row r="26" spans="1:7" x14ac:dyDescent="0.2">
      <c r="A26" s="19" t="str">
        <f t="shared" si="0"/>
        <v>INDEC-CM - 42911-11</v>
      </c>
      <c r="B26" s="22">
        <v>42911</v>
      </c>
      <c r="C26" s="23" t="s">
        <v>47</v>
      </c>
      <c r="D26" s="19">
        <v>11</v>
      </c>
      <c r="E26" s="21" t="s">
        <v>68</v>
      </c>
    </row>
    <row r="27" spans="1:7" x14ac:dyDescent="0.2">
      <c r="A27" s="19" t="str">
        <f t="shared" si="0"/>
        <v>INDEC-CM - 37129-11</v>
      </c>
      <c r="B27" s="22">
        <v>37129</v>
      </c>
      <c r="C27" s="23" t="s">
        <v>47</v>
      </c>
      <c r="D27" s="19">
        <v>11</v>
      </c>
      <c r="E27" s="21" t="s">
        <v>69</v>
      </c>
    </row>
    <row r="28" spans="1:7" x14ac:dyDescent="0.2">
      <c r="A28" s="19" t="str">
        <f t="shared" si="0"/>
        <v>INDEC-CM - 35110-41</v>
      </c>
      <c r="B28" s="22">
        <v>35110</v>
      </c>
      <c r="C28" s="23" t="s">
        <v>47</v>
      </c>
      <c r="D28" s="19">
        <v>41</v>
      </c>
      <c r="E28" s="21" t="s">
        <v>70</v>
      </c>
    </row>
    <row r="29" spans="1:7" x14ac:dyDescent="0.2">
      <c r="A29" s="19" t="str">
        <f t="shared" si="0"/>
        <v>INDEC-CM - 37210-23</v>
      </c>
      <c r="B29" s="22">
        <v>37210</v>
      </c>
      <c r="C29" s="23" t="s">
        <v>47</v>
      </c>
      <c r="D29" s="19">
        <v>23</v>
      </c>
      <c r="E29" s="21" t="s">
        <v>71</v>
      </c>
    </row>
    <row r="30" spans="1:7" x14ac:dyDescent="0.2">
      <c r="A30" s="19" t="str">
        <f t="shared" si="0"/>
        <v>INDEC-CM - 37210-22</v>
      </c>
      <c r="B30" s="22">
        <v>37210</v>
      </c>
      <c r="C30" s="23" t="s">
        <v>47</v>
      </c>
      <c r="D30" s="19">
        <v>22</v>
      </c>
      <c r="E30" s="21" t="s">
        <v>72</v>
      </c>
    </row>
    <row r="31" spans="1:7" x14ac:dyDescent="0.2">
      <c r="A31" s="19" t="str">
        <f t="shared" si="0"/>
        <v>INDEC-CM - 37210-21</v>
      </c>
      <c r="B31" s="22">
        <v>37210</v>
      </c>
      <c r="C31" s="23" t="s">
        <v>47</v>
      </c>
      <c r="D31" s="19">
        <v>21</v>
      </c>
      <c r="E31" s="21" t="s">
        <v>73</v>
      </c>
    </row>
    <row r="32" spans="1:7" x14ac:dyDescent="0.2">
      <c r="A32" s="19" t="str">
        <f t="shared" si="0"/>
        <v>INDEC-CM - 41543-21</v>
      </c>
      <c r="B32" s="22">
        <v>41543</v>
      </c>
      <c r="C32" s="23" t="s">
        <v>47</v>
      </c>
      <c r="D32" s="19">
        <v>21</v>
      </c>
      <c r="E32" s="21" t="s">
        <v>74</v>
      </c>
    </row>
    <row r="33" spans="1:5" x14ac:dyDescent="0.2">
      <c r="A33" s="19" t="str">
        <f t="shared" si="0"/>
        <v>INDEC-CM - 46340-31</v>
      </c>
      <c r="B33" s="22">
        <v>46340</v>
      </c>
      <c r="C33" s="23" t="s">
        <v>47</v>
      </c>
      <c r="D33" s="19">
        <v>31</v>
      </c>
      <c r="E33" s="21" t="s">
        <v>75</v>
      </c>
    </row>
    <row r="34" spans="1:5" x14ac:dyDescent="0.2">
      <c r="A34" s="19" t="str">
        <f t="shared" si="0"/>
        <v>INDEC-CM - 46320-11</v>
      </c>
      <c r="B34" s="22">
        <v>46320</v>
      </c>
      <c r="C34" s="23" t="s">
        <v>47</v>
      </c>
      <c r="D34" s="19">
        <v>11</v>
      </c>
      <c r="E34" s="21" t="s">
        <v>76</v>
      </c>
    </row>
    <row r="35" spans="1:5" x14ac:dyDescent="0.2">
      <c r="A35" s="19" t="str">
        <f t="shared" si="0"/>
        <v>INDEC-CM - 46340-11</v>
      </c>
      <c r="B35" s="22">
        <v>46340</v>
      </c>
      <c r="C35" s="23" t="s">
        <v>47</v>
      </c>
      <c r="D35" s="19">
        <v>11</v>
      </c>
      <c r="E35" s="21" t="s">
        <v>77</v>
      </c>
    </row>
    <row r="36" spans="1:5" x14ac:dyDescent="0.2">
      <c r="A36" s="19" t="str">
        <f t="shared" si="0"/>
        <v>INDEC-CM - 46340-12</v>
      </c>
      <c r="B36" s="22">
        <v>46340</v>
      </c>
      <c r="C36" s="23" t="s">
        <v>47</v>
      </c>
      <c r="D36" s="19">
        <v>12</v>
      </c>
      <c r="E36" s="21" t="s">
        <v>78</v>
      </c>
    </row>
    <row r="37" spans="1:5" x14ac:dyDescent="0.2">
      <c r="A37" s="19" t="str">
        <f t="shared" si="0"/>
        <v>INDEC-CM - 46340-21</v>
      </c>
      <c r="B37" s="22">
        <v>46340</v>
      </c>
      <c r="C37" s="23" t="s">
        <v>47</v>
      </c>
      <c r="D37" s="19">
        <v>21</v>
      </c>
      <c r="E37" s="21" t="s">
        <v>79</v>
      </c>
    </row>
    <row r="38" spans="1:5" x14ac:dyDescent="0.2">
      <c r="A38" s="19" t="str">
        <f t="shared" si="0"/>
        <v>INDEC-CM - 46212-21</v>
      </c>
      <c r="B38" s="22">
        <v>46212</v>
      </c>
      <c r="C38" s="23" t="s">
        <v>47</v>
      </c>
      <c r="D38" s="19">
        <v>21</v>
      </c>
      <c r="E38" s="21" t="s">
        <v>80</v>
      </c>
    </row>
    <row r="39" spans="1:5" x14ac:dyDescent="0.2">
      <c r="A39" s="19" t="str">
        <f t="shared" si="0"/>
        <v>INDEC-CM - 42999-23</v>
      </c>
      <c r="B39" s="22">
        <v>42999</v>
      </c>
      <c r="C39" s="23" t="s">
        <v>47</v>
      </c>
      <c r="D39" s="19">
        <v>23</v>
      </c>
      <c r="E39" s="21" t="s">
        <v>81</v>
      </c>
    </row>
    <row r="40" spans="1:5" x14ac:dyDescent="0.2">
      <c r="A40" s="19" t="str">
        <f t="shared" si="0"/>
        <v>INDEC-CM - 42999-21</v>
      </c>
      <c r="B40" s="22">
        <v>42999</v>
      </c>
      <c r="C40" s="23" t="s">
        <v>47</v>
      </c>
      <c r="D40" s="19">
        <v>21</v>
      </c>
      <c r="E40" s="21" t="s">
        <v>82</v>
      </c>
    </row>
    <row r="41" spans="1:5" x14ac:dyDescent="0.2">
      <c r="A41" s="19" t="str">
        <f t="shared" si="0"/>
        <v>INDEC-CM - 42999-31</v>
      </c>
      <c r="B41" s="22">
        <v>42999</v>
      </c>
      <c r="C41" s="23" t="s">
        <v>47</v>
      </c>
      <c r="D41" s="19">
        <v>31</v>
      </c>
      <c r="E41" s="21" t="s">
        <v>83</v>
      </c>
    </row>
    <row r="42" spans="1:5" x14ac:dyDescent="0.2">
      <c r="A42" s="19" t="str">
        <f t="shared" si="0"/>
        <v>INDEC-CM - 42999-22</v>
      </c>
      <c r="B42" s="22">
        <v>42999</v>
      </c>
      <c r="C42" s="23" t="s">
        <v>47</v>
      </c>
      <c r="D42" s="19">
        <v>22</v>
      </c>
      <c r="E42" s="21" t="s">
        <v>84</v>
      </c>
    </row>
    <row r="43" spans="1:5" x14ac:dyDescent="0.2">
      <c r="A43" s="19" t="str">
        <f t="shared" si="0"/>
        <v>INDEC-CM - 31600-63</v>
      </c>
      <c r="B43" s="22">
        <v>31600</v>
      </c>
      <c r="C43" s="23" t="s">
        <v>47</v>
      </c>
      <c r="D43" s="19">
        <v>63</v>
      </c>
      <c r="E43" s="21" t="s">
        <v>85</v>
      </c>
    </row>
    <row r="44" spans="1:5" x14ac:dyDescent="0.2">
      <c r="A44" s="19" t="str">
        <f t="shared" si="0"/>
        <v>INDEC-CM - 31600-62</v>
      </c>
      <c r="B44" s="22">
        <v>31600</v>
      </c>
      <c r="C44" s="23" t="s">
        <v>47</v>
      </c>
      <c r="D44" s="19">
        <v>62</v>
      </c>
      <c r="E44" s="21" t="s">
        <v>86</v>
      </c>
    </row>
    <row r="45" spans="1:5" x14ac:dyDescent="0.2">
      <c r="A45" s="19" t="str">
        <f t="shared" si="0"/>
        <v>INDEC-CM - 31600-61</v>
      </c>
      <c r="B45" s="22">
        <v>31600</v>
      </c>
      <c r="C45" s="23" t="s">
        <v>47</v>
      </c>
      <c r="D45" s="19">
        <v>61</v>
      </c>
      <c r="E45" s="21" t="s">
        <v>87</v>
      </c>
    </row>
    <row r="46" spans="1:5" x14ac:dyDescent="0.2">
      <c r="A46" s="19" t="str">
        <f t="shared" si="0"/>
        <v>INDEC-CM - 37420-11</v>
      </c>
      <c r="B46" s="22">
        <v>37420</v>
      </c>
      <c r="C46" s="23" t="s">
        <v>47</v>
      </c>
      <c r="D46" s="19">
        <v>11</v>
      </c>
      <c r="E46" s="21" t="s">
        <v>88</v>
      </c>
    </row>
    <row r="47" spans="1:5" x14ac:dyDescent="0.2">
      <c r="A47" s="19" t="str">
        <f t="shared" si="0"/>
        <v>INDEC-CM - 37420-12</v>
      </c>
      <c r="B47" s="22">
        <v>37420</v>
      </c>
      <c r="C47" s="23" t="s">
        <v>47</v>
      </c>
      <c r="D47" s="19">
        <v>12</v>
      </c>
      <c r="E47" s="21" t="s">
        <v>89</v>
      </c>
    </row>
    <row r="48" spans="1:5" x14ac:dyDescent="0.2">
      <c r="A48" s="19" t="str">
        <f t="shared" si="0"/>
        <v>INDEC-CM - 44822-11</v>
      </c>
      <c r="B48" s="22">
        <v>44822</v>
      </c>
      <c r="C48" s="23" t="s">
        <v>47</v>
      </c>
      <c r="D48" s="19">
        <v>11</v>
      </c>
      <c r="E48" s="21" t="s">
        <v>90</v>
      </c>
    </row>
    <row r="49" spans="1:5" x14ac:dyDescent="0.2">
      <c r="A49" s="19" t="str">
        <f t="shared" si="0"/>
        <v>INDEC-CM - 44826-11</v>
      </c>
      <c r="B49" s="22">
        <v>44826</v>
      </c>
      <c r="C49" s="23" t="s">
        <v>47</v>
      </c>
      <c r="D49" s="19">
        <v>11</v>
      </c>
      <c r="E49" s="21" t="s">
        <v>91</v>
      </c>
    </row>
    <row r="50" spans="1:5" x14ac:dyDescent="0.2">
      <c r="A50" s="19" t="str">
        <f t="shared" si="0"/>
        <v>INDEC-CM - 44826-12</v>
      </c>
      <c r="B50" s="22">
        <v>44826</v>
      </c>
      <c r="C50" s="23" t="s">
        <v>47</v>
      </c>
      <c r="D50" s="19">
        <v>12</v>
      </c>
      <c r="E50" s="21" t="s">
        <v>92</v>
      </c>
    </row>
    <row r="51" spans="1:5" x14ac:dyDescent="0.2">
      <c r="A51" s="19" t="str">
        <f t="shared" si="0"/>
        <v>INDEC-CM - 42911-21</v>
      </c>
      <c r="B51" s="22">
        <v>42911</v>
      </c>
      <c r="C51" s="23" t="s">
        <v>47</v>
      </c>
      <c r="D51" s="19">
        <v>21</v>
      </c>
      <c r="E51" s="21" t="s">
        <v>93</v>
      </c>
    </row>
    <row r="52" spans="1:5" x14ac:dyDescent="0.2">
      <c r="A52" s="19" t="str">
        <f t="shared" si="0"/>
        <v>INDEC-CM - 41277-21</v>
      </c>
      <c r="B52" s="22">
        <v>41277</v>
      </c>
      <c r="C52" s="23" t="s">
        <v>47</v>
      </c>
      <c r="D52" s="19">
        <v>21</v>
      </c>
      <c r="E52" s="21" t="s">
        <v>94</v>
      </c>
    </row>
    <row r="53" spans="1:5" x14ac:dyDescent="0.2">
      <c r="A53" s="19" t="str">
        <f t="shared" si="0"/>
        <v>INDEC-CM - 41277-11</v>
      </c>
      <c r="B53" s="22">
        <v>41277</v>
      </c>
      <c r="C53" s="23" t="s">
        <v>47</v>
      </c>
      <c r="D53" s="19">
        <v>11</v>
      </c>
      <c r="E53" s="21" t="s">
        <v>95</v>
      </c>
    </row>
    <row r="54" spans="1:5" x14ac:dyDescent="0.2">
      <c r="A54" s="19" t="str">
        <f t="shared" si="0"/>
        <v>INDEC-CM - 41516-11</v>
      </c>
      <c r="B54" s="22">
        <v>41516</v>
      </c>
      <c r="C54" s="23" t="s">
        <v>47</v>
      </c>
      <c r="D54" s="19">
        <v>11</v>
      </c>
      <c r="E54" s="21" t="s">
        <v>96</v>
      </c>
    </row>
    <row r="55" spans="1:5" x14ac:dyDescent="0.2">
      <c r="A55" s="19" t="str">
        <f t="shared" si="0"/>
        <v>INDEC-CM - 41516-12</v>
      </c>
      <c r="B55" s="22">
        <v>41516</v>
      </c>
      <c r="C55" s="23" t="s">
        <v>47</v>
      </c>
      <c r="D55" s="19">
        <v>12</v>
      </c>
      <c r="E55" s="21" t="s">
        <v>97</v>
      </c>
    </row>
    <row r="56" spans="1:5" x14ac:dyDescent="0.2">
      <c r="A56" s="19" t="str">
        <f t="shared" si="0"/>
        <v>INDEC-CM - 41273-11</v>
      </c>
      <c r="B56" s="22">
        <v>41273</v>
      </c>
      <c r="C56" s="23" t="s">
        <v>47</v>
      </c>
      <c r="D56" s="19">
        <v>11</v>
      </c>
      <c r="E56" s="21" t="s">
        <v>98</v>
      </c>
    </row>
    <row r="57" spans="1:5" x14ac:dyDescent="0.2">
      <c r="A57" s="19" t="str">
        <f t="shared" si="0"/>
        <v>INDEC-CM - 41273-12</v>
      </c>
      <c r="B57" s="22">
        <v>41273</v>
      </c>
      <c r="C57" s="23" t="s">
        <v>47</v>
      </c>
      <c r="D57" s="19">
        <v>12</v>
      </c>
      <c r="E57" s="21" t="s">
        <v>99</v>
      </c>
    </row>
    <row r="58" spans="1:5" x14ac:dyDescent="0.2">
      <c r="A58" s="19" t="str">
        <f t="shared" si="0"/>
        <v>INDEC-CM - 41277-41</v>
      </c>
      <c r="B58" s="22">
        <v>41277</v>
      </c>
      <c r="C58" s="23" t="s">
        <v>47</v>
      </c>
      <c r="D58" s="19">
        <v>41</v>
      </c>
      <c r="E58" s="21" t="s">
        <v>100</v>
      </c>
    </row>
    <row r="59" spans="1:5" x14ac:dyDescent="0.2">
      <c r="A59" s="19" t="str">
        <f t="shared" si="0"/>
        <v>INDEC-CM - 41277-31</v>
      </c>
      <c r="B59" s="22">
        <v>41277</v>
      </c>
      <c r="C59" s="23" t="s">
        <v>47</v>
      </c>
      <c r="D59" s="19">
        <v>31</v>
      </c>
      <c r="E59" s="21" t="s">
        <v>101</v>
      </c>
    </row>
    <row r="60" spans="1:5" x14ac:dyDescent="0.2">
      <c r="A60" s="19" t="str">
        <f t="shared" si="0"/>
        <v>INDEC-CM - 41543-11</v>
      </c>
      <c r="B60" s="22">
        <v>41543</v>
      </c>
      <c r="C60" s="23" t="s">
        <v>47</v>
      </c>
      <c r="D60" s="19">
        <v>11</v>
      </c>
      <c r="E60" s="21" t="s">
        <v>102</v>
      </c>
    </row>
    <row r="61" spans="1:5" x14ac:dyDescent="0.2">
      <c r="A61" s="19" t="str">
        <f t="shared" si="0"/>
        <v>INDEC-CM - 36320-21</v>
      </c>
      <c r="B61" s="22">
        <v>36320</v>
      </c>
      <c r="C61" s="23" t="s">
        <v>47</v>
      </c>
      <c r="D61" s="19">
        <v>21</v>
      </c>
      <c r="E61" s="21" t="s">
        <v>103</v>
      </c>
    </row>
    <row r="62" spans="1:5" x14ac:dyDescent="0.2">
      <c r="A62" s="19" t="str">
        <f t="shared" si="0"/>
        <v>INDEC-CM - 36320-22</v>
      </c>
      <c r="B62" s="22">
        <v>36320</v>
      </c>
      <c r="C62" s="23" t="s">
        <v>47</v>
      </c>
      <c r="D62" s="19">
        <v>22</v>
      </c>
      <c r="E62" s="21" t="s">
        <v>104</v>
      </c>
    </row>
    <row r="63" spans="1:5" x14ac:dyDescent="0.2">
      <c r="A63" s="19" t="str">
        <f t="shared" si="0"/>
        <v>INDEC-CM - 36320-11</v>
      </c>
      <c r="B63" s="22">
        <v>36320</v>
      </c>
      <c r="C63" s="23" t="s">
        <v>47</v>
      </c>
      <c r="D63" s="19">
        <v>11</v>
      </c>
      <c r="E63" s="21" t="s">
        <v>105</v>
      </c>
    </row>
    <row r="64" spans="1:5" x14ac:dyDescent="0.2">
      <c r="A64" s="19" t="str">
        <f t="shared" si="0"/>
        <v>INDEC-CM - 36320-12</v>
      </c>
      <c r="B64" s="22">
        <v>36320</v>
      </c>
      <c r="C64" s="23" t="s">
        <v>47</v>
      </c>
      <c r="D64" s="19">
        <v>12</v>
      </c>
      <c r="E64" s="21" t="s">
        <v>106</v>
      </c>
    </row>
    <row r="65" spans="1:7" x14ac:dyDescent="0.2">
      <c r="A65" s="19" t="str">
        <f t="shared" si="0"/>
        <v>INDEC-CM - 15320-11</v>
      </c>
      <c r="B65" s="22">
        <v>15320</v>
      </c>
      <c r="C65" s="23" t="s">
        <v>47</v>
      </c>
      <c r="D65" s="19">
        <v>11</v>
      </c>
      <c r="E65" s="21" t="s">
        <v>107</v>
      </c>
    </row>
    <row r="66" spans="1:7" x14ac:dyDescent="0.2">
      <c r="A66" s="19" t="str">
        <f t="shared" si="0"/>
        <v>INDEC-CM - 37350-61</v>
      </c>
      <c r="B66" s="22">
        <v>37350</v>
      </c>
      <c r="C66" s="23" t="s">
        <v>47</v>
      </c>
      <c r="D66" s="19">
        <v>61</v>
      </c>
      <c r="E66" s="24" t="s">
        <v>108</v>
      </c>
      <c r="F66" s="24"/>
      <c r="G66" s="24"/>
    </row>
    <row r="67" spans="1:7" x14ac:dyDescent="0.2">
      <c r="A67" s="19" t="str">
        <f t="shared" si="0"/>
        <v>INDEC-CM - 37440-31</v>
      </c>
      <c r="B67" s="22">
        <v>37440</v>
      </c>
      <c r="C67" s="23" t="s">
        <v>47</v>
      </c>
      <c r="D67" s="19">
        <v>31</v>
      </c>
      <c r="E67" s="21" t="s">
        <v>109</v>
      </c>
    </row>
    <row r="68" spans="1:7" x14ac:dyDescent="0.2">
      <c r="A68" s="19" t="str">
        <f t="shared" si="0"/>
        <v>INDEC-CM - 37440-11</v>
      </c>
      <c r="B68" s="22">
        <v>37440</v>
      </c>
      <c r="C68" s="23" t="s">
        <v>47</v>
      </c>
      <c r="D68" s="19">
        <v>11</v>
      </c>
      <c r="E68" s="21" t="s">
        <v>110</v>
      </c>
    </row>
    <row r="69" spans="1:7" x14ac:dyDescent="0.2">
      <c r="A69" s="19" t="str">
        <f t="shared" si="0"/>
        <v>INDEC-CM - 44821-21</v>
      </c>
      <c r="B69" s="22">
        <v>44821</v>
      </c>
      <c r="C69" s="23" t="s">
        <v>47</v>
      </c>
      <c r="D69" s="19">
        <v>21</v>
      </c>
      <c r="E69" s="21" t="s">
        <v>111</v>
      </c>
    </row>
    <row r="70" spans="1:7" x14ac:dyDescent="0.2">
      <c r="A70" s="19" t="str">
        <f t="shared" ref="A70:A133" si="1">CONCATENATE("INDEC-CM - ",B70,C70,D70)</f>
        <v>INDEC-CM - 36320-31</v>
      </c>
      <c r="B70" s="22">
        <v>36320</v>
      </c>
      <c r="C70" s="23" t="s">
        <v>47</v>
      </c>
      <c r="D70" s="19">
        <v>31</v>
      </c>
      <c r="E70" s="21" t="s">
        <v>112</v>
      </c>
    </row>
    <row r="71" spans="1:7" x14ac:dyDescent="0.2">
      <c r="A71" s="19" t="str">
        <f t="shared" si="1"/>
        <v>INDEC-CM - 41278-12</v>
      </c>
      <c r="B71" s="22">
        <v>41278</v>
      </c>
      <c r="C71" s="23" t="s">
        <v>47</v>
      </c>
      <c r="D71" s="19">
        <v>12</v>
      </c>
      <c r="E71" s="24" t="s">
        <v>113</v>
      </c>
      <c r="F71" s="24"/>
      <c r="G71" s="24"/>
    </row>
    <row r="72" spans="1:7" x14ac:dyDescent="0.2">
      <c r="A72" s="19" t="str">
        <f t="shared" si="1"/>
        <v>INDEC-CM - 41278-11</v>
      </c>
      <c r="B72" s="22">
        <v>41278</v>
      </c>
      <c r="C72" s="23" t="s">
        <v>47</v>
      </c>
      <c r="D72" s="19">
        <v>11</v>
      </c>
      <c r="E72" s="24" t="s">
        <v>114</v>
      </c>
      <c r="F72" s="24"/>
      <c r="G72" s="24"/>
    </row>
    <row r="73" spans="1:7" x14ac:dyDescent="0.2">
      <c r="A73" s="19" t="str">
        <f t="shared" si="1"/>
        <v>INDEC-CM - 36320-41</v>
      </c>
      <c r="B73" s="22">
        <v>36320</v>
      </c>
      <c r="C73" s="23" t="s">
        <v>47</v>
      </c>
      <c r="D73" s="19">
        <v>41</v>
      </c>
      <c r="E73" s="21" t="s">
        <v>115</v>
      </c>
    </row>
    <row r="74" spans="1:7" x14ac:dyDescent="0.2">
      <c r="A74" s="19" t="str">
        <f t="shared" si="1"/>
        <v>INDEC-CM - 41516-21</v>
      </c>
      <c r="B74" s="22">
        <v>41516</v>
      </c>
      <c r="C74" s="23" t="s">
        <v>47</v>
      </c>
      <c r="D74" s="19">
        <v>21</v>
      </c>
      <c r="E74" s="21" t="s">
        <v>116</v>
      </c>
    </row>
    <row r="75" spans="1:7" x14ac:dyDescent="0.2">
      <c r="A75" s="19" t="str">
        <f t="shared" si="1"/>
        <v>INDEC-CM - 41278-22</v>
      </c>
      <c r="B75" s="22">
        <v>41278</v>
      </c>
      <c r="C75" s="23" t="s">
        <v>47</v>
      </c>
      <c r="D75" s="19">
        <v>22</v>
      </c>
      <c r="E75" s="24" t="s">
        <v>117</v>
      </c>
      <c r="F75" s="24"/>
      <c r="G75" s="24"/>
    </row>
    <row r="76" spans="1:7" x14ac:dyDescent="0.2">
      <c r="A76" s="19" t="str">
        <f t="shared" si="1"/>
        <v>INDEC-CM - 46350-11</v>
      </c>
      <c r="B76" s="22">
        <v>46350</v>
      </c>
      <c r="C76" s="23" t="s">
        <v>47</v>
      </c>
      <c r="D76" s="19">
        <v>11</v>
      </c>
      <c r="E76" s="21" t="s">
        <v>118</v>
      </c>
    </row>
    <row r="77" spans="1:7" x14ac:dyDescent="0.2">
      <c r="A77" s="19" t="str">
        <f t="shared" si="1"/>
        <v>INDEC-CM - 41278-41</v>
      </c>
      <c r="B77" s="22">
        <v>41278</v>
      </c>
      <c r="C77" s="23" t="s">
        <v>47</v>
      </c>
      <c r="D77" s="19">
        <v>41</v>
      </c>
      <c r="E77" s="24" t="s">
        <v>119</v>
      </c>
      <c r="F77" s="24"/>
      <c r="G77" s="24"/>
    </row>
    <row r="78" spans="1:7" x14ac:dyDescent="0.2">
      <c r="A78" s="19" t="str">
        <f t="shared" si="1"/>
        <v>INDEC-CM - 42999-11</v>
      </c>
      <c r="B78" s="22">
        <v>42999</v>
      </c>
      <c r="C78" s="23" t="s">
        <v>47</v>
      </c>
      <c r="D78" s="19">
        <v>11</v>
      </c>
      <c r="E78" s="21" t="s">
        <v>120</v>
      </c>
    </row>
    <row r="79" spans="1:7" x14ac:dyDescent="0.2">
      <c r="A79" s="19" t="str">
        <f t="shared" si="1"/>
        <v>INDEC-CM - 36320-51</v>
      </c>
      <c r="B79" s="22">
        <v>36320</v>
      </c>
      <c r="C79" s="23" t="s">
        <v>47</v>
      </c>
      <c r="D79" s="19">
        <v>51</v>
      </c>
      <c r="E79" s="21" t="s">
        <v>121</v>
      </c>
    </row>
    <row r="80" spans="1:7" x14ac:dyDescent="0.2">
      <c r="A80" s="19" t="str">
        <f t="shared" si="1"/>
        <v>INDEC-CM - 31600-12</v>
      </c>
      <c r="B80" s="22">
        <v>31600</v>
      </c>
      <c r="C80" s="23" t="s">
        <v>47</v>
      </c>
      <c r="D80" s="19">
        <v>12</v>
      </c>
      <c r="E80" s="21" t="s">
        <v>122</v>
      </c>
    </row>
    <row r="81" spans="1:7" x14ac:dyDescent="0.2">
      <c r="A81" s="19" t="str">
        <f t="shared" si="1"/>
        <v>INDEC-CM - 36950-11</v>
      </c>
      <c r="B81" s="22">
        <v>36950</v>
      </c>
      <c r="C81" s="23" t="s">
        <v>47</v>
      </c>
      <c r="D81" s="19">
        <v>11</v>
      </c>
      <c r="E81" s="21" t="s">
        <v>123</v>
      </c>
    </row>
    <row r="82" spans="1:7" x14ac:dyDescent="0.2">
      <c r="A82" s="19" t="str">
        <f t="shared" si="1"/>
        <v>INDEC-CM - 31600-11</v>
      </c>
      <c r="B82" s="22">
        <v>31600</v>
      </c>
      <c r="C82" s="23" t="s">
        <v>47</v>
      </c>
      <c r="D82" s="19">
        <v>11</v>
      </c>
      <c r="E82" s="21" t="s">
        <v>124</v>
      </c>
    </row>
    <row r="83" spans="1:7" x14ac:dyDescent="0.2">
      <c r="A83" s="19" t="str">
        <f t="shared" si="1"/>
        <v>INDEC-CM - 37112-11</v>
      </c>
      <c r="B83" s="22">
        <v>37112</v>
      </c>
      <c r="C83" s="23" t="s">
        <v>47</v>
      </c>
      <c r="D83" s="19">
        <v>11</v>
      </c>
      <c r="E83" s="21" t="s">
        <v>125</v>
      </c>
    </row>
    <row r="84" spans="1:7" x14ac:dyDescent="0.2">
      <c r="A84" s="19" t="str">
        <f t="shared" si="1"/>
        <v>INDEC-CM - 41278-31</v>
      </c>
      <c r="B84" s="22">
        <v>41278</v>
      </c>
      <c r="C84" s="23" t="s">
        <v>47</v>
      </c>
      <c r="D84" s="19">
        <v>31</v>
      </c>
      <c r="E84" s="24" t="s">
        <v>126</v>
      </c>
      <c r="F84" s="24"/>
      <c r="G84" s="24"/>
    </row>
    <row r="85" spans="1:7" x14ac:dyDescent="0.2">
      <c r="A85" s="19" t="str">
        <f t="shared" si="1"/>
        <v>INDEC-CM - 41278-13</v>
      </c>
      <c r="B85" s="22">
        <v>41278</v>
      </c>
      <c r="C85" s="23" t="s">
        <v>47</v>
      </c>
      <c r="D85" s="19">
        <v>13</v>
      </c>
      <c r="E85" s="24" t="s">
        <v>127</v>
      </c>
      <c r="F85" s="24"/>
      <c r="G85" s="24"/>
    </row>
    <row r="86" spans="1:7" x14ac:dyDescent="0.2">
      <c r="A86" s="19" t="str">
        <f t="shared" si="1"/>
        <v>INDEC-CM - 37570-11</v>
      </c>
      <c r="B86" s="22">
        <v>37570</v>
      </c>
      <c r="C86" s="23" t="s">
        <v>47</v>
      </c>
      <c r="D86" s="19">
        <v>11</v>
      </c>
      <c r="E86" s="24" t="s">
        <v>128</v>
      </c>
      <c r="F86" s="24"/>
      <c r="G86" s="24"/>
    </row>
    <row r="87" spans="1:7" x14ac:dyDescent="0.2">
      <c r="A87" s="19" t="str">
        <f t="shared" si="1"/>
        <v>INDEC-CM - 43220-11</v>
      </c>
      <c r="B87" s="22">
        <v>43220</v>
      </c>
      <c r="C87" s="23" t="s">
        <v>47</v>
      </c>
      <c r="D87" s="19">
        <v>11</v>
      </c>
      <c r="E87" s="21" t="s">
        <v>129</v>
      </c>
    </row>
    <row r="88" spans="1:7" x14ac:dyDescent="0.2">
      <c r="A88" s="19" t="str">
        <f t="shared" si="1"/>
        <v>INDEC-CM - 43220-12</v>
      </c>
      <c r="B88" s="22">
        <v>43220</v>
      </c>
      <c r="C88" s="23" t="s">
        <v>47</v>
      </c>
      <c r="D88" s="19">
        <v>12</v>
      </c>
      <c r="E88" s="21" t="s">
        <v>130</v>
      </c>
    </row>
    <row r="89" spans="1:7" x14ac:dyDescent="0.2">
      <c r="A89" s="19" t="str">
        <f t="shared" si="1"/>
        <v>INDEC-CM - 43220-21</v>
      </c>
      <c r="B89" s="22">
        <v>43220</v>
      </c>
      <c r="C89" s="23" t="s">
        <v>47</v>
      </c>
      <c r="D89" s="19">
        <v>21</v>
      </c>
      <c r="E89" s="21" t="s">
        <v>131</v>
      </c>
    </row>
    <row r="90" spans="1:7" x14ac:dyDescent="0.2">
      <c r="A90" s="19" t="str">
        <f t="shared" si="1"/>
        <v>INDEC-CM - 43220-22</v>
      </c>
      <c r="B90" s="22">
        <v>43220</v>
      </c>
      <c r="C90" s="23" t="s">
        <v>47</v>
      </c>
      <c r="D90" s="19">
        <v>22</v>
      </c>
      <c r="E90" s="21" t="s">
        <v>132</v>
      </c>
    </row>
    <row r="91" spans="1:7" x14ac:dyDescent="0.2">
      <c r="A91" s="19" t="str">
        <f t="shared" si="1"/>
        <v>INDEC-CM - 43220-23</v>
      </c>
      <c r="B91" s="22">
        <v>43220</v>
      </c>
      <c r="C91" s="23" t="s">
        <v>47</v>
      </c>
      <c r="D91" s="19">
        <v>23</v>
      </c>
      <c r="E91" s="21" t="s">
        <v>133</v>
      </c>
    </row>
    <row r="92" spans="1:7" x14ac:dyDescent="0.2">
      <c r="A92" s="19" t="str">
        <f t="shared" si="1"/>
        <v>INDEC-CM - 43220-31</v>
      </c>
      <c r="B92" s="22">
        <v>43220</v>
      </c>
      <c r="C92" s="23" t="s">
        <v>47</v>
      </c>
      <c r="D92" s="19">
        <v>31</v>
      </c>
      <c r="E92" s="21" t="s">
        <v>134</v>
      </c>
    </row>
    <row r="93" spans="1:7" x14ac:dyDescent="0.2">
      <c r="A93" s="19" t="str">
        <f t="shared" si="1"/>
        <v>INDEC-CM - 43220-32</v>
      </c>
      <c r="B93" s="22">
        <v>43220</v>
      </c>
      <c r="C93" s="23" t="s">
        <v>47</v>
      </c>
      <c r="D93" s="19">
        <v>32</v>
      </c>
      <c r="E93" s="21" t="s">
        <v>135</v>
      </c>
    </row>
    <row r="94" spans="1:7" x14ac:dyDescent="0.2">
      <c r="A94" s="19" t="str">
        <f t="shared" si="1"/>
        <v>INDEC-CM - 41278-32</v>
      </c>
      <c r="B94" s="22">
        <v>41278</v>
      </c>
      <c r="C94" s="23" t="s">
        <v>47</v>
      </c>
      <c r="D94" s="19">
        <v>32</v>
      </c>
      <c r="E94" s="24" t="s">
        <v>136</v>
      </c>
      <c r="F94" s="24"/>
      <c r="G94" s="24"/>
    </row>
    <row r="95" spans="1:7" x14ac:dyDescent="0.2">
      <c r="A95" s="19" t="str">
        <f t="shared" si="1"/>
        <v>INDEC-CM - 36320-32</v>
      </c>
      <c r="B95" s="22">
        <v>36320</v>
      </c>
      <c r="C95" s="23" t="s">
        <v>47</v>
      </c>
      <c r="D95" s="19">
        <v>32</v>
      </c>
      <c r="E95" s="21" t="s">
        <v>137</v>
      </c>
    </row>
    <row r="96" spans="1:7" x14ac:dyDescent="0.2">
      <c r="A96" s="19" t="str">
        <f t="shared" si="1"/>
        <v>INDEC-CM - 41278-23</v>
      </c>
      <c r="B96" s="22">
        <v>41278</v>
      </c>
      <c r="C96" s="23" t="s">
        <v>47</v>
      </c>
      <c r="D96" s="19">
        <v>23</v>
      </c>
      <c r="E96" s="24" t="s">
        <v>138</v>
      </c>
      <c r="F96" s="24"/>
      <c r="G96" s="24"/>
    </row>
    <row r="97" spans="1:5" x14ac:dyDescent="0.2">
      <c r="A97" s="19" t="str">
        <f t="shared" si="1"/>
        <v>INDEC-CM - 35110-11</v>
      </c>
      <c r="B97" s="22">
        <v>35110</v>
      </c>
      <c r="C97" s="23" t="s">
        <v>47</v>
      </c>
      <c r="D97" s="19">
        <v>11</v>
      </c>
      <c r="E97" s="21" t="s">
        <v>139</v>
      </c>
    </row>
    <row r="98" spans="1:5" x14ac:dyDescent="0.2">
      <c r="A98" s="19" t="str">
        <f t="shared" si="1"/>
        <v>INDEC-CM - 35110-12</v>
      </c>
      <c r="B98" s="22">
        <v>35110</v>
      </c>
      <c r="C98" s="23" t="s">
        <v>47</v>
      </c>
      <c r="D98" s="19">
        <v>12</v>
      </c>
      <c r="E98" s="21" t="s">
        <v>140</v>
      </c>
    </row>
    <row r="99" spans="1:5" x14ac:dyDescent="0.2">
      <c r="A99" s="19" t="str">
        <f t="shared" si="1"/>
        <v>INDEC-CM - 35110-21</v>
      </c>
      <c r="B99" s="22">
        <v>35110</v>
      </c>
      <c r="C99" s="23" t="s">
        <v>47</v>
      </c>
      <c r="D99" s="19">
        <v>21</v>
      </c>
      <c r="E99" s="21" t="s">
        <v>141</v>
      </c>
    </row>
    <row r="100" spans="1:5" x14ac:dyDescent="0.2">
      <c r="A100" s="19" t="str">
        <f t="shared" si="1"/>
        <v>INDEC-CM - 35110-22</v>
      </c>
      <c r="B100" s="22">
        <v>35110</v>
      </c>
      <c r="C100" s="23" t="s">
        <v>47</v>
      </c>
      <c r="D100" s="19">
        <v>22</v>
      </c>
      <c r="E100" s="21" t="s">
        <v>142</v>
      </c>
    </row>
    <row r="101" spans="1:5" x14ac:dyDescent="0.2">
      <c r="A101" s="19" t="str">
        <f t="shared" si="1"/>
        <v>INDEC-CM - 41547-11</v>
      </c>
      <c r="B101" s="22">
        <v>41547</v>
      </c>
      <c r="C101" s="23" t="s">
        <v>47</v>
      </c>
      <c r="D101" s="19">
        <v>11</v>
      </c>
      <c r="E101" s="21" t="s">
        <v>143</v>
      </c>
    </row>
    <row r="102" spans="1:5" x14ac:dyDescent="0.2">
      <c r="A102" s="19" t="str">
        <f t="shared" si="1"/>
        <v>INDEC-CM - 31600-73</v>
      </c>
      <c r="B102" s="22">
        <v>31600</v>
      </c>
      <c r="C102" s="23" t="s">
        <v>47</v>
      </c>
      <c r="D102" s="19">
        <v>73</v>
      </c>
      <c r="E102" s="21" t="s">
        <v>144</v>
      </c>
    </row>
    <row r="103" spans="1:5" x14ac:dyDescent="0.2">
      <c r="A103" s="19" t="str">
        <f t="shared" si="1"/>
        <v>INDEC-CM - 31600-72</v>
      </c>
      <c r="B103" s="22">
        <v>31600</v>
      </c>
      <c r="C103" s="23" t="s">
        <v>47</v>
      </c>
      <c r="D103" s="19">
        <v>72</v>
      </c>
      <c r="E103" s="21" t="s">
        <v>145</v>
      </c>
    </row>
    <row r="104" spans="1:5" x14ac:dyDescent="0.2">
      <c r="A104" s="19" t="str">
        <f t="shared" si="1"/>
        <v>INDEC-CM - 31600-71</v>
      </c>
      <c r="B104" s="22">
        <v>31600</v>
      </c>
      <c r="C104" s="23" t="s">
        <v>47</v>
      </c>
      <c r="D104" s="19">
        <v>71</v>
      </c>
      <c r="E104" s="21" t="s">
        <v>146</v>
      </c>
    </row>
    <row r="105" spans="1:5" x14ac:dyDescent="0.2">
      <c r="A105" s="19" t="str">
        <f t="shared" si="1"/>
        <v>INDEC-CM - 35110-61</v>
      </c>
      <c r="B105" s="22">
        <v>35110</v>
      </c>
      <c r="C105" s="23" t="s">
        <v>47</v>
      </c>
      <c r="D105" s="19">
        <v>61</v>
      </c>
      <c r="E105" s="21" t="s">
        <v>147</v>
      </c>
    </row>
    <row r="106" spans="1:5" x14ac:dyDescent="0.2">
      <c r="A106" s="19" t="str">
        <f t="shared" si="1"/>
        <v>INDEC-CM - 31600-53</v>
      </c>
      <c r="B106" s="22">
        <v>31600</v>
      </c>
      <c r="C106" s="23" t="s">
        <v>47</v>
      </c>
      <c r="D106" s="19">
        <v>53</v>
      </c>
      <c r="E106" s="21" t="s">
        <v>148</v>
      </c>
    </row>
    <row r="107" spans="1:5" x14ac:dyDescent="0.2">
      <c r="A107" s="19" t="str">
        <f t="shared" si="1"/>
        <v>INDEC-CM - 31600-51</v>
      </c>
      <c r="B107" s="22">
        <v>31600</v>
      </c>
      <c r="C107" s="23" t="s">
        <v>47</v>
      </c>
      <c r="D107" s="19">
        <v>51</v>
      </c>
      <c r="E107" s="21" t="s">
        <v>149</v>
      </c>
    </row>
    <row r="108" spans="1:5" x14ac:dyDescent="0.2">
      <c r="A108" s="19" t="str">
        <f t="shared" si="1"/>
        <v>INDEC-CM - 37550-21</v>
      </c>
      <c r="B108" s="22">
        <v>37550</v>
      </c>
      <c r="C108" s="23" t="s">
        <v>47</v>
      </c>
      <c r="D108" s="19">
        <v>21</v>
      </c>
      <c r="E108" s="21" t="s">
        <v>150</v>
      </c>
    </row>
    <row r="109" spans="1:5" x14ac:dyDescent="0.2">
      <c r="A109" s="19" t="str">
        <f t="shared" si="1"/>
        <v>INDEC-CM - 42999-41</v>
      </c>
      <c r="B109" s="22">
        <v>42999</v>
      </c>
      <c r="C109" s="23" t="s">
        <v>47</v>
      </c>
      <c r="D109" s="19">
        <v>41</v>
      </c>
      <c r="E109" s="21" t="s">
        <v>151</v>
      </c>
    </row>
    <row r="110" spans="1:5" x14ac:dyDescent="0.2">
      <c r="A110" s="19" t="str">
        <f t="shared" si="1"/>
        <v>INDEC-CM - 42911-53</v>
      </c>
      <c r="B110" s="22">
        <v>42911</v>
      </c>
      <c r="C110" s="23" t="s">
        <v>47</v>
      </c>
      <c r="D110" s="19">
        <v>53</v>
      </c>
      <c r="E110" s="21" t="s">
        <v>152</v>
      </c>
    </row>
    <row r="111" spans="1:5" x14ac:dyDescent="0.2">
      <c r="A111" s="19" t="str">
        <f t="shared" si="1"/>
        <v>INDEC-CM - 42911-52</v>
      </c>
      <c r="B111" s="22">
        <v>42911</v>
      </c>
      <c r="C111" s="23" t="s">
        <v>47</v>
      </c>
      <c r="D111" s="19">
        <v>52</v>
      </c>
      <c r="E111" s="21" t="s">
        <v>153</v>
      </c>
    </row>
    <row r="112" spans="1:5" x14ac:dyDescent="0.2">
      <c r="A112" s="19" t="str">
        <f t="shared" si="1"/>
        <v>INDEC-CM - 42911-51</v>
      </c>
      <c r="B112" s="22">
        <v>42911</v>
      </c>
      <c r="C112" s="23" t="s">
        <v>47</v>
      </c>
      <c r="D112" s="19">
        <v>51</v>
      </c>
      <c r="E112" s="21" t="s">
        <v>154</v>
      </c>
    </row>
    <row r="113" spans="1:7" x14ac:dyDescent="0.2">
      <c r="A113" s="19" t="str">
        <f t="shared" si="1"/>
        <v>INDEC-CM - 42911-43</v>
      </c>
      <c r="B113" s="22">
        <v>42911</v>
      </c>
      <c r="C113" s="23" t="s">
        <v>47</v>
      </c>
      <c r="D113" s="19">
        <v>43</v>
      </c>
      <c r="E113" s="21" t="s">
        <v>155</v>
      </c>
    </row>
    <row r="114" spans="1:7" x14ac:dyDescent="0.2">
      <c r="A114" s="19" t="str">
        <f t="shared" si="1"/>
        <v>INDEC-CM - 42911-42</v>
      </c>
      <c r="B114" s="22">
        <v>42911</v>
      </c>
      <c r="C114" s="23" t="s">
        <v>47</v>
      </c>
      <c r="D114" s="19">
        <v>42</v>
      </c>
      <c r="E114" s="21" t="s">
        <v>156</v>
      </c>
    </row>
    <row r="115" spans="1:7" x14ac:dyDescent="0.2">
      <c r="A115" s="19" t="str">
        <f t="shared" si="1"/>
        <v>INDEC-CM - 42911-41</v>
      </c>
      <c r="B115" s="22">
        <v>42911</v>
      </c>
      <c r="C115" s="23" t="s">
        <v>47</v>
      </c>
      <c r="D115" s="19">
        <v>41</v>
      </c>
      <c r="E115" s="21" t="s">
        <v>157</v>
      </c>
    </row>
    <row r="116" spans="1:7" x14ac:dyDescent="0.2">
      <c r="A116" s="19" t="str">
        <f t="shared" si="1"/>
        <v>INDEC-CM - 42911-56</v>
      </c>
      <c r="B116" s="22">
        <v>42911</v>
      </c>
      <c r="C116" s="23" t="s">
        <v>47</v>
      </c>
      <c r="D116" s="19">
        <v>56</v>
      </c>
      <c r="E116" s="21" t="s">
        <v>158</v>
      </c>
    </row>
    <row r="117" spans="1:7" x14ac:dyDescent="0.2">
      <c r="A117" s="19" t="str">
        <f t="shared" si="1"/>
        <v>INDEC-CM - 42911-55</v>
      </c>
      <c r="B117" s="22">
        <v>42911</v>
      </c>
      <c r="C117" s="23" t="s">
        <v>47</v>
      </c>
      <c r="D117" s="19">
        <v>55</v>
      </c>
      <c r="E117" s="21" t="s">
        <v>159</v>
      </c>
    </row>
    <row r="118" spans="1:7" x14ac:dyDescent="0.2">
      <c r="A118" s="19" t="str">
        <f t="shared" si="1"/>
        <v>INDEC-CM - 42911-54</v>
      </c>
      <c r="B118" s="22">
        <v>42911</v>
      </c>
      <c r="C118" s="23" t="s">
        <v>47</v>
      </c>
      <c r="D118" s="19">
        <v>54</v>
      </c>
      <c r="E118" s="21" t="s">
        <v>160</v>
      </c>
    </row>
    <row r="119" spans="1:7" x14ac:dyDescent="0.2">
      <c r="A119" s="19" t="str">
        <f t="shared" si="1"/>
        <v>INDEC-CM - 42911-32</v>
      </c>
      <c r="B119" s="22">
        <v>42911</v>
      </c>
      <c r="C119" s="23" t="s">
        <v>47</v>
      </c>
      <c r="D119" s="19">
        <v>32</v>
      </c>
      <c r="E119" s="21" t="s">
        <v>161</v>
      </c>
    </row>
    <row r="120" spans="1:7" x14ac:dyDescent="0.2">
      <c r="A120" s="19" t="str">
        <f t="shared" si="1"/>
        <v>INDEC-CM - 42911-31</v>
      </c>
      <c r="B120" s="22">
        <v>42911</v>
      </c>
      <c r="C120" s="23" t="s">
        <v>47</v>
      </c>
      <c r="D120" s="19">
        <v>31</v>
      </c>
      <c r="E120" s="21" t="s">
        <v>162</v>
      </c>
    </row>
    <row r="121" spans="1:7" x14ac:dyDescent="0.2">
      <c r="A121" s="19" t="str">
        <f t="shared" si="1"/>
        <v>INDEC-CM - 42911-59</v>
      </c>
      <c r="B121" s="22">
        <v>42911</v>
      </c>
      <c r="C121" s="23" t="s">
        <v>47</v>
      </c>
      <c r="D121" s="19">
        <v>59</v>
      </c>
      <c r="E121" s="21" t="s">
        <v>163</v>
      </c>
    </row>
    <row r="122" spans="1:7" x14ac:dyDescent="0.2">
      <c r="A122" s="19" t="str">
        <f t="shared" si="1"/>
        <v>INDEC-CM - 42911-58</v>
      </c>
      <c r="B122" s="22">
        <v>42911</v>
      </c>
      <c r="C122" s="23" t="s">
        <v>47</v>
      </c>
      <c r="D122" s="19">
        <v>58</v>
      </c>
      <c r="E122" s="24" t="s">
        <v>164</v>
      </c>
      <c r="F122" s="24"/>
      <c r="G122" s="24"/>
    </row>
    <row r="123" spans="1:7" x14ac:dyDescent="0.2">
      <c r="A123" s="19" t="str">
        <f t="shared" si="1"/>
        <v>INDEC-CM - 42911-57</v>
      </c>
      <c r="B123" s="22">
        <v>42911</v>
      </c>
      <c r="C123" s="23" t="s">
        <v>47</v>
      </c>
      <c r="D123" s="19">
        <v>57</v>
      </c>
      <c r="E123" s="24" t="s">
        <v>165</v>
      </c>
      <c r="F123" s="24"/>
      <c r="G123" s="24"/>
    </row>
    <row r="124" spans="1:7" x14ac:dyDescent="0.2">
      <c r="A124" s="19" t="str">
        <f t="shared" si="1"/>
        <v>INDEC-CM - 43923-21</v>
      </c>
      <c r="B124" s="22">
        <v>43923</v>
      </c>
      <c r="C124" s="23" t="s">
        <v>47</v>
      </c>
      <c r="D124" s="19">
        <v>21</v>
      </c>
      <c r="E124" s="24" t="s">
        <v>166</v>
      </c>
      <c r="F124" s="24"/>
      <c r="G124" s="24"/>
    </row>
    <row r="125" spans="1:7" x14ac:dyDescent="0.2">
      <c r="A125" s="19" t="str">
        <f t="shared" si="1"/>
        <v>INDEC-CM - 37510-11</v>
      </c>
      <c r="B125" s="22">
        <v>37510</v>
      </c>
      <c r="C125" s="23" t="s">
        <v>47</v>
      </c>
      <c r="D125" s="19">
        <v>11</v>
      </c>
      <c r="E125" s="21" t="s">
        <v>167</v>
      </c>
    </row>
    <row r="126" spans="1:7" x14ac:dyDescent="0.2">
      <c r="A126" s="19" t="str">
        <f t="shared" si="1"/>
        <v>INDEC-CM - 44821-31</v>
      </c>
      <c r="B126" s="22">
        <v>44821</v>
      </c>
      <c r="C126" s="23" t="s">
        <v>47</v>
      </c>
      <c r="D126" s="19">
        <v>31</v>
      </c>
      <c r="E126" s="21" t="s">
        <v>168</v>
      </c>
    </row>
    <row r="127" spans="1:7" x14ac:dyDescent="0.2">
      <c r="A127" s="19" t="str">
        <f t="shared" si="1"/>
        <v>INDEC-CM - 46531-12</v>
      </c>
      <c r="B127" s="22">
        <v>46531</v>
      </c>
      <c r="C127" s="23" t="s">
        <v>47</v>
      </c>
      <c r="D127" s="19">
        <v>12</v>
      </c>
      <c r="E127" s="24" t="s">
        <v>169</v>
      </c>
      <c r="F127" s="24"/>
      <c r="G127" s="24"/>
    </row>
    <row r="128" spans="1:7" x14ac:dyDescent="0.2">
      <c r="A128" s="19" t="str">
        <f t="shared" si="1"/>
        <v>INDEC-CM - 37210-13</v>
      </c>
      <c r="B128" s="22">
        <v>37210</v>
      </c>
      <c r="C128" s="23" t="s">
        <v>47</v>
      </c>
      <c r="D128" s="19">
        <v>13</v>
      </c>
      <c r="E128" s="21" t="s">
        <v>170</v>
      </c>
    </row>
    <row r="129" spans="1:7" x14ac:dyDescent="0.2">
      <c r="A129" s="19" t="str">
        <f t="shared" si="1"/>
        <v>INDEC-CM - 37210-12</v>
      </c>
      <c r="B129" s="22">
        <v>37210</v>
      </c>
      <c r="C129" s="23" t="s">
        <v>47</v>
      </c>
      <c r="D129" s="19">
        <v>12</v>
      </c>
      <c r="E129" s="21" t="s">
        <v>171</v>
      </c>
    </row>
    <row r="130" spans="1:7" x14ac:dyDescent="0.2">
      <c r="A130" s="19" t="str">
        <f t="shared" si="1"/>
        <v>INDEC-CM - 37210-11</v>
      </c>
      <c r="B130" s="22">
        <v>37210</v>
      </c>
      <c r="C130" s="23" t="s">
        <v>47</v>
      </c>
      <c r="D130" s="19">
        <v>11</v>
      </c>
      <c r="E130" s="24" t="s">
        <v>172</v>
      </c>
      <c r="F130" s="24"/>
      <c r="G130" s="24"/>
    </row>
    <row r="131" spans="1:7" x14ac:dyDescent="0.2">
      <c r="A131" s="19" t="str">
        <f t="shared" si="1"/>
        <v>INDEC-CM - 46212-11</v>
      </c>
      <c r="B131" s="22">
        <v>46212</v>
      </c>
      <c r="C131" s="23" t="s">
        <v>47</v>
      </c>
      <c r="D131" s="19">
        <v>11</v>
      </c>
      <c r="E131" s="21" t="s">
        <v>173</v>
      </c>
    </row>
    <row r="132" spans="1:7" x14ac:dyDescent="0.2">
      <c r="A132" s="19" t="str">
        <f t="shared" si="1"/>
        <v>INDEC-CM - 46212-51</v>
      </c>
      <c r="B132" s="22">
        <v>46212</v>
      </c>
      <c r="C132" s="23" t="s">
        <v>47</v>
      </c>
      <c r="D132" s="19">
        <v>51</v>
      </c>
      <c r="E132" s="21" t="s">
        <v>174</v>
      </c>
    </row>
    <row r="133" spans="1:7" x14ac:dyDescent="0.2">
      <c r="A133" s="19" t="str">
        <f t="shared" si="1"/>
        <v>INDEC-CM - 46212-31</v>
      </c>
      <c r="B133" s="22">
        <v>46212</v>
      </c>
      <c r="C133" s="23" t="s">
        <v>47</v>
      </c>
      <c r="D133" s="19">
        <v>31</v>
      </c>
      <c r="E133" s="21" t="s">
        <v>175</v>
      </c>
    </row>
    <row r="134" spans="1:7" x14ac:dyDescent="0.2">
      <c r="A134" s="19" t="str">
        <f t="shared" ref="A134:A197" si="2">CONCATENATE("INDEC-CM - ",B134,C134,D134)</f>
        <v>INDEC-CM - 46212-41</v>
      </c>
      <c r="B134" s="22">
        <v>46212</v>
      </c>
      <c r="C134" s="23" t="s">
        <v>47</v>
      </c>
      <c r="D134" s="19">
        <v>41</v>
      </c>
      <c r="E134" s="21" t="s">
        <v>176</v>
      </c>
    </row>
    <row r="135" spans="1:7" x14ac:dyDescent="0.2">
      <c r="A135" s="19" t="str">
        <f t="shared" si="2"/>
        <v>INDEC-CM - 42999-51</v>
      </c>
      <c r="B135" s="22">
        <v>42999</v>
      </c>
      <c r="C135" s="23" t="s">
        <v>47</v>
      </c>
      <c r="D135" s="19">
        <v>51</v>
      </c>
      <c r="E135" s="21" t="s">
        <v>177</v>
      </c>
    </row>
    <row r="136" spans="1:7" x14ac:dyDescent="0.2">
      <c r="A136" s="19" t="str">
        <f t="shared" si="2"/>
        <v>INDEC-CM - 35110-51</v>
      </c>
      <c r="B136" s="22">
        <v>35110</v>
      </c>
      <c r="C136" s="23" t="s">
        <v>47</v>
      </c>
      <c r="D136" s="19">
        <v>51</v>
      </c>
      <c r="E136" s="21" t="s">
        <v>178</v>
      </c>
    </row>
    <row r="137" spans="1:7" x14ac:dyDescent="0.2">
      <c r="A137" s="19" t="str">
        <f t="shared" si="2"/>
        <v>INDEC-CM - 37350-11</v>
      </c>
      <c r="B137" s="22">
        <v>37350</v>
      </c>
      <c r="C137" s="23" t="s">
        <v>47</v>
      </c>
      <c r="D137" s="19">
        <v>11</v>
      </c>
      <c r="E137" s="21" t="s">
        <v>179</v>
      </c>
    </row>
    <row r="138" spans="1:7" x14ac:dyDescent="0.2">
      <c r="A138" s="19" t="str">
        <f t="shared" si="2"/>
        <v>INDEC-CM - 37350-41</v>
      </c>
      <c r="B138" s="22">
        <v>37350</v>
      </c>
      <c r="C138" s="23" t="s">
        <v>47</v>
      </c>
      <c r="D138" s="19">
        <v>41</v>
      </c>
      <c r="E138" s="21" t="s">
        <v>180</v>
      </c>
    </row>
    <row r="139" spans="1:7" x14ac:dyDescent="0.2">
      <c r="A139" s="19" t="str">
        <f t="shared" si="2"/>
        <v>INDEC-CM - 37350-21</v>
      </c>
      <c r="B139" s="22">
        <v>37350</v>
      </c>
      <c r="C139" s="23" t="s">
        <v>47</v>
      </c>
      <c r="D139" s="19">
        <v>21</v>
      </c>
      <c r="E139" s="21" t="s">
        <v>181</v>
      </c>
    </row>
    <row r="140" spans="1:7" x14ac:dyDescent="0.2">
      <c r="A140" s="19" t="str">
        <f t="shared" si="2"/>
        <v>INDEC-CM - 37350-31</v>
      </c>
      <c r="B140" s="22">
        <v>37350</v>
      </c>
      <c r="C140" s="23" t="s">
        <v>47</v>
      </c>
      <c r="D140" s="19">
        <v>31</v>
      </c>
      <c r="E140" s="21" t="s">
        <v>182</v>
      </c>
    </row>
    <row r="141" spans="1:7" x14ac:dyDescent="0.2">
      <c r="A141" s="19" t="str">
        <f t="shared" si="2"/>
        <v>INDEC-CM - 37210-32</v>
      </c>
      <c r="B141" s="22">
        <v>37210</v>
      </c>
      <c r="C141" s="23" t="s">
        <v>47</v>
      </c>
      <c r="D141" s="19">
        <v>32</v>
      </c>
      <c r="E141" s="21" t="s">
        <v>183</v>
      </c>
    </row>
    <row r="142" spans="1:7" x14ac:dyDescent="0.2">
      <c r="A142" s="19" t="str">
        <f t="shared" si="2"/>
        <v>INDEC-CM - 37210-31</v>
      </c>
      <c r="B142" s="22">
        <v>37210</v>
      </c>
      <c r="C142" s="23" t="s">
        <v>47</v>
      </c>
      <c r="D142" s="19">
        <v>31</v>
      </c>
      <c r="E142" s="21" t="s">
        <v>184</v>
      </c>
    </row>
    <row r="143" spans="1:7" x14ac:dyDescent="0.2">
      <c r="A143" s="19" t="str">
        <f t="shared" si="2"/>
        <v>INDEC-CM - 37210-33</v>
      </c>
      <c r="B143" s="22">
        <v>37210</v>
      </c>
      <c r="C143" s="23" t="s">
        <v>47</v>
      </c>
      <c r="D143" s="19">
        <v>33</v>
      </c>
      <c r="E143" s="21" t="s">
        <v>185</v>
      </c>
    </row>
    <row r="144" spans="1:7" x14ac:dyDescent="0.2">
      <c r="A144" s="19" t="str">
        <f t="shared" si="2"/>
        <v>INDEC-CM - 31210-41</v>
      </c>
      <c r="B144" s="22">
        <v>31210</v>
      </c>
      <c r="C144" s="23" t="s">
        <v>47</v>
      </c>
      <c r="D144" s="19">
        <v>41</v>
      </c>
      <c r="E144" s="21" t="s">
        <v>186</v>
      </c>
    </row>
    <row r="145" spans="1:7" x14ac:dyDescent="0.2">
      <c r="A145" s="19" t="str">
        <f t="shared" si="2"/>
        <v>INDEC-CM - 43240-21</v>
      </c>
      <c r="B145" s="22">
        <v>43240</v>
      </c>
      <c r="C145" s="23" t="s">
        <v>47</v>
      </c>
      <c r="D145" s="19">
        <v>21</v>
      </c>
      <c r="E145" s="21" t="s">
        <v>187</v>
      </c>
    </row>
    <row r="146" spans="1:7" x14ac:dyDescent="0.2">
      <c r="A146" s="19" t="str">
        <f t="shared" si="2"/>
        <v>INDEC-CM - 43240-32</v>
      </c>
      <c r="B146" s="22">
        <v>43240</v>
      </c>
      <c r="C146" s="23" t="s">
        <v>47</v>
      </c>
      <c r="D146" s="19">
        <v>32</v>
      </c>
      <c r="E146" s="21" t="s">
        <v>188</v>
      </c>
    </row>
    <row r="147" spans="1:7" x14ac:dyDescent="0.2">
      <c r="A147" s="19" t="str">
        <f t="shared" si="2"/>
        <v>INDEC-CM - 43240-31</v>
      </c>
      <c r="B147" s="22">
        <v>43240</v>
      </c>
      <c r="C147" s="23" t="s">
        <v>47</v>
      </c>
      <c r="D147" s="19">
        <v>31</v>
      </c>
      <c r="E147" s="21" t="s">
        <v>189</v>
      </c>
    </row>
    <row r="148" spans="1:7" x14ac:dyDescent="0.2">
      <c r="A148" s="19" t="str">
        <f t="shared" si="2"/>
        <v>INDEC-CM - 43240-41</v>
      </c>
      <c r="B148" s="22">
        <v>43240</v>
      </c>
      <c r="C148" s="23" t="s">
        <v>47</v>
      </c>
      <c r="D148" s="19">
        <v>41</v>
      </c>
      <c r="E148" s="21" t="s">
        <v>190</v>
      </c>
    </row>
    <row r="149" spans="1:7" x14ac:dyDescent="0.2">
      <c r="A149" s="19" t="str">
        <f t="shared" si="2"/>
        <v>INDEC-CM - 37540-32</v>
      </c>
      <c r="B149" s="22">
        <v>37540</v>
      </c>
      <c r="C149" s="23" t="s">
        <v>47</v>
      </c>
      <c r="D149" s="19">
        <v>32</v>
      </c>
      <c r="E149" s="24" t="s">
        <v>191</v>
      </c>
      <c r="F149" s="24"/>
      <c r="G149" s="24"/>
    </row>
    <row r="150" spans="1:7" x14ac:dyDescent="0.2">
      <c r="A150" s="19" t="str">
        <f t="shared" si="2"/>
        <v>INDEC-CM - 37540-31</v>
      </c>
      <c r="B150" s="22">
        <v>37540</v>
      </c>
      <c r="C150" s="23" t="s">
        <v>47</v>
      </c>
      <c r="D150" s="19">
        <v>31</v>
      </c>
      <c r="E150" s="21" t="s">
        <v>192</v>
      </c>
    </row>
    <row r="151" spans="1:7" x14ac:dyDescent="0.2">
      <c r="A151" s="19" t="str">
        <f t="shared" si="2"/>
        <v>INDEC-CM - 31210-21</v>
      </c>
      <c r="B151" s="22">
        <v>31210</v>
      </c>
      <c r="C151" s="23" t="s">
        <v>47</v>
      </c>
      <c r="D151" s="19">
        <v>21</v>
      </c>
      <c r="E151" s="24" t="s">
        <v>193</v>
      </c>
      <c r="F151" s="24"/>
      <c r="G151" s="24"/>
    </row>
    <row r="152" spans="1:7" x14ac:dyDescent="0.2">
      <c r="A152" s="19" t="str">
        <f t="shared" si="2"/>
        <v>INDEC-CM - 42911-61</v>
      </c>
      <c r="B152" s="22">
        <v>42911</v>
      </c>
      <c r="C152" s="23" t="s">
        <v>47</v>
      </c>
      <c r="D152" s="19">
        <v>61</v>
      </c>
      <c r="E152" s="24" t="s">
        <v>194</v>
      </c>
      <c r="F152" s="24"/>
      <c r="G152" s="24"/>
    </row>
    <row r="153" spans="1:7" x14ac:dyDescent="0.2">
      <c r="A153" s="19" t="str">
        <f t="shared" si="2"/>
        <v>INDEC-CM - 43923-11</v>
      </c>
      <c r="B153" s="22">
        <v>43923</v>
      </c>
      <c r="C153" s="23" t="s">
        <v>47</v>
      </c>
      <c r="D153" s="19">
        <v>11</v>
      </c>
      <c r="E153" s="24" t="s">
        <v>195</v>
      </c>
      <c r="F153" s="24"/>
      <c r="G153" s="24"/>
    </row>
    <row r="154" spans="1:7" x14ac:dyDescent="0.2">
      <c r="A154" s="19" t="str">
        <f t="shared" si="2"/>
        <v>INDEC-CM - 37930-12</v>
      </c>
      <c r="B154" s="22">
        <v>37930</v>
      </c>
      <c r="C154" s="23" t="s">
        <v>47</v>
      </c>
      <c r="D154" s="19">
        <v>12</v>
      </c>
      <c r="E154" s="21" t="s">
        <v>196</v>
      </c>
    </row>
    <row r="155" spans="1:7" x14ac:dyDescent="0.2">
      <c r="A155" s="19" t="str">
        <f t="shared" si="2"/>
        <v>INDEC-CM - 37930-11</v>
      </c>
      <c r="B155" s="22">
        <v>37930</v>
      </c>
      <c r="C155" s="23" t="s">
        <v>47</v>
      </c>
      <c r="D155" s="19">
        <v>11</v>
      </c>
      <c r="E155" s="21" t="s">
        <v>197</v>
      </c>
    </row>
    <row r="156" spans="1:7" x14ac:dyDescent="0.2">
      <c r="A156" s="19" t="str">
        <f t="shared" si="2"/>
        <v>INDEC-CM - 42999-61</v>
      </c>
      <c r="B156" s="22">
        <v>42999</v>
      </c>
      <c r="C156" s="23" t="s">
        <v>47</v>
      </c>
      <c r="D156" s="19">
        <v>61</v>
      </c>
      <c r="E156" s="24" t="s">
        <v>198</v>
      </c>
      <c r="F156" s="24"/>
      <c r="G156" s="24"/>
    </row>
    <row r="157" spans="1:7" x14ac:dyDescent="0.2">
      <c r="A157" s="19" t="str">
        <f t="shared" si="2"/>
        <v>INDEC-CM - 42999-62</v>
      </c>
      <c r="B157" s="22">
        <v>42999</v>
      </c>
      <c r="C157" s="23" t="s">
        <v>47</v>
      </c>
      <c r="D157" s="19">
        <v>62</v>
      </c>
      <c r="E157" s="24" t="s">
        <v>199</v>
      </c>
      <c r="F157" s="24"/>
      <c r="G157" s="24"/>
    </row>
    <row r="158" spans="1:7" x14ac:dyDescent="0.2">
      <c r="A158" s="19" t="str">
        <f t="shared" si="2"/>
        <v>INDEC-CM - 37610-11</v>
      </c>
      <c r="B158" s="22">
        <v>37610</v>
      </c>
      <c r="C158" s="23" t="s">
        <v>47</v>
      </c>
      <c r="D158" s="19">
        <v>11</v>
      </c>
      <c r="E158" s="24" t="s">
        <v>200</v>
      </c>
      <c r="F158" s="24"/>
      <c r="G158" s="24"/>
    </row>
    <row r="159" spans="1:7" x14ac:dyDescent="0.2">
      <c r="A159" s="19" t="str">
        <f t="shared" si="2"/>
        <v>INDEC-CM - 37610-12</v>
      </c>
      <c r="B159" s="22">
        <v>37610</v>
      </c>
      <c r="C159" s="23" t="s">
        <v>47</v>
      </c>
      <c r="D159" s="19">
        <v>12</v>
      </c>
      <c r="E159" s="24" t="s">
        <v>201</v>
      </c>
      <c r="F159" s="24"/>
      <c r="G159" s="24"/>
    </row>
    <row r="160" spans="1:7" x14ac:dyDescent="0.2">
      <c r="A160" s="19" t="str">
        <f t="shared" si="2"/>
        <v>INDEC-CM - 42943-11</v>
      </c>
      <c r="B160" s="22">
        <v>42943</v>
      </c>
      <c r="C160" s="23" t="s">
        <v>47</v>
      </c>
      <c r="D160" s="19">
        <v>11</v>
      </c>
      <c r="E160" s="24" t="s">
        <v>202</v>
      </c>
      <c r="F160" s="24"/>
      <c r="G160" s="24"/>
    </row>
    <row r="161" spans="1:7" x14ac:dyDescent="0.2">
      <c r="A161" s="19" t="str">
        <f t="shared" si="2"/>
        <v>INDEC-CM - 37540-11</v>
      </c>
      <c r="B161" s="22">
        <v>37540</v>
      </c>
      <c r="C161" s="23" t="s">
        <v>47</v>
      </c>
      <c r="D161" s="19">
        <v>11</v>
      </c>
      <c r="E161" s="21" t="s">
        <v>203</v>
      </c>
    </row>
    <row r="162" spans="1:7" x14ac:dyDescent="0.2">
      <c r="A162" s="19" t="str">
        <f t="shared" si="2"/>
        <v>INDEC-CM - 38130-16</v>
      </c>
      <c r="B162" s="22">
        <v>38130</v>
      </c>
      <c r="C162" s="23" t="s">
        <v>47</v>
      </c>
      <c r="D162" s="19">
        <v>16</v>
      </c>
      <c r="E162" s="24" t="s">
        <v>204</v>
      </c>
      <c r="F162" s="24"/>
      <c r="G162" s="24"/>
    </row>
    <row r="163" spans="1:7" x14ac:dyDescent="0.2">
      <c r="A163" s="19" t="str">
        <f t="shared" si="2"/>
        <v>INDEC-CM - 38130-15</v>
      </c>
      <c r="B163" s="22">
        <v>38130</v>
      </c>
      <c r="C163" s="23" t="s">
        <v>47</v>
      </c>
      <c r="D163" s="19">
        <v>15</v>
      </c>
      <c r="E163" s="24" t="s">
        <v>205</v>
      </c>
      <c r="F163" s="24"/>
      <c r="G163" s="24"/>
    </row>
    <row r="164" spans="1:7" x14ac:dyDescent="0.2">
      <c r="A164" s="19" t="str">
        <f t="shared" si="2"/>
        <v>INDEC-CM - 38130-14</v>
      </c>
      <c r="B164" s="22">
        <v>38130</v>
      </c>
      <c r="C164" s="23" t="s">
        <v>47</v>
      </c>
      <c r="D164" s="19">
        <v>14</v>
      </c>
      <c r="E164" s="24" t="s">
        <v>206</v>
      </c>
      <c r="F164" s="24"/>
      <c r="G164" s="24"/>
    </row>
    <row r="165" spans="1:7" x14ac:dyDescent="0.2">
      <c r="A165" s="19" t="str">
        <f t="shared" si="2"/>
        <v>INDEC-CM - 35490-11</v>
      </c>
      <c r="B165" s="22">
        <v>35490</v>
      </c>
      <c r="C165" s="23" t="s">
        <v>47</v>
      </c>
      <c r="D165" s="19">
        <v>11</v>
      </c>
      <c r="E165" s="21" t="s">
        <v>207</v>
      </c>
    </row>
    <row r="166" spans="1:7" x14ac:dyDescent="0.2">
      <c r="A166" s="19" t="str">
        <f t="shared" si="2"/>
        <v>INDEC-CM - 41251-11</v>
      </c>
      <c r="B166" s="22">
        <v>41251</v>
      </c>
      <c r="C166" s="23" t="s">
        <v>47</v>
      </c>
      <c r="D166" s="19">
        <v>11</v>
      </c>
      <c r="E166" s="24" t="s">
        <v>208</v>
      </c>
      <c r="F166" s="24"/>
      <c r="G166" s="24"/>
    </row>
    <row r="167" spans="1:7" x14ac:dyDescent="0.2">
      <c r="A167" s="19" t="str">
        <f t="shared" si="2"/>
        <v>INDEC-CM - 41278-21</v>
      </c>
      <c r="B167" s="22">
        <v>41278</v>
      </c>
      <c r="C167" s="23" t="s">
        <v>47</v>
      </c>
      <c r="D167" s="19">
        <v>21</v>
      </c>
      <c r="E167" s="24" t="s">
        <v>209</v>
      </c>
      <c r="F167" s="24"/>
      <c r="G167" s="24"/>
    </row>
    <row r="168" spans="1:7" x14ac:dyDescent="0.2">
      <c r="A168" s="19" t="str">
        <f t="shared" si="2"/>
        <v>INDEC-CM - 42911-71</v>
      </c>
      <c r="B168" s="22">
        <v>42911</v>
      </c>
      <c r="C168" s="23" t="s">
        <v>47</v>
      </c>
      <c r="D168" s="19">
        <v>71</v>
      </c>
      <c r="E168" s="24" t="s">
        <v>210</v>
      </c>
      <c r="F168" s="24"/>
      <c r="G168" s="24"/>
    </row>
    <row r="169" spans="1:7" x14ac:dyDescent="0.2">
      <c r="A169" s="19" t="str">
        <f t="shared" si="2"/>
        <v>INDEC-CM - 37210-42</v>
      </c>
      <c r="B169" s="22">
        <v>37210</v>
      </c>
      <c r="C169" s="23" t="s">
        <v>47</v>
      </c>
      <c r="D169" s="19">
        <v>42</v>
      </c>
      <c r="E169" s="24" t="s">
        <v>211</v>
      </c>
      <c r="F169" s="24"/>
      <c r="G169" s="24"/>
    </row>
    <row r="170" spans="1:7" x14ac:dyDescent="0.2">
      <c r="A170" s="19" t="str">
        <f t="shared" si="2"/>
        <v>INDEC-CM - 37210-41</v>
      </c>
      <c r="B170" s="22">
        <v>37210</v>
      </c>
      <c r="C170" s="23" t="s">
        <v>47</v>
      </c>
      <c r="D170" s="19">
        <v>41</v>
      </c>
      <c r="E170" s="24" t="s">
        <v>212</v>
      </c>
      <c r="F170" s="24"/>
      <c r="G170" s="24"/>
    </row>
    <row r="171" spans="1:7" x14ac:dyDescent="0.2">
      <c r="A171" s="19" t="str">
        <f t="shared" si="2"/>
        <v>INDEC-CM - 36930-11</v>
      </c>
      <c r="B171" s="22">
        <v>36930</v>
      </c>
      <c r="C171" s="23" t="s">
        <v>47</v>
      </c>
      <c r="D171" s="19">
        <v>11</v>
      </c>
      <c r="E171" s="21" t="s">
        <v>213</v>
      </c>
    </row>
    <row r="172" spans="1:7" x14ac:dyDescent="0.2">
      <c r="A172" s="19" t="str">
        <f t="shared" si="2"/>
        <v>INDEC-CM - 36950-21</v>
      </c>
      <c r="B172" s="22">
        <v>36950</v>
      </c>
      <c r="C172" s="23" t="s">
        <v>47</v>
      </c>
      <c r="D172" s="19">
        <v>21</v>
      </c>
      <c r="E172" s="21" t="s">
        <v>214</v>
      </c>
    </row>
    <row r="173" spans="1:7" x14ac:dyDescent="0.2">
      <c r="A173" s="19" t="str">
        <f t="shared" si="2"/>
        <v>INDEC-CM - 35110-31</v>
      </c>
      <c r="B173" s="22">
        <v>35110</v>
      </c>
      <c r="C173" s="23" t="s">
        <v>47</v>
      </c>
      <c r="D173" s="19">
        <v>31</v>
      </c>
      <c r="E173" s="21" t="s">
        <v>215</v>
      </c>
    </row>
    <row r="174" spans="1:7" x14ac:dyDescent="0.2">
      <c r="A174" s="19" t="str">
        <f t="shared" si="2"/>
        <v>INDEC-CM - 35110-32</v>
      </c>
      <c r="B174" s="22">
        <v>35110</v>
      </c>
      <c r="C174" s="23" t="s">
        <v>47</v>
      </c>
      <c r="D174" s="19">
        <v>32</v>
      </c>
      <c r="E174" s="21" t="s">
        <v>216</v>
      </c>
    </row>
    <row r="175" spans="1:7" x14ac:dyDescent="0.2">
      <c r="A175" s="19" t="str">
        <f t="shared" si="2"/>
        <v>INDEC-CM - 37940-11</v>
      </c>
      <c r="B175" s="22">
        <v>37940</v>
      </c>
      <c r="C175" s="23" t="s">
        <v>47</v>
      </c>
      <c r="D175" s="19">
        <v>11</v>
      </c>
      <c r="E175" s="21" t="s">
        <v>217</v>
      </c>
    </row>
    <row r="176" spans="1:7" x14ac:dyDescent="0.2">
      <c r="A176" s="19" t="str">
        <f t="shared" si="2"/>
        <v>INDEC-CM - 35110-71</v>
      </c>
      <c r="B176" s="22">
        <v>35110</v>
      </c>
      <c r="C176" s="23" t="s">
        <v>47</v>
      </c>
      <c r="D176" s="19">
        <v>71</v>
      </c>
      <c r="E176" s="21" t="s">
        <v>218</v>
      </c>
    </row>
    <row r="177" spans="1:7" x14ac:dyDescent="0.2">
      <c r="A177" s="19" t="str">
        <f t="shared" si="2"/>
        <v>INDEC-CM - 31210-31</v>
      </c>
      <c r="B177" s="22">
        <v>31210</v>
      </c>
      <c r="C177" s="23" t="s">
        <v>47</v>
      </c>
      <c r="D177" s="19">
        <v>31</v>
      </c>
      <c r="E177" s="21" t="s">
        <v>219</v>
      </c>
    </row>
    <row r="178" spans="1:7" x14ac:dyDescent="0.2">
      <c r="A178" s="19" t="str">
        <f t="shared" si="2"/>
        <v>INDEC-CM - 31210-32</v>
      </c>
      <c r="B178" s="22">
        <v>31210</v>
      </c>
      <c r="C178" s="23" t="s">
        <v>47</v>
      </c>
      <c r="D178" s="19">
        <v>32</v>
      </c>
      <c r="E178" s="21" t="s">
        <v>220</v>
      </c>
    </row>
    <row r="179" spans="1:7" x14ac:dyDescent="0.2">
      <c r="A179" s="19" t="str">
        <f t="shared" si="2"/>
        <v>INDEC-CM - 41541-11</v>
      </c>
      <c r="B179" s="22">
        <v>41541</v>
      </c>
      <c r="C179" s="23" t="s">
        <v>47</v>
      </c>
      <c r="D179" s="19">
        <v>11</v>
      </c>
      <c r="E179" s="21" t="s">
        <v>221</v>
      </c>
    </row>
    <row r="180" spans="1:7" x14ac:dyDescent="0.2">
      <c r="A180" s="19" t="str">
        <f t="shared" si="2"/>
        <v>INDEC-CM - 34720-11</v>
      </c>
      <c r="B180" s="22">
        <v>34720</v>
      </c>
      <c r="C180" s="23" t="s">
        <v>47</v>
      </c>
      <c r="D180" s="19">
        <v>11</v>
      </c>
      <c r="E180" s="24" t="s">
        <v>222</v>
      </c>
      <c r="F180" s="24"/>
      <c r="G180" s="24"/>
    </row>
    <row r="181" spans="1:7" x14ac:dyDescent="0.2">
      <c r="A181" s="19" t="str">
        <f t="shared" si="2"/>
        <v>INDEC-CM - 47220-11</v>
      </c>
      <c r="B181" s="22">
        <v>47220</v>
      </c>
      <c r="C181" s="23" t="s">
        <v>47</v>
      </c>
      <c r="D181" s="19">
        <v>11</v>
      </c>
      <c r="E181" s="24" t="s">
        <v>223</v>
      </c>
      <c r="F181" s="24"/>
      <c r="G181" s="24"/>
    </row>
    <row r="182" spans="1:7" x14ac:dyDescent="0.2">
      <c r="A182" s="19" t="str">
        <f t="shared" si="2"/>
        <v>INDEC-CM - 31600-81</v>
      </c>
      <c r="B182" s="22">
        <v>31600</v>
      </c>
      <c r="C182" s="23" t="s">
        <v>47</v>
      </c>
      <c r="D182" s="19">
        <v>81</v>
      </c>
      <c r="E182" s="21" t="s">
        <v>224</v>
      </c>
    </row>
    <row r="183" spans="1:7" x14ac:dyDescent="0.2">
      <c r="A183" s="19" t="str">
        <f t="shared" si="2"/>
        <v>INDEC-CM - 42120-31</v>
      </c>
      <c r="B183" s="22">
        <v>42120</v>
      </c>
      <c r="C183" s="23" t="s">
        <v>47</v>
      </c>
      <c r="D183" s="19">
        <v>31</v>
      </c>
      <c r="E183" s="21" t="s">
        <v>225</v>
      </c>
    </row>
    <row r="184" spans="1:7" x14ac:dyDescent="0.2">
      <c r="A184" s="19" t="str">
        <f t="shared" si="2"/>
        <v>INDEC-CM - 35490-21</v>
      </c>
      <c r="B184" s="22">
        <v>35490</v>
      </c>
      <c r="C184" s="23" t="s">
        <v>47</v>
      </c>
      <c r="D184" s="19">
        <v>21</v>
      </c>
      <c r="E184" s="24" t="s">
        <v>226</v>
      </c>
      <c r="F184" s="24"/>
      <c r="G184" s="24"/>
    </row>
    <row r="185" spans="1:7" x14ac:dyDescent="0.2">
      <c r="A185" s="19" t="str">
        <f t="shared" si="2"/>
        <v>INDEC-CM - 31600-41</v>
      </c>
      <c r="B185" s="22">
        <v>31600</v>
      </c>
      <c r="C185" s="23" t="s">
        <v>47</v>
      </c>
      <c r="D185" s="19">
        <v>41</v>
      </c>
      <c r="E185" s="24" t="s">
        <v>227</v>
      </c>
      <c r="F185" s="24"/>
      <c r="G185" s="24"/>
    </row>
    <row r="186" spans="1:7" x14ac:dyDescent="0.2">
      <c r="A186" s="19" t="str">
        <f t="shared" si="2"/>
        <v>INDEC-CM - 42120-21</v>
      </c>
      <c r="B186" s="22">
        <v>42120</v>
      </c>
      <c r="C186" s="23" t="s">
        <v>47</v>
      </c>
      <c r="D186" s="19">
        <v>21</v>
      </c>
      <c r="E186" s="24" t="s">
        <v>228</v>
      </c>
      <c r="F186" s="24"/>
      <c r="G186" s="24"/>
    </row>
    <row r="187" spans="1:7" x14ac:dyDescent="0.2">
      <c r="A187" s="19" t="str">
        <f t="shared" si="2"/>
        <v>INDEC-CM - 42120-22</v>
      </c>
      <c r="B187" s="22">
        <v>42120</v>
      </c>
      <c r="C187" s="23" t="s">
        <v>47</v>
      </c>
      <c r="D187" s="19">
        <v>22</v>
      </c>
      <c r="E187" s="24" t="s">
        <v>229</v>
      </c>
      <c r="F187" s="24"/>
      <c r="G187" s="24"/>
    </row>
    <row r="188" spans="1:7" x14ac:dyDescent="0.2">
      <c r="A188" s="19" t="str">
        <f t="shared" si="2"/>
        <v>INDEC-CM - 31600-33</v>
      </c>
      <c r="B188" s="22">
        <v>31600</v>
      </c>
      <c r="C188" s="23" t="s">
        <v>47</v>
      </c>
      <c r="D188" s="19">
        <v>33</v>
      </c>
      <c r="E188" s="21" t="s">
        <v>230</v>
      </c>
    </row>
    <row r="189" spans="1:7" x14ac:dyDescent="0.2">
      <c r="A189" s="19" t="str">
        <f t="shared" si="2"/>
        <v>INDEC-CM - 31600-32</v>
      </c>
      <c r="B189" s="22">
        <v>31600</v>
      </c>
      <c r="C189" s="23" t="s">
        <v>47</v>
      </c>
      <c r="D189" s="19">
        <v>32</v>
      </c>
      <c r="E189" s="21" t="s">
        <v>231</v>
      </c>
    </row>
    <row r="190" spans="1:7" x14ac:dyDescent="0.2">
      <c r="A190" s="19" t="str">
        <f t="shared" si="2"/>
        <v>INDEC-CM - 31600-31</v>
      </c>
      <c r="B190" s="22">
        <v>31600</v>
      </c>
      <c r="C190" s="23" t="s">
        <v>47</v>
      </c>
      <c r="D190" s="19">
        <v>31</v>
      </c>
      <c r="E190" s="21" t="s">
        <v>232</v>
      </c>
    </row>
    <row r="191" spans="1:7" x14ac:dyDescent="0.2">
      <c r="A191" s="19" t="str">
        <f t="shared" si="2"/>
        <v>INDEC-CM - 42120-11</v>
      </c>
      <c r="B191" s="22">
        <v>42120</v>
      </c>
      <c r="C191" s="23" t="s">
        <v>47</v>
      </c>
      <c r="D191" s="19">
        <v>11</v>
      </c>
      <c r="E191" s="21" t="s">
        <v>233</v>
      </c>
    </row>
    <row r="192" spans="1:7" x14ac:dyDescent="0.2">
      <c r="A192" s="19" t="str">
        <f t="shared" si="2"/>
        <v>INDEC-CM - 31600-23</v>
      </c>
      <c r="B192" s="22">
        <v>31600</v>
      </c>
      <c r="C192" s="23" t="s">
        <v>47</v>
      </c>
      <c r="D192" s="19">
        <v>23</v>
      </c>
      <c r="E192" s="21" t="s">
        <v>234</v>
      </c>
    </row>
    <row r="193" spans="1:7" x14ac:dyDescent="0.2">
      <c r="A193" s="19" t="str">
        <f t="shared" si="2"/>
        <v>INDEC-CM - 31600-22</v>
      </c>
      <c r="B193" s="22">
        <v>31600</v>
      </c>
      <c r="C193" s="23" t="s">
        <v>47</v>
      </c>
      <c r="D193" s="19">
        <v>22</v>
      </c>
      <c r="E193" s="21" t="s">
        <v>235</v>
      </c>
    </row>
    <row r="194" spans="1:7" x14ac:dyDescent="0.2">
      <c r="A194" s="19" t="str">
        <f t="shared" si="2"/>
        <v>INDEC-CM - 31600-21</v>
      </c>
      <c r="B194" s="22">
        <v>31600</v>
      </c>
      <c r="C194" s="23" t="s">
        <v>47</v>
      </c>
      <c r="D194" s="19">
        <v>21</v>
      </c>
      <c r="E194" s="21" t="s">
        <v>236</v>
      </c>
    </row>
    <row r="195" spans="1:7" x14ac:dyDescent="0.2">
      <c r="A195" s="19" t="str">
        <f t="shared" si="2"/>
        <v>INDEC-CM - 41278-33</v>
      </c>
      <c r="B195" s="22">
        <v>41278</v>
      </c>
      <c r="C195" s="23" t="s">
        <v>47</v>
      </c>
      <c r="D195" s="19">
        <v>33</v>
      </c>
      <c r="E195" s="24" t="s">
        <v>237</v>
      </c>
      <c r="F195" s="24"/>
      <c r="G195" s="24"/>
    </row>
    <row r="196" spans="1:7" x14ac:dyDescent="0.2">
      <c r="A196" s="19" t="str">
        <f t="shared" si="2"/>
        <v>INDEC-CM - 36320-33</v>
      </c>
      <c r="B196" s="22">
        <v>36320</v>
      </c>
      <c r="C196" s="23" t="s">
        <v>47</v>
      </c>
      <c r="D196" s="19">
        <v>33</v>
      </c>
      <c r="E196" s="21" t="s">
        <v>238</v>
      </c>
    </row>
    <row r="197" spans="1:7" x14ac:dyDescent="0.2">
      <c r="A197" s="19" t="str">
        <f t="shared" si="2"/>
        <v>INDEC-CM - 48270-11</v>
      </c>
      <c r="B197" s="22">
        <v>48270</v>
      </c>
      <c r="C197" s="23" t="s">
        <v>47</v>
      </c>
      <c r="D197" s="19">
        <v>11</v>
      </c>
      <c r="E197" s="24" t="s">
        <v>239</v>
      </c>
      <c r="F197" s="24"/>
      <c r="G197" s="24"/>
    </row>
    <row r="198" spans="1:7" x14ac:dyDescent="0.2">
      <c r="A198" s="19" t="str">
        <f t="shared" ref="A198:A220" si="3">CONCATENATE("INDEC-CM - ",B198,C198,D198)</f>
        <v>INDEC-CM - 42190-11</v>
      </c>
      <c r="B198" s="22">
        <v>42190</v>
      </c>
      <c r="C198" s="23" t="s">
        <v>47</v>
      </c>
      <c r="D198" s="19">
        <v>11</v>
      </c>
      <c r="E198" s="21" t="s">
        <v>240</v>
      </c>
    </row>
    <row r="199" spans="1:7" x14ac:dyDescent="0.2">
      <c r="A199" s="19" t="str">
        <f t="shared" si="3"/>
        <v>INDEC-CM - 43923-31</v>
      </c>
      <c r="B199" s="22">
        <v>43923</v>
      </c>
      <c r="C199" s="23" t="s">
        <v>47</v>
      </c>
      <c r="D199" s="19">
        <v>31</v>
      </c>
      <c r="E199" s="24" t="s">
        <v>241</v>
      </c>
      <c r="F199" s="24"/>
      <c r="G199" s="24"/>
    </row>
    <row r="200" spans="1:7" x14ac:dyDescent="0.2">
      <c r="A200" s="19" t="str">
        <f t="shared" si="3"/>
        <v>INDEC-CM - 31210-11</v>
      </c>
      <c r="B200" s="22">
        <v>31210</v>
      </c>
      <c r="C200" s="23" t="s">
        <v>47</v>
      </c>
      <c r="D200" s="19">
        <v>11</v>
      </c>
      <c r="E200" s="24" t="s">
        <v>242</v>
      </c>
      <c r="F200" s="24"/>
      <c r="G200" s="24"/>
    </row>
    <row r="201" spans="1:7" x14ac:dyDescent="0.2">
      <c r="A201" s="19" t="str">
        <f t="shared" si="3"/>
        <v>INDEC-CM - 37129-21</v>
      </c>
      <c r="B201" s="22">
        <v>37129</v>
      </c>
      <c r="C201" s="23" t="s">
        <v>47</v>
      </c>
      <c r="D201" s="19">
        <v>21</v>
      </c>
      <c r="E201" s="21" t="s">
        <v>243</v>
      </c>
    </row>
    <row r="202" spans="1:7" x14ac:dyDescent="0.2">
      <c r="A202" s="19" t="str">
        <f t="shared" si="3"/>
        <v>INDEC-CM - 37560-21</v>
      </c>
      <c r="B202" s="22">
        <v>37560</v>
      </c>
      <c r="C202" s="23" t="s">
        <v>47</v>
      </c>
      <c r="D202" s="19">
        <v>21</v>
      </c>
      <c r="E202" s="24" t="s">
        <v>244</v>
      </c>
      <c r="F202" s="24"/>
      <c r="G202" s="24"/>
    </row>
    <row r="203" spans="1:7" x14ac:dyDescent="0.2">
      <c r="A203" s="19" t="str">
        <f t="shared" si="3"/>
        <v>INDEC-CM - 42999-71</v>
      </c>
      <c r="B203" s="22">
        <v>42999</v>
      </c>
      <c r="C203" s="23" t="s">
        <v>47</v>
      </c>
      <c r="D203" s="19">
        <v>71</v>
      </c>
      <c r="E203" s="21" t="s">
        <v>245</v>
      </c>
    </row>
    <row r="204" spans="1:7" x14ac:dyDescent="0.2">
      <c r="A204" s="19" t="str">
        <f t="shared" si="3"/>
        <v>INDEC-CM - 41516-22</v>
      </c>
      <c r="B204" s="22">
        <v>41516</v>
      </c>
      <c r="C204" s="23" t="s">
        <v>47</v>
      </c>
      <c r="D204" s="19">
        <v>22</v>
      </c>
      <c r="E204" s="21" t="s">
        <v>246</v>
      </c>
    </row>
    <row r="205" spans="1:7" x14ac:dyDescent="0.2">
      <c r="A205" s="19" t="str">
        <f t="shared" si="3"/>
        <v>INDEC-CM - 37350-51</v>
      </c>
      <c r="B205" s="22">
        <v>37350</v>
      </c>
      <c r="C205" s="23" t="s">
        <v>47</v>
      </c>
      <c r="D205" s="19">
        <v>51</v>
      </c>
      <c r="E205" s="21" t="s">
        <v>247</v>
      </c>
    </row>
    <row r="206" spans="1:7" x14ac:dyDescent="0.2">
      <c r="A206" s="19" t="str">
        <f t="shared" si="3"/>
        <v>INDEC-CM - 44826-21</v>
      </c>
      <c r="B206" s="22">
        <v>44826</v>
      </c>
      <c r="C206" s="23" t="s">
        <v>47</v>
      </c>
      <c r="D206" s="19">
        <v>21</v>
      </c>
      <c r="E206" s="21" t="s">
        <v>248</v>
      </c>
    </row>
    <row r="207" spans="1:7" x14ac:dyDescent="0.2">
      <c r="A207" s="19" t="str">
        <f t="shared" si="3"/>
        <v>INDEC-CM - 31210-22</v>
      </c>
      <c r="B207" s="22">
        <v>31210</v>
      </c>
      <c r="C207" s="23" t="s">
        <v>47</v>
      </c>
      <c r="D207" s="19">
        <v>22</v>
      </c>
      <c r="E207" s="21" t="s">
        <v>249</v>
      </c>
    </row>
    <row r="208" spans="1:7" x14ac:dyDescent="0.2">
      <c r="A208" s="19" t="str">
        <f t="shared" si="3"/>
        <v>INDEC-CM - 31100-11</v>
      </c>
      <c r="B208" s="22">
        <v>31100</v>
      </c>
      <c r="C208" s="23" t="s">
        <v>47</v>
      </c>
      <c r="D208" s="19">
        <v>11</v>
      </c>
      <c r="E208" s="21" t="s">
        <v>250</v>
      </c>
    </row>
    <row r="209" spans="1:7" x14ac:dyDescent="0.2">
      <c r="A209" s="19" t="str">
        <f t="shared" si="3"/>
        <v>INDEC-CM - 46212-53</v>
      </c>
      <c r="B209" s="22">
        <v>46212</v>
      </c>
      <c r="C209" s="23" t="s">
        <v>47</v>
      </c>
      <c r="D209" s="19">
        <v>53</v>
      </c>
      <c r="E209" s="21" t="s">
        <v>251</v>
      </c>
    </row>
    <row r="210" spans="1:7" x14ac:dyDescent="0.2">
      <c r="A210" s="19" t="str">
        <f t="shared" si="3"/>
        <v>INDEC-CM - 46212-52</v>
      </c>
      <c r="B210" s="22">
        <v>46212</v>
      </c>
      <c r="C210" s="23" t="s">
        <v>47</v>
      </c>
      <c r="D210" s="19">
        <v>52</v>
      </c>
      <c r="E210" s="24" t="s">
        <v>252</v>
      </c>
      <c r="F210" s="24"/>
      <c r="G210" s="24"/>
    </row>
    <row r="211" spans="1:7" x14ac:dyDescent="0.2">
      <c r="A211" s="19" t="str">
        <f t="shared" si="3"/>
        <v>INDEC-CM - 15400-21</v>
      </c>
      <c r="B211" s="22">
        <v>15400</v>
      </c>
      <c r="C211" s="23" t="s">
        <v>47</v>
      </c>
      <c r="D211" s="19">
        <v>21</v>
      </c>
      <c r="E211" s="21" t="s">
        <v>253</v>
      </c>
    </row>
    <row r="212" spans="1:7" x14ac:dyDescent="0.2">
      <c r="A212" s="19" t="str">
        <f t="shared" si="3"/>
        <v>INDEC-CM - 43240-11</v>
      </c>
      <c r="B212" s="22">
        <v>43240</v>
      </c>
      <c r="C212" s="23" t="s">
        <v>47</v>
      </c>
      <c r="D212" s="19">
        <v>11</v>
      </c>
      <c r="E212" s="21" t="s">
        <v>254</v>
      </c>
    </row>
    <row r="213" spans="1:7" x14ac:dyDescent="0.2">
      <c r="A213" s="19" t="str">
        <f t="shared" si="3"/>
        <v>INDEC-CM - 31600-42</v>
      </c>
      <c r="B213" s="22">
        <v>31600</v>
      </c>
      <c r="C213" s="23" t="s">
        <v>47</v>
      </c>
      <c r="D213" s="19">
        <v>42</v>
      </c>
      <c r="E213" s="24" t="s">
        <v>255</v>
      </c>
      <c r="F213" s="24"/>
      <c r="G213" s="24"/>
    </row>
    <row r="214" spans="1:7" x14ac:dyDescent="0.2">
      <c r="A214" s="19" t="str">
        <f t="shared" si="3"/>
        <v>INDEC-CM - 42120-42</v>
      </c>
      <c r="B214" s="22">
        <v>42120</v>
      </c>
      <c r="C214" s="23" t="s">
        <v>47</v>
      </c>
      <c r="D214" s="19">
        <v>42</v>
      </c>
      <c r="E214" s="24" t="s">
        <v>256</v>
      </c>
      <c r="F214" s="24"/>
      <c r="G214" s="24"/>
    </row>
    <row r="215" spans="1:7" x14ac:dyDescent="0.2">
      <c r="A215" s="19" t="str">
        <f t="shared" si="3"/>
        <v>INDEC-CM - 42120-41</v>
      </c>
      <c r="B215" s="22">
        <v>42120</v>
      </c>
      <c r="C215" s="23" t="s">
        <v>47</v>
      </c>
      <c r="D215" s="19">
        <v>41</v>
      </c>
      <c r="E215" s="24" t="s">
        <v>257</v>
      </c>
      <c r="F215" s="24"/>
      <c r="G215" s="24"/>
    </row>
    <row r="216" spans="1:7" x14ac:dyDescent="0.2">
      <c r="A216" s="19" t="str">
        <f t="shared" si="3"/>
        <v>INDEC-CM - 42120-51</v>
      </c>
      <c r="B216" s="22">
        <v>42120</v>
      </c>
      <c r="C216" s="23" t="s">
        <v>47</v>
      </c>
      <c r="D216" s="19">
        <v>51</v>
      </c>
      <c r="E216" s="21" t="s">
        <v>258</v>
      </c>
    </row>
    <row r="217" spans="1:7" x14ac:dyDescent="0.2">
      <c r="A217" s="19" t="str">
        <f t="shared" si="3"/>
        <v>INDEC-CM - 37550-11</v>
      </c>
      <c r="B217" s="22">
        <v>37550</v>
      </c>
      <c r="C217" s="23" t="s">
        <v>47</v>
      </c>
      <c r="D217" s="19">
        <v>11</v>
      </c>
      <c r="E217" s="21" t="s">
        <v>259</v>
      </c>
    </row>
    <row r="218" spans="1:7" x14ac:dyDescent="0.2">
      <c r="A218" s="19" t="str">
        <f t="shared" si="3"/>
        <v>INDEC-CM - 37410-11</v>
      </c>
      <c r="B218" s="22">
        <v>37410</v>
      </c>
      <c r="C218" s="23" t="s">
        <v>47</v>
      </c>
      <c r="D218" s="19">
        <v>11</v>
      </c>
      <c r="E218" s="21" t="s">
        <v>260</v>
      </c>
    </row>
    <row r="219" spans="1:7" x14ac:dyDescent="0.2">
      <c r="A219" s="19" t="str">
        <f t="shared" si="3"/>
        <v>INDEC-CM - 31210-33</v>
      </c>
      <c r="B219" s="22">
        <v>31210</v>
      </c>
      <c r="C219" s="23" t="s">
        <v>47</v>
      </c>
      <c r="D219" s="19">
        <v>33</v>
      </c>
      <c r="E219" s="21" t="s">
        <v>261</v>
      </c>
    </row>
    <row r="220" spans="1:7" x14ac:dyDescent="0.2">
      <c r="A220" s="19" t="str">
        <f t="shared" si="3"/>
        <v>INDEC-CM - 37540-21</v>
      </c>
      <c r="B220" s="22">
        <v>37540</v>
      </c>
      <c r="C220" s="23" t="s">
        <v>47</v>
      </c>
      <c r="D220" s="19">
        <v>21</v>
      </c>
      <c r="E220" s="21" t="s">
        <v>262</v>
      </c>
    </row>
    <row r="223" spans="1:7" x14ac:dyDescent="0.2">
      <c r="A223" s="25"/>
      <c r="B223" s="17" t="s">
        <v>541</v>
      </c>
      <c r="C223" s="25"/>
      <c r="D223" s="26"/>
      <c r="E223" s="25"/>
    </row>
    <row r="224" spans="1:7" x14ac:dyDescent="0.2">
      <c r="A224" s="25"/>
      <c r="B224" s="27"/>
      <c r="C224" s="25"/>
      <c r="D224" s="26"/>
      <c r="E224" s="25"/>
    </row>
    <row r="225" spans="1:5" ht="11.25" customHeight="1" x14ac:dyDescent="0.2">
      <c r="A225" s="782" t="s">
        <v>349</v>
      </c>
      <c r="B225" s="783" t="s">
        <v>44</v>
      </c>
      <c r="C225" s="783"/>
      <c r="D225" s="783"/>
      <c r="E225" s="782" t="s">
        <v>45</v>
      </c>
    </row>
    <row r="226" spans="1:5" ht="12" customHeight="1" x14ac:dyDescent="0.2">
      <c r="A226" s="782"/>
      <c r="B226" s="783" t="s">
        <v>46</v>
      </c>
      <c r="C226" s="783"/>
      <c r="D226" s="783"/>
      <c r="E226" s="782"/>
    </row>
    <row r="227" spans="1:5" x14ac:dyDescent="0.2">
      <c r="A227" s="19" t="str">
        <f>CONCATENATE(B227,C227,D227)</f>
        <v/>
      </c>
      <c r="B227" s="28"/>
      <c r="C227" s="25"/>
      <c r="D227" s="26"/>
      <c r="E227" s="25"/>
    </row>
    <row r="228" spans="1:5" x14ac:dyDescent="0.2">
      <c r="A228" s="19" t="str">
        <f>CONCATENATE("INDEC-CM - ",B228,C228,D228)</f>
        <v>INDEC-CM - 37370-0</v>
      </c>
      <c r="B228" s="29">
        <v>37370</v>
      </c>
      <c r="C228" s="29" t="s">
        <v>47</v>
      </c>
      <c r="D228" s="26">
        <v>0</v>
      </c>
      <c r="E228" s="25" t="s">
        <v>542</v>
      </c>
    </row>
    <row r="229" spans="1:5" x14ac:dyDescent="0.2">
      <c r="A229" s="19" t="str">
        <f>CONCATENATE("INDEC-CM - ",B229,C229,D229)</f>
        <v>INDEC-CM - 31600-6</v>
      </c>
      <c r="B229" s="29">
        <v>31600</v>
      </c>
      <c r="C229" s="29" t="s">
        <v>47</v>
      </c>
      <c r="D229" s="26">
        <v>6</v>
      </c>
      <c r="E229" s="25" t="s">
        <v>543</v>
      </c>
    </row>
    <row r="230" spans="1:5" x14ac:dyDescent="0.2">
      <c r="A230" s="19" t="str">
        <f>CONCATENATE("INDEC-CM - ",B230,C230,D230)</f>
        <v>INDEC-CM - 41278-0</v>
      </c>
      <c r="B230" s="29">
        <v>41278</v>
      </c>
      <c r="C230" s="29" t="s">
        <v>47</v>
      </c>
      <c r="D230" s="26">
        <v>0</v>
      </c>
      <c r="E230" s="25" t="s">
        <v>544</v>
      </c>
    </row>
    <row r="231" spans="1:5" x14ac:dyDescent="0.2">
      <c r="A231" s="19" t="str">
        <f>CONCATENATE("INDEC-CM - ",B231,C231,D231)</f>
        <v>INDEC-CM - 31600-7</v>
      </c>
      <c r="B231" s="29">
        <v>31600</v>
      </c>
      <c r="C231" s="29" t="s">
        <v>47</v>
      </c>
      <c r="D231" s="26">
        <v>7</v>
      </c>
      <c r="E231" s="25" t="s">
        <v>545</v>
      </c>
    </row>
    <row r="232" spans="1:5" x14ac:dyDescent="0.2">
      <c r="A232" s="19" t="str">
        <f>CONCATENATE("INDEC-CM - ",B232,C232,D232)</f>
        <v>INDEC-CM - 42120-41/42/51</v>
      </c>
      <c r="B232" s="29">
        <v>42120</v>
      </c>
      <c r="C232" s="29" t="s">
        <v>47</v>
      </c>
      <c r="D232" s="26" t="s">
        <v>546</v>
      </c>
      <c r="E232" s="25" t="s">
        <v>547</v>
      </c>
    </row>
    <row r="235" spans="1:5" x14ac:dyDescent="0.2">
      <c r="A235" s="31"/>
      <c r="B235" s="17" t="s">
        <v>549</v>
      </c>
      <c r="C235" s="30"/>
      <c r="D235" s="31"/>
      <c r="E235" s="31"/>
    </row>
    <row r="236" spans="1:5" x14ac:dyDescent="0.2">
      <c r="A236" s="34"/>
      <c r="B236" s="32"/>
      <c r="C236" s="32"/>
      <c r="D236" s="33"/>
      <c r="E236" s="32"/>
    </row>
    <row r="237" spans="1:5" x14ac:dyDescent="0.2">
      <c r="A237" s="782" t="s">
        <v>349</v>
      </c>
      <c r="B237" s="783" t="s">
        <v>44</v>
      </c>
      <c r="C237" s="783"/>
      <c r="D237" s="783"/>
      <c r="E237" s="783" t="s">
        <v>333</v>
      </c>
    </row>
    <row r="238" spans="1:5" x14ac:dyDescent="0.2">
      <c r="A238" s="782"/>
      <c r="B238" s="782"/>
      <c r="C238" s="782"/>
      <c r="D238" s="782"/>
      <c r="E238" s="783"/>
    </row>
    <row r="239" spans="1:5" x14ac:dyDescent="0.2">
      <c r="A239" s="32"/>
      <c r="B239" s="32"/>
      <c r="C239" s="32"/>
      <c r="D239" s="35"/>
      <c r="E239" s="36" t="s">
        <v>269</v>
      </c>
    </row>
    <row r="240" spans="1:5" x14ac:dyDescent="0.2">
      <c r="A240" s="32"/>
      <c r="B240" s="32"/>
      <c r="C240" s="32"/>
      <c r="D240" s="35"/>
      <c r="E240" s="36"/>
    </row>
    <row r="241" spans="1:5" x14ac:dyDescent="0.2">
      <c r="A241" s="34"/>
      <c r="B241" s="32"/>
      <c r="C241" s="32"/>
      <c r="D241" s="33"/>
      <c r="E241" s="30" t="s">
        <v>334</v>
      </c>
    </row>
    <row r="242" spans="1:5" x14ac:dyDescent="0.2">
      <c r="A242" s="34"/>
      <c r="B242" s="32"/>
      <c r="C242" s="32"/>
      <c r="D242" s="33"/>
      <c r="E242" s="30"/>
    </row>
    <row r="243" spans="1:5" x14ac:dyDescent="0.2">
      <c r="A243" s="32"/>
      <c r="B243" s="34"/>
      <c r="C243" s="32"/>
      <c r="D243" s="35"/>
      <c r="E243" s="30" t="s">
        <v>335</v>
      </c>
    </row>
    <row r="244" spans="1:5" x14ac:dyDescent="0.2">
      <c r="A244" s="19" t="str">
        <f>CONCATENATE("INDEC-MO - ",B244,C244,D244)</f>
        <v>INDEC-MO - 51560-11</v>
      </c>
      <c r="B244" s="37">
        <v>51560</v>
      </c>
      <c r="C244" s="32" t="s">
        <v>47</v>
      </c>
      <c r="D244" s="35">
        <v>11</v>
      </c>
      <c r="E244" s="38" t="s">
        <v>336</v>
      </c>
    </row>
    <row r="245" spans="1:5" x14ac:dyDescent="0.2">
      <c r="A245" s="19" t="str">
        <f>CONCATENATE("INDEC-MO - ",B245,C245,D245)</f>
        <v>INDEC-MO - 51560-12</v>
      </c>
      <c r="B245" s="37">
        <v>51560</v>
      </c>
      <c r="C245" s="32" t="s">
        <v>47</v>
      </c>
      <c r="D245" s="35">
        <v>12</v>
      </c>
      <c r="E245" s="38" t="s">
        <v>337</v>
      </c>
    </row>
    <row r="246" spans="1:5" x14ac:dyDescent="0.2">
      <c r="A246" s="19" t="str">
        <f>CONCATENATE("INDEC-MO - ",B246,C246,D246)</f>
        <v>INDEC-MO - 51560-13</v>
      </c>
      <c r="B246" s="37">
        <v>51560</v>
      </c>
      <c r="C246" s="32" t="s">
        <v>47</v>
      </c>
      <c r="D246" s="35">
        <v>13</v>
      </c>
      <c r="E246" s="38" t="s">
        <v>338</v>
      </c>
    </row>
    <row r="247" spans="1:5" x14ac:dyDescent="0.2">
      <c r="A247" s="19" t="str">
        <f>CONCATENATE("INDEC-MO - ",B247,C247,D247)</f>
        <v>INDEC-MO - 51560-14</v>
      </c>
      <c r="B247" s="37">
        <v>51560</v>
      </c>
      <c r="C247" s="32" t="s">
        <v>47</v>
      </c>
      <c r="D247" s="35">
        <v>14</v>
      </c>
      <c r="E247" s="38" t="s">
        <v>339</v>
      </c>
    </row>
    <row r="248" spans="1:5" x14ac:dyDescent="0.2">
      <c r="A248" s="19" t="str">
        <f>CONCATENATE(B248,C248,D248)</f>
        <v/>
      </c>
      <c r="B248" s="37"/>
      <c r="C248" s="32"/>
      <c r="D248" s="35"/>
      <c r="E248" s="32"/>
    </row>
    <row r="249" spans="1:5" x14ac:dyDescent="0.2">
      <c r="A249" s="19" t="str">
        <f>CONCATENATE("INDEC-MO - ",B249,C249,D249)</f>
        <v>INDEC-MO - 51560-32</v>
      </c>
      <c r="B249" s="37">
        <v>51560</v>
      </c>
      <c r="C249" s="32" t="s">
        <v>47</v>
      </c>
      <c r="D249" s="35">
        <v>32</v>
      </c>
      <c r="E249" s="30" t="s">
        <v>340</v>
      </c>
    </row>
    <row r="250" spans="1:5" x14ac:dyDescent="0.2">
      <c r="A250" s="19" t="str">
        <f>CONCATENATE(B250,C250,D250)</f>
        <v/>
      </c>
      <c r="B250" s="37"/>
      <c r="C250" s="32"/>
      <c r="D250" s="35"/>
      <c r="E250" s="32"/>
    </row>
    <row r="251" spans="1:5" x14ac:dyDescent="0.2">
      <c r="A251" s="19" t="str">
        <f>CONCATENATE("INDEC-MO - ",B251,C251,D251)</f>
        <v>INDEC-MO - 81291-1</v>
      </c>
      <c r="B251" s="37">
        <v>81291</v>
      </c>
      <c r="C251" s="32" t="s">
        <v>47</v>
      </c>
      <c r="D251" s="35">
        <v>1</v>
      </c>
      <c r="E251" s="36" t="s">
        <v>341</v>
      </c>
    </row>
    <row r="252" spans="1:5" x14ac:dyDescent="0.2">
      <c r="A252" s="19" t="str">
        <f>CONCATENATE(B252,C252,D252)</f>
        <v/>
      </c>
      <c r="B252" s="37"/>
      <c r="C252" s="32"/>
      <c r="D252" s="35"/>
      <c r="E252" s="32"/>
    </row>
    <row r="253" spans="1:5" x14ac:dyDescent="0.2">
      <c r="A253" s="19" t="str">
        <f>CONCATENATE(B253,C253,D253)</f>
        <v/>
      </c>
      <c r="B253" s="37"/>
      <c r="C253" s="32"/>
      <c r="D253" s="35"/>
      <c r="E253" s="36" t="s">
        <v>342</v>
      </c>
    </row>
    <row r="254" spans="1:5" x14ac:dyDescent="0.2">
      <c r="A254" s="19" t="str">
        <f t="shared" ref="A254:A259" si="4">CONCATENATE("INDEC-MO - ",B254,C254,D254)</f>
        <v>INDEC-MO - 51641-1</v>
      </c>
      <c r="B254" s="37">
        <v>51641</v>
      </c>
      <c r="C254" s="32" t="s">
        <v>47</v>
      </c>
      <c r="D254" s="35">
        <v>1</v>
      </c>
      <c r="E254" s="38" t="s">
        <v>343</v>
      </c>
    </row>
    <row r="255" spans="1:5" x14ac:dyDescent="0.2">
      <c r="A255" s="19" t="str">
        <f t="shared" si="4"/>
        <v>INDEC-MO - 51620-1</v>
      </c>
      <c r="B255" s="37">
        <v>51620</v>
      </c>
      <c r="C255" s="32" t="s">
        <v>47</v>
      </c>
      <c r="D255" s="35">
        <v>1</v>
      </c>
      <c r="E255" s="38" t="s">
        <v>344</v>
      </c>
    </row>
    <row r="256" spans="1:5" x14ac:dyDescent="0.2">
      <c r="A256" s="19" t="str">
        <f t="shared" si="4"/>
        <v>INDEC-MO - 51690-1</v>
      </c>
      <c r="B256" s="37">
        <v>51690</v>
      </c>
      <c r="C256" s="32" t="s">
        <v>47</v>
      </c>
      <c r="D256" s="35">
        <v>1</v>
      </c>
      <c r="E256" s="38" t="s">
        <v>345</v>
      </c>
    </row>
    <row r="257" spans="1:7" x14ac:dyDescent="0.2">
      <c r="A257" s="19" t="str">
        <f t="shared" si="4"/>
        <v>INDEC-MO - 51630-1</v>
      </c>
      <c r="B257" s="37">
        <v>51630</v>
      </c>
      <c r="C257" s="32" t="s">
        <v>47</v>
      </c>
      <c r="D257" s="35">
        <v>1</v>
      </c>
      <c r="E257" s="38" t="s">
        <v>346</v>
      </c>
    </row>
    <row r="258" spans="1:7" x14ac:dyDescent="0.2">
      <c r="A258" s="19" t="str">
        <f t="shared" si="4"/>
        <v>INDEC-MO - 51720-1</v>
      </c>
      <c r="B258" s="37">
        <v>51720</v>
      </c>
      <c r="C258" s="32" t="s">
        <v>47</v>
      </c>
      <c r="D258" s="35">
        <v>1</v>
      </c>
      <c r="E258" s="38" t="s">
        <v>347</v>
      </c>
    </row>
    <row r="259" spans="1:7" x14ac:dyDescent="0.2">
      <c r="A259" s="19" t="str">
        <f t="shared" si="4"/>
        <v>INDEC-MO - 51730-1</v>
      </c>
      <c r="B259" s="37">
        <v>51730</v>
      </c>
      <c r="C259" s="32" t="s">
        <v>47</v>
      </c>
      <c r="D259" s="35">
        <v>1</v>
      </c>
      <c r="E259" s="38" t="s">
        <v>348</v>
      </c>
    </row>
    <row r="262" spans="1:7" x14ac:dyDescent="0.2">
      <c r="A262" s="41"/>
      <c r="B262" s="17" t="s">
        <v>550</v>
      </c>
      <c r="C262" s="39"/>
      <c r="D262" s="40"/>
      <c r="E262" s="40"/>
      <c r="F262" s="40"/>
      <c r="G262" s="41"/>
    </row>
    <row r="263" spans="1:7" x14ac:dyDescent="0.2">
      <c r="A263" s="43"/>
      <c r="B263" s="39"/>
      <c r="C263" s="39"/>
      <c r="D263" s="42"/>
      <c r="E263" s="39"/>
      <c r="F263" s="39"/>
      <c r="G263" s="27"/>
    </row>
    <row r="264" spans="1:7" ht="11.25" customHeight="1" x14ac:dyDescent="0.2">
      <c r="A264" s="782" t="s">
        <v>349</v>
      </c>
      <c r="B264" s="783" t="s">
        <v>44</v>
      </c>
      <c r="C264" s="783"/>
      <c r="D264" s="783"/>
      <c r="E264" s="783" t="s">
        <v>333</v>
      </c>
      <c r="F264" s="44"/>
      <c r="G264" s="44"/>
    </row>
    <row r="265" spans="1:7" x14ac:dyDescent="0.2">
      <c r="A265" s="782"/>
      <c r="B265" s="782"/>
      <c r="C265" s="782"/>
      <c r="D265" s="782"/>
      <c r="E265" s="783"/>
      <c r="F265" s="44"/>
      <c r="G265" s="44"/>
    </row>
    <row r="266" spans="1:7" x14ac:dyDescent="0.2">
      <c r="A266" s="39"/>
      <c r="B266" s="39"/>
      <c r="C266" s="39"/>
      <c r="D266" s="40"/>
      <c r="E266" s="39"/>
      <c r="F266" s="39"/>
      <c r="G266" s="39"/>
    </row>
    <row r="267" spans="1:7" x14ac:dyDescent="0.2">
      <c r="A267" s="19" t="str">
        <f>CONCATENATE("INDEC-MO - ",B267,C267,D267)</f>
        <v>INDEC-MO - 51720-1</v>
      </c>
      <c r="B267" s="37">
        <v>51720</v>
      </c>
      <c r="C267" s="32" t="s">
        <v>47</v>
      </c>
      <c r="D267" s="35">
        <v>1</v>
      </c>
      <c r="E267" s="45" t="s">
        <v>551</v>
      </c>
      <c r="F267" s="39"/>
      <c r="G267" s="39"/>
    </row>
    <row r="268" spans="1:7" x14ac:dyDescent="0.2">
      <c r="A268" s="39"/>
      <c r="B268" s="39"/>
      <c r="C268" s="39"/>
      <c r="D268" s="40"/>
      <c r="E268" s="39"/>
      <c r="F268" s="39"/>
      <c r="G268" s="39"/>
    </row>
    <row r="271" spans="1:7" x14ac:dyDescent="0.2">
      <c r="A271" s="30"/>
      <c r="B271" s="17" t="s">
        <v>350</v>
      </c>
      <c r="C271" s="30"/>
      <c r="D271" s="31"/>
    </row>
    <row r="272" spans="1:7" x14ac:dyDescent="0.2">
      <c r="A272" s="32"/>
      <c r="B272" s="32"/>
      <c r="C272" s="32"/>
      <c r="D272" s="35"/>
    </row>
    <row r="273" spans="1:5" x14ac:dyDescent="0.2">
      <c r="A273" s="782" t="s">
        <v>349</v>
      </c>
      <c r="B273" s="783" t="s">
        <v>44</v>
      </c>
      <c r="C273" s="783"/>
      <c r="D273" s="783"/>
      <c r="E273" s="783" t="s">
        <v>351</v>
      </c>
    </row>
    <row r="274" spans="1:5" x14ac:dyDescent="0.2">
      <c r="A274" s="782"/>
      <c r="B274" s="783" t="s">
        <v>46</v>
      </c>
      <c r="C274" s="783"/>
      <c r="D274" s="783"/>
      <c r="E274" s="783"/>
    </row>
    <row r="275" spans="1:5" x14ac:dyDescent="0.2">
      <c r="B275" s="32"/>
      <c r="C275" s="32"/>
      <c r="D275" s="35"/>
      <c r="E275" s="46"/>
    </row>
    <row r="276" spans="1:5" x14ac:dyDescent="0.2">
      <c r="A276" s="19" t="str">
        <f t="shared" ref="A276:A283" si="5">CONCATENATE("INDEC-EC - ",B276,C276,D276)</f>
        <v>INDEC-EC - 43520-11</v>
      </c>
      <c r="B276" s="47">
        <v>43520</v>
      </c>
      <c r="C276" s="47" t="s">
        <v>47</v>
      </c>
      <c r="D276" s="35">
        <v>11</v>
      </c>
      <c r="E276" s="38" t="s">
        <v>352</v>
      </c>
    </row>
    <row r="277" spans="1:5" x14ac:dyDescent="0.2">
      <c r="A277" s="19" t="str">
        <f t="shared" si="5"/>
        <v>INDEC-EC - 44440-2</v>
      </c>
      <c r="B277" s="47">
        <v>44440</v>
      </c>
      <c r="C277" s="47" t="s">
        <v>47</v>
      </c>
      <c r="D277" s="35">
        <v>2</v>
      </c>
      <c r="E277" s="38" t="s">
        <v>353</v>
      </c>
    </row>
    <row r="278" spans="1:5" x14ac:dyDescent="0.2">
      <c r="A278" s="19" t="str">
        <f t="shared" si="5"/>
        <v>INDEC-EC - 44221-11</v>
      </c>
      <c r="B278" s="47">
        <v>44221</v>
      </c>
      <c r="C278" s="47" t="s">
        <v>47</v>
      </c>
      <c r="D278" s="35">
        <v>11</v>
      </c>
      <c r="E278" s="38" t="s">
        <v>354</v>
      </c>
    </row>
    <row r="279" spans="1:5" x14ac:dyDescent="0.2">
      <c r="A279" s="19" t="str">
        <f t="shared" si="5"/>
        <v>INDEC-EC - 44221-12</v>
      </c>
      <c r="B279" s="47">
        <v>44221</v>
      </c>
      <c r="C279" s="47" t="s">
        <v>47</v>
      </c>
      <c r="D279" s="35">
        <v>12</v>
      </c>
      <c r="E279" s="38" t="s">
        <v>355</v>
      </c>
    </row>
    <row r="280" spans="1:5" x14ac:dyDescent="0.2">
      <c r="A280" s="19" t="str">
        <f t="shared" si="5"/>
        <v>INDEC-EC - 43520-21</v>
      </c>
      <c r="B280" s="47">
        <v>43520</v>
      </c>
      <c r="C280" s="47" t="s">
        <v>47</v>
      </c>
      <c r="D280" s="35">
        <v>21</v>
      </c>
      <c r="E280" s="38" t="s">
        <v>356</v>
      </c>
    </row>
    <row r="281" spans="1:5" x14ac:dyDescent="0.2">
      <c r="A281" s="19" t="str">
        <f t="shared" si="5"/>
        <v>INDEC-EC - 44231-21</v>
      </c>
      <c r="B281" s="47">
        <v>44231</v>
      </c>
      <c r="C281" s="47" t="s">
        <v>47</v>
      </c>
      <c r="D281" s="35">
        <v>21</v>
      </c>
      <c r="E281" s="38" t="s">
        <v>357</v>
      </c>
    </row>
    <row r="282" spans="1:5" x14ac:dyDescent="0.2">
      <c r="A282" s="19" t="str">
        <f t="shared" si="5"/>
        <v>INDEC-EC - 44440-11</v>
      </c>
      <c r="B282" s="47">
        <v>44440</v>
      </c>
      <c r="C282" s="47" t="s">
        <v>47</v>
      </c>
      <c r="D282" s="35">
        <v>11</v>
      </c>
      <c r="E282" s="38" t="s">
        <v>358</v>
      </c>
    </row>
    <row r="283" spans="1:5" x14ac:dyDescent="0.2">
      <c r="A283" s="19" t="str">
        <f t="shared" si="5"/>
        <v>INDEC-EC - 44231-11</v>
      </c>
      <c r="B283" s="47">
        <v>44231</v>
      </c>
      <c r="C283" s="47" t="s">
        <v>47</v>
      </c>
      <c r="D283" s="35">
        <v>11</v>
      </c>
      <c r="E283" s="38" t="s">
        <v>359</v>
      </c>
    </row>
    <row r="286" spans="1:5" x14ac:dyDescent="0.2">
      <c r="A286" s="30"/>
      <c r="B286" s="17" t="s">
        <v>360</v>
      </c>
      <c r="C286" s="30"/>
      <c r="D286" s="31"/>
    </row>
    <row r="287" spans="1:5" x14ac:dyDescent="0.2">
      <c r="A287" s="32"/>
      <c r="B287" s="32"/>
      <c r="C287" s="32"/>
      <c r="D287" s="35"/>
    </row>
    <row r="288" spans="1:5" x14ac:dyDescent="0.2">
      <c r="A288" s="782" t="s">
        <v>349</v>
      </c>
      <c r="B288" s="783" t="s">
        <v>44</v>
      </c>
      <c r="C288" s="783"/>
      <c r="D288" s="783"/>
      <c r="E288" s="783" t="s">
        <v>361</v>
      </c>
    </row>
    <row r="289" spans="1:7" x14ac:dyDescent="0.2">
      <c r="A289" s="782"/>
      <c r="B289" s="783" t="s">
        <v>46</v>
      </c>
      <c r="C289" s="783"/>
      <c r="D289" s="783"/>
      <c r="E289" s="783"/>
    </row>
    <row r="290" spans="1:7" x14ac:dyDescent="0.2">
      <c r="B290" s="32"/>
      <c r="C290" s="32"/>
      <c r="D290" s="35"/>
      <c r="E290" s="46"/>
    </row>
    <row r="291" spans="1:7" x14ac:dyDescent="0.2">
      <c r="A291" s="19" t="str">
        <f t="shared" ref="A291:A298" si="6">CONCATENATE("INDEC-SA - ",B291,C291,D291)</f>
        <v>INDEC-SA - 83107-1</v>
      </c>
      <c r="B291" s="32">
        <v>83107</v>
      </c>
      <c r="C291" s="32" t="s">
        <v>47</v>
      </c>
      <c r="D291" s="35">
        <v>1</v>
      </c>
      <c r="E291" s="48" t="s">
        <v>362</v>
      </c>
    </row>
    <row r="292" spans="1:7" x14ac:dyDescent="0.2">
      <c r="A292" s="19" t="str">
        <f t="shared" si="6"/>
        <v>INDEC-SA - 71240-21</v>
      </c>
      <c r="B292" s="32">
        <v>71240</v>
      </c>
      <c r="C292" s="32" t="s">
        <v>47</v>
      </c>
      <c r="D292" s="35">
        <v>21</v>
      </c>
      <c r="E292" s="32" t="s">
        <v>363</v>
      </c>
    </row>
    <row r="293" spans="1:7" x14ac:dyDescent="0.2">
      <c r="A293" s="19" t="str">
        <f t="shared" si="6"/>
        <v>INDEC-SA - 71240-31</v>
      </c>
      <c r="B293" s="32">
        <v>71240</v>
      </c>
      <c r="C293" s="32" t="s">
        <v>47</v>
      </c>
      <c r="D293" s="35">
        <v>31</v>
      </c>
      <c r="E293" s="32" t="s">
        <v>364</v>
      </c>
    </row>
    <row r="294" spans="1:7" x14ac:dyDescent="0.2">
      <c r="A294" s="19" t="str">
        <f t="shared" si="6"/>
        <v>INDEC-SA - 71240-11</v>
      </c>
      <c r="B294" s="32">
        <v>71240</v>
      </c>
      <c r="C294" s="32" t="s">
        <v>47</v>
      </c>
      <c r="D294" s="35">
        <v>11</v>
      </c>
      <c r="E294" s="48" t="s">
        <v>365</v>
      </c>
    </row>
    <row r="295" spans="1:7" x14ac:dyDescent="0.2">
      <c r="A295" s="19" t="str">
        <f t="shared" si="6"/>
        <v>INDEC-SA - 74110-11</v>
      </c>
      <c r="B295" s="32">
        <v>74110</v>
      </c>
      <c r="C295" s="32" t="s">
        <v>47</v>
      </c>
      <c r="D295" s="35">
        <v>11</v>
      </c>
      <c r="E295" s="48" t="s">
        <v>366</v>
      </c>
    </row>
    <row r="296" spans="1:7" x14ac:dyDescent="0.2">
      <c r="A296" s="19" t="str">
        <f t="shared" si="6"/>
        <v>INDEC-SA - 71233-11</v>
      </c>
      <c r="B296" s="32">
        <v>71233</v>
      </c>
      <c r="C296" s="32" t="s">
        <v>47</v>
      </c>
      <c r="D296" s="35">
        <v>11</v>
      </c>
      <c r="E296" s="48" t="s">
        <v>367</v>
      </c>
    </row>
    <row r="297" spans="1:7" x14ac:dyDescent="0.2">
      <c r="A297" s="19" t="str">
        <f t="shared" si="6"/>
        <v>INDEC-SA - 51800-11</v>
      </c>
      <c r="B297" s="32">
        <v>51800</v>
      </c>
      <c r="C297" s="32" t="s">
        <v>47</v>
      </c>
      <c r="D297" s="35">
        <v>11</v>
      </c>
      <c r="E297" s="49" t="s">
        <v>368</v>
      </c>
    </row>
    <row r="298" spans="1:7" x14ac:dyDescent="0.2">
      <c r="A298" s="19" t="str">
        <f t="shared" si="6"/>
        <v>INDEC-SA - 51800-21</v>
      </c>
      <c r="B298" s="32">
        <v>51800</v>
      </c>
      <c r="C298" s="32" t="s">
        <v>47</v>
      </c>
      <c r="D298" s="35">
        <v>21</v>
      </c>
      <c r="E298" s="48" t="s">
        <v>369</v>
      </c>
    </row>
    <row r="301" spans="1:7" x14ac:dyDescent="0.2">
      <c r="A301" s="50"/>
      <c r="B301" s="17" t="s">
        <v>509</v>
      </c>
      <c r="C301" s="50"/>
      <c r="D301" s="51"/>
      <c r="E301" s="50"/>
      <c r="F301" s="50"/>
      <c r="G301" s="50"/>
    </row>
    <row r="303" spans="1:7" x14ac:dyDescent="0.2">
      <c r="A303" s="782" t="s">
        <v>349</v>
      </c>
      <c r="B303" s="783" t="s">
        <v>44</v>
      </c>
      <c r="C303" s="783"/>
      <c r="D303" s="783"/>
      <c r="E303" s="782" t="s">
        <v>45</v>
      </c>
    </row>
    <row r="304" spans="1:7" x14ac:dyDescent="0.2">
      <c r="A304" s="782"/>
      <c r="B304" s="783" t="s">
        <v>46</v>
      </c>
      <c r="C304" s="783"/>
      <c r="D304" s="783"/>
      <c r="E304" s="782"/>
    </row>
    <row r="305" spans="1:5" x14ac:dyDescent="0.2">
      <c r="A305" s="20"/>
      <c r="B305" s="46"/>
      <c r="C305" s="46"/>
      <c r="D305" s="46"/>
      <c r="E305" s="20"/>
    </row>
    <row r="306" spans="1:5" x14ac:dyDescent="0.2">
      <c r="A306" s="19" t="str">
        <f t="shared" ref="A306:A337" si="7">CONCATENATE("INDEC-PB - ",B306,C306,D306)</f>
        <v>INDEC-PB - 42120-1</v>
      </c>
      <c r="B306" s="19">
        <v>42120</v>
      </c>
      <c r="C306" s="21" t="s">
        <v>47</v>
      </c>
      <c r="D306" s="19">
        <v>1</v>
      </c>
      <c r="E306" s="52" t="s">
        <v>370</v>
      </c>
    </row>
    <row r="307" spans="1:5" x14ac:dyDescent="0.2">
      <c r="A307" s="19" t="str">
        <f t="shared" si="7"/>
        <v>INDEC-PB - 42120-2</v>
      </c>
      <c r="B307" s="19">
        <v>42120</v>
      </c>
      <c r="C307" s="21" t="s">
        <v>47</v>
      </c>
      <c r="D307" s="19">
        <v>2</v>
      </c>
      <c r="E307" s="52" t="s">
        <v>371</v>
      </c>
    </row>
    <row r="308" spans="1:5" x14ac:dyDescent="0.2">
      <c r="A308" s="19" t="str">
        <f t="shared" si="7"/>
        <v>INDEC-PB - 37910-1</v>
      </c>
      <c r="B308" s="19">
        <v>37910</v>
      </c>
      <c r="C308" s="21" t="s">
        <v>47</v>
      </c>
      <c r="D308" s="19">
        <v>1</v>
      </c>
      <c r="E308" s="52" t="s">
        <v>372</v>
      </c>
    </row>
    <row r="309" spans="1:5" x14ac:dyDescent="0.2">
      <c r="A309" s="19" t="str">
        <f t="shared" si="7"/>
        <v>INDEC-PB - 42921-4</v>
      </c>
      <c r="B309" s="19">
        <v>42921</v>
      </c>
      <c r="C309" s="21" t="s">
        <v>47</v>
      </c>
      <c r="D309" s="19">
        <v>4</v>
      </c>
      <c r="E309" s="52" t="s">
        <v>373</v>
      </c>
    </row>
    <row r="310" spans="1:5" x14ac:dyDescent="0.2">
      <c r="A310" s="19" t="str">
        <f t="shared" si="7"/>
        <v>INDEC-PB - 44251-1</v>
      </c>
      <c r="B310" s="19">
        <v>44251</v>
      </c>
      <c r="C310" s="21" t="s">
        <v>47</v>
      </c>
      <c r="D310" s="19">
        <v>1</v>
      </c>
      <c r="E310" s="52" t="s">
        <v>374</v>
      </c>
    </row>
    <row r="311" spans="1:5" x14ac:dyDescent="0.2">
      <c r="A311" s="19" t="str">
        <f t="shared" si="7"/>
        <v>INDEC-PB - 42922-1</v>
      </c>
      <c r="B311" s="19">
        <v>42922</v>
      </c>
      <c r="C311" s="21" t="s">
        <v>47</v>
      </c>
      <c r="D311" s="19">
        <v>1</v>
      </c>
      <c r="E311" s="52" t="s">
        <v>375</v>
      </c>
    </row>
    <row r="312" spans="1:5" x14ac:dyDescent="0.2">
      <c r="A312" s="19" t="str">
        <f t="shared" si="7"/>
        <v>INDEC-PB - 33380-1</v>
      </c>
      <c r="B312" s="19">
        <v>33380</v>
      </c>
      <c r="C312" s="21" t="s">
        <v>47</v>
      </c>
      <c r="D312" s="19">
        <v>1</v>
      </c>
      <c r="E312" s="52" t="s">
        <v>376</v>
      </c>
    </row>
    <row r="313" spans="1:5" x14ac:dyDescent="0.2">
      <c r="A313" s="19" t="str">
        <f t="shared" si="7"/>
        <v>INDEC-PB - 49229-1</v>
      </c>
      <c r="B313" s="19">
        <v>49229</v>
      </c>
      <c r="C313" s="21" t="s">
        <v>47</v>
      </c>
      <c r="D313" s="19">
        <v>1</v>
      </c>
      <c r="E313" s="52" t="s">
        <v>377</v>
      </c>
    </row>
    <row r="314" spans="1:5" x14ac:dyDescent="0.2">
      <c r="A314" s="19" t="str">
        <f t="shared" si="7"/>
        <v>INDEC-PB - 46420-1</v>
      </c>
      <c r="B314" s="19">
        <v>46420</v>
      </c>
      <c r="C314" s="21" t="s">
        <v>47</v>
      </c>
      <c r="D314" s="19">
        <v>1</v>
      </c>
      <c r="E314" s="52" t="s">
        <v>378</v>
      </c>
    </row>
    <row r="315" spans="1:5" x14ac:dyDescent="0.2">
      <c r="A315" s="19" t="str">
        <f t="shared" si="7"/>
        <v>INDEC-PB - 41263-1</v>
      </c>
      <c r="B315" s="19">
        <v>41263</v>
      </c>
      <c r="C315" s="21" t="s">
        <v>47</v>
      </c>
      <c r="D315" s="19">
        <v>1</v>
      </c>
      <c r="E315" s="52" t="s">
        <v>379</v>
      </c>
    </row>
    <row r="316" spans="1:5" x14ac:dyDescent="0.2">
      <c r="A316" s="19" t="str">
        <f t="shared" si="7"/>
        <v>INDEC-PB - 41241-1</v>
      </c>
      <c r="B316" s="19">
        <v>41241</v>
      </c>
      <c r="C316" s="21" t="s">
        <v>47</v>
      </c>
      <c r="D316" s="19">
        <v>1</v>
      </c>
      <c r="E316" s="52" t="s">
        <v>380</v>
      </c>
    </row>
    <row r="317" spans="1:5" x14ac:dyDescent="0.2">
      <c r="A317" s="19" t="str">
        <f t="shared" si="7"/>
        <v>INDEC-PB - 44216-1</v>
      </c>
      <c r="B317" s="19">
        <v>44216</v>
      </c>
      <c r="C317" s="21" t="s">
        <v>47</v>
      </c>
      <c r="D317" s="19">
        <v>1</v>
      </c>
      <c r="E317" s="52" t="s">
        <v>381</v>
      </c>
    </row>
    <row r="318" spans="1:5" x14ac:dyDescent="0.2">
      <c r="A318" s="19" t="str">
        <f t="shared" si="7"/>
        <v>INDEC-PB - 15400-1</v>
      </c>
      <c r="B318" s="19">
        <v>15400</v>
      </c>
      <c r="C318" s="21" t="s">
        <v>47</v>
      </c>
      <c r="D318" s="19">
        <v>1</v>
      </c>
      <c r="E318" s="52" t="s">
        <v>382</v>
      </c>
    </row>
    <row r="319" spans="1:5" x14ac:dyDescent="0.2">
      <c r="A319" s="19" t="str">
        <f t="shared" si="7"/>
        <v>INDEC-PB - 15310-1</v>
      </c>
      <c r="B319" s="19">
        <v>15310</v>
      </c>
      <c r="C319" s="21" t="s">
        <v>47</v>
      </c>
      <c r="D319" s="19">
        <v>1</v>
      </c>
      <c r="E319" s="52" t="s">
        <v>383</v>
      </c>
    </row>
    <row r="320" spans="1:5" x14ac:dyDescent="0.2">
      <c r="A320" s="19" t="str">
        <f t="shared" si="7"/>
        <v>INDEC-PB - 37210-1</v>
      </c>
      <c r="B320" s="19">
        <v>37210</v>
      </c>
      <c r="C320" s="21" t="s">
        <v>47</v>
      </c>
      <c r="D320" s="19">
        <v>1</v>
      </c>
      <c r="E320" s="52" t="s">
        <v>384</v>
      </c>
    </row>
    <row r="321" spans="1:5" x14ac:dyDescent="0.2">
      <c r="A321" s="19" t="str">
        <f t="shared" si="7"/>
        <v>INDEC-PB - 37540-2</v>
      </c>
      <c r="B321" s="19">
        <v>37540</v>
      </c>
      <c r="C321" s="21" t="s">
        <v>47</v>
      </c>
      <c r="D321" s="19">
        <v>2</v>
      </c>
      <c r="E321" s="52" t="s">
        <v>385</v>
      </c>
    </row>
    <row r="322" spans="1:5" x14ac:dyDescent="0.2">
      <c r="A322" s="19" t="str">
        <f t="shared" si="7"/>
        <v>INDEC-PB - 49113-1</v>
      </c>
      <c r="B322" s="19">
        <v>49113</v>
      </c>
      <c r="C322" s="21" t="s">
        <v>47</v>
      </c>
      <c r="D322" s="19">
        <v>1</v>
      </c>
      <c r="E322" s="52" t="s">
        <v>386</v>
      </c>
    </row>
    <row r="323" spans="1:5" x14ac:dyDescent="0.2">
      <c r="A323" s="19" t="str">
        <f t="shared" si="7"/>
        <v>INDEC-PB - 36270-1</v>
      </c>
      <c r="B323" s="19">
        <v>36270</v>
      </c>
      <c r="C323" s="21" t="s">
        <v>47</v>
      </c>
      <c r="D323" s="19">
        <v>1</v>
      </c>
      <c r="E323" s="52" t="s">
        <v>387</v>
      </c>
    </row>
    <row r="324" spans="1:5" x14ac:dyDescent="0.2">
      <c r="A324" s="19" t="str">
        <f t="shared" si="7"/>
        <v>INDEC-PB - 46539-1</v>
      </c>
      <c r="B324" s="19">
        <v>46539</v>
      </c>
      <c r="C324" s="21" t="s">
        <v>47</v>
      </c>
      <c r="D324" s="19">
        <v>1</v>
      </c>
      <c r="E324" s="52" t="s">
        <v>388</v>
      </c>
    </row>
    <row r="325" spans="1:5" x14ac:dyDescent="0.2">
      <c r="A325" s="19" t="str">
        <f t="shared" si="7"/>
        <v>INDEC-PB - 37370-1</v>
      </c>
      <c r="B325" s="19">
        <v>37370</v>
      </c>
      <c r="C325" s="21" t="s">
        <v>47</v>
      </c>
      <c r="D325" s="19">
        <v>1</v>
      </c>
      <c r="E325" s="52" t="s">
        <v>389</v>
      </c>
    </row>
    <row r="326" spans="1:5" x14ac:dyDescent="0.2">
      <c r="A326" s="19" t="str">
        <f t="shared" si="7"/>
        <v>INDEC-PB - 35110-4</v>
      </c>
      <c r="B326" s="19">
        <v>35110</v>
      </c>
      <c r="C326" s="21" t="s">
        <v>47</v>
      </c>
      <c r="D326" s="19">
        <v>4</v>
      </c>
      <c r="E326" s="52" t="s">
        <v>390</v>
      </c>
    </row>
    <row r="327" spans="1:5" x14ac:dyDescent="0.2">
      <c r="A327" s="19" t="str">
        <f t="shared" si="7"/>
        <v>INDEC-PB - 41261-1</v>
      </c>
      <c r="B327" s="19">
        <v>41261</v>
      </c>
      <c r="C327" s="21" t="s">
        <v>47</v>
      </c>
      <c r="D327" s="19">
        <v>1</v>
      </c>
      <c r="E327" s="52" t="s">
        <v>391</v>
      </c>
    </row>
    <row r="328" spans="1:5" x14ac:dyDescent="0.2">
      <c r="A328" s="19" t="str">
        <f t="shared" si="7"/>
        <v>INDEC-PB - 36490-6</v>
      </c>
      <c r="B328" s="19">
        <v>36490</v>
      </c>
      <c r="C328" s="21" t="s">
        <v>47</v>
      </c>
      <c r="D328" s="19">
        <v>6</v>
      </c>
      <c r="E328" s="52" t="s">
        <v>392</v>
      </c>
    </row>
    <row r="329" spans="1:5" x14ac:dyDescent="0.2">
      <c r="A329" s="19" t="str">
        <f t="shared" si="7"/>
        <v>INDEC-PB - 42944-1</v>
      </c>
      <c r="B329" s="19">
        <v>42944</v>
      </c>
      <c r="C329" s="21" t="s">
        <v>47</v>
      </c>
      <c r="D329" s="19">
        <v>1</v>
      </c>
      <c r="E329" s="52" t="s">
        <v>393</v>
      </c>
    </row>
    <row r="330" spans="1:5" x14ac:dyDescent="0.2">
      <c r="A330" s="19" t="str">
        <f t="shared" si="7"/>
        <v>INDEC-PB - 42320-1</v>
      </c>
      <c r="B330" s="19">
        <v>42320</v>
      </c>
      <c r="C330" s="21" t="s">
        <v>47</v>
      </c>
      <c r="D330" s="19">
        <v>1</v>
      </c>
      <c r="E330" s="52" t="s">
        <v>394</v>
      </c>
    </row>
    <row r="331" spans="1:5" x14ac:dyDescent="0.2">
      <c r="A331" s="19" t="str">
        <f t="shared" si="7"/>
        <v>INDEC-PB - 37420-1</v>
      </c>
      <c r="B331" s="19">
        <v>37420</v>
      </c>
      <c r="C331" s="21" t="s">
        <v>47</v>
      </c>
      <c r="D331" s="19">
        <v>1</v>
      </c>
      <c r="E331" s="52" t="s">
        <v>395</v>
      </c>
    </row>
    <row r="332" spans="1:5" x14ac:dyDescent="0.2">
      <c r="A332" s="19" t="str">
        <f t="shared" si="7"/>
        <v>INDEC-PB - 49115-2</v>
      </c>
      <c r="B332" s="19">
        <v>49115</v>
      </c>
      <c r="C332" s="21" t="s">
        <v>47</v>
      </c>
      <c r="D332" s="19">
        <v>2</v>
      </c>
      <c r="E332" s="52" t="s">
        <v>396</v>
      </c>
    </row>
    <row r="333" spans="1:5" x14ac:dyDescent="0.2">
      <c r="A333" s="19" t="str">
        <f t="shared" si="7"/>
        <v>INDEC-PB - 36320-3</v>
      </c>
      <c r="B333" s="19">
        <v>36320</v>
      </c>
      <c r="C333" s="21" t="s">
        <v>47</v>
      </c>
      <c r="D333" s="19">
        <v>3</v>
      </c>
      <c r="E333" s="52" t="s">
        <v>397</v>
      </c>
    </row>
    <row r="334" spans="1:5" x14ac:dyDescent="0.2">
      <c r="A334" s="19" t="str">
        <f t="shared" si="7"/>
        <v>INDEC-PB - 36320-2</v>
      </c>
      <c r="B334" s="19">
        <v>36320</v>
      </c>
      <c r="C334" s="21" t="s">
        <v>47</v>
      </c>
      <c r="D334" s="19">
        <v>2</v>
      </c>
      <c r="E334" s="52" t="s">
        <v>398</v>
      </c>
    </row>
    <row r="335" spans="1:5" x14ac:dyDescent="0.2">
      <c r="A335" s="19" t="str">
        <f t="shared" si="7"/>
        <v>INDEC-PB - 36320-1</v>
      </c>
      <c r="B335" s="19">
        <v>36320</v>
      </c>
      <c r="C335" s="21" t="s">
        <v>47</v>
      </c>
      <c r="D335" s="19">
        <v>1</v>
      </c>
      <c r="E335" s="52" t="s">
        <v>399</v>
      </c>
    </row>
    <row r="336" spans="1:5" x14ac:dyDescent="0.2">
      <c r="A336" s="19" t="str">
        <f t="shared" si="7"/>
        <v>INDEC-PB - 46220-1</v>
      </c>
      <c r="B336" s="19">
        <v>46220</v>
      </c>
      <c r="C336" s="21" t="s">
        <v>47</v>
      </c>
      <c r="D336" s="19">
        <v>1</v>
      </c>
      <c r="E336" s="52" t="s">
        <v>400</v>
      </c>
    </row>
    <row r="337" spans="1:5" x14ac:dyDescent="0.2">
      <c r="A337" s="19" t="str">
        <f t="shared" si="7"/>
        <v>INDEC-PB - 34800-1</v>
      </c>
      <c r="B337" s="19">
        <v>34800</v>
      </c>
      <c r="C337" s="21" t="s">
        <v>47</v>
      </c>
      <c r="D337" s="19">
        <v>1</v>
      </c>
      <c r="E337" s="52" t="s">
        <v>401</v>
      </c>
    </row>
    <row r="338" spans="1:5" x14ac:dyDescent="0.2">
      <c r="A338" s="19" t="str">
        <f t="shared" ref="A338:A369" si="8">CONCATENATE("INDEC-PB - ",B338,C338,D338)</f>
        <v>INDEC-PB - 37440-1</v>
      </c>
      <c r="B338" s="19">
        <v>37440</v>
      </c>
      <c r="C338" s="21" t="s">
        <v>47</v>
      </c>
      <c r="D338" s="19">
        <v>1</v>
      </c>
      <c r="E338" s="52" t="s">
        <v>402</v>
      </c>
    </row>
    <row r="339" spans="1:5" x14ac:dyDescent="0.2">
      <c r="A339" s="19" t="str">
        <f t="shared" si="8"/>
        <v>INDEC-PB - 42992-1</v>
      </c>
      <c r="B339" s="19">
        <v>42992</v>
      </c>
      <c r="C339" s="21" t="s">
        <v>47</v>
      </c>
      <c r="D339" s="19">
        <v>1</v>
      </c>
      <c r="E339" s="52" t="s">
        <v>403</v>
      </c>
    </row>
    <row r="340" spans="1:5" x14ac:dyDescent="0.2">
      <c r="A340" s="19" t="str">
        <f t="shared" si="8"/>
        <v>INDEC-PB - 42999-2</v>
      </c>
      <c r="B340" s="19">
        <v>42999</v>
      </c>
      <c r="C340" s="21" t="s">
        <v>47</v>
      </c>
      <c r="D340" s="19">
        <v>2</v>
      </c>
      <c r="E340" s="52" t="s">
        <v>404</v>
      </c>
    </row>
    <row r="341" spans="1:5" x14ac:dyDescent="0.2">
      <c r="A341" s="19" t="str">
        <f t="shared" si="8"/>
        <v>INDEC-PB - 42944-2</v>
      </c>
      <c r="B341" s="19">
        <v>42944</v>
      </c>
      <c r="C341" s="21" t="s">
        <v>47</v>
      </c>
      <c r="D341" s="19">
        <v>2</v>
      </c>
      <c r="E341" s="52" t="s">
        <v>405</v>
      </c>
    </row>
    <row r="342" spans="1:5" x14ac:dyDescent="0.2">
      <c r="A342" s="19" t="str">
        <f t="shared" si="8"/>
        <v>INDEC-PB - 43230-1</v>
      </c>
      <c r="B342" s="19">
        <v>43230</v>
      </c>
      <c r="C342" s="21" t="s">
        <v>47</v>
      </c>
      <c r="D342" s="19">
        <v>1</v>
      </c>
      <c r="E342" s="52" t="s">
        <v>406</v>
      </c>
    </row>
    <row r="343" spans="1:5" x14ac:dyDescent="0.2">
      <c r="A343" s="19" t="str">
        <f t="shared" si="8"/>
        <v>INDEC-PB - 46340-1</v>
      </c>
      <c r="B343" s="19">
        <v>46340</v>
      </c>
      <c r="C343" s="21" t="s">
        <v>47</v>
      </c>
      <c r="D343" s="19">
        <v>1</v>
      </c>
      <c r="E343" s="52" t="s">
        <v>407</v>
      </c>
    </row>
    <row r="344" spans="1:5" x14ac:dyDescent="0.2">
      <c r="A344" s="19" t="str">
        <f t="shared" si="8"/>
        <v>INDEC-PB - 36270-2</v>
      </c>
      <c r="B344" s="19">
        <v>36270</v>
      </c>
      <c r="C344" s="21" t="s">
        <v>47</v>
      </c>
      <c r="D344" s="19">
        <v>2</v>
      </c>
      <c r="E344" s="52" t="s">
        <v>408</v>
      </c>
    </row>
    <row r="345" spans="1:5" x14ac:dyDescent="0.2">
      <c r="A345" s="19" t="str">
        <f t="shared" si="8"/>
        <v>INDEC-PB - 42190-2</v>
      </c>
      <c r="B345" s="19">
        <v>42190</v>
      </c>
      <c r="C345" s="21" t="s">
        <v>47</v>
      </c>
      <c r="D345" s="19">
        <v>2</v>
      </c>
      <c r="E345" s="52" t="s">
        <v>409</v>
      </c>
    </row>
    <row r="346" spans="1:5" x14ac:dyDescent="0.2">
      <c r="A346" s="19" t="str">
        <f t="shared" si="8"/>
        <v>INDEC-PB - 36990-2</v>
      </c>
      <c r="B346" s="19">
        <v>36990</v>
      </c>
      <c r="C346" s="21" t="s">
        <v>47</v>
      </c>
      <c r="D346" s="19">
        <v>2</v>
      </c>
      <c r="E346" s="52" t="s">
        <v>410</v>
      </c>
    </row>
    <row r="347" spans="1:5" x14ac:dyDescent="0.2">
      <c r="A347" s="19" t="str">
        <f t="shared" si="8"/>
        <v>INDEC-PB - 31600-1</v>
      </c>
      <c r="B347" s="19">
        <v>31600</v>
      </c>
      <c r="C347" s="21" t="s">
        <v>47</v>
      </c>
      <c r="D347" s="19">
        <v>1</v>
      </c>
      <c r="E347" s="52" t="s">
        <v>411</v>
      </c>
    </row>
    <row r="348" spans="1:5" x14ac:dyDescent="0.2">
      <c r="A348" s="19" t="str">
        <f t="shared" si="8"/>
        <v>INDEC-PB - 32600-1</v>
      </c>
      <c r="B348" s="19">
        <v>32600</v>
      </c>
      <c r="C348" s="21" t="s">
        <v>47</v>
      </c>
      <c r="D348" s="19">
        <v>1</v>
      </c>
      <c r="E348" s="52" t="s">
        <v>412</v>
      </c>
    </row>
    <row r="349" spans="1:5" x14ac:dyDescent="0.2">
      <c r="A349" s="19" t="str">
        <f t="shared" si="8"/>
        <v>INDEC-PB - 36111-3</v>
      </c>
      <c r="B349" s="19">
        <v>36111</v>
      </c>
      <c r="C349" s="21" t="s">
        <v>47</v>
      </c>
      <c r="D349" s="19">
        <v>3</v>
      </c>
      <c r="E349" s="52" t="s">
        <v>413</v>
      </c>
    </row>
    <row r="350" spans="1:5" x14ac:dyDescent="0.2">
      <c r="A350" s="19" t="str">
        <f t="shared" si="8"/>
        <v>INDEC-PB - 36111-2</v>
      </c>
      <c r="B350" s="19">
        <v>36111</v>
      </c>
      <c r="C350" s="21" t="s">
        <v>47</v>
      </c>
      <c r="D350" s="19">
        <v>2</v>
      </c>
      <c r="E350" s="52" t="s">
        <v>414</v>
      </c>
    </row>
    <row r="351" spans="1:5" x14ac:dyDescent="0.2">
      <c r="A351" s="19" t="str">
        <f t="shared" si="8"/>
        <v>INDEC-PB - 36111-1</v>
      </c>
      <c r="B351" s="19">
        <v>36111</v>
      </c>
      <c r="C351" s="21" t="s">
        <v>47</v>
      </c>
      <c r="D351" s="19">
        <v>1</v>
      </c>
      <c r="E351" s="52" t="s">
        <v>415</v>
      </c>
    </row>
    <row r="352" spans="1:5" x14ac:dyDescent="0.2">
      <c r="A352" s="19" t="str">
        <f t="shared" si="8"/>
        <v>INDEC-PB - 42921-1</v>
      </c>
      <c r="B352" s="19">
        <v>42921</v>
      </c>
      <c r="C352" s="21" t="s">
        <v>47</v>
      </c>
      <c r="D352" s="19">
        <v>1</v>
      </c>
      <c r="E352" s="52" t="s">
        <v>416</v>
      </c>
    </row>
    <row r="353" spans="1:5" x14ac:dyDescent="0.2">
      <c r="A353" s="19" t="str">
        <f t="shared" si="8"/>
        <v>INDEC-PB - 34800-2</v>
      </c>
      <c r="B353" s="19">
        <v>34800</v>
      </c>
      <c r="C353" s="21" t="s">
        <v>47</v>
      </c>
      <c r="D353" s="19">
        <v>2</v>
      </c>
      <c r="E353" s="52" t="s">
        <v>417</v>
      </c>
    </row>
    <row r="354" spans="1:5" x14ac:dyDescent="0.2">
      <c r="A354" s="19" t="str">
        <f t="shared" si="8"/>
        <v>INDEC-PB - 49129-1</v>
      </c>
      <c r="B354" s="19">
        <v>49129</v>
      </c>
      <c r="C354" s="21" t="s">
        <v>47</v>
      </c>
      <c r="D354" s="19">
        <v>1</v>
      </c>
      <c r="E354" s="52" t="s">
        <v>418</v>
      </c>
    </row>
    <row r="355" spans="1:5" x14ac:dyDescent="0.2">
      <c r="A355" s="19" t="str">
        <f t="shared" si="8"/>
        <v>INDEC-PB - 43220-1</v>
      </c>
      <c r="B355" s="19">
        <v>43220</v>
      </c>
      <c r="C355" s="21" t="s">
        <v>47</v>
      </c>
      <c r="D355" s="19">
        <v>1</v>
      </c>
      <c r="E355" s="52" t="s">
        <v>419</v>
      </c>
    </row>
    <row r="356" spans="1:5" x14ac:dyDescent="0.2">
      <c r="A356" s="19" t="str">
        <f t="shared" si="8"/>
        <v>INDEC-PB - 35110-1</v>
      </c>
      <c r="B356" s="19">
        <v>35110</v>
      </c>
      <c r="C356" s="21" t="s">
        <v>47</v>
      </c>
      <c r="D356" s="19">
        <v>1</v>
      </c>
      <c r="E356" s="52" t="s">
        <v>420</v>
      </c>
    </row>
    <row r="357" spans="1:5" x14ac:dyDescent="0.2">
      <c r="A357" s="19" t="str">
        <f t="shared" si="8"/>
        <v>INDEC-PB - 17100-1</v>
      </c>
      <c r="B357" s="19">
        <v>17100</v>
      </c>
      <c r="C357" s="21" t="s">
        <v>47</v>
      </c>
      <c r="D357" s="19">
        <v>1</v>
      </c>
      <c r="E357" s="52" t="s">
        <v>421</v>
      </c>
    </row>
    <row r="358" spans="1:5" x14ac:dyDescent="0.2">
      <c r="A358" s="19" t="str">
        <f t="shared" si="8"/>
        <v>INDEC-PB - 49129-3</v>
      </c>
      <c r="B358" s="19">
        <v>49129</v>
      </c>
      <c r="C358" s="21" t="s">
        <v>47</v>
      </c>
      <c r="D358" s="19">
        <v>3</v>
      </c>
      <c r="E358" s="52" t="s">
        <v>422</v>
      </c>
    </row>
    <row r="359" spans="1:5" x14ac:dyDescent="0.2">
      <c r="A359" s="19" t="str">
        <f t="shared" si="8"/>
        <v>INDEC-PB - 35110-2</v>
      </c>
      <c r="B359" s="19">
        <v>35110</v>
      </c>
      <c r="C359" s="21" t="s">
        <v>47</v>
      </c>
      <c r="D359" s="19">
        <v>2</v>
      </c>
      <c r="E359" s="52" t="s">
        <v>423</v>
      </c>
    </row>
    <row r="360" spans="1:5" x14ac:dyDescent="0.2">
      <c r="A360" s="19" t="str">
        <f t="shared" si="8"/>
        <v>INDEC-PB - 37129-1</v>
      </c>
      <c r="B360" s="19">
        <v>37129</v>
      </c>
      <c r="C360" s="21" t="s">
        <v>47</v>
      </c>
      <c r="D360" s="19">
        <v>1</v>
      </c>
      <c r="E360" s="52" t="s">
        <v>424</v>
      </c>
    </row>
    <row r="361" spans="1:5" x14ac:dyDescent="0.2">
      <c r="A361" s="19" t="str">
        <f t="shared" si="8"/>
        <v>INDEC-PB - 36490-4</v>
      </c>
      <c r="B361" s="19">
        <v>36490</v>
      </c>
      <c r="C361" s="21" t="s">
        <v>47</v>
      </c>
      <c r="D361" s="19">
        <v>4</v>
      </c>
      <c r="E361" s="52" t="s">
        <v>425</v>
      </c>
    </row>
    <row r="362" spans="1:5" x14ac:dyDescent="0.2">
      <c r="A362" s="19" t="str">
        <f t="shared" si="8"/>
        <v>INDEC-PB - 33370-1</v>
      </c>
      <c r="B362" s="19">
        <v>33370</v>
      </c>
      <c r="C362" s="21" t="s">
        <v>47</v>
      </c>
      <c r="D362" s="19">
        <v>1</v>
      </c>
      <c r="E362" s="52" t="s">
        <v>426</v>
      </c>
    </row>
    <row r="363" spans="1:5" x14ac:dyDescent="0.2">
      <c r="A363" s="19" t="str">
        <f t="shared" si="8"/>
        <v>INDEC-PB - 12020-1</v>
      </c>
      <c r="B363" s="19">
        <v>12020</v>
      </c>
      <c r="C363" s="21" t="s">
        <v>47</v>
      </c>
      <c r="D363" s="19">
        <v>1</v>
      </c>
      <c r="E363" s="52" t="s">
        <v>427</v>
      </c>
    </row>
    <row r="364" spans="1:5" x14ac:dyDescent="0.2">
      <c r="A364" s="19" t="str">
        <f t="shared" si="8"/>
        <v>INDEC-PB - 33360-1</v>
      </c>
      <c r="B364" s="19">
        <v>33360</v>
      </c>
      <c r="C364" s="21" t="s">
        <v>47</v>
      </c>
      <c r="D364" s="19">
        <v>1</v>
      </c>
      <c r="E364" s="52" t="s">
        <v>428</v>
      </c>
    </row>
    <row r="365" spans="1:5" x14ac:dyDescent="0.2">
      <c r="A365" s="19" t="str">
        <f t="shared" si="8"/>
        <v>INDEC-PB - 33410-1</v>
      </c>
      <c r="B365" s="19">
        <v>33410</v>
      </c>
      <c r="C365" s="21" t="s">
        <v>47</v>
      </c>
      <c r="D365" s="19">
        <v>1</v>
      </c>
      <c r="E365" s="52" t="s">
        <v>429</v>
      </c>
    </row>
    <row r="366" spans="1:5" x14ac:dyDescent="0.2">
      <c r="A366" s="19" t="str">
        <f t="shared" si="8"/>
        <v>INDEC-PB - 42911-1</v>
      </c>
      <c r="B366" s="19">
        <v>42911</v>
      </c>
      <c r="C366" s="21" t="s">
        <v>47</v>
      </c>
      <c r="D366" s="19">
        <v>1</v>
      </c>
      <c r="E366" s="52" t="s">
        <v>430</v>
      </c>
    </row>
    <row r="367" spans="1:5" x14ac:dyDescent="0.2">
      <c r="A367" s="19" t="str">
        <f t="shared" si="8"/>
        <v>INDEC-PB - 46113-1</v>
      </c>
      <c r="B367" s="19">
        <v>46113</v>
      </c>
      <c r="C367" s="21" t="s">
        <v>47</v>
      </c>
      <c r="D367" s="19">
        <v>1</v>
      </c>
      <c r="E367" s="52" t="s">
        <v>431</v>
      </c>
    </row>
    <row r="368" spans="1:5" x14ac:dyDescent="0.2">
      <c r="A368" s="19" t="str">
        <f t="shared" si="8"/>
        <v>INDEC-PB - 42921-2</v>
      </c>
      <c r="B368" s="19">
        <v>42921</v>
      </c>
      <c r="C368" s="21" t="s">
        <v>47</v>
      </c>
      <c r="D368" s="19">
        <v>2</v>
      </c>
      <c r="E368" s="52" t="s">
        <v>432</v>
      </c>
    </row>
    <row r="369" spans="1:5" x14ac:dyDescent="0.2">
      <c r="A369" s="19" t="str">
        <f t="shared" si="8"/>
        <v>INDEC-PB - 37990-1</v>
      </c>
      <c r="B369" s="19">
        <v>37990</v>
      </c>
      <c r="C369" s="21" t="s">
        <v>47</v>
      </c>
      <c r="D369" s="19">
        <v>1</v>
      </c>
      <c r="E369" s="52" t="s">
        <v>433</v>
      </c>
    </row>
    <row r="370" spans="1:5" x14ac:dyDescent="0.2">
      <c r="A370" s="19" t="str">
        <f t="shared" ref="A370:A401" si="9">CONCATENATE("INDEC-PB - ",B370,C370,D370)</f>
        <v>INDEC-PB - 41242-1</v>
      </c>
      <c r="B370" s="19">
        <v>41242</v>
      </c>
      <c r="C370" s="21" t="s">
        <v>47</v>
      </c>
      <c r="D370" s="19">
        <v>1</v>
      </c>
      <c r="E370" s="52" t="s">
        <v>434</v>
      </c>
    </row>
    <row r="371" spans="1:5" x14ac:dyDescent="0.2">
      <c r="A371" s="19" t="str">
        <f t="shared" si="9"/>
        <v>INDEC-PB - 37510-1</v>
      </c>
      <c r="B371" s="19">
        <v>37510</v>
      </c>
      <c r="C371" s="21" t="s">
        <v>47</v>
      </c>
      <c r="D371" s="19">
        <v>1</v>
      </c>
      <c r="E371" s="52" t="s">
        <v>435</v>
      </c>
    </row>
    <row r="372" spans="1:5" x14ac:dyDescent="0.2">
      <c r="A372" s="19" t="str">
        <f t="shared" si="9"/>
        <v>INDEC-PB - 44440-1</v>
      </c>
      <c r="B372" s="19">
        <v>44440</v>
      </c>
      <c r="C372" s="21" t="s">
        <v>47</v>
      </c>
      <c r="D372" s="19">
        <v>1</v>
      </c>
      <c r="E372" s="52" t="s">
        <v>436</v>
      </c>
    </row>
    <row r="373" spans="1:5" x14ac:dyDescent="0.2">
      <c r="A373" s="19" t="str">
        <f t="shared" si="9"/>
        <v>INDEC-PB - 35110-5</v>
      </c>
      <c r="B373" s="19">
        <v>35110</v>
      </c>
      <c r="C373" s="21" t="s">
        <v>47</v>
      </c>
      <c r="D373" s="19">
        <v>5</v>
      </c>
      <c r="E373" s="52" t="s">
        <v>437</v>
      </c>
    </row>
    <row r="374" spans="1:5" x14ac:dyDescent="0.2">
      <c r="A374" s="19" t="str">
        <f t="shared" si="9"/>
        <v>INDEC-PB - 46212-1</v>
      </c>
      <c r="B374" s="19">
        <v>46212</v>
      </c>
      <c r="C374" s="21" t="s">
        <v>47</v>
      </c>
      <c r="D374" s="19">
        <v>1</v>
      </c>
      <c r="E374" s="52" t="s">
        <v>438</v>
      </c>
    </row>
    <row r="375" spans="1:5" x14ac:dyDescent="0.2">
      <c r="A375" s="19" t="str">
        <f t="shared" si="9"/>
        <v>INDEC-PB - 33340-1</v>
      </c>
      <c r="B375" s="19">
        <v>33340</v>
      </c>
      <c r="C375" s="21" t="s">
        <v>47</v>
      </c>
      <c r="D375" s="19">
        <v>1</v>
      </c>
      <c r="E375" s="52" t="s">
        <v>439</v>
      </c>
    </row>
    <row r="376" spans="1:5" x14ac:dyDescent="0.2">
      <c r="A376" s="19" t="str">
        <f t="shared" si="9"/>
        <v>INDEC-PB - 37350-1</v>
      </c>
      <c r="B376" s="19">
        <v>37350</v>
      </c>
      <c r="C376" s="21" t="s">
        <v>47</v>
      </c>
      <c r="D376" s="19">
        <v>1</v>
      </c>
      <c r="E376" s="52" t="s">
        <v>440</v>
      </c>
    </row>
    <row r="377" spans="1:5" x14ac:dyDescent="0.2">
      <c r="A377" s="19" t="str">
        <f t="shared" si="9"/>
        <v>INDEC-PB - 37320-1</v>
      </c>
      <c r="B377" s="19">
        <v>37320</v>
      </c>
      <c r="C377" s="21" t="s">
        <v>47</v>
      </c>
      <c r="D377" s="19">
        <v>1</v>
      </c>
      <c r="E377" s="52" t="s">
        <v>441</v>
      </c>
    </row>
    <row r="378" spans="1:5" x14ac:dyDescent="0.2">
      <c r="A378" s="19" t="str">
        <f t="shared" si="9"/>
        <v>INDEC-PB - 41532-11</v>
      </c>
      <c r="B378" s="19">
        <v>41532</v>
      </c>
      <c r="C378" s="21" t="s">
        <v>47</v>
      </c>
      <c r="D378" s="19">
        <v>11</v>
      </c>
      <c r="E378" s="52" t="s">
        <v>442</v>
      </c>
    </row>
    <row r="379" spans="1:5" x14ac:dyDescent="0.2">
      <c r="A379" s="19" t="str">
        <f t="shared" si="9"/>
        <v>INDEC-PB - 41532-1</v>
      </c>
      <c r="B379" s="19">
        <v>41532</v>
      </c>
      <c r="C379" s="21" t="s">
        <v>47</v>
      </c>
      <c r="D379" s="19">
        <v>1</v>
      </c>
      <c r="E379" s="52" t="s">
        <v>443</v>
      </c>
    </row>
    <row r="380" spans="1:5" x14ac:dyDescent="0.2">
      <c r="A380" s="19" t="str">
        <f t="shared" si="9"/>
        <v>INDEC-PB - 31430-1</v>
      </c>
      <c r="B380" s="19">
        <v>31430</v>
      </c>
      <c r="C380" s="21" t="s">
        <v>47</v>
      </c>
      <c r="D380" s="19">
        <v>1</v>
      </c>
      <c r="E380" s="52" t="s">
        <v>444</v>
      </c>
    </row>
    <row r="381" spans="1:5" x14ac:dyDescent="0.2">
      <c r="A381" s="19" t="str">
        <f t="shared" si="9"/>
        <v>INDEC-PB - 31100-1</v>
      </c>
      <c r="B381" s="19">
        <v>31100</v>
      </c>
      <c r="C381" s="21" t="s">
        <v>47</v>
      </c>
      <c r="D381" s="19">
        <v>1</v>
      </c>
      <c r="E381" s="52" t="s">
        <v>445</v>
      </c>
    </row>
    <row r="382" spans="1:5" x14ac:dyDescent="0.2">
      <c r="A382" s="19" t="str">
        <f t="shared" si="9"/>
        <v>INDEC-PB - 31420-1</v>
      </c>
      <c r="B382" s="19">
        <v>31420</v>
      </c>
      <c r="C382" s="21" t="s">
        <v>47</v>
      </c>
      <c r="D382" s="19">
        <v>1</v>
      </c>
      <c r="E382" s="52" t="s">
        <v>446</v>
      </c>
    </row>
    <row r="383" spans="1:5" x14ac:dyDescent="0.2">
      <c r="A383" s="19" t="str">
        <f t="shared" si="9"/>
        <v>INDEC-PB - 31420-2</v>
      </c>
      <c r="B383" s="19">
        <v>31420</v>
      </c>
      <c r="C383" s="21" t="s">
        <v>47</v>
      </c>
      <c r="D383" s="19">
        <v>2</v>
      </c>
      <c r="E383" s="52" t="s">
        <v>447</v>
      </c>
    </row>
    <row r="384" spans="1:5" x14ac:dyDescent="0.2">
      <c r="A384" s="19" t="str">
        <f t="shared" si="9"/>
        <v>INDEC-PB - 44222-1</v>
      </c>
      <c r="B384" s="19">
        <v>44222</v>
      </c>
      <c r="C384" s="21" t="s">
        <v>47</v>
      </c>
      <c r="D384" s="19">
        <v>1</v>
      </c>
      <c r="E384" s="52" t="s">
        <v>448</v>
      </c>
    </row>
    <row r="385" spans="1:5" x14ac:dyDescent="0.2">
      <c r="A385" s="19" t="str">
        <f t="shared" si="9"/>
        <v>INDEC-PB - 44427-1</v>
      </c>
      <c r="B385" s="19">
        <v>44427</v>
      </c>
      <c r="C385" s="21" t="s">
        <v>47</v>
      </c>
      <c r="D385" s="19">
        <v>1</v>
      </c>
      <c r="E385" s="52" t="s">
        <v>449</v>
      </c>
    </row>
    <row r="386" spans="1:5" x14ac:dyDescent="0.2">
      <c r="A386" s="19" t="str">
        <f t="shared" si="9"/>
        <v>INDEC-PB - 44430-1</v>
      </c>
      <c r="B386" s="19">
        <v>44430</v>
      </c>
      <c r="C386" s="21" t="s">
        <v>47</v>
      </c>
      <c r="D386" s="19">
        <v>1</v>
      </c>
      <c r="E386" s="52" t="s">
        <v>450</v>
      </c>
    </row>
    <row r="387" spans="1:5" x14ac:dyDescent="0.2">
      <c r="A387" s="19" t="str">
        <f t="shared" si="9"/>
        <v>INDEC-PB - 37930-1</v>
      </c>
      <c r="B387" s="19">
        <v>37930</v>
      </c>
      <c r="C387" s="21" t="s">
        <v>47</v>
      </c>
      <c r="D387" s="19">
        <v>1</v>
      </c>
      <c r="E387" s="52" t="s">
        <v>451</v>
      </c>
    </row>
    <row r="388" spans="1:5" x14ac:dyDescent="0.2">
      <c r="A388" s="19" t="str">
        <f t="shared" si="9"/>
        <v>INDEC-PB - 37330-1</v>
      </c>
      <c r="B388" s="19">
        <v>37330</v>
      </c>
      <c r="C388" s="21" t="s">
        <v>47</v>
      </c>
      <c r="D388" s="19">
        <v>1</v>
      </c>
      <c r="E388" s="52" t="s">
        <v>452</v>
      </c>
    </row>
    <row r="389" spans="1:5" x14ac:dyDescent="0.2">
      <c r="A389" s="19" t="str">
        <f t="shared" si="9"/>
        <v>INDEC-PB - 37540-1</v>
      </c>
      <c r="B389" s="19">
        <v>37540</v>
      </c>
      <c r="C389" s="21" t="s">
        <v>47</v>
      </c>
      <c r="D389" s="19">
        <v>1</v>
      </c>
      <c r="E389" s="52" t="s">
        <v>453</v>
      </c>
    </row>
    <row r="390" spans="1:5" x14ac:dyDescent="0.2">
      <c r="A390" s="19" t="str">
        <f t="shared" si="9"/>
        <v>INDEC-PB - 43121-1</v>
      </c>
      <c r="B390" s="19">
        <v>43121</v>
      </c>
      <c r="C390" s="21" t="s">
        <v>47</v>
      </c>
      <c r="D390" s="19">
        <v>1</v>
      </c>
      <c r="E390" s="52" t="s">
        <v>454</v>
      </c>
    </row>
    <row r="391" spans="1:5" x14ac:dyDescent="0.2">
      <c r="A391" s="19" t="str">
        <f t="shared" si="9"/>
        <v>INDEC-PB - 46112-1</v>
      </c>
      <c r="B391" s="19">
        <v>46112</v>
      </c>
      <c r="C391" s="21" t="s">
        <v>47</v>
      </c>
      <c r="D391" s="19">
        <v>1</v>
      </c>
      <c r="E391" s="52" t="s">
        <v>455</v>
      </c>
    </row>
    <row r="392" spans="1:5" x14ac:dyDescent="0.2">
      <c r="A392" s="19" t="str">
        <f t="shared" si="9"/>
        <v>INDEC-PB - 43122-1</v>
      </c>
      <c r="B392" s="19">
        <v>43122</v>
      </c>
      <c r="C392" s="21" t="s">
        <v>47</v>
      </c>
      <c r="D392" s="19">
        <v>1</v>
      </c>
      <c r="E392" s="52" t="s">
        <v>456</v>
      </c>
    </row>
    <row r="393" spans="1:5" x14ac:dyDescent="0.2">
      <c r="A393" s="19" t="str">
        <f t="shared" si="9"/>
        <v>INDEC-PB - 49911-1</v>
      </c>
      <c r="B393" s="19">
        <v>49911</v>
      </c>
      <c r="C393" s="21" t="s">
        <v>47</v>
      </c>
      <c r="D393" s="19">
        <v>1</v>
      </c>
      <c r="E393" s="52" t="s">
        <v>457</v>
      </c>
    </row>
    <row r="394" spans="1:5" x14ac:dyDescent="0.2">
      <c r="A394" s="19" t="str">
        <f t="shared" si="9"/>
        <v>INDEC-PB - 33310-1</v>
      </c>
      <c r="B394" s="19">
        <v>33310</v>
      </c>
      <c r="C394" s="21" t="s">
        <v>47</v>
      </c>
      <c r="D394" s="19">
        <v>1</v>
      </c>
      <c r="E394" s="52" t="s">
        <v>458</v>
      </c>
    </row>
    <row r="395" spans="1:5" x14ac:dyDescent="0.2">
      <c r="A395" s="19" t="str">
        <f t="shared" si="9"/>
        <v>INDEC-PB - 32129-1</v>
      </c>
      <c r="B395" s="19">
        <v>32129</v>
      </c>
      <c r="C395" s="21" t="s">
        <v>47</v>
      </c>
      <c r="D395" s="19">
        <v>1</v>
      </c>
      <c r="E395" s="52" t="s">
        <v>459</v>
      </c>
    </row>
    <row r="396" spans="1:5" x14ac:dyDescent="0.2">
      <c r="A396" s="19" t="str">
        <f t="shared" si="9"/>
        <v>INDEC-PB - 37990-2</v>
      </c>
      <c r="B396" s="19">
        <v>37990</v>
      </c>
      <c r="C396" s="21" t="s">
        <v>47</v>
      </c>
      <c r="D396" s="19">
        <v>2</v>
      </c>
      <c r="E396" s="52" t="s">
        <v>460</v>
      </c>
    </row>
    <row r="397" spans="1:5" x14ac:dyDescent="0.2">
      <c r="A397" s="19" t="str">
        <f t="shared" si="9"/>
        <v>INDEC-PB - 41251-1</v>
      </c>
      <c r="B397" s="19">
        <v>41251</v>
      </c>
      <c r="C397" s="21" t="s">
        <v>47</v>
      </c>
      <c r="D397" s="19">
        <v>1</v>
      </c>
      <c r="E397" s="52" t="s">
        <v>461</v>
      </c>
    </row>
    <row r="398" spans="1:5" x14ac:dyDescent="0.2">
      <c r="A398" s="19" t="str">
        <f t="shared" si="9"/>
        <v>INDEC-PB - 12010-1</v>
      </c>
      <c r="B398" s="19">
        <v>12010</v>
      </c>
      <c r="C398" s="21" t="s">
        <v>47</v>
      </c>
      <c r="D398" s="19">
        <v>1</v>
      </c>
      <c r="E398" s="52" t="s">
        <v>462</v>
      </c>
    </row>
    <row r="399" spans="1:5" x14ac:dyDescent="0.2">
      <c r="A399" s="19" t="str">
        <f t="shared" si="9"/>
        <v>INDEC-PB - 15320-1</v>
      </c>
      <c r="B399" s="19">
        <v>15320</v>
      </c>
      <c r="C399" s="21" t="s">
        <v>47</v>
      </c>
      <c r="D399" s="19">
        <v>1</v>
      </c>
      <c r="E399" s="52" t="s">
        <v>463</v>
      </c>
    </row>
    <row r="400" spans="1:5" x14ac:dyDescent="0.2">
      <c r="A400" s="19" t="str">
        <f t="shared" si="9"/>
        <v>INDEC-PB - 41116-1</v>
      </c>
      <c r="B400" s="19">
        <v>41116</v>
      </c>
      <c r="C400" s="21" t="s">
        <v>47</v>
      </c>
      <c r="D400" s="19">
        <v>1</v>
      </c>
      <c r="E400" s="52" t="s">
        <v>464</v>
      </c>
    </row>
    <row r="401" spans="1:5" x14ac:dyDescent="0.2">
      <c r="A401" s="19" t="str">
        <f t="shared" si="9"/>
        <v>INDEC-PB - 42999-1</v>
      </c>
      <c r="B401" s="19">
        <v>42999</v>
      </c>
      <c r="C401" s="21" t="s">
        <v>47</v>
      </c>
      <c r="D401" s="19">
        <v>1</v>
      </c>
      <c r="E401" s="52" t="s">
        <v>465</v>
      </c>
    </row>
    <row r="402" spans="1:5" x14ac:dyDescent="0.2">
      <c r="A402" s="19" t="str">
        <f t="shared" ref="A402:A425" si="10">CONCATENATE("INDEC-PB - ",B402,C402,D402)</f>
        <v>INDEC-PB - 35110-3</v>
      </c>
      <c r="B402" s="19">
        <v>35110</v>
      </c>
      <c r="C402" s="21" t="s">
        <v>47</v>
      </c>
      <c r="D402" s="19">
        <v>3</v>
      </c>
      <c r="E402" s="52" t="s">
        <v>466</v>
      </c>
    </row>
    <row r="403" spans="1:5" x14ac:dyDescent="0.2">
      <c r="A403" s="19" t="str">
        <f t="shared" si="10"/>
        <v>INDEC-PB - 34740-6</v>
      </c>
      <c r="B403" s="19">
        <v>34740</v>
      </c>
      <c r="C403" s="21" t="s">
        <v>47</v>
      </c>
      <c r="D403" s="19">
        <v>6</v>
      </c>
      <c r="E403" s="52" t="s">
        <v>467</v>
      </c>
    </row>
    <row r="404" spans="1:5" x14ac:dyDescent="0.2">
      <c r="A404" s="19" t="str">
        <f t="shared" si="10"/>
        <v>INDEC-PB - 34730-1</v>
      </c>
      <c r="B404" s="19">
        <v>34730</v>
      </c>
      <c r="C404" s="21" t="s">
        <v>47</v>
      </c>
      <c r="D404" s="19">
        <v>1</v>
      </c>
      <c r="E404" s="52" t="s">
        <v>468</v>
      </c>
    </row>
    <row r="405" spans="1:5" x14ac:dyDescent="0.2">
      <c r="A405" s="19" t="str">
        <f t="shared" si="10"/>
        <v>INDEC-PB - 34720-1</v>
      </c>
      <c r="B405" s="19">
        <v>34720</v>
      </c>
      <c r="C405" s="21" t="s">
        <v>47</v>
      </c>
      <c r="D405" s="19">
        <v>1</v>
      </c>
      <c r="E405" s="52" t="s">
        <v>469</v>
      </c>
    </row>
    <row r="406" spans="1:5" x14ac:dyDescent="0.2">
      <c r="A406" s="19" t="str">
        <f t="shared" si="10"/>
        <v>INDEC-PB - 34710-1</v>
      </c>
      <c r="B406" s="19">
        <v>34710</v>
      </c>
      <c r="C406" s="21" t="s">
        <v>47</v>
      </c>
      <c r="D406" s="19">
        <v>1</v>
      </c>
      <c r="E406" s="52" t="s">
        <v>470</v>
      </c>
    </row>
    <row r="407" spans="1:5" x14ac:dyDescent="0.2">
      <c r="A407" s="19" t="str">
        <f t="shared" si="10"/>
        <v>INDEC-PB - 41530-1</v>
      </c>
      <c r="B407" s="19">
        <v>41530</v>
      </c>
      <c r="C407" s="21" t="s">
        <v>47</v>
      </c>
      <c r="D407" s="19">
        <v>1</v>
      </c>
      <c r="E407" s="52" t="s">
        <v>471</v>
      </c>
    </row>
    <row r="408" spans="1:5" x14ac:dyDescent="0.2">
      <c r="A408" s="19" t="str">
        <f t="shared" si="10"/>
        <v>INDEC-PB - 41510-1</v>
      </c>
      <c r="B408" s="19">
        <v>41510</v>
      </c>
      <c r="C408" s="21" t="s">
        <v>47</v>
      </c>
      <c r="D408" s="19">
        <v>1</v>
      </c>
      <c r="E408" s="52" t="s">
        <v>472</v>
      </c>
    </row>
    <row r="409" spans="1:5" x14ac:dyDescent="0.2">
      <c r="A409" s="19" t="str">
        <f t="shared" si="10"/>
        <v>INDEC-PB - 31600-2</v>
      </c>
      <c r="B409" s="19">
        <v>31600</v>
      </c>
      <c r="C409" s="21" t="s">
        <v>47</v>
      </c>
      <c r="D409" s="19">
        <v>2</v>
      </c>
      <c r="E409" s="52" t="s">
        <v>473</v>
      </c>
    </row>
    <row r="410" spans="1:5" x14ac:dyDescent="0.2">
      <c r="A410" s="19" t="str">
        <f t="shared" si="10"/>
        <v>INDEC-PB - 49129-2</v>
      </c>
      <c r="B410" s="19">
        <v>49129</v>
      </c>
      <c r="C410" s="21" t="s">
        <v>47</v>
      </c>
      <c r="D410" s="19">
        <v>2</v>
      </c>
      <c r="E410" s="52" t="s">
        <v>474</v>
      </c>
    </row>
    <row r="411" spans="1:5" x14ac:dyDescent="0.2">
      <c r="A411" s="19" t="str">
        <f t="shared" si="10"/>
        <v>INDEC-PB - 34740-1</v>
      </c>
      <c r="B411" s="19">
        <v>34740</v>
      </c>
      <c r="C411" s="21" t="s">
        <v>47</v>
      </c>
      <c r="D411" s="19">
        <v>1</v>
      </c>
      <c r="E411" s="52" t="s">
        <v>475</v>
      </c>
    </row>
    <row r="412" spans="1:5" x14ac:dyDescent="0.2">
      <c r="A412" s="19" t="str">
        <f t="shared" si="10"/>
        <v>INDEC-PB - 43310-1</v>
      </c>
      <c r="B412" s="19">
        <v>43310</v>
      </c>
      <c r="C412" s="21" t="s">
        <v>47</v>
      </c>
      <c r="D412" s="19">
        <v>1</v>
      </c>
      <c r="E412" s="52" t="s">
        <v>476</v>
      </c>
    </row>
    <row r="413" spans="1:5" x14ac:dyDescent="0.2">
      <c r="A413" s="19" t="str">
        <f t="shared" si="10"/>
        <v>INDEC-PB - 44240-1</v>
      </c>
      <c r="B413" s="19">
        <v>44240</v>
      </c>
      <c r="C413" s="21" t="s">
        <v>47</v>
      </c>
      <c r="D413" s="19">
        <v>1</v>
      </c>
      <c r="E413" s="52" t="s">
        <v>477</v>
      </c>
    </row>
    <row r="414" spans="1:5" x14ac:dyDescent="0.2">
      <c r="A414" s="19" t="str">
        <f t="shared" si="10"/>
        <v>INDEC-PB - 33500-1</v>
      </c>
      <c r="B414" s="19">
        <v>33500</v>
      </c>
      <c r="C414" s="21" t="s">
        <v>47</v>
      </c>
      <c r="D414" s="19">
        <v>1</v>
      </c>
      <c r="E414" s="52" t="s">
        <v>478</v>
      </c>
    </row>
    <row r="415" spans="1:5" x14ac:dyDescent="0.2">
      <c r="A415" s="19" t="str">
        <f t="shared" si="10"/>
        <v>INDEC-PB - 44214-1</v>
      </c>
      <c r="B415" s="19">
        <v>44214</v>
      </c>
      <c r="C415" s="21" t="s">
        <v>47</v>
      </c>
      <c r="D415" s="19">
        <v>1</v>
      </c>
      <c r="E415" s="52" t="s">
        <v>479</v>
      </c>
    </row>
    <row r="416" spans="1:5" x14ac:dyDescent="0.2">
      <c r="A416" s="19" t="str">
        <f t="shared" si="10"/>
        <v>INDEC-PB - 37350-2</v>
      </c>
      <c r="B416" s="19">
        <v>37350</v>
      </c>
      <c r="C416" s="21" t="s">
        <v>47</v>
      </c>
      <c r="D416" s="19">
        <v>2</v>
      </c>
      <c r="E416" s="52" t="s">
        <v>480</v>
      </c>
    </row>
    <row r="417" spans="1:5" x14ac:dyDescent="0.2">
      <c r="A417" s="19" t="str">
        <f t="shared" si="10"/>
        <v>INDEC-PB - 42943-1</v>
      </c>
      <c r="B417" s="19">
        <v>42943</v>
      </c>
      <c r="C417" s="21" t="s">
        <v>47</v>
      </c>
      <c r="D417" s="19">
        <v>1</v>
      </c>
      <c r="E417" s="52" t="s">
        <v>481</v>
      </c>
    </row>
    <row r="418" spans="1:5" x14ac:dyDescent="0.2">
      <c r="A418" s="19" t="str">
        <f t="shared" si="10"/>
        <v>INDEC-PB - 36990-1</v>
      </c>
      <c r="B418" s="19">
        <v>36990</v>
      </c>
      <c r="C418" s="21" t="s">
        <v>47</v>
      </c>
      <c r="D418" s="19">
        <v>1</v>
      </c>
      <c r="E418" s="52" t="s">
        <v>482</v>
      </c>
    </row>
    <row r="419" spans="1:5" x14ac:dyDescent="0.2">
      <c r="A419" s="19" t="str">
        <f t="shared" si="10"/>
        <v>INDEC-PB - 46121-1</v>
      </c>
      <c r="B419" s="19">
        <v>46121</v>
      </c>
      <c r="C419" s="21" t="s">
        <v>47</v>
      </c>
      <c r="D419" s="19">
        <v>1</v>
      </c>
      <c r="E419" s="52" t="s">
        <v>483</v>
      </c>
    </row>
    <row r="420" spans="1:5" x14ac:dyDescent="0.2">
      <c r="A420" s="19" t="str">
        <f t="shared" si="10"/>
        <v>INDEC-PB - 49115-1</v>
      </c>
      <c r="B420" s="19">
        <v>49115</v>
      </c>
      <c r="C420" s="21" t="s">
        <v>47</v>
      </c>
      <c r="D420" s="19">
        <v>1</v>
      </c>
      <c r="E420" s="52" t="s">
        <v>484</v>
      </c>
    </row>
    <row r="421" spans="1:5" x14ac:dyDescent="0.2">
      <c r="A421" s="19" t="str">
        <f t="shared" si="10"/>
        <v>INDEC-PB - 37113-1</v>
      </c>
      <c r="B421" s="19">
        <v>37113</v>
      </c>
      <c r="C421" s="21" t="s">
        <v>47</v>
      </c>
      <c r="D421" s="19">
        <v>1</v>
      </c>
      <c r="E421" s="52" t="s">
        <v>485</v>
      </c>
    </row>
    <row r="422" spans="1:5" x14ac:dyDescent="0.2">
      <c r="A422" s="19" t="str">
        <f t="shared" si="10"/>
        <v>INDEC-PB - 37199-3</v>
      </c>
      <c r="B422" s="19">
        <v>37199</v>
      </c>
      <c r="C422" s="21" t="s">
        <v>47</v>
      </c>
      <c r="D422" s="19">
        <v>3</v>
      </c>
      <c r="E422" s="52" t="s">
        <v>486</v>
      </c>
    </row>
    <row r="423" spans="1:5" x14ac:dyDescent="0.2">
      <c r="A423" s="19" t="str">
        <f t="shared" si="10"/>
        <v>INDEC-PB - 37199-1</v>
      </c>
      <c r="B423" s="19">
        <v>37199</v>
      </c>
      <c r="C423" s="21" t="s">
        <v>47</v>
      </c>
      <c r="D423" s="19">
        <v>1</v>
      </c>
      <c r="E423" s="52" t="s">
        <v>487</v>
      </c>
    </row>
    <row r="424" spans="1:5" x14ac:dyDescent="0.2">
      <c r="A424" s="19" t="str">
        <f t="shared" si="10"/>
        <v>INDEC-PB - 37199-2</v>
      </c>
      <c r="B424" s="19">
        <v>37199</v>
      </c>
      <c r="C424" s="21" t="s">
        <v>47</v>
      </c>
      <c r="D424" s="19">
        <v>2</v>
      </c>
      <c r="E424" s="52" t="s">
        <v>488</v>
      </c>
    </row>
    <row r="425" spans="1:5" x14ac:dyDescent="0.2">
      <c r="A425" s="19" t="str">
        <f t="shared" si="10"/>
        <v>INDEC-PB - 15200-1</v>
      </c>
      <c r="B425" s="19">
        <v>15200</v>
      </c>
      <c r="C425" s="21" t="s">
        <v>47</v>
      </c>
      <c r="D425" s="19">
        <v>1</v>
      </c>
      <c r="E425" s="52" t="s">
        <v>489</v>
      </c>
    </row>
    <row r="426" spans="1:5" x14ac:dyDescent="0.2">
      <c r="A426" s="53"/>
      <c r="E426" s="54"/>
    </row>
    <row r="427" spans="1:5" x14ac:dyDescent="0.2">
      <c r="A427" s="55"/>
      <c r="E427" s="54" t="s">
        <v>490</v>
      </c>
    </row>
    <row r="428" spans="1:5" x14ac:dyDescent="0.2">
      <c r="A428" s="19" t="str">
        <f t="shared" ref="A428:A445" si="11">CONCATENATE("INDEC-PB - ",B428,C428,D428)</f>
        <v>INDEC-PB - 94920-1</v>
      </c>
      <c r="B428" s="21">
        <v>94920</v>
      </c>
      <c r="C428" s="21" t="s">
        <v>47</v>
      </c>
      <c r="D428" s="19">
        <v>1</v>
      </c>
      <c r="E428" s="52" t="s">
        <v>491</v>
      </c>
    </row>
    <row r="429" spans="1:5" x14ac:dyDescent="0.2">
      <c r="A429" s="19" t="str">
        <f t="shared" si="11"/>
        <v>INDEC-PB - 91223-1</v>
      </c>
      <c r="B429" s="21">
        <v>91223</v>
      </c>
      <c r="C429" s="21" t="s">
        <v>47</v>
      </c>
      <c r="D429" s="19">
        <v>1</v>
      </c>
      <c r="E429" s="52" t="s">
        <v>492</v>
      </c>
    </row>
    <row r="430" spans="1:5" x14ac:dyDescent="0.2">
      <c r="A430" s="19" t="str">
        <f t="shared" si="11"/>
        <v>INDEC-PB - 91211-11</v>
      </c>
      <c r="B430" s="21">
        <v>91211</v>
      </c>
      <c r="C430" s="21" t="s">
        <v>47</v>
      </c>
      <c r="D430" s="19">
        <v>11</v>
      </c>
      <c r="E430" s="52" t="s">
        <v>493</v>
      </c>
    </row>
    <row r="431" spans="1:5" x14ac:dyDescent="0.2">
      <c r="A431" s="19" t="str">
        <f t="shared" si="11"/>
        <v>INDEC-PB - 91211-1</v>
      </c>
      <c r="B431" s="21">
        <v>91211</v>
      </c>
      <c r="C431" s="21" t="s">
        <v>47</v>
      </c>
      <c r="D431" s="19">
        <v>1</v>
      </c>
      <c r="E431" s="52" t="s">
        <v>494</v>
      </c>
    </row>
    <row r="432" spans="1:5" x14ac:dyDescent="0.2">
      <c r="A432" s="19" t="str">
        <f t="shared" si="11"/>
        <v>INDEC-PB - 91511-1</v>
      </c>
      <c r="B432" s="21">
        <v>91511</v>
      </c>
      <c r="C432" s="21" t="s">
        <v>47</v>
      </c>
      <c r="D432" s="19">
        <v>1</v>
      </c>
      <c r="E432" s="52" t="s">
        <v>495</v>
      </c>
    </row>
    <row r="433" spans="1:5" x14ac:dyDescent="0.2">
      <c r="A433" s="19" t="str">
        <f t="shared" si="11"/>
        <v>INDEC-PB - 91547-1</v>
      </c>
      <c r="B433" s="21">
        <v>91547</v>
      </c>
      <c r="C433" s="21" t="s">
        <v>47</v>
      </c>
      <c r="D433" s="19">
        <v>1</v>
      </c>
      <c r="E433" s="52" t="s">
        <v>496</v>
      </c>
    </row>
    <row r="434" spans="1:5" x14ac:dyDescent="0.2">
      <c r="A434" s="19" t="str">
        <f t="shared" si="11"/>
        <v>INDEC-PB - 81100-1</v>
      </c>
      <c r="B434" s="21">
        <v>81100</v>
      </c>
      <c r="C434" s="21" t="s">
        <v>47</v>
      </c>
      <c r="D434" s="19">
        <v>1</v>
      </c>
      <c r="E434" s="52" t="s">
        <v>497</v>
      </c>
    </row>
    <row r="435" spans="1:5" x14ac:dyDescent="0.2">
      <c r="A435" s="19" t="str">
        <f t="shared" si="11"/>
        <v>INDEC-PB - 91601-2</v>
      </c>
      <c r="B435" s="21">
        <v>91601</v>
      </c>
      <c r="C435" s="21" t="s">
        <v>47</v>
      </c>
      <c r="D435" s="19">
        <v>2</v>
      </c>
      <c r="E435" s="52" t="s">
        <v>498</v>
      </c>
    </row>
    <row r="436" spans="1:5" x14ac:dyDescent="0.2">
      <c r="A436" s="19" t="str">
        <f t="shared" si="11"/>
        <v>INDEC-PB - 94214-1</v>
      </c>
      <c r="B436" s="21">
        <v>94214</v>
      </c>
      <c r="C436" s="21" t="s">
        <v>47</v>
      </c>
      <c r="D436" s="19">
        <v>1</v>
      </c>
      <c r="E436" s="52" t="s">
        <v>499</v>
      </c>
    </row>
    <row r="437" spans="1:5" x14ac:dyDescent="0.2">
      <c r="A437" s="19" t="str">
        <f t="shared" si="11"/>
        <v>INDEC-PB - 94216-1</v>
      </c>
      <c r="B437" s="21">
        <v>94216</v>
      </c>
      <c r="C437" s="21" t="s">
        <v>47</v>
      </c>
      <c r="D437" s="19">
        <v>1</v>
      </c>
      <c r="E437" s="52" t="s">
        <v>500</v>
      </c>
    </row>
    <row r="438" spans="1:5" x14ac:dyDescent="0.2">
      <c r="A438" s="19" t="str">
        <f t="shared" si="11"/>
        <v>INDEC-PB - 93310-2</v>
      </c>
      <c r="B438" s="21">
        <v>93310</v>
      </c>
      <c r="C438" s="21" t="s">
        <v>47</v>
      </c>
      <c r="D438" s="19">
        <v>2</v>
      </c>
      <c r="E438" s="52" t="s">
        <v>501</v>
      </c>
    </row>
    <row r="439" spans="1:5" x14ac:dyDescent="0.2">
      <c r="A439" s="19" t="str">
        <f t="shared" si="11"/>
        <v>INDEC-PB - 82129-1</v>
      </c>
      <c r="B439" s="21">
        <v>82129</v>
      </c>
      <c r="C439" s="21" t="s">
        <v>47</v>
      </c>
      <c r="D439" s="19">
        <v>1</v>
      </c>
      <c r="E439" s="52" t="s">
        <v>502</v>
      </c>
    </row>
    <row r="440" spans="1:5" x14ac:dyDescent="0.2">
      <c r="A440" s="19" t="str">
        <f t="shared" si="11"/>
        <v>INDEC-PB - 91251-1</v>
      </c>
      <c r="B440" s="21">
        <v>91251</v>
      </c>
      <c r="C440" s="21" t="s">
        <v>47</v>
      </c>
      <c r="D440" s="19">
        <v>1</v>
      </c>
      <c r="E440" s="52" t="s">
        <v>503</v>
      </c>
    </row>
    <row r="441" spans="1:5" x14ac:dyDescent="0.2">
      <c r="A441" s="19" t="str">
        <f t="shared" si="11"/>
        <v>INDEC-PB - 93310-1</v>
      </c>
      <c r="B441" s="21">
        <v>93310</v>
      </c>
      <c r="C441" s="21" t="s">
        <v>47</v>
      </c>
      <c r="D441" s="19">
        <v>1</v>
      </c>
      <c r="E441" s="52" t="s">
        <v>504</v>
      </c>
    </row>
    <row r="442" spans="1:5" x14ac:dyDescent="0.2">
      <c r="A442" s="19" t="str">
        <f t="shared" si="11"/>
        <v>INDEC-PB - 84710-1</v>
      </c>
      <c r="B442" s="21">
        <v>84710</v>
      </c>
      <c r="C442" s="21" t="s">
        <v>47</v>
      </c>
      <c r="D442" s="19">
        <v>1</v>
      </c>
      <c r="E442" s="52" t="s">
        <v>505</v>
      </c>
    </row>
    <row r="443" spans="1:5" x14ac:dyDescent="0.2">
      <c r="A443" s="19" t="str">
        <f t="shared" si="11"/>
        <v>INDEC-PB - 84740-1</v>
      </c>
      <c r="B443" s="21">
        <v>84740</v>
      </c>
      <c r="C443" s="21" t="s">
        <v>47</v>
      </c>
      <c r="D443" s="19">
        <v>1</v>
      </c>
      <c r="E443" s="52" t="s">
        <v>506</v>
      </c>
    </row>
    <row r="444" spans="1:5" x14ac:dyDescent="0.2">
      <c r="A444" s="19" t="str">
        <f t="shared" si="11"/>
        <v>INDEC-PB - 84230-1</v>
      </c>
      <c r="B444" s="21">
        <v>84230</v>
      </c>
      <c r="C444" s="21" t="s">
        <v>47</v>
      </c>
      <c r="D444" s="19">
        <v>1</v>
      </c>
      <c r="E444" s="52" t="s">
        <v>507</v>
      </c>
    </row>
    <row r="445" spans="1:5" x14ac:dyDescent="0.2">
      <c r="A445" s="19" t="str">
        <f t="shared" si="11"/>
        <v>INDEC-PB - 85490-1</v>
      </c>
      <c r="B445" s="21">
        <v>85490</v>
      </c>
      <c r="C445" s="21" t="s">
        <v>47</v>
      </c>
      <c r="D445" s="19">
        <v>1</v>
      </c>
      <c r="E445" s="52" t="s">
        <v>508</v>
      </c>
    </row>
    <row r="448" spans="1:5" x14ac:dyDescent="0.2">
      <c r="A448" s="52"/>
      <c r="B448" s="17" t="s">
        <v>510</v>
      </c>
      <c r="C448" s="56"/>
      <c r="D448" s="57"/>
    </row>
    <row r="449" spans="1:5" x14ac:dyDescent="0.2">
      <c r="A449" s="52"/>
      <c r="B449" s="27"/>
      <c r="C449" s="56"/>
      <c r="D449" s="57"/>
    </row>
    <row r="450" spans="1:5" ht="12.75" customHeight="1" x14ac:dyDescent="0.2">
      <c r="A450" s="782" t="s">
        <v>349</v>
      </c>
      <c r="B450" s="783" t="s">
        <v>511</v>
      </c>
      <c r="C450" s="783"/>
      <c r="D450" s="783"/>
      <c r="E450" s="782" t="s">
        <v>45</v>
      </c>
    </row>
    <row r="451" spans="1:5" ht="12" customHeight="1" x14ac:dyDescent="0.2">
      <c r="A451" s="782"/>
      <c r="B451" s="783" t="s">
        <v>512</v>
      </c>
      <c r="C451" s="783"/>
      <c r="D451" s="783"/>
      <c r="E451" s="782"/>
    </row>
    <row r="452" spans="1:5" x14ac:dyDescent="0.2">
      <c r="B452" s="58"/>
      <c r="C452" s="57"/>
      <c r="D452" s="57"/>
      <c r="E452" s="59"/>
    </row>
    <row r="453" spans="1:5" x14ac:dyDescent="0.2">
      <c r="B453" s="58"/>
      <c r="C453" s="57"/>
      <c r="D453" s="57"/>
      <c r="E453" s="54" t="s">
        <v>513</v>
      </c>
    </row>
    <row r="454" spans="1:5" x14ac:dyDescent="0.2">
      <c r="A454" s="19" t="str">
        <f t="shared" ref="A454:A474" si="12">CONCATENATE("INDEC-PB - ",B454,C454,D454)</f>
        <v>INDEC-PB - 2811-1</v>
      </c>
      <c r="B454" s="55">
        <v>2811</v>
      </c>
      <c r="C454" s="32" t="s">
        <v>47</v>
      </c>
      <c r="D454" s="19">
        <v>1</v>
      </c>
      <c r="E454" s="39" t="s">
        <v>514</v>
      </c>
    </row>
    <row r="455" spans="1:5" x14ac:dyDescent="0.2">
      <c r="A455" s="19" t="str">
        <f t="shared" si="12"/>
        <v>INDEC-PB - 2710-1</v>
      </c>
      <c r="B455" s="55">
        <v>2710</v>
      </c>
      <c r="C455" s="32" t="s">
        <v>47</v>
      </c>
      <c r="D455" s="19">
        <v>1</v>
      </c>
      <c r="E455" s="39" t="s">
        <v>515</v>
      </c>
    </row>
    <row r="456" spans="1:5" x14ac:dyDescent="0.2">
      <c r="A456" s="19" t="str">
        <f t="shared" si="12"/>
        <v>INDEC-PB - 2922-1</v>
      </c>
      <c r="B456" s="55">
        <v>2922</v>
      </c>
      <c r="C456" s="32" t="s">
        <v>47</v>
      </c>
      <c r="D456" s="19">
        <v>1</v>
      </c>
      <c r="E456" s="39" t="s">
        <v>516</v>
      </c>
    </row>
    <row r="457" spans="1:5" x14ac:dyDescent="0.2">
      <c r="A457" s="19" t="str">
        <f t="shared" si="12"/>
        <v>INDEC-PB - 2691-</v>
      </c>
      <c r="B457" s="55">
        <v>2691</v>
      </c>
      <c r="C457" s="32" t="s">
        <v>47</v>
      </c>
      <c r="E457" s="39" t="s">
        <v>517</v>
      </c>
    </row>
    <row r="458" spans="1:5" x14ac:dyDescent="0.2">
      <c r="A458" s="19" t="str">
        <f t="shared" si="12"/>
        <v>INDEC-PB - 2695-</v>
      </c>
      <c r="B458" s="55">
        <v>2695</v>
      </c>
      <c r="C458" s="32" t="s">
        <v>47</v>
      </c>
      <c r="E458" s="39" t="s">
        <v>518</v>
      </c>
    </row>
    <row r="459" spans="1:5" x14ac:dyDescent="0.2">
      <c r="A459" s="19" t="str">
        <f t="shared" si="12"/>
        <v>INDEC-PB - 3410-2</v>
      </c>
      <c r="B459" s="55">
        <v>3410</v>
      </c>
      <c r="C459" s="32" t="s">
        <v>47</v>
      </c>
      <c r="D459" s="19">
        <v>2</v>
      </c>
      <c r="E459" s="39" t="s">
        <v>519</v>
      </c>
    </row>
    <row r="460" spans="1:5" x14ac:dyDescent="0.2">
      <c r="A460" s="19" t="str">
        <f t="shared" si="12"/>
        <v>INDEC-PB - 2520-1</v>
      </c>
      <c r="B460" s="55">
        <v>2520</v>
      </c>
      <c r="C460" s="32" t="s">
        <v>47</v>
      </c>
      <c r="D460" s="19">
        <v>1</v>
      </c>
      <c r="E460" s="52" t="s">
        <v>520</v>
      </c>
    </row>
    <row r="461" spans="1:5" x14ac:dyDescent="0.2">
      <c r="A461" s="19" t="str">
        <f t="shared" si="12"/>
        <v>INDEC-PB - 2413-3</v>
      </c>
      <c r="B461" s="55">
        <v>2413</v>
      </c>
      <c r="C461" s="32" t="s">
        <v>47</v>
      </c>
      <c r="D461" s="19">
        <v>3</v>
      </c>
      <c r="E461" s="52" t="s">
        <v>521</v>
      </c>
    </row>
    <row r="462" spans="1:5" x14ac:dyDescent="0.2">
      <c r="A462" s="19" t="str">
        <f t="shared" si="12"/>
        <v>INDEC-PB - 2519-1</v>
      </c>
      <c r="B462" s="55">
        <v>2519</v>
      </c>
      <c r="C462" s="32" t="s">
        <v>47</v>
      </c>
      <c r="D462" s="19">
        <v>1</v>
      </c>
      <c r="E462" s="52" t="s">
        <v>522</v>
      </c>
    </row>
    <row r="463" spans="1:5" x14ac:dyDescent="0.2">
      <c r="A463" s="19" t="str">
        <f t="shared" si="12"/>
        <v>INDEC-PB - 2520-3</v>
      </c>
      <c r="B463" s="55">
        <v>2520</v>
      </c>
      <c r="C463" s="32" t="s">
        <v>47</v>
      </c>
      <c r="D463" s="19">
        <v>3</v>
      </c>
      <c r="E463" s="52" t="s">
        <v>523</v>
      </c>
    </row>
    <row r="464" spans="1:5" x14ac:dyDescent="0.2">
      <c r="A464" s="19" t="str">
        <f t="shared" si="12"/>
        <v>INDEC-PB - 2022-1</v>
      </c>
      <c r="B464" s="55">
        <v>2022</v>
      </c>
      <c r="C464" s="32" t="s">
        <v>47</v>
      </c>
      <c r="D464" s="19">
        <v>1</v>
      </c>
      <c r="E464" s="52" t="s">
        <v>524</v>
      </c>
    </row>
    <row r="465" spans="1:5" x14ac:dyDescent="0.2">
      <c r="A465" s="19" t="str">
        <f t="shared" si="12"/>
        <v>INDEC-PB - 2511-1</v>
      </c>
      <c r="B465" s="55">
        <v>2511</v>
      </c>
      <c r="C465" s="32" t="s">
        <v>47</v>
      </c>
      <c r="D465" s="19">
        <v>1</v>
      </c>
      <c r="E465" s="52" t="s">
        <v>525</v>
      </c>
    </row>
    <row r="466" spans="1:5" x14ac:dyDescent="0.2">
      <c r="A466" s="19" t="str">
        <f t="shared" si="12"/>
        <v>INDEC-PB - 2899-</v>
      </c>
      <c r="B466" s="55">
        <v>2899</v>
      </c>
      <c r="C466" s="32" t="s">
        <v>47</v>
      </c>
      <c r="E466" s="52" t="s">
        <v>526</v>
      </c>
    </row>
    <row r="467" spans="1:5" x14ac:dyDescent="0.2">
      <c r="A467" s="19" t="str">
        <f t="shared" si="12"/>
        <v>INDEC-PB - 3110-1</v>
      </c>
      <c r="B467" s="55">
        <v>3110</v>
      </c>
      <c r="C467" s="32" t="s">
        <v>47</v>
      </c>
      <c r="D467" s="19">
        <v>1</v>
      </c>
      <c r="E467" s="52" t="s">
        <v>527</v>
      </c>
    </row>
    <row r="468" spans="1:5" x14ac:dyDescent="0.2">
      <c r="A468" s="19" t="str">
        <f t="shared" si="12"/>
        <v>INDEC-PB - 2320-1</v>
      </c>
      <c r="B468" s="55">
        <v>2320</v>
      </c>
      <c r="C468" s="32" t="s">
        <v>47</v>
      </c>
      <c r="D468" s="19">
        <v>1</v>
      </c>
      <c r="E468" s="52" t="s">
        <v>528</v>
      </c>
    </row>
    <row r="469" spans="1:5" x14ac:dyDescent="0.2">
      <c r="A469" s="19" t="str">
        <f t="shared" si="12"/>
        <v>INDEC-PB - 2924-1</v>
      </c>
      <c r="B469" s="55">
        <v>2924</v>
      </c>
      <c r="C469" s="32" t="s">
        <v>47</v>
      </c>
      <c r="D469" s="19">
        <v>1</v>
      </c>
      <c r="E469" s="52" t="s">
        <v>529</v>
      </c>
    </row>
    <row r="470" spans="1:5" x14ac:dyDescent="0.2">
      <c r="A470" s="19" t="str">
        <f t="shared" si="12"/>
        <v>INDEC-PB - 2692-1</v>
      </c>
      <c r="B470" s="55">
        <v>2692</v>
      </c>
      <c r="C470" s="32" t="s">
        <v>47</v>
      </c>
      <c r="D470" s="19">
        <v>1</v>
      </c>
      <c r="E470" s="52" t="s">
        <v>530</v>
      </c>
    </row>
    <row r="471" spans="1:5" x14ac:dyDescent="0.2">
      <c r="A471" s="19" t="str">
        <f t="shared" si="12"/>
        <v>INDEC-PB - 3410-</v>
      </c>
      <c r="B471" s="55">
        <v>3410</v>
      </c>
      <c r="C471" s="32" t="s">
        <v>47</v>
      </c>
      <c r="E471" s="52" t="s">
        <v>531</v>
      </c>
    </row>
    <row r="472" spans="1:5" x14ac:dyDescent="0.2">
      <c r="A472" s="19" t="str">
        <f t="shared" si="12"/>
        <v>INDEC-PB - 2413-1</v>
      </c>
      <c r="B472" s="55">
        <v>2413</v>
      </c>
      <c r="C472" s="32" t="s">
        <v>47</v>
      </c>
      <c r="D472" s="19">
        <v>1</v>
      </c>
      <c r="E472" s="52" t="s">
        <v>532</v>
      </c>
    </row>
    <row r="473" spans="1:5" x14ac:dyDescent="0.2">
      <c r="A473" s="19" t="str">
        <f t="shared" si="12"/>
        <v>INDEC-PB - 291-</v>
      </c>
      <c r="B473" s="55">
        <v>291</v>
      </c>
      <c r="C473" s="32" t="s">
        <v>47</v>
      </c>
      <c r="E473" s="60" t="s">
        <v>533</v>
      </c>
    </row>
    <row r="474" spans="1:5" x14ac:dyDescent="0.2">
      <c r="A474" s="19" t="str">
        <f t="shared" si="12"/>
        <v>INDEC-PB - 2610-1</v>
      </c>
      <c r="B474" s="55">
        <v>2610</v>
      </c>
      <c r="C474" s="32" t="s">
        <v>47</v>
      </c>
      <c r="D474" s="19">
        <v>1</v>
      </c>
      <c r="E474" s="39" t="s">
        <v>534</v>
      </c>
    </row>
    <row r="475" spans="1:5" x14ac:dyDescent="0.2">
      <c r="A475" s="57"/>
      <c r="B475" s="61"/>
      <c r="C475" s="56"/>
      <c r="E475" s="39"/>
    </row>
    <row r="476" spans="1:5" x14ac:dyDescent="0.2">
      <c r="A476" s="57"/>
      <c r="B476" s="61"/>
      <c r="C476" s="56"/>
      <c r="E476" s="54" t="s">
        <v>490</v>
      </c>
    </row>
    <row r="477" spans="1:5" x14ac:dyDescent="0.2">
      <c r="A477" s="19" t="str">
        <f t="shared" ref="A477:A482" si="13">CONCATENATE("INDEC-PB - ",B477,C477,D477)</f>
        <v>INDEC-PB - 2710-1</v>
      </c>
      <c r="B477" s="62">
        <v>2710</v>
      </c>
      <c r="C477" s="32" t="s">
        <v>47</v>
      </c>
      <c r="D477" s="62">
        <v>1</v>
      </c>
      <c r="E477" s="60" t="s">
        <v>535</v>
      </c>
    </row>
    <row r="478" spans="1:5" x14ac:dyDescent="0.2">
      <c r="A478" s="19" t="str">
        <f t="shared" si="13"/>
        <v>INDEC-PB - 2720-1</v>
      </c>
      <c r="B478" s="62">
        <v>2720</v>
      </c>
      <c r="C478" s="32" t="s">
        <v>47</v>
      </c>
      <c r="D478" s="62">
        <v>1</v>
      </c>
      <c r="E478" s="39" t="s">
        <v>536</v>
      </c>
    </row>
    <row r="479" spans="1:5" x14ac:dyDescent="0.2">
      <c r="A479" s="19" t="str">
        <f t="shared" si="13"/>
        <v>INDEC-PB - 2922-1</v>
      </c>
      <c r="B479" s="57">
        <v>2922</v>
      </c>
      <c r="C479" s="32" t="s">
        <v>47</v>
      </c>
      <c r="D479" s="57">
        <v>1</v>
      </c>
      <c r="E479" s="39" t="s">
        <v>537</v>
      </c>
    </row>
    <row r="480" spans="1:5" x14ac:dyDescent="0.2">
      <c r="A480" s="19" t="str">
        <f t="shared" si="13"/>
        <v>INDEC-PB - 2913-1</v>
      </c>
      <c r="B480" s="57">
        <v>2913</v>
      </c>
      <c r="C480" s="32" t="s">
        <v>47</v>
      </c>
      <c r="D480" s="57">
        <v>1</v>
      </c>
      <c r="E480" s="39" t="s">
        <v>538</v>
      </c>
    </row>
    <row r="481" spans="1:7" x14ac:dyDescent="0.2">
      <c r="A481" s="19" t="str">
        <f t="shared" si="13"/>
        <v>INDEC-PB - 2413-1</v>
      </c>
      <c r="B481" s="57">
        <v>2413</v>
      </c>
      <c r="C481" s="32" t="s">
        <v>47</v>
      </c>
      <c r="D481" s="57">
        <v>1</v>
      </c>
      <c r="E481" s="39" t="s">
        <v>539</v>
      </c>
    </row>
    <row r="482" spans="1:7" x14ac:dyDescent="0.2">
      <c r="A482" s="19" t="str">
        <f t="shared" si="13"/>
        <v>INDEC-PB - 2411-1</v>
      </c>
      <c r="B482" s="57">
        <v>2411</v>
      </c>
      <c r="C482" s="32" t="s">
        <v>47</v>
      </c>
      <c r="D482" s="57">
        <v>1</v>
      </c>
      <c r="E482" s="39" t="s">
        <v>540</v>
      </c>
    </row>
    <row r="485" spans="1:7" x14ac:dyDescent="0.2">
      <c r="A485" s="63"/>
      <c r="B485" s="17" t="s">
        <v>576</v>
      </c>
      <c r="C485" s="63"/>
      <c r="D485" s="64"/>
    </row>
    <row r="487" spans="1:7" ht="11.25" customHeight="1" x14ac:dyDescent="0.2">
      <c r="A487" s="46"/>
      <c r="B487" s="783" t="s">
        <v>263</v>
      </c>
      <c r="C487" s="46"/>
      <c r="D487" s="46"/>
      <c r="E487" s="783" t="s">
        <v>264</v>
      </c>
      <c r="F487" s="783" t="s">
        <v>265</v>
      </c>
      <c r="G487" s="783" t="s">
        <v>266</v>
      </c>
    </row>
    <row r="488" spans="1:7" x14ac:dyDescent="0.2">
      <c r="A488" s="46"/>
      <c r="B488" s="783"/>
      <c r="C488" s="46"/>
      <c r="D488" s="46"/>
      <c r="E488" s="783"/>
      <c r="F488" s="783" t="s">
        <v>267</v>
      </c>
      <c r="G488" s="783"/>
    </row>
    <row r="489" spans="1:7" x14ac:dyDescent="0.2">
      <c r="A489" s="32"/>
      <c r="B489" s="32"/>
      <c r="C489" s="32"/>
      <c r="D489" s="35"/>
      <c r="E489" s="32"/>
      <c r="F489" s="32"/>
      <c r="G489" s="32"/>
    </row>
    <row r="490" spans="1:7" x14ac:dyDescent="0.2">
      <c r="A490" s="35" t="str">
        <f t="shared" ref="A490:A500" si="14">CONCATENATE("INDEC-DCTO - Inciso ",B490)</f>
        <v>INDEC-DCTO - Inciso a)</v>
      </c>
      <c r="B490" s="35" t="s">
        <v>268</v>
      </c>
      <c r="C490" s="35"/>
      <c r="D490" s="35"/>
      <c r="E490" s="32" t="s">
        <v>269</v>
      </c>
      <c r="F490" s="35" t="s">
        <v>270</v>
      </c>
      <c r="G490" s="32" t="s">
        <v>271</v>
      </c>
    </row>
    <row r="491" spans="1:7" x14ac:dyDescent="0.2">
      <c r="A491" s="35" t="str">
        <f t="shared" si="14"/>
        <v>INDEC-DCTO - Inciso b)</v>
      </c>
      <c r="B491" s="35" t="s">
        <v>272</v>
      </c>
      <c r="C491" s="35"/>
      <c r="D491" s="35"/>
      <c r="E491" s="32" t="s">
        <v>273</v>
      </c>
      <c r="F491" s="35" t="s">
        <v>274</v>
      </c>
      <c r="G491" s="32" t="s">
        <v>275</v>
      </c>
    </row>
    <row r="492" spans="1:7" x14ac:dyDescent="0.2">
      <c r="A492" s="35" t="str">
        <f t="shared" si="14"/>
        <v>INDEC-DCTO - Inciso d)</v>
      </c>
      <c r="B492" s="35" t="s">
        <v>276</v>
      </c>
      <c r="C492" s="35"/>
      <c r="D492" s="35"/>
      <c r="E492" s="32" t="s">
        <v>277</v>
      </c>
      <c r="F492" s="35" t="s">
        <v>274</v>
      </c>
      <c r="G492" s="32" t="s">
        <v>278</v>
      </c>
    </row>
    <row r="493" spans="1:7" x14ac:dyDescent="0.2">
      <c r="A493" s="35" t="str">
        <f t="shared" si="14"/>
        <v>INDEC-DCTO - Inciso f)</v>
      </c>
      <c r="B493" s="35" t="s">
        <v>279</v>
      </c>
      <c r="C493" s="35"/>
      <c r="D493" s="35"/>
      <c r="E493" s="32" t="s">
        <v>280</v>
      </c>
      <c r="F493" s="35" t="s">
        <v>281</v>
      </c>
      <c r="G493" s="32" t="s">
        <v>282</v>
      </c>
    </row>
    <row r="494" spans="1:7" x14ac:dyDescent="0.2">
      <c r="A494" s="35" t="str">
        <f t="shared" si="14"/>
        <v>INDEC-DCTO - Inciso g)</v>
      </c>
      <c r="B494" s="35" t="s">
        <v>283</v>
      </c>
      <c r="C494" s="35"/>
      <c r="D494" s="35"/>
      <c r="E494" s="32" t="s">
        <v>284</v>
      </c>
      <c r="F494" s="35" t="s">
        <v>274</v>
      </c>
      <c r="G494" s="32" t="s">
        <v>285</v>
      </c>
    </row>
    <row r="495" spans="1:7" x14ac:dyDescent="0.2">
      <c r="A495" s="35" t="str">
        <f t="shared" si="14"/>
        <v>INDEC-DCTO - Inciso h)</v>
      </c>
      <c r="B495" s="35" t="s">
        <v>286</v>
      </c>
      <c r="C495" s="35"/>
      <c r="D495" s="35"/>
      <c r="E495" s="32" t="s">
        <v>287</v>
      </c>
      <c r="F495" s="35" t="s">
        <v>288</v>
      </c>
      <c r="G495" s="32" t="s">
        <v>289</v>
      </c>
    </row>
    <row r="496" spans="1:7" x14ac:dyDescent="0.2">
      <c r="A496" s="35" t="str">
        <f t="shared" si="14"/>
        <v>INDEC-DCTO - Inciso p)</v>
      </c>
      <c r="B496" s="35" t="s">
        <v>290</v>
      </c>
      <c r="C496" s="35"/>
      <c r="D496" s="35"/>
      <c r="E496" s="32" t="s">
        <v>291</v>
      </c>
      <c r="F496" s="35" t="s">
        <v>270</v>
      </c>
      <c r="G496" s="32" t="s">
        <v>292</v>
      </c>
    </row>
    <row r="497" spans="1:7" x14ac:dyDescent="0.2">
      <c r="A497" s="35" t="str">
        <f t="shared" si="14"/>
        <v>INDEC-DCTO - Inciso r)</v>
      </c>
      <c r="B497" s="35" t="s">
        <v>293</v>
      </c>
      <c r="C497" s="35"/>
      <c r="D497" s="35"/>
      <c r="E497" s="32" t="s">
        <v>294</v>
      </c>
      <c r="F497" s="35" t="s">
        <v>274</v>
      </c>
      <c r="G497" s="32" t="s">
        <v>295</v>
      </c>
    </row>
    <row r="498" spans="1:7" x14ac:dyDescent="0.2">
      <c r="A498" s="35" t="str">
        <f t="shared" si="14"/>
        <v>INDEC-DCTO - Inciso s)</v>
      </c>
      <c r="B498" s="35" t="s">
        <v>296</v>
      </c>
      <c r="C498" s="35"/>
      <c r="D498" s="35"/>
      <c r="E498" s="32" t="s">
        <v>297</v>
      </c>
      <c r="F498" s="35" t="s">
        <v>288</v>
      </c>
      <c r="G498" s="32" t="s">
        <v>167</v>
      </c>
    </row>
    <row r="499" spans="1:7" x14ac:dyDescent="0.2">
      <c r="A499" s="35" t="str">
        <f t="shared" si="14"/>
        <v>INDEC-DCTO - Inciso u)</v>
      </c>
      <c r="B499" s="35" t="s">
        <v>298</v>
      </c>
      <c r="C499" s="35"/>
      <c r="D499" s="35"/>
      <c r="E499" s="32" t="s">
        <v>299</v>
      </c>
      <c r="F499" s="35">
        <v>4324041</v>
      </c>
      <c r="G499" s="32" t="s">
        <v>190</v>
      </c>
    </row>
    <row r="500" spans="1:7" x14ac:dyDescent="0.2">
      <c r="A500" s="35" t="str">
        <f t="shared" si="14"/>
        <v>INDEC-DCTO - Inciso v)</v>
      </c>
      <c r="B500" s="35" t="s">
        <v>300</v>
      </c>
      <c r="C500" s="35"/>
      <c r="D500" s="35"/>
      <c r="E500" s="32" t="s">
        <v>301</v>
      </c>
      <c r="F500" s="35">
        <v>4322032</v>
      </c>
      <c r="G500" s="32" t="s">
        <v>135</v>
      </c>
    </row>
    <row r="501" spans="1:7" x14ac:dyDescent="0.2">
      <c r="A501" s="35"/>
      <c r="B501" s="35"/>
      <c r="C501" s="35"/>
      <c r="D501" s="35"/>
      <c r="E501" s="32"/>
      <c r="F501" s="35"/>
      <c r="G501" s="32"/>
    </row>
    <row r="502" spans="1:7" x14ac:dyDescent="0.2">
      <c r="A502" s="35" t="str">
        <f>CONCATENATE("INDEC-DCTO - Inciso ",B502)</f>
        <v>INDEC-DCTO - Inciso c)</v>
      </c>
      <c r="B502" s="35" t="s">
        <v>302</v>
      </c>
      <c r="C502" s="35"/>
      <c r="D502" s="35"/>
      <c r="E502" s="32" t="s">
        <v>303</v>
      </c>
      <c r="F502" s="35"/>
      <c r="G502" s="32" t="s">
        <v>577</v>
      </c>
    </row>
    <row r="503" spans="1:7" x14ac:dyDescent="0.2">
      <c r="A503" s="35" t="str">
        <f>CONCATENATE("INDEC-DCTO - Inciso ",B503)</f>
        <v>INDEC-DCTO - Inciso m)</v>
      </c>
      <c r="B503" s="35" t="s">
        <v>304</v>
      </c>
      <c r="C503" s="35"/>
      <c r="D503" s="35"/>
      <c r="E503" s="32" t="s">
        <v>305</v>
      </c>
      <c r="F503" s="35"/>
      <c r="G503" s="32" t="s">
        <v>578</v>
      </c>
    </row>
    <row r="504" spans="1:7" x14ac:dyDescent="0.2">
      <c r="A504" s="35" t="str">
        <f>CONCATENATE("INDEC-DCTO - Inciso ",B504)</f>
        <v>INDEC-DCTO - Inciso n)</v>
      </c>
      <c r="B504" s="35" t="s">
        <v>306</v>
      </c>
      <c r="C504" s="35"/>
      <c r="D504" s="35"/>
      <c r="E504" s="32" t="s">
        <v>307</v>
      </c>
      <c r="F504" s="35"/>
      <c r="G504" s="32" t="s">
        <v>579</v>
      </c>
    </row>
    <row r="505" spans="1:7" x14ac:dyDescent="0.2">
      <c r="A505" s="35" t="str">
        <f>CONCATENATE("INDEC-DCTO - Inciso ",B505)</f>
        <v>INDEC-DCTO - Inciso q)</v>
      </c>
      <c r="B505" s="35" t="s">
        <v>308</v>
      </c>
      <c r="C505" s="35"/>
      <c r="D505" s="35"/>
      <c r="E505" s="32" t="s">
        <v>309</v>
      </c>
      <c r="F505" s="35"/>
      <c r="G505" s="32" t="s">
        <v>580</v>
      </c>
    </row>
    <row r="508" spans="1:7" x14ac:dyDescent="0.2">
      <c r="B508" s="17" t="s">
        <v>581</v>
      </c>
    </row>
    <row r="511" spans="1:7" ht="11.25" customHeight="1" x14ac:dyDescent="0.2">
      <c r="A511" s="46"/>
      <c r="B511" s="783" t="s">
        <v>263</v>
      </c>
      <c r="C511" s="46"/>
      <c r="D511" s="46"/>
      <c r="E511" s="783" t="s">
        <v>264</v>
      </c>
      <c r="F511" s="783" t="s">
        <v>265</v>
      </c>
      <c r="G511" s="783" t="s">
        <v>266</v>
      </c>
    </row>
    <row r="512" spans="1:7" x14ac:dyDescent="0.2">
      <c r="A512" s="46"/>
      <c r="B512" s="783"/>
      <c r="C512" s="46"/>
      <c r="D512" s="46"/>
      <c r="E512" s="783"/>
      <c r="F512" s="783" t="s">
        <v>267</v>
      </c>
      <c r="G512" s="783"/>
    </row>
    <row r="513" spans="1:7" x14ac:dyDescent="0.2">
      <c r="A513" s="39"/>
      <c r="B513" s="39"/>
      <c r="C513" s="39"/>
      <c r="D513" s="40"/>
      <c r="E513" s="39"/>
      <c r="F513" s="39"/>
      <c r="G513" s="39"/>
    </row>
    <row r="514" spans="1:7" x14ac:dyDescent="0.2">
      <c r="A514" s="39"/>
      <c r="B514" s="39"/>
      <c r="C514" s="39"/>
      <c r="D514" s="40"/>
      <c r="E514" s="27" t="s">
        <v>513</v>
      </c>
      <c r="F514" s="39"/>
      <c r="G514" s="39"/>
    </row>
    <row r="515" spans="1:7" x14ac:dyDescent="0.2">
      <c r="A515" s="35" t="str">
        <f>CONCATENATE("INDEC-DCTO - Inciso ",B515)</f>
        <v>INDEC-DCTO - Inciso e)</v>
      </c>
      <c r="B515" s="19" t="s">
        <v>570</v>
      </c>
      <c r="C515" s="40"/>
      <c r="D515" s="40"/>
      <c r="E515" s="39" t="s">
        <v>552</v>
      </c>
      <c r="F515" s="40" t="s">
        <v>553</v>
      </c>
      <c r="G515" s="39" t="s">
        <v>554</v>
      </c>
    </row>
    <row r="516" spans="1:7" x14ac:dyDescent="0.2">
      <c r="A516" s="35" t="str">
        <f>CONCATENATE("INDEC-DCTO - Inciso ",B516)</f>
        <v>INDEC-DCTO - Inciso i)</v>
      </c>
      <c r="B516" s="19" t="s">
        <v>571</v>
      </c>
      <c r="C516" s="40"/>
      <c r="D516" s="40"/>
      <c r="E516" s="39" t="s">
        <v>555</v>
      </c>
      <c r="F516" s="40" t="s">
        <v>556</v>
      </c>
      <c r="G516" s="39" t="s">
        <v>557</v>
      </c>
    </row>
    <row r="517" spans="1:7" x14ac:dyDescent="0.2">
      <c r="A517" s="35" t="str">
        <f>CONCATENATE("INDEC-DCTO - Inciso ",B517)</f>
        <v>INDEC-DCTO - Inciso k)</v>
      </c>
      <c r="B517" s="19" t="s">
        <v>572</v>
      </c>
      <c r="C517" s="40"/>
      <c r="D517" s="40"/>
      <c r="E517" s="39" t="s">
        <v>558</v>
      </c>
      <c r="F517" s="40" t="s">
        <v>559</v>
      </c>
      <c r="G517" s="39" t="s">
        <v>560</v>
      </c>
    </row>
    <row r="518" spans="1:7" x14ac:dyDescent="0.2">
      <c r="A518" s="35" t="str">
        <f>CONCATENATE("INDEC-DCTO - Inciso ",B518)</f>
        <v>INDEC-DCTO - Inciso t)</v>
      </c>
      <c r="B518" s="19" t="s">
        <v>573</v>
      </c>
      <c r="C518" s="40"/>
      <c r="D518" s="40"/>
      <c r="E518" s="39" t="s">
        <v>561</v>
      </c>
      <c r="F518" s="40" t="s">
        <v>562</v>
      </c>
      <c r="G518" s="39" t="s">
        <v>563</v>
      </c>
    </row>
    <row r="519" spans="1:7" x14ac:dyDescent="0.2">
      <c r="A519" s="35" t="str">
        <f>CONCATENATE("INDEC-DCTO - Inciso ",B519)</f>
        <v>INDEC-DCTO - Inciso w)</v>
      </c>
      <c r="B519" s="19" t="s">
        <v>574</v>
      </c>
      <c r="C519" s="40"/>
      <c r="D519" s="40"/>
      <c r="E519" s="39" t="s">
        <v>564</v>
      </c>
      <c r="F519" s="40" t="s">
        <v>565</v>
      </c>
      <c r="G519" s="39" t="s">
        <v>566</v>
      </c>
    </row>
    <row r="520" spans="1:7" x14ac:dyDescent="0.2">
      <c r="A520" s="39"/>
      <c r="B520" s="19"/>
      <c r="C520" s="39"/>
      <c r="D520" s="40"/>
      <c r="E520" s="39"/>
      <c r="F520" s="40"/>
      <c r="G520" s="39"/>
    </row>
    <row r="521" spans="1:7" x14ac:dyDescent="0.2">
      <c r="A521" s="39"/>
      <c r="B521" s="19"/>
      <c r="C521" s="39"/>
      <c r="D521" s="40"/>
      <c r="E521" s="27" t="s">
        <v>490</v>
      </c>
      <c r="F521" s="40"/>
      <c r="G521" s="39"/>
    </row>
    <row r="522" spans="1:7" x14ac:dyDescent="0.2">
      <c r="A522" s="35" t="str">
        <f>CONCATENATE("INDEC-DCTO - Inciso ",B522)</f>
        <v>INDEC-DCTO - Inciso j)</v>
      </c>
      <c r="B522" s="19" t="s">
        <v>575</v>
      </c>
      <c r="C522" s="40"/>
      <c r="D522" s="40"/>
      <c r="E522" s="39" t="s">
        <v>567</v>
      </c>
      <c r="F522" s="40" t="s">
        <v>568</v>
      </c>
      <c r="G522" s="39" t="s">
        <v>569</v>
      </c>
    </row>
    <row r="523" spans="1:7" x14ac:dyDescent="0.2">
      <c r="A523" s="40"/>
      <c r="B523" s="40"/>
      <c r="C523" s="40"/>
      <c r="D523" s="40"/>
      <c r="E523" s="39"/>
      <c r="F523" s="40"/>
      <c r="G523" s="39"/>
    </row>
    <row r="526" spans="1:7" x14ac:dyDescent="0.2">
      <c r="A526" s="25"/>
      <c r="B526" s="28"/>
      <c r="C526" s="25"/>
      <c r="D526" s="26"/>
      <c r="E526" s="25"/>
    </row>
    <row r="528" spans="1:7" x14ac:dyDescent="0.2">
      <c r="A528" s="30"/>
      <c r="B528" s="17" t="s">
        <v>310</v>
      </c>
      <c r="C528" s="30"/>
      <c r="D528" s="31"/>
    </row>
    <row r="529" spans="1:5" x14ac:dyDescent="0.2">
      <c r="A529" s="32"/>
      <c r="B529" s="32"/>
      <c r="C529" s="32"/>
      <c r="D529" s="35"/>
    </row>
    <row r="530" spans="1:5" x14ac:dyDescent="0.2">
      <c r="A530" s="782" t="s">
        <v>349</v>
      </c>
      <c r="B530" s="783" t="s">
        <v>44</v>
      </c>
      <c r="C530" s="783"/>
      <c r="D530" s="783"/>
      <c r="E530" s="782" t="s">
        <v>45</v>
      </c>
    </row>
    <row r="531" spans="1:5" x14ac:dyDescent="0.2">
      <c r="A531" s="782"/>
      <c r="B531" s="783" t="s">
        <v>46</v>
      </c>
      <c r="C531" s="783"/>
      <c r="D531" s="783"/>
      <c r="E531" s="782"/>
    </row>
    <row r="532" spans="1:5" x14ac:dyDescent="0.2">
      <c r="A532" s="19" t="str">
        <f t="shared" ref="A532:A553" si="15">CONCATENATE("INDEC-GG ",B532,C532,D532)</f>
        <v>INDEC-GG 18000-1</v>
      </c>
      <c r="B532" s="47">
        <v>18000</v>
      </c>
      <c r="C532" s="47" t="s">
        <v>47</v>
      </c>
      <c r="D532" s="35">
        <v>1</v>
      </c>
      <c r="E532" s="38" t="s">
        <v>311</v>
      </c>
    </row>
    <row r="533" spans="1:5" x14ac:dyDescent="0.2">
      <c r="A533" s="19" t="str">
        <f t="shared" si="15"/>
        <v>INDEC-GG 83107-1</v>
      </c>
      <c r="B533" s="47">
        <v>83107</v>
      </c>
      <c r="C533" s="47" t="s">
        <v>47</v>
      </c>
      <c r="D533" s="35">
        <v>1</v>
      </c>
      <c r="E533" s="38" t="s">
        <v>312</v>
      </c>
    </row>
    <row r="534" spans="1:5" x14ac:dyDescent="0.2">
      <c r="A534" s="19" t="str">
        <f t="shared" si="15"/>
        <v>INDEC-GG 71240-11</v>
      </c>
      <c r="B534" s="47">
        <v>71240</v>
      </c>
      <c r="C534" s="47" t="s">
        <v>47</v>
      </c>
      <c r="D534" s="35">
        <v>11</v>
      </c>
      <c r="E534" s="34" t="s">
        <v>313</v>
      </c>
    </row>
    <row r="535" spans="1:5" x14ac:dyDescent="0.2">
      <c r="A535" s="19" t="str">
        <f t="shared" si="15"/>
        <v>INDEC-GG 71233-11</v>
      </c>
      <c r="B535" s="47">
        <v>71233</v>
      </c>
      <c r="C535" s="47" t="s">
        <v>47</v>
      </c>
      <c r="D535" s="35">
        <v>11</v>
      </c>
      <c r="E535" s="34" t="s">
        <v>314</v>
      </c>
    </row>
    <row r="536" spans="1:5" x14ac:dyDescent="0.2">
      <c r="A536" s="19" t="str">
        <f t="shared" si="15"/>
        <v>INDEC-GG 51800-11</v>
      </c>
      <c r="B536" s="47">
        <v>51800</v>
      </c>
      <c r="C536" s="47" t="s">
        <v>47</v>
      </c>
      <c r="D536" s="35">
        <v>11</v>
      </c>
      <c r="E536" s="34" t="s">
        <v>315</v>
      </c>
    </row>
    <row r="537" spans="1:5" x14ac:dyDescent="0.2">
      <c r="A537" s="19" t="str">
        <f t="shared" si="15"/>
        <v>INDEC-GG 51800-21</v>
      </c>
      <c r="B537" s="47">
        <v>51800</v>
      </c>
      <c r="C537" s="47" t="s">
        <v>47</v>
      </c>
      <c r="D537" s="35">
        <v>21</v>
      </c>
      <c r="E537" s="38" t="s">
        <v>316</v>
      </c>
    </row>
    <row r="538" spans="1:5" x14ac:dyDescent="0.2">
      <c r="A538" s="19" t="str">
        <f t="shared" si="15"/>
        <v>INDEC-GG 74110-11</v>
      </c>
      <c r="B538" s="47">
        <v>74110</v>
      </c>
      <c r="C538" s="47" t="s">
        <v>47</v>
      </c>
      <c r="D538" s="35">
        <v>11</v>
      </c>
      <c r="E538" s="34" t="s">
        <v>317</v>
      </c>
    </row>
    <row r="539" spans="1:5" x14ac:dyDescent="0.2">
      <c r="A539" s="19" t="str">
        <f t="shared" si="15"/>
        <v>INDEC-GG 51560-31</v>
      </c>
      <c r="B539" s="47">
        <v>51560</v>
      </c>
      <c r="C539" s="47" t="s">
        <v>47</v>
      </c>
      <c r="D539" s="35">
        <v>31</v>
      </c>
      <c r="E539" s="38" t="s">
        <v>318</v>
      </c>
    </row>
    <row r="540" spans="1:5" x14ac:dyDescent="0.2">
      <c r="A540" s="19" t="str">
        <f t="shared" si="15"/>
        <v>INDEC-GG 53111-1</v>
      </c>
      <c r="B540" s="47">
        <v>53111</v>
      </c>
      <c r="C540" s="47" t="s">
        <v>47</v>
      </c>
      <c r="D540" s="35">
        <v>1</v>
      </c>
      <c r="E540" s="34" t="s">
        <v>319</v>
      </c>
    </row>
    <row r="541" spans="1:5" x14ac:dyDescent="0.2">
      <c r="A541" s="19" t="str">
        <f t="shared" si="15"/>
        <v>INDEC-GG 54400-1</v>
      </c>
      <c r="B541" s="47">
        <v>54400</v>
      </c>
      <c r="C541" s="47" t="s">
        <v>47</v>
      </c>
      <c r="D541" s="35">
        <v>1</v>
      </c>
      <c r="E541" s="34" t="s">
        <v>320</v>
      </c>
    </row>
    <row r="542" spans="1:5" x14ac:dyDescent="0.2">
      <c r="A542" s="19" t="str">
        <f t="shared" si="15"/>
        <v>INDEC-GG 18000-21</v>
      </c>
      <c r="B542" s="47">
        <v>18000</v>
      </c>
      <c r="C542" s="47" t="s">
        <v>47</v>
      </c>
      <c r="D542" s="35">
        <v>21</v>
      </c>
      <c r="E542" s="34" t="s">
        <v>321</v>
      </c>
    </row>
    <row r="543" spans="1:5" x14ac:dyDescent="0.2">
      <c r="A543" s="19" t="str">
        <f t="shared" si="15"/>
        <v>INDEC-GG 18000-22</v>
      </c>
      <c r="B543" s="47">
        <v>18000</v>
      </c>
      <c r="C543" s="47" t="s">
        <v>47</v>
      </c>
      <c r="D543" s="35">
        <v>22</v>
      </c>
      <c r="E543" s="34" t="s">
        <v>322</v>
      </c>
    </row>
    <row r="544" spans="1:5" x14ac:dyDescent="0.2">
      <c r="A544" s="19" t="str">
        <f t="shared" si="15"/>
        <v>INDEC-GG 88700-2</v>
      </c>
      <c r="B544" s="47">
        <v>88700</v>
      </c>
      <c r="C544" s="47" t="s">
        <v>47</v>
      </c>
      <c r="D544" s="35">
        <v>2</v>
      </c>
      <c r="E544" s="34" t="s">
        <v>323</v>
      </c>
    </row>
    <row r="545" spans="1:5" x14ac:dyDescent="0.2">
      <c r="A545" s="19" t="str">
        <f t="shared" si="15"/>
        <v>INDEC-GG 88700-31</v>
      </c>
      <c r="B545" s="47">
        <v>88700</v>
      </c>
      <c r="C545" s="47" t="s">
        <v>47</v>
      </c>
      <c r="D545" s="35">
        <v>31</v>
      </c>
      <c r="E545" s="38" t="s">
        <v>324</v>
      </c>
    </row>
    <row r="546" spans="1:5" x14ac:dyDescent="0.2">
      <c r="A546" s="19" t="str">
        <f t="shared" si="15"/>
        <v>INDEC-GG DEP-EQ</v>
      </c>
      <c r="B546" s="47" t="s">
        <v>947</v>
      </c>
      <c r="C546" s="47"/>
      <c r="D546" s="35"/>
      <c r="E546" s="38" t="s">
        <v>325</v>
      </c>
    </row>
    <row r="547" spans="1:5" x14ac:dyDescent="0.2">
      <c r="A547" s="19" t="str">
        <f t="shared" si="15"/>
        <v>INDEC-GG 88700-1</v>
      </c>
      <c r="B547" s="47">
        <v>88700</v>
      </c>
      <c r="C547" s="47" t="s">
        <v>47</v>
      </c>
      <c r="D547" s="35">
        <v>1</v>
      </c>
      <c r="E547" s="38" t="s">
        <v>326</v>
      </c>
    </row>
    <row r="548" spans="1:5" x14ac:dyDescent="0.2">
      <c r="A548" s="19" t="str">
        <f t="shared" si="15"/>
        <v>INDEC-GG 31210-11</v>
      </c>
      <c r="B548" s="47">
        <v>31210</v>
      </c>
      <c r="C548" s="47" t="s">
        <v>47</v>
      </c>
      <c r="D548" s="35">
        <v>11</v>
      </c>
      <c r="E548" s="38" t="s">
        <v>327</v>
      </c>
    </row>
    <row r="549" spans="1:5" x14ac:dyDescent="0.2">
      <c r="A549" s="19" t="str">
        <f t="shared" si="15"/>
        <v>INDEC-GG 81295-1</v>
      </c>
      <c r="B549" s="47">
        <v>81295</v>
      </c>
      <c r="C549" s="47" t="s">
        <v>47</v>
      </c>
      <c r="D549" s="35">
        <v>1</v>
      </c>
      <c r="E549" s="38" t="s">
        <v>328</v>
      </c>
    </row>
    <row r="550" spans="1:5" x14ac:dyDescent="0.2">
      <c r="A550" s="19" t="str">
        <f t="shared" si="15"/>
        <v>INDEC-GG 81297-1</v>
      </c>
      <c r="B550" s="47">
        <v>81297</v>
      </c>
      <c r="C550" s="47" t="s">
        <v>47</v>
      </c>
      <c r="D550" s="35">
        <v>1</v>
      </c>
      <c r="E550" s="34" t="s">
        <v>329</v>
      </c>
    </row>
    <row r="551" spans="1:5" x14ac:dyDescent="0.2">
      <c r="A551" s="19" t="str">
        <f t="shared" si="15"/>
        <v>INDEC-GG 51560-21</v>
      </c>
      <c r="B551" s="47">
        <v>51560</v>
      </c>
      <c r="C551" s="47" t="s">
        <v>47</v>
      </c>
      <c r="D551" s="35">
        <v>21</v>
      </c>
      <c r="E551" s="38" t="s">
        <v>330</v>
      </c>
    </row>
    <row r="552" spans="1:5" x14ac:dyDescent="0.2">
      <c r="A552" s="19" t="str">
        <f t="shared" si="15"/>
        <v>INDEC-GG 31100-11</v>
      </c>
      <c r="B552" s="47">
        <v>31100</v>
      </c>
      <c r="C552" s="47" t="s">
        <v>47</v>
      </c>
      <c r="D552" s="35">
        <v>11</v>
      </c>
      <c r="E552" s="38" t="s">
        <v>331</v>
      </c>
    </row>
    <row r="553" spans="1:5" x14ac:dyDescent="0.2">
      <c r="A553" s="19" t="str">
        <f t="shared" si="15"/>
        <v>INDEC-GG 53211-11</v>
      </c>
      <c r="B553" s="47">
        <v>53211</v>
      </c>
      <c r="C553" s="47" t="s">
        <v>47</v>
      </c>
      <c r="D553" s="35">
        <v>11</v>
      </c>
      <c r="E553" s="34" t="s">
        <v>332</v>
      </c>
    </row>
    <row r="556" spans="1:5" x14ac:dyDescent="0.2">
      <c r="B556" s="17" t="s">
        <v>727</v>
      </c>
    </row>
    <row r="557" spans="1:5" x14ac:dyDescent="0.2">
      <c r="B557" s="17" t="s">
        <v>728</v>
      </c>
    </row>
    <row r="559" spans="1:5" x14ac:dyDescent="0.2">
      <c r="A559" s="19" t="str">
        <f t="shared" ref="A559:A590" si="16">CONCATENATE("DNV-T I - ",B559)</f>
        <v>DNV-T I - 1</v>
      </c>
      <c r="B559" s="21">
        <v>1</v>
      </c>
      <c r="E559" s="21" t="s">
        <v>269</v>
      </c>
    </row>
    <row r="560" spans="1:5" x14ac:dyDescent="0.2">
      <c r="A560" s="19" t="str">
        <f t="shared" si="16"/>
        <v>DNV-T I - 2</v>
      </c>
      <c r="B560" s="21">
        <v>2</v>
      </c>
      <c r="E560" s="21" t="s">
        <v>729</v>
      </c>
    </row>
    <row r="561" spans="1:5" x14ac:dyDescent="0.2">
      <c r="A561" s="19" t="str">
        <f t="shared" si="16"/>
        <v>DNV-T I - 3</v>
      </c>
      <c r="B561" s="21">
        <v>3</v>
      </c>
      <c r="E561" s="21" t="s">
        <v>730</v>
      </c>
    </row>
    <row r="562" spans="1:5" x14ac:dyDescent="0.2">
      <c r="A562" s="19" t="str">
        <f t="shared" si="16"/>
        <v>DNV-T I - 4</v>
      </c>
      <c r="B562" s="21">
        <v>4</v>
      </c>
      <c r="E562" s="21" t="s">
        <v>731</v>
      </c>
    </row>
    <row r="563" spans="1:5" x14ac:dyDescent="0.2">
      <c r="A563" s="19" t="str">
        <f t="shared" si="16"/>
        <v>DNV-T I - 5</v>
      </c>
      <c r="B563" s="21">
        <v>5</v>
      </c>
      <c r="E563" s="21" t="s">
        <v>732</v>
      </c>
    </row>
    <row r="564" spans="1:5" x14ac:dyDescent="0.2">
      <c r="A564" s="19" t="str">
        <f t="shared" si="16"/>
        <v>DNV-T I - 6</v>
      </c>
      <c r="B564" s="21">
        <v>6</v>
      </c>
      <c r="E564" s="21" t="s">
        <v>733</v>
      </c>
    </row>
    <row r="565" spans="1:5" x14ac:dyDescent="0.2">
      <c r="A565" s="19" t="str">
        <f t="shared" si="16"/>
        <v>DNV-T I - 7</v>
      </c>
      <c r="B565" s="21">
        <v>7</v>
      </c>
      <c r="E565" s="21" t="s">
        <v>734</v>
      </c>
    </row>
    <row r="566" spans="1:5" x14ac:dyDescent="0.2">
      <c r="A566" s="19" t="str">
        <f t="shared" si="16"/>
        <v>DNV-T I - 8</v>
      </c>
      <c r="B566" s="21">
        <v>8</v>
      </c>
      <c r="E566" s="21" t="s">
        <v>735</v>
      </c>
    </row>
    <row r="567" spans="1:5" x14ac:dyDescent="0.2">
      <c r="A567" s="19" t="str">
        <f t="shared" si="16"/>
        <v>DNV-T I - 9</v>
      </c>
      <c r="B567" s="21">
        <v>9</v>
      </c>
      <c r="E567" s="21" t="s">
        <v>736</v>
      </c>
    </row>
    <row r="568" spans="1:5" x14ac:dyDescent="0.2">
      <c r="A568" s="19" t="str">
        <f t="shared" si="16"/>
        <v>DNV-T I - 10</v>
      </c>
      <c r="B568" s="21">
        <v>10</v>
      </c>
      <c r="E568" s="21" t="s">
        <v>737</v>
      </c>
    </row>
    <row r="569" spans="1:5" x14ac:dyDescent="0.2">
      <c r="A569" s="19" t="str">
        <f t="shared" si="16"/>
        <v>DNV-T I - 11</v>
      </c>
      <c r="B569" s="21">
        <v>11</v>
      </c>
      <c r="E569" s="21" t="s">
        <v>738</v>
      </c>
    </row>
    <row r="570" spans="1:5" x14ac:dyDescent="0.2">
      <c r="A570" s="19" t="str">
        <f t="shared" si="16"/>
        <v>DNV-T I - 12</v>
      </c>
      <c r="B570" s="21">
        <v>12</v>
      </c>
      <c r="E570" s="21" t="s">
        <v>739</v>
      </c>
    </row>
    <row r="571" spans="1:5" x14ac:dyDescent="0.2">
      <c r="A571" s="19" t="str">
        <f t="shared" si="16"/>
        <v>DNV-T I - 13</v>
      </c>
      <c r="B571" s="21">
        <v>13</v>
      </c>
      <c r="E571" s="21" t="s">
        <v>740</v>
      </c>
    </row>
    <row r="572" spans="1:5" x14ac:dyDescent="0.2">
      <c r="A572" s="19" t="str">
        <f t="shared" si="16"/>
        <v>DNV-T I - 14</v>
      </c>
      <c r="B572" s="21">
        <v>14</v>
      </c>
      <c r="E572" s="21" t="s">
        <v>741</v>
      </c>
    </row>
    <row r="573" spans="1:5" x14ac:dyDescent="0.2">
      <c r="A573" s="19" t="str">
        <f t="shared" si="16"/>
        <v>DNV-T I - 15</v>
      </c>
      <c r="B573" s="21">
        <v>15</v>
      </c>
      <c r="E573" s="21" t="s">
        <v>742</v>
      </c>
    </row>
    <row r="574" spans="1:5" x14ac:dyDescent="0.2">
      <c r="A574" s="19" t="str">
        <f t="shared" si="16"/>
        <v>DNV-T I - 16</v>
      </c>
      <c r="B574" s="21">
        <v>16</v>
      </c>
      <c r="E574" s="21" t="s">
        <v>743</v>
      </c>
    </row>
    <row r="575" spans="1:5" x14ac:dyDescent="0.2">
      <c r="A575" s="19" t="str">
        <f t="shared" si="16"/>
        <v>DNV-T I - 17</v>
      </c>
      <c r="B575" s="21">
        <v>17</v>
      </c>
      <c r="E575" s="21" t="s">
        <v>744</v>
      </c>
    </row>
    <row r="576" spans="1:5" x14ac:dyDescent="0.2">
      <c r="A576" s="19" t="str">
        <f t="shared" si="16"/>
        <v>DNV-T I - 18</v>
      </c>
      <c r="B576" s="21">
        <v>18</v>
      </c>
      <c r="E576" s="21" t="s">
        <v>745</v>
      </c>
    </row>
    <row r="577" spans="1:5" x14ac:dyDescent="0.2">
      <c r="A577" s="19" t="str">
        <f t="shared" si="16"/>
        <v>DNV-T I - 19</v>
      </c>
      <c r="B577" s="21">
        <v>19</v>
      </c>
      <c r="E577" s="21" t="s">
        <v>746</v>
      </c>
    </row>
    <row r="578" spans="1:5" x14ac:dyDescent="0.2">
      <c r="A578" s="19" t="str">
        <f t="shared" si="16"/>
        <v>DNV-T I - 20</v>
      </c>
      <c r="B578" s="21">
        <v>20</v>
      </c>
      <c r="E578" s="21" t="s">
        <v>747</v>
      </c>
    </row>
    <row r="579" spans="1:5" x14ac:dyDescent="0.2">
      <c r="A579" s="19" t="str">
        <f t="shared" si="16"/>
        <v>DNV-T I - 21</v>
      </c>
      <c r="B579" s="21">
        <v>21</v>
      </c>
      <c r="E579" s="21" t="s">
        <v>748</v>
      </c>
    </row>
    <row r="580" spans="1:5" x14ac:dyDescent="0.2">
      <c r="A580" s="19" t="str">
        <f t="shared" si="16"/>
        <v>DNV-T I - 22</v>
      </c>
      <c r="B580" s="21">
        <v>22</v>
      </c>
      <c r="E580" s="21" t="s">
        <v>749</v>
      </c>
    </row>
    <row r="581" spans="1:5" x14ac:dyDescent="0.2">
      <c r="A581" s="19" t="str">
        <f t="shared" si="16"/>
        <v>DNV-T I - 23</v>
      </c>
      <c r="B581" s="21">
        <v>23</v>
      </c>
      <c r="E581" s="21" t="s">
        <v>750</v>
      </c>
    </row>
    <row r="582" spans="1:5" x14ac:dyDescent="0.2">
      <c r="A582" s="19" t="str">
        <f t="shared" si="16"/>
        <v>DNV-T I - 24</v>
      </c>
      <c r="B582" s="21">
        <v>24</v>
      </c>
      <c r="E582" s="21" t="s">
        <v>751</v>
      </c>
    </row>
    <row r="583" spans="1:5" x14ac:dyDescent="0.2">
      <c r="A583" s="19" t="str">
        <f t="shared" si="16"/>
        <v>DNV-T I - 25</v>
      </c>
      <c r="B583" s="21">
        <v>25</v>
      </c>
      <c r="E583" s="21" t="s">
        <v>752</v>
      </c>
    </row>
    <row r="584" spans="1:5" x14ac:dyDescent="0.2">
      <c r="A584" s="19" t="str">
        <f t="shared" si="16"/>
        <v>DNV-T I - 26</v>
      </c>
      <c r="B584" s="21">
        <v>26</v>
      </c>
      <c r="E584" s="21" t="s">
        <v>753</v>
      </c>
    </row>
    <row r="585" spans="1:5" x14ac:dyDescent="0.2">
      <c r="A585" s="19" t="str">
        <f t="shared" si="16"/>
        <v>DNV-T I - 27</v>
      </c>
      <c r="B585" s="21">
        <v>27</v>
      </c>
      <c r="E585" s="21" t="s">
        <v>754</v>
      </c>
    </row>
    <row r="586" spans="1:5" x14ac:dyDescent="0.2">
      <c r="A586" s="19" t="str">
        <f t="shared" si="16"/>
        <v>DNV-T I - 28</v>
      </c>
      <c r="B586" s="21">
        <v>28</v>
      </c>
      <c r="E586" s="21" t="s">
        <v>755</v>
      </c>
    </row>
    <row r="587" spans="1:5" x14ac:dyDescent="0.2">
      <c r="A587" s="19" t="str">
        <f t="shared" si="16"/>
        <v>DNV-T I - 29</v>
      </c>
      <c r="B587" s="21">
        <v>29</v>
      </c>
      <c r="E587" s="21" t="s">
        <v>756</v>
      </c>
    </row>
    <row r="588" spans="1:5" x14ac:dyDescent="0.2">
      <c r="A588" s="19" t="str">
        <f t="shared" si="16"/>
        <v>DNV-T I - 30</v>
      </c>
      <c r="B588" s="21">
        <v>30</v>
      </c>
      <c r="E588" s="21" t="s">
        <v>757</v>
      </c>
    </row>
    <row r="589" spans="1:5" x14ac:dyDescent="0.2">
      <c r="A589" s="19" t="str">
        <f t="shared" si="16"/>
        <v>DNV-T I - 31</v>
      </c>
      <c r="B589" s="21">
        <v>31</v>
      </c>
      <c r="E589" s="21" t="s">
        <v>758</v>
      </c>
    </row>
    <row r="590" spans="1:5" x14ac:dyDescent="0.2">
      <c r="A590" s="19" t="str">
        <f t="shared" si="16"/>
        <v>DNV-T I - 32</v>
      </c>
      <c r="B590" s="21">
        <v>32</v>
      </c>
      <c r="E590" s="21" t="s">
        <v>759</v>
      </c>
    </row>
    <row r="591" spans="1:5" x14ac:dyDescent="0.2">
      <c r="A591" s="19" t="str">
        <f t="shared" ref="A591:A622" si="17">CONCATENATE("DNV-T I - ",B591)</f>
        <v>DNV-T I - 33</v>
      </c>
      <c r="B591" s="21">
        <v>33</v>
      </c>
      <c r="E591" s="21" t="s">
        <v>760</v>
      </c>
    </row>
    <row r="592" spans="1:5" x14ac:dyDescent="0.2">
      <c r="A592" s="19" t="str">
        <f t="shared" si="17"/>
        <v>DNV-T I - 34</v>
      </c>
      <c r="B592" s="21">
        <v>34</v>
      </c>
      <c r="E592" s="21" t="s">
        <v>761</v>
      </c>
    </row>
    <row r="593" spans="1:5" x14ac:dyDescent="0.2">
      <c r="A593" s="19" t="str">
        <f t="shared" si="17"/>
        <v>DNV-T I - 35</v>
      </c>
      <c r="B593" s="21">
        <v>35</v>
      </c>
      <c r="E593" s="21" t="s">
        <v>762</v>
      </c>
    </row>
    <row r="594" spans="1:5" x14ac:dyDescent="0.2">
      <c r="A594" s="19" t="str">
        <f t="shared" si="17"/>
        <v>DNV-T I - 36</v>
      </c>
      <c r="B594" s="21">
        <v>36</v>
      </c>
      <c r="E594" s="21" t="s">
        <v>763</v>
      </c>
    </row>
    <row r="595" spans="1:5" x14ac:dyDescent="0.2">
      <c r="A595" s="19" t="str">
        <f t="shared" si="17"/>
        <v>DNV-T I - 37</v>
      </c>
      <c r="B595" s="21">
        <v>37</v>
      </c>
      <c r="E595" s="21" t="s">
        <v>764</v>
      </c>
    </row>
    <row r="596" spans="1:5" x14ac:dyDescent="0.2">
      <c r="A596" s="19" t="str">
        <f t="shared" si="17"/>
        <v>DNV-T I - 38</v>
      </c>
      <c r="B596" s="21">
        <v>38</v>
      </c>
      <c r="E596" s="21" t="s">
        <v>765</v>
      </c>
    </row>
    <row r="597" spans="1:5" x14ac:dyDescent="0.2">
      <c r="A597" s="19" t="str">
        <f t="shared" si="17"/>
        <v>DNV-T I - 39</v>
      </c>
      <c r="B597" s="21">
        <v>39</v>
      </c>
      <c r="E597" s="21" t="s">
        <v>766</v>
      </c>
    </row>
    <row r="598" spans="1:5" x14ac:dyDescent="0.2">
      <c r="A598" s="19" t="str">
        <f t="shared" si="17"/>
        <v>DNV-T I - 40</v>
      </c>
      <c r="B598" s="21">
        <v>40</v>
      </c>
      <c r="E598" s="21" t="s">
        <v>767</v>
      </c>
    </row>
    <row r="599" spans="1:5" x14ac:dyDescent="0.2">
      <c r="A599" s="19" t="str">
        <f t="shared" si="17"/>
        <v>DNV-T I - 41</v>
      </c>
      <c r="B599" s="21">
        <v>41</v>
      </c>
      <c r="E599" s="21" t="s">
        <v>768</v>
      </c>
    </row>
    <row r="600" spans="1:5" x14ac:dyDescent="0.2">
      <c r="A600" s="19" t="str">
        <f t="shared" si="17"/>
        <v>DNV-T I - 42</v>
      </c>
      <c r="B600" s="21">
        <v>42</v>
      </c>
      <c r="E600" s="21" t="s">
        <v>769</v>
      </c>
    </row>
    <row r="601" spans="1:5" x14ac:dyDescent="0.2">
      <c r="A601" s="19" t="str">
        <f t="shared" si="17"/>
        <v>DNV-T I - 43</v>
      </c>
      <c r="B601" s="21">
        <v>43</v>
      </c>
      <c r="E601" s="21" t="s">
        <v>770</v>
      </c>
    </row>
    <row r="602" spans="1:5" x14ac:dyDescent="0.2">
      <c r="A602" s="19" t="str">
        <f t="shared" si="17"/>
        <v>DNV-T I - 44</v>
      </c>
      <c r="B602" s="21">
        <v>44</v>
      </c>
      <c r="E602" s="21" t="s">
        <v>771</v>
      </c>
    </row>
    <row r="603" spans="1:5" x14ac:dyDescent="0.2">
      <c r="A603" s="19" t="str">
        <f t="shared" si="17"/>
        <v>DNV-T I - 45</v>
      </c>
      <c r="B603" s="21">
        <v>45</v>
      </c>
      <c r="E603" s="21" t="s">
        <v>772</v>
      </c>
    </row>
    <row r="604" spans="1:5" x14ac:dyDescent="0.2">
      <c r="A604" s="19" t="str">
        <f t="shared" si="17"/>
        <v>DNV-T I - 46</v>
      </c>
      <c r="B604" s="21">
        <v>46</v>
      </c>
      <c r="E604" s="21" t="s">
        <v>773</v>
      </c>
    </row>
    <row r="605" spans="1:5" x14ac:dyDescent="0.2">
      <c r="A605" s="19" t="str">
        <f t="shared" si="17"/>
        <v>DNV-T I - 47</v>
      </c>
      <c r="B605" s="21">
        <v>47</v>
      </c>
      <c r="E605" s="21" t="s">
        <v>774</v>
      </c>
    </row>
    <row r="606" spans="1:5" x14ac:dyDescent="0.2">
      <c r="A606" s="19" t="str">
        <f t="shared" si="17"/>
        <v>DNV-T I - 48</v>
      </c>
      <c r="B606" s="21">
        <v>48</v>
      </c>
      <c r="E606" s="21" t="s">
        <v>775</v>
      </c>
    </row>
    <row r="607" spans="1:5" x14ac:dyDescent="0.2">
      <c r="A607" s="19" t="str">
        <f t="shared" si="17"/>
        <v>DNV-T I - 49</v>
      </c>
      <c r="B607" s="21">
        <v>49</v>
      </c>
      <c r="E607" s="21" t="s">
        <v>776</v>
      </c>
    </row>
    <row r="608" spans="1:5" x14ac:dyDescent="0.2">
      <c r="A608" s="19" t="str">
        <f t="shared" si="17"/>
        <v>DNV-T I - 50</v>
      </c>
      <c r="B608" s="21">
        <v>50</v>
      </c>
      <c r="E608" s="21" t="s">
        <v>777</v>
      </c>
    </row>
    <row r="609" spans="1:5" x14ac:dyDescent="0.2">
      <c r="A609" s="19" t="str">
        <f t="shared" si="17"/>
        <v>DNV-T I - 51</v>
      </c>
      <c r="B609" s="21">
        <v>51</v>
      </c>
      <c r="E609" s="21" t="s">
        <v>778</v>
      </c>
    </row>
    <row r="610" spans="1:5" x14ac:dyDescent="0.2">
      <c r="A610" s="19" t="str">
        <f t="shared" si="17"/>
        <v>DNV-T I - 52</v>
      </c>
      <c r="B610" s="21">
        <v>52</v>
      </c>
      <c r="E610" s="21" t="s">
        <v>779</v>
      </c>
    </row>
    <row r="611" spans="1:5" x14ac:dyDescent="0.2">
      <c r="A611" s="19" t="str">
        <f t="shared" si="17"/>
        <v>DNV-T I - 53</v>
      </c>
      <c r="B611" s="21">
        <v>53</v>
      </c>
      <c r="E611" s="21" t="s">
        <v>780</v>
      </c>
    </row>
    <row r="612" spans="1:5" x14ac:dyDescent="0.2">
      <c r="A612" s="19" t="str">
        <f t="shared" si="17"/>
        <v>DNV-T I - 54</v>
      </c>
      <c r="B612" s="21">
        <v>54</v>
      </c>
      <c r="E612" s="21" t="s">
        <v>781</v>
      </c>
    </row>
    <row r="613" spans="1:5" x14ac:dyDescent="0.2">
      <c r="A613" s="19" t="str">
        <f t="shared" si="17"/>
        <v>DNV-T I - 55</v>
      </c>
      <c r="B613" s="21">
        <v>55</v>
      </c>
      <c r="E613" s="21" t="s">
        <v>782</v>
      </c>
    </row>
    <row r="614" spans="1:5" x14ac:dyDescent="0.2">
      <c r="A614" s="19" t="str">
        <f t="shared" si="17"/>
        <v>DNV-T I - 56</v>
      </c>
      <c r="B614" s="21">
        <v>56</v>
      </c>
      <c r="E614" s="21" t="s">
        <v>783</v>
      </c>
    </row>
    <row r="615" spans="1:5" x14ac:dyDescent="0.2">
      <c r="A615" s="19" t="str">
        <f t="shared" si="17"/>
        <v>DNV-T I - 57</v>
      </c>
      <c r="B615" s="21">
        <v>57</v>
      </c>
      <c r="E615" s="21" t="s">
        <v>784</v>
      </c>
    </row>
    <row r="616" spans="1:5" x14ac:dyDescent="0.2">
      <c r="A616" s="19" t="str">
        <f t="shared" si="17"/>
        <v>DNV-T I - 58</v>
      </c>
      <c r="B616" s="21">
        <v>58</v>
      </c>
      <c r="E616" s="21" t="s">
        <v>785</v>
      </c>
    </row>
    <row r="617" spans="1:5" x14ac:dyDescent="0.2">
      <c r="A617" s="19" t="str">
        <f t="shared" si="17"/>
        <v>DNV-T I - 59</v>
      </c>
      <c r="B617" s="21">
        <v>59</v>
      </c>
      <c r="E617" s="21" t="s">
        <v>786</v>
      </c>
    </row>
    <row r="618" spans="1:5" x14ac:dyDescent="0.2">
      <c r="A618" s="19" t="str">
        <f t="shared" si="17"/>
        <v>DNV-T I - 60</v>
      </c>
      <c r="B618" s="21">
        <v>60</v>
      </c>
      <c r="E618" s="21" t="s">
        <v>787</v>
      </c>
    </row>
    <row r="619" spans="1:5" x14ac:dyDescent="0.2">
      <c r="A619" s="19" t="str">
        <f t="shared" si="17"/>
        <v>DNV-T I - 61</v>
      </c>
      <c r="B619" s="21">
        <v>61</v>
      </c>
      <c r="E619" s="21" t="s">
        <v>788</v>
      </c>
    </row>
    <row r="620" spans="1:5" x14ac:dyDescent="0.2">
      <c r="A620" s="19" t="str">
        <f t="shared" si="17"/>
        <v>DNV-T I - 62</v>
      </c>
      <c r="B620" s="21">
        <v>62</v>
      </c>
      <c r="E620" s="21" t="s">
        <v>789</v>
      </c>
    </row>
    <row r="621" spans="1:5" x14ac:dyDescent="0.2">
      <c r="A621" s="19" t="str">
        <f t="shared" si="17"/>
        <v>DNV-T I - 63</v>
      </c>
      <c r="B621" s="21">
        <v>63</v>
      </c>
      <c r="E621" s="21" t="s">
        <v>790</v>
      </c>
    </row>
    <row r="622" spans="1:5" x14ac:dyDescent="0.2">
      <c r="A622" s="19" t="str">
        <f t="shared" si="17"/>
        <v>DNV-T I - 64</v>
      </c>
      <c r="B622" s="21">
        <v>64</v>
      </c>
      <c r="E622" s="21" t="s">
        <v>791</v>
      </c>
    </row>
    <row r="623" spans="1:5" x14ac:dyDescent="0.2">
      <c r="A623" s="19" t="str">
        <f t="shared" ref="A623:A654" si="18">CONCATENATE("DNV-T I - ",B623)</f>
        <v>DNV-T I - 65</v>
      </c>
      <c r="B623" s="21">
        <v>65</v>
      </c>
      <c r="E623" s="21" t="s">
        <v>792</v>
      </c>
    </row>
    <row r="624" spans="1:5" x14ac:dyDescent="0.2">
      <c r="A624" s="19" t="str">
        <f t="shared" si="18"/>
        <v>DNV-T I - 66</v>
      </c>
      <c r="B624" s="21">
        <v>66</v>
      </c>
      <c r="E624" s="21" t="s">
        <v>793</v>
      </c>
    </row>
    <row r="625" spans="1:5" x14ac:dyDescent="0.2">
      <c r="A625" s="19" t="str">
        <f t="shared" si="18"/>
        <v>DNV-T I - 67</v>
      </c>
      <c r="B625" s="21">
        <v>67</v>
      </c>
      <c r="E625" s="21" t="s">
        <v>794</v>
      </c>
    </row>
    <row r="626" spans="1:5" x14ac:dyDescent="0.2">
      <c r="A626" s="19" t="str">
        <f t="shared" si="18"/>
        <v>DNV-T I - 68</v>
      </c>
      <c r="B626" s="21">
        <v>68</v>
      </c>
      <c r="E626" s="21" t="s">
        <v>795</v>
      </c>
    </row>
    <row r="627" spans="1:5" x14ac:dyDescent="0.2">
      <c r="A627" s="19" t="str">
        <f t="shared" si="18"/>
        <v>DNV-T I - 69</v>
      </c>
      <c r="B627" s="21">
        <v>69</v>
      </c>
      <c r="E627" s="21" t="s">
        <v>796</v>
      </c>
    </row>
    <row r="628" spans="1:5" x14ac:dyDescent="0.2">
      <c r="A628" s="19" t="str">
        <f t="shared" si="18"/>
        <v>DNV-T I - 70</v>
      </c>
      <c r="B628" s="21">
        <v>70</v>
      </c>
      <c r="E628" s="21" t="s">
        <v>797</v>
      </c>
    </row>
    <row r="629" spans="1:5" x14ac:dyDescent="0.2">
      <c r="A629" s="19" t="str">
        <f t="shared" si="18"/>
        <v>DNV-T I - 71</v>
      </c>
      <c r="B629" s="21">
        <v>71</v>
      </c>
      <c r="E629" s="21" t="s">
        <v>798</v>
      </c>
    </row>
    <row r="630" spans="1:5" x14ac:dyDescent="0.2">
      <c r="A630" s="19" t="str">
        <f t="shared" si="18"/>
        <v>DNV-T I - 72</v>
      </c>
      <c r="B630" s="21">
        <v>72</v>
      </c>
      <c r="E630" s="21" t="s">
        <v>799</v>
      </c>
    </row>
    <row r="631" spans="1:5" x14ac:dyDescent="0.2">
      <c r="A631" s="19" t="str">
        <f t="shared" si="18"/>
        <v>DNV-T I - 73</v>
      </c>
      <c r="B631" s="21">
        <v>73</v>
      </c>
      <c r="E631" s="21" t="s">
        <v>800</v>
      </c>
    </row>
    <row r="632" spans="1:5" x14ac:dyDescent="0.2">
      <c r="A632" s="19" t="str">
        <f t="shared" si="18"/>
        <v>DNV-T I - 74</v>
      </c>
      <c r="B632" s="21">
        <v>74</v>
      </c>
      <c r="E632" s="21" t="s">
        <v>801</v>
      </c>
    </row>
    <row r="633" spans="1:5" x14ac:dyDescent="0.2">
      <c r="A633" s="19" t="str">
        <f t="shared" si="18"/>
        <v>DNV-T I - 75</v>
      </c>
      <c r="B633" s="21">
        <v>75</v>
      </c>
      <c r="E633" s="21" t="s">
        <v>802</v>
      </c>
    </row>
    <row r="634" spans="1:5" ht="11.25" customHeight="1" x14ac:dyDescent="0.2">
      <c r="A634" s="19" t="str">
        <f t="shared" si="18"/>
        <v>DNV-T I - 76</v>
      </c>
      <c r="B634" s="21">
        <v>76</v>
      </c>
      <c r="E634" s="21" t="s">
        <v>803</v>
      </c>
    </row>
    <row r="635" spans="1:5" ht="11.25" customHeight="1" x14ac:dyDescent="0.2">
      <c r="A635" s="19" t="str">
        <f t="shared" si="18"/>
        <v xml:space="preserve">DNV-T I - </v>
      </c>
    </row>
    <row r="636" spans="1:5" x14ac:dyDescent="0.2">
      <c r="A636" s="19" t="str">
        <f t="shared" si="18"/>
        <v>DNV-T I - 77</v>
      </c>
      <c r="B636" s="21">
        <v>77</v>
      </c>
      <c r="E636" s="21" t="s">
        <v>804</v>
      </c>
    </row>
    <row r="637" spans="1:5" x14ac:dyDescent="0.2">
      <c r="A637" s="19" t="str">
        <f t="shared" si="18"/>
        <v>DNV-T I - 78</v>
      </c>
      <c r="B637" s="21">
        <v>78</v>
      </c>
      <c r="E637" s="21" t="s">
        <v>805</v>
      </c>
    </row>
    <row r="638" spans="1:5" x14ac:dyDescent="0.2">
      <c r="A638" s="19" t="str">
        <f t="shared" si="18"/>
        <v>DNV-T I - 79</v>
      </c>
      <c r="B638" s="21">
        <v>79</v>
      </c>
      <c r="E638" s="21" t="s">
        <v>806</v>
      </c>
    </row>
    <row r="639" spans="1:5" x14ac:dyDescent="0.2">
      <c r="A639" s="19" t="str">
        <f t="shared" si="18"/>
        <v>DNV-T I - 80</v>
      </c>
      <c r="B639" s="21">
        <v>80</v>
      </c>
      <c r="E639" s="21" t="s">
        <v>807</v>
      </c>
    </row>
    <row r="640" spans="1:5" x14ac:dyDescent="0.2">
      <c r="A640" s="19" t="str">
        <f t="shared" si="18"/>
        <v>DNV-T I - 81</v>
      </c>
      <c r="B640" s="21">
        <v>81</v>
      </c>
      <c r="E640" s="21" t="s">
        <v>808</v>
      </c>
    </row>
    <row r="641" spans="1:5" x14ac:dyDescent="0.2">
      <c r="A641" s="19" t="str">
        <f t="shared" si="18"/>
        <v>DNV-T I - 82</v>
      </c>
      <c r="B641" s="21">
        <v>82</v>
      </c>
      <c r="E641" s="21" t="s">
        <v>809</v>
      </c>
    </row>
    <row r="642" spans="1:5" x14ac:dyDescent="0.2">
      <c r="A642" s="19" t="str">
        <f t="shared" si="18"/>
        <v>DNV-T I - 83</v>
      </c>
      <c r="B642" s="21">
        <v>83</v>
      </c>
      <c r="E642" s="21" t="s">
        <v>810</v>
      </c>
    </row>
    <row r="643" spans="1:5" ht="11.25" customHeight="1" x14ac:dyDescent="0.2">
      <c r="A643" s="19" t="str">
        <f t="shared" si="18"/>
        <v>DNV-T I - 84</v>
      </c>
      <c r="B643" s="21">
        <v>84</v>
      </c>
      <c r="E643" s="21" t="s">
        <v>811</v>
      </c>
    </row>
    <row r="644" spans="1:5" ht="11.25" customHeight="1" x14ac:dyDescent="0.2">
      <c r="A644" s="19" t="str">
        <f t="shared" si="18"/>
        <v xml:space="preserve">DNV-T I - </v>
      </c>
    </row>
    <row r="645" spans="1:5" ht="11.25" customHeight="1" x14ac:dyDescent="0.2">
      <c r="A645" s="19" t="str">
        <f t="shared" si="18"/>
        <v>DNV-T I - 85</v>
      </c>
      <c r="B645" s="21">
        <v>85</v>
      </c>
      <c r="E645" s="21" t="s">
        <v>812</v>
      </c>
    </row>
    <row r="646" spans="1:5" ht="11.25" customHeight="1" x14ac:dyDescent="0.2">
      <c r="A646" s="19" t="str">
        <f t="shared" si="18"/>
        <v xml:space="preserve">DNV-T I - </v>
      </c>
    </row>
    <row r="647" spans="1:5" x14ac:dyDescent="0.2">
      <c r="A647" s="19" t="str">
        <f t="shared" si="18"/>
        <v>DNV-T I - 86</v>
      </c>
      <c r="B647" s="21">
        <v>86</v>
      </c>
      <c r="E647" s="21" t="s">
        <v>813</v>
      </c>
    </row>
    <row r="648" spans="1:5" x14ac:dyDescent="0.2">
      <c r="A648" s="19" t="str">
        <f t="shared" si="18"/>
        <v>DNV-T I - 86.1</v>
      </c>
      <c r="B648" s="21" t="s">
        <v>814</v>
      </c>
      <c r="E648" s="21" t="s">
        <v>815</v>
      </c>
    </row>
    <row r="649" spans="1:5" x14ac:dyDescent="0.2">
      <c r="A649" s="19" t="str">
        <f t="shared" si="18"/>
        <v>DNV-T I - 86.1.1</v>
      </c>
      <c r="B649" s="21" t="s">
        <v>816</v>
      </c>
      <c r="E649" s="21" t="s">
        <v>817</v>
      </c>
    </row>
    <row r="650" spans="1:5" x14ac:dyDescent="0.2">
      <c r="A650" s="19" t="str">
        <f t="shared" si="18"/>
        <v>DNV-T I - 86.1.2</v>
      </c>
      <c r="B650" s="21" t="s">
        <v>818</v>
      </c>
      <c r="E650" s="21" t="s">
        <v>819</v>
      </c>
    </row>
    <row r="651" spans="1:5" x14ac:dyDescent="0.2">
      <c r="A651" s="19" t="str">
        <f t="shared" si="18"/>
        <v>DNV-T I - 86.1.3</v>
      </c>
      <c r="B651" s="21" t="s">
        <v>820</v>
      </c>
      <c r="E651" s="21" t="s">
        <v>821</v>
      </c>
    </row>
    <row r="652" spans="1:5" x14ac:dyDescent="0.2">
      <c r="A652" s="19" t="str">
        <f t="shared" si="18"/>
        <v>DNV-T I - 86.1.4</v>
      </c>
      <c r="B652" s="21" t="s">
        <v>822</v>
      </c>
      <c r="E652" s="21" t="s">
        <v>823</v>
      </c>
    </row>
    <row r="653" spans="1:5" x14ac:dyDescent="0.2">
      <c r="A653" s="19" t="str">
        <f t="shared" si="18"/>
        <v>DNV-T I - 86.1.5</v>
      </c>
      <c r="B653" s="21" t="s">
        <v>824</v>
      </c>
      <c r="E653" s="21" t="s">
        <v>825</v>
      </c>
    </row>
    <row r="654" spans="1:5" x14ac:dyDescent="0.2">
      <c r="A654" s="19" t="str">
        <f t="shared" si="18"/>
        <v>DNV-T I - 86.2</v>
      </c>
      <c r="B654" s="21" t="s">
        <v>826</v>
      </c>
      <c r="E654" s="21" t="s">
        <v>827</v>
      </c>
    </row>
    <row r="655" spans="1:5" x14ac:dyDescent="0.2">
      <c r="A655" s="19" t="str">
        <f t="shared" ref="A655:A679" si="19">CONCATENATE("DNV-T I - ",B655)</f>
        <v>DNV-T I - 86.2.1</v>
      </c>
      <c r="B655" s="21" t="s">
        <v>828</v>
      </c>
      <c r="E655" s="21" t="s">
        <v>817</v>
      </c>
    </row>
    <row r="656" spans="1:5" x14ac:dyDescent="0.2">
      <c r="A656" s="19" t="str">
        <f t="shared" si="19"/>
        <v>DNV-T I - 86.2.2</v>
      </c>
      <c r="B656" s="21" t="s">
        <v>829</v>
      </c>
      <c r="E656" s="21" t="s">
        <v>830</v>
      </c>
    </row>
    <row r="657" spans="1:5" x14ac:dyDescent="0.2">
      <c r="A657" s="19" t="str">
        <f t="shared" si="19"/>
        <v>DNV-T I - 86.2.3</v>
      </c>
      <c r="B657" s="21" t="s">
        <v>831</v>
      </c>
      <c r="E657" s="21" t="s">
        <v>819</v>
      </c>
    </row>
    <row r="658" spans="1:5" x14ac:dyDescent="0.2">
      <c r="A658" s="19" t="str">
        <f t="shared" si="19"/>
        <v>DNV-T I - 86.2.4</v>
      </c>
      <c r="B658" s="21" t="s">
        <v>832</v>
      </c>
      <c r="E658" s="21" t="s">
        <v>821</v>
      </c>
    </row>
    <row r="659" spans="1:5" x14ac:dyDescent="0.2">
      <c r="A659" s="19" t="str">
        <f t="shared" si="19"/>
        <v>DNV-T I - 86.2.5</v>
      </c>
      <c r="B659" s="21" t="s">
        <v>833</v>
      </c>
      <c r="E659" s="21" t="s">
        <v>823</v>
      </c>
    </row>
    <row r="660" spans="1:5" x14ac:dyDescent="0.2">
      <c r="A660" s="19" t="str">
        <f t="shared" si="19"/>
        <v>DNV-T I - 86.2.6</v>
      </c>
      <c r="B660" s="21" t="s">
        <v>834</v>
      </c>
      <c r="E660" s="21" t="s">
        <v>825</v>
      </c>
    </row>
    <row r="661" spans="1:5" x14ac:dyDescent="0.2">
      <c r="A661" s="19" t="str">
        <f t="shared" si="19"/>
        <v>DNV-T I - 87</v>
      </c>
      <c r="B661" s="21">
        <v>87</v>
      </c>
      <c r="E661" s="21" t="s">
        <v>835</v>
      </c>
    </row>
    <row r="662" spans="1:5" x14ac:dyDescent="0.2">
      <c r="A662" s="19" t="str">
        <f t="shared" si="19"/>
        <v>DNV-T I - 88</v>
      </c>
      <c r="B662" s="21">
        <v>88</v>
      </c>
      <c r="E662" s="21" t="s">
        <v>836</v>
      </c>
    </row>
    <row r="663" spans="1:5" x14ac:dyDescent="0.2">
      <c r="A663" s="19" t="str">
        <f t="shared" si="19"/>
        <v>DNV-T I - 89</v>
      </c>
      <c r="B663" s="21">
        <v>89</v>
      </c>
      <c r="E663" s="21" t="s">
        <v>837</v>
      </c>
    </row>
    <row r="664" spans="1:5" x14ac:dyDescent="0.2">
      <c r="A664" s="19" t="str">
        <f t="shared" si="19"/>
        <v>DNV-T I - 90</v>
      </c>
      <c r="B664" s="21">
        <v>90</v>
      </c>
      <c r="E664" s="21" t="s">
        <v>838</v>
      </c>
    </row>
    <row r="665" spans="1:5" x14ac:dyDescent="0.2">
      <c r="A665" s="19" t="str">
        <f t="shared" si="19"/>
        <v>DNV-T I - 91</v>
      </c>
      <c r="B665" s="21">
        <v>91</v>
      </c>
      <c r="E665" s="21" t="s">
        <v>839</v>
      </c>
    </row>
    <row r="666" spans="1:5" x14ac:dyDescent="0.2">
      <c r="A666" s="19" t="str">
        <f t="shared" si="19"/>
        <v>DNV-T I - 92</v>
      </c>
      <c r="B666" s="21">
        <v>92</v>
      </c>
      <c r="E666" s="21" t="s">
        <v>840</v>
      </c>
    </row>
    <row r="667" spans="1:5" x14ac:dyDescent="0.2">
      <c r="A667" s="19" t="str">
        <f t="shared" si="19"/>
        <v>DNV-T I - 93</v>
      </c>
      <c r="B667" s="21">
        <v>93</v>
      </c>
      <c r="E667" s="21" t="s">
        <v>841</v>
      </c>
    </row>
    <row r="668" spans="1:5" x14ac:dyDescent="0.2">
      <c r="A668" s="19" t="str">
        <f t="shared" si="19"/>
        <v>DNV-T I - 94</v>
      </c>
      <c r="B668" s="21">
        <v>94</v>
      </c>
      <c r="E668" s="21" t="s">
        <v>842</v>
      </c>
    </row>
    <row r="669" spans="1:5" x14ac:dyDescent="0.2">
      <c r="A669" s="19" t="str">
        <f t="shared" si="19"/>
        <v>DNV-T I - 95</v>
      </c>
      <c r="B669" s="21">
        <v>95</v>
      </c>
      <c r="E669" s="21" t="s">
        <v>843</v>
      </c>
    </row>
    <row r="670" spans="1:5" x14ac:dyDescent="0.2">
      <c r="A670" s="19" t="str">
        <f t="shared" si="19"/>
        <v>DNV-T I - 96</v>
      </c>
      <c r="B670" s="21">
        <v>96</v>
      </c>
      <c r="E670" s="21" t="s">
        <v>844</v>
      </c>
    </row>
    <row r="671" spans="1:5" x14ac:dyDescent="0.2">
      <c r="A671" s="19" t="str">
        <f t="shared" si="19"/>
        <v>DNV-T I - 97</v>
      </c>
      <c r="B671" s="21">
        <v>97</v>
      </c>
      <c r="E671" s="21" t="s">
        <v>845</v>
      </c>
    </row>
    <row r="672" spans="1:5" x14ac:dyDescent="0.2">
      <c r="A672" s="19" t="str">
        <f t="shared" si="19"/>
        <v>DNV-T I - 98</v>
      </c>
      <c r="B672" s="21">
        <v>98</v>
      </c>
      <c r="E672" s="21" t="s">
        <v>846</v>
      </c>
    </row>
    <row r="673" spans="1:7" x14ac:dyDescent="0.2">
      <c r="A673" s="19" t="str">
        <f t="shared" si="19"/>
        <v>DNV-T I - 99</v>
      </c>
      <c r="B673" s="21">
        <v>99</v>
      </c>
      <c r="E673" s="21" t="s">
        <v>847</v>
      </c>
    </row>
    <row r="674" spans="1:7" x14ac:dyDescent="0.2">
      <c r="A674" s="19" t="str">
        <f t="shared" si="19"/>
        <v>DNV-T I - 100</v>
      </c>
      <c r="B674" s="21">
        <v>100</v>
      </c>
      <c r="E674" s="21" t="s">
        <v>848</v>
      </c>
    </row>
    <row r="675" spans="1:7" x14ac:dyDescent="0.2">
      <c r="A675" s="19" t="str">
        <f t="shared" si="19"/>
        <v>DNV-T I - 101</v>
      </c>
      <c r="B675" s="21">
        <v>101</v>
      </c>
      <c r="E675" s="21" t="s">
        <v>849</v>
      </c>
    </row>
    <row r="676" spans="1:7" x14ac:dyDescent="0.2">
      <c r="A676" s="19" t="str">
        <f t="shared" si="19"/>
        <v>DNV-T I - 102</v>
      </c>
      <c r="B676" s="21">
        <v>102</v>
      </c>
      <c r="E676" s="21" t="s">
        <v>850</v>
      </c>
    </row>
    <row r="677" spans="1:7" x14ac:dyDescent="0.2">
      <c r="A677" s="19" t="str">
        <f t="shared" si="19"/>
        <v>DNV-T I - 103</v>
      </c>
      <c r="B677" s="21">
        <v>103</v>
      </c>
      <c r="E677" s="21" t="s">
        <v>851</v>
      </c>
    </row>
    <row r="678" spans="1:7" x14ac:dyDescent="0.2">
      <c r="A678" s="19" t="str">
        <f t="shared" si="19"/>
        <v>DNV-T I - 104</v>
      </c>
      <c r="B678" s="21">
        <v>104</v>
      </c>
      <c r="E678" s="21" t="s">
        <v>852</v>
      </c>
    </row>
    <row r="679" spans="1:7" x14ac:dyDescent="0.2">
      <c r="A679" s="19" t="str">
        <f t="shared" si="19"/>
        <v>DNV-T I - 105</v>
      </c>
      <c r="B679" s="21">
        <v>105</v>
      </c>
      <c r="E679" s="21" t="s">
        <v>853</v>
      </c>
    </row>
    <row r="681" spans="1:7" ht="12.75" x14ac:dyDescent="0.2">
      <c r="A681" s="66"/>
      <c r="B681" s="17" t="s">
        <v>854</v>
      </c>
      <c r="C681" s="17"/>
      <c r="D681" s="65"/>
      <c r="E681" s="66"/>
      <c r="F681" s="66"/>
      <c r="G681" s="66"/>
    </row>
    <row r="682" spans="1:7" x14ac:dyDescent="0.2">
      <c r="A682" s="19" t="str">
        <f t="shared" ref="A682:A716" si="20">CONCATENATE("DNV-TRC - ",E682)</f>
        <v>DNV-TRC - 1</v>
      </c>
      <c r="E682" s="67">
        <v>1</v>
      </c>
    </row>
    <row r="683" spans="1:7" x14ac:dyDescent="0.2">
      <c r="A683" s="19" t="str">
        <f t="shared" si="20"/>
        <v>DNV-TRC - 1,5</v>
      </c>
      <c r="E683" s="67">
        <v>1.5</v>
      </c>
    </row>
    <row r="684" spans="1:7" x14ac:dyDescent="0.2">
      <c r="A684" s="19" t="str">
        <f t="shared" si="20"/>
        <v>DNV-TRC - 2</v>
      </c>
      <c r="E684" s="67">
        <v>2</v>
      </c>
    </row>
    <row r="685" spans="1:7" x14ac:dyDescent="0.2">
      <c r="A685" s="19" t="str">
        <f t="shared" si="20"/>
        <v>DNV-TRC - 2,5</v>
      </c>
      <c r="E685" s="67">
        <v>2.5</v>
      </c>
    </row>
    <row r="686" spans="1:7" x14ac:dyDescent="0.2">
      <c r="A686" s="19" t="str">
        <f t="shared" si="20"/>
        <v>DNV-TRC - 3</v>
      </c>
      <c r="E686" s="67">
        <v>3</v>
      </c>
    </row>
    <row r="687" spans="1:7" x14ac:dyDescent="0.2">
      <c r="A687" s="19" t="str">
        <f t="shared" si="20"/>
        <v>DNV-TRC - 3,5</v>
      </c>
      <c r="E687" s="67">
        <v>3.5</v>
      </c>
    </row>
    <row r="688" spans="1:7" x14ac:dyDescent="0.2">
      <c r="A688" s="19" t="str">
        <f t="shared" si="20"/>
        <v>DNV-TRC - 4</v>
      </c>
      <c r="E688" s="67">
        <v>4</v>
      </c>
    </row>
    <row r="689" spans="1:5" x14ac:dyDescent="0.2">
      <c r="A689" s="19" t="str">
        <f t="shared" si="20"/>
        <v>DNV-TRC - 4,5</v>
      </c>
      <c r="E689" s="67">
        <v>4.5</v>
      </c>
    </row>
    <row r="690" spans="1:5" x14ac:dyDescent="0.2">
      <c r="A690" s="19" t="str">
        <f t="shared" si="20"/>
        <v>DNV-TRC - 5</v>
      </c>
      <c r="E690" s="67">
        <v>5</v>
      </c>
    </row>
    <row r="691" spans="1:5" x14ac:dyDescent="0.2">
      <c r="A691" s="19" t="str">
        <f t="shared" si="20"/>
        <v>DNV-TRC - 6</v>
      </c>
      <c r="E691" s="67">
        <v>6</v>
      </c>
    </row>
    <row r="692" spans="1:5" x14ac:dyDescent="0.2">
      <c r="A692" s="19" t="str">
        <f t="shared" si="20"/>
        <v>DNV-TRC - 7</v>
      </c>
      <c r="E692" s="67">
        <v>7</v>
      </c>
    </row>
    <row r="693" spans="1:5" x14ac:dyDescent="0.2">
      <c r="A693" s="19" t="str">
        <f t="shared" si="20"/>
        <v>DNV-TRC - 8</v>
      </c>
      <c r="E693" s="67">
        <v>8</v>
      </c>
    </row>
    <row r="694" spans="1:5" x14ac:dyDescent="0.2">
      <c r="A694" s="19" t="str">
        <f t="shared" si="20"/>
        <v>DNV-TRC - 9</v>
      </c>
      <c r="E694" s="67">
        <v>9</v>
      </c>
    </row>
    <row r="695" spans="1:5" x14ac:dyDescent="0.2">
      <c r="A695" s="19" t="str">
        <f t="shared" si="20"/>
        <v>DNV-TRC - 10</v>
      </c>
      <c r="E695" s="67">
        <v>10</v>
      </c>
    </row>
    <row r="696" spans="1:5" x14ac:dyDescent="0.2">
      <c r="A696" s="19" t="str">
        <f t="shared" si="20"/>
        <v>DNV-TRC - 12</v>
      </c>
      <c r="E696" s="67">
        <v>12</v>
      </c>
    </row>
    <row r="697" spans="1:5" x14ac:dyDescent="0.2">
      <c r="A697" s="19" t="str">
        <f t="shared" si="20"/>
        <v>DNV-TRC - 15</v>
      </c>
      <c r="E697" s="67">
        <v>15</v>
      </c>
    </row>
    <row r="698" spans="1:5" x14ac:dyDescent="0.2">
      <c r="A698" s="19" t="str">
        <f t="shared" si="20"/>
        <v>DNV-TRC - 17</v>
      </c>
      <c r="E698" s="67">
        <v>17</v>
      </c>
    </row>
    <row r="699" spans="1:5" x14ac:dyDescent="0.2">
      <c r="A699" s="19" t="str">
        <f t="shared" si="20"/>
        <v>DNV-TRC - 19</v>
      </c>
      <c r="E699" s="67">
        <v>19</v>
      </c>
    </row>
    <row r="700" spans="1:5" x14ac:dyDescent="0.2">
      <c r="A700" s="19" t="str">
        <f t="shared" si="20"/>
        <v>DNV-TRC - 20</v>
      </c>
      <c r="E700" s="67">
        <v>20</v>
      </c>
    </row>
    <row r="701" spans="1:5" x14ac:dyDescent="0.2">
      <c r="A701" s="19" t="str">
        <f t="shared" si="20"/>
        <v>DNV-TRC - 25</v>
      </c>
      <c r="E701" s="67">
        <v>25</v>
      </c>
    </row>
    <row r="702" spans="1:5" x14ac:dyDescent="0.2">
      <c r="A702" s="19" t="str">
        <f t="shared" si="20"/>
        <v>DNV-TRC - 30</v>
      </c>
      <c r="E702" s="67">
        <v>30</v>
      </c>
    </row>
    <row r="703" spans="1:5" x14ac:dyDescent="0.2">
      <c r="A703" s="19" t="str">
        <f t="shared" si="20"/>
        <v>DNV-TRC - 35</v>
      </c>
      <c r="E703" s="67">
        <v>35</v>
      </c>
    </row>
    <row r="704" spans="1:5" x14ac:dyDescent="0.2">
      <c r="A704" s="19" t="str">
        <f t="shared" si="20"/>
        <v>DNV-TRC - 40</v>
      </c>
      <c r="E704" s="67">
        <v>40</v>
      </c>
    </row>
    <row r="705" spans="1:7" x14ac:dyDescent="0.2">
      <c r="A705" s="19" t="str">
        <f t="shared" si="20"/>
        <v>DNV-TRC - 45</v>
      </c>
      <c r="E705" s="67">
        <v>45</v>
      </c>
    </row>
    <row r="706" spans="1:7" x14ac:dyDescent="0.2">
      <c r="A706" s="19" t="str">
        <f t="shared" si="20"/>
        <v>DNV-TRC - 50</v>
      </c>
      <c r="E706" s="67">
        <v>50</v>
      </c>
    </row>
    <row r="707" spans="1:7" x14ac:dyDescent="0.2">
      <c r="A707" s="19" t="str">
        <f t="shared" si="20"/>
        <v>DNV-TRC - 55</v>
      </c>
      <c r="E707" s="67">
        <v>55</v>
      </c>
    </row>
    <row r="708" spans="1:7" x14ac:dyDescent="0.2">
      <c r="A708" s="19" t="str">
        <f t="shared" si="20"/>
        <v>DNV-TRC - 60</v>
      </c>
      <c r="E708" s="67">
        <v>60</v>
      </c>
    </row>
    <row r="709" spans="1:7" x14ac:dyDescent="0.2">
      <c r="A709" s="19" t="str">
        <f t="shared" si="20"/>
        <v>DNV-TRC - 65</v>
      </c>
      <c r="E709" s="67">
        <v>65</v>
      </c>
    </row>
    <row r="710" spans="1:7" x14ac:dyDescent="0.2">
      <c r="A710" s="19" t="str">
        <f t="shared" si="20"/>
        <v>DNV-TRC - 70</v>
      </c>
      <c r="E710" s="67">
        <v>70</v>
      </c>
    </row>
    <row r="711" spans="1:7" x14ac:dyDescent="0.2">
      <c r="A711" s="19" t="str">
        <f t="shared" si="20"/>
        <v>DNV-TRC - 75</v>
      </c>
      <c r="E711" s="67">
        <v>75</v>
      </c>
    </row>
    <row r="712" spans="1:7" x14ac:dyDescent="0.2">
      <c r="A712" s="19" t="str">
        <f t="shared" si="20"/>
        <v>DNV-TRC - 80</v>
      </c>
      <c r="E712" s="67">
        <v>80</v>
      </c>
    </row>
    <row r="713" spans="1:7" x14ac:dyDescent="0.2">
      <c r="A713" s="19" t="str">
        <f t="shared" si="20"/>
        <v>DNV-TRC - 85</v>
      </c>
      <c r="E713" s="67">
        <v>85</v>
      </c>
    </row>
    <row r="714" spans="1:7" x14ac:dyDescent="0.2">
      <c r="A714" s="19" t="str">
        <f t="shared" si="20"/>
        <v>DNV-TRC - 90</v>
      </c>
      <c r="E714" s="67">
        <v>90</v>
      </c>
    </row>
    <row r="715" spans="1:7" x14ac:dyDescent="0.2">
      <c r="A715" s="19" t="str">
        <f t="shared" si="20"/>
        <v>DNV-TRC - 95</v>
      </c>
      <c r="E715" s="67">
        <v>95</v>
      </c>
    </row>
    <row r="716" spans="1:7" x14ac:dyDescent="0.2">
      <c r="A716" s="19" t="str">
        <f t="shared" si="20"/>
        <v>DNV-TRC - 100</v>
      </c>
      <c r="E716" s="67">
        <v>100</v>
      </c>
    </row>
    <row r="717" spans="1:7" x14ac:dyDescent="0.2">
      <c r="A717" s="19"/>
      <c r="E717" s="67"/>
    </row>
    <row r="719" spans="1:7" x14ac:dyDescent="0.2">
      <c r="A719" s="17"/>
      <c r="B719" s="17" t="s">
        <v>855</v>
      </c>
      <c r="C719" s="17"/>
      <c r="D719" s="18"/>
      <c r="E719" s="17"/>
      <c r="F719" s="17"/>
      <c r="G719" s="17"/>
    </row>
    <row r="720" spans="1:7" x14ac:dyDescent="0.2">
      <c r="A720" s="19" t="str">
        <f t="shared" ref="A720:A754" si="21">CONCATENATE("DNV-TRCA - ",E720)</f>
        <v>DNV-TRCA - 55</v>
      </c>
      <c r="E720" s="67">
        <v>55</v>
      </c>
    </row>
    <row r="721" spans="1:5" x14ac:dyDescent="0.2">
      <c r="A721" s="19" t="str">
        <f t="shared" si="21"/>
        <v>DNV-TRCA - 60</v>
      </c>
      <c r="E721" s="67">
        <v>60</v>
      </c>
    </row>
    <row r="722" spans="1:5" x14ac:dyDescent="0.2">
      <c r="A722" s="19" t="str">
        <f t="shared" si="21"/>
        <v>DNV-TRCA - 65</v>
      </c>
      <c r="E722" s="67">
        <v>65</v>
      </c>
    </row>
    <row r="723" spans="1:5" x14ac:dyDescent="0.2">
      <c r="A723" s="19" t="str">
        <f t="shared" si="21"/>
        <v>DNV-TRCA - 70</v>
      </c>
      <c r="E723" s="67">
        <v>70</v>
      </c>
    </row>
    <row r="724" spans="1:5" x14ac:dyDescent="0.2">
      <c r="A724" s="19" t="str">
        <f t="shared" si="21"/>
        <v>DNV-TRCA - 75</v>
      </c>
      <c r="E724" s="67">
        <v>75</v>
      </c>
    </row>
    <row r="725" spans="1:5" x14ac:dyDescent="0.2">
      <c r="A725" s="19" t="str">
        <f t="shared" si="21"/>
        <v>DNV-TRCA - 80</v>
      </c>
      <c r="E725" s="67">
        <v>80</v>
      </c>
    </row>
    <row r="726" spans="1:5" x14ac:dyDescent="0.2">
      <c r="A726" s="19" t="str">
        <f t="shared" si="21"/>
        <v>DNV-TRCA - 85</v>
      </c>
      <c r="E726" s="67">
        <v>85</v>
      </c>
    </row>
    <row r="727" spans="1:5" x14ac:dyDescent="0.2">
      <c r="A727" s="19" t="str">
        <f t="shared" si="21"/>
        <v>DNV-TRCA - 90</v>
      </c>
      <c r="E727" s="67">
        <v>90</v>
      </c>
    </row>
    <row r="728" spans="1:5" x14ac:dyDescent="0.2">
      <c r="A728" s="19" t="str">
        <f t="shared" si="21"/>
        <v>DNV-TRCA - 95</v>
      </c>
      <c r="E728" s="67">
        <v>95</v>
      </c>
    </row>
    <row r="729" spans="1:5" x14ac:dyDescent="0.2">
      <c r="A729" s="19" t="str">
        <f t="shared" si="21"/>
        <v>DNV-TRCA - 100</v>
      </c>
      <c r="E729" s="67">
        <v>100</v>
      </c>
    </row>
    <row r="730" spans="1:5" x14ac:dyDescent="0.2">
      <c r="A730" s="19" t="str">
        <f t="shared" si="21"/>
        <v>DNV-TRCA - 105</v>
      </c>
      <c r="E730" s="67">
        <v>105</v>
      </c>
    </row>
    <row r="731" spans="1:5" x14ac:dyDescent="0.2">
      <c r="A731" s="19" t="str">
        <f t="shared" si="21"/>
        <v>DNV-TRCA - 110</v>
      </c>
      <c r="E731" s="67">
        <v>110</v>
      </c>
    </row>
    <row r="732" spans="1:5" x14ac:dyDescent="0.2">
      <c r="A732" s="19" t="str">
        <f t="shared" si="21"/>
        <v>DNV-TRCA - 120</v>
      </c>
      <c r="E732" s="67">
        <v>120</v>
      </c>
    </row>
    <row r="733" spans="1:5" x14ac:dyDescent="0.2">
      <c r="A733" s="19" t="str">
        <f t="shared" si="21"/>
        <v>DNV-TRCA - 130</v>
      </c>
      <c r="E733" s="67">
        <v>130</v>
      </c>
    </row>
    <row r="734" spans="1:5" x14ac:dyDescent="0.2">
      <c r="A734" s="19" t="str">
        <f t="shared" si="21"/>
        <v>DNV-TRCA - 140</v>
      </c>
      <c r="E734" s="67">
        <v>140</v>
      </c>
    </row>
    <row r="735" spans="1:5" x14ac:dyDescent="0.2">
      <c r="A735" s="19" t="str">
        <f t="shared" si="21"/>
        <v>DNV-TRCA - 150</v>
      </c>
      <c r="E735" s="67">
        <v>150</v>
      </c>
    </row>
    <row r="736" spans="1:5" x14ac:dyDescent="0.2">
      <c r="A736" s="19" t="str">
        <f t="shared" si="21"/>
        <v>DNV-TRCA - 160</v>
      </c>
      <c r="E736" s="67">
        <v>160</v>
      </c>
    </row>
    <row r="737" spans="1:5" x14ac:dyDescent="0.2">
      <c r="A737" s="19" t="str">
        <f t="shared" si="21"/>
        <v>DNV-TRCA - 170</v>
      </c>
      <c r="E737" s="67">
        <v>170</v>
      </c>
    </row>
    <row r="738" spans="1:5" x14ac:dyDescent="0.2">
      <c r="A738" s="19" t="str">
        <f t="shared" si="21"/>
        <v>DNV-TRCA - 180</v>
      </c>
      <c r="E738" s="67">
        <v>180</v>
      </c>
    </row>
    <row r="739" spans="1:5" x14ac:dyDescent="0.2">
      <c r="A739" s="19" t="str">
        <f t="shared" si="21"/>
        <v>DNV-TRCA - 200</v>
      </c>
      <c r="E739" s="67">
        <v>200</v>
      </c>
    </row>
    <row r="740" spans="1:5" x14ac:dyDescent="0.2">
      <c r="A740" s="19" t="str">
        <f t="shared" si="21"/>
        <v>DNV-TRCA - 225</v>
      </c>
      <c r="E740" s="67">
        <v>225</v>
      </c>
    </row>
    <row r="741" spans="1:5" x14ac:dyDescent="0.2">
      <c r="A741" s="19" t="str">
        <f t="shared" si="21"/>
        <v>DNV-TRCA - 250</v>
      </c>
      <c r="E741" s="67">
        <v>250</v>
      </c>
    </row>
    <row r="742" spans="1:5" x14ac:dyDescent="0.2">
      <c r="A742" s="19" t="str">
        <f t="shared" si="21"/>
        <v>DNV-TRCA - 275</v>
      </c>
      <c r="E742" s="67">
        <v>275</v>
      </c>
    </row>
    <row r="743" spans="1:5" x14ac:dyDescent="0.2">
      <c r="A743" s="19" t="str">
        <f t="shared" si="21"/>
        <v>DNV-TRCA - 300</v>
      </c>
      <c r="E743" s="67">
        <v>300</v>
      </c>
    </row>
    <row r="744" spans="1:5" x14ac:dyDescent="0.2">
      <c r="A744" s="19" t="str">
        <f t="shared" si="21"/>
        <v>DNV-TRCA - 325</v>
      </c>
      <c r="E744" s="67">
        <v>325</v>
      </c>
    </row>
    <row r="745" spans="1:5" x14ac:dyDescent="0.2">
      <c r="A745" s="19" t="str">
        <f t="shared" si="21"/>
        <v>DNV-TRCA - 350</v>
      </c>
      <c r="E745" s="67">
        <v>350</v>
      </c>
    </row>
    <row r="746" spans="1:5" x14ac:dyDescent="0.2">
      <c r="A746" s="19" t="str">
        <f t="shared" si="21"/>
        <v>DNV-TRCA - 375</v>
      </c>
      <c r="E746" s="67">
        <v>375</v>
      </c>
    </row>
    <row r="747" spans="1:5" x14ac:dyDescent="0.2">
      <c r="A747" s="19" t="str">
        <f t="shared" si="21"/>
        <v>DNV-TRCA - 400</v>
      </c>
      <c r="E747" s="67">
        <v>400</v>
      </c>
    </row>
    <row r="748" spans="1:5" x14ac:dyDescent="0.2">
      <c r="A748" s="19" t="str">
        <f t="shared" si="21"/>
        <v>DNV-TRCA - 425</v>
      </c>
      <c r="E748" s="67">
        <v>425</v>
      </c>
    </row>
    <row r="749" spans="1:5" x14ac:dyDescent="0.2">
      <c r="A749" s="19" t="str">
        <f t="shared" si="21"/>
        <v>DNV-TRCA - 450</v>
      </c>
      <c r="E749" s="67">
        <v>450</v>
      </c>
    </row>
    <row r="750" spans="1:5" x14ac:dyDescent="0.2">
      <c r="A750" s="19" t="str">
        <f t="shared" si="21"/>
        <v>DNV-TRCA - 475</v>
      </c>
      <c r="E750" s="67">
        <v>475</v>
      </c>
    </row>
    <row r="751" spans="1:5" x14ac:dyDescent="0.2">
      <c r="A751" s="19" t="str">
        <f t="shared" si="21"/>
        <v>DNV-TRCA - 500</v>
      </c>
      <c r="E751" s="67">
        <v>500</v>
      </c>
    </row>
    <row r="752" spans="1:5" x14ac:dyDescent="0.2">
      <c r="A752" s="19" t="str">
        <f t="shared" si="21"/>
        <v>DNV-TRCA - 600</v>
      </c>
      <c r="E752" s="67">
        <v>600</v>
      </c>
    </row>
    <row r="753" spans="1:5" x14ac:dyDescent="0.2">
      <c r="A753" s="19" t="str">
        <f t="shared" si="21"/>
        <v>DNV-TRCA - 800</v>
      </c>
      <c r="E753" s="67">
        <v>800</v>
      </c>
    </row>
    <row r="754" spans="1:5" x14ac:dyDescent="0.2">
      <c r="A754" s="19" t="str">
        <f t="shared" si="21"/>
        <v>DNV-TRCA - 1000</v>
      </c>
      <c r="E754" s="67">
        <v>1000</v>
      </c>
    </row>
    <row r="759" spans="1:5" x14ac:dyDescent="0.2">
      <c r="B759" s="17" t="s">
        <v>856</v>
      </c>
    </row>
    <row r="761" spans="1:5" x14ac:dyDescent="0.2">
      <c r="B761" s="21" t="s">
        <v>44</v>
      </c>
      <c r="C761" s="21" t="s">
        <v>857</v>
      </c>
    </row>
    <row r="762" spans="1:5" x14ac:dyDescent="0.2">
      <c r="A762" s="19" t="str">
        <f>CONCATENATE("IIEE-SJ - ",B762)</f>
        <v>IIEE-SJ - 1</v>
      </c>
      <c r="B762" s="21">
        <v>1</v>
      </c>
      <c r="E762" s="21" t="s">
        <v>858</v>
      </c>
    </row>
    <row r="763" spans="1:5" x14ac:dyDescent="0.2">
      <c r="A763" s="19" t="str">
        <f>CONCATENATE("IIEE-SJ - ",B763)</f>
        <v>IIEE-SJ - 101000</v>
      </c>
      <c r="B763" s="21">
        <v>101000</v>
      </c>
      <c r="E763" s="21" t="s">
        <v>724</v>
      </c>
    </row>
    <row r="764" spans="1:5" x14ac:dyDescent="0.2">
      <c r="A764" s="19" t="str">
        <f>CONCATENATE("IIEE-SJ - ",B764)</f>
        <v>IIEE-SJ - 102000</v>
      </c>
      <c r="B764" s="21">
        <v>102000</v>
      </c>
      <c r="E764" s="21" t="s">
        <v>725</v>
      </c>
    </row>
    <row r="765" spans="1:5" x14ac:dyDescent="0.2">
      <c r="A765" s="19" t="str">
        <f>CONCATENATE("IIEE-SJ - ",B765)</f>
        <v>IIEE-SJ - 103000</v>
      </c>
      <c r="B765" s="21">
        <v>103000</v>
      </c>
      <c r="E765" s="21" t="s">
        <v>726</v>
      </c>
    </row>
    <row r="766" spans="1:5" x14ac:dyDescent="0.2">
      <c r="A766" s="19"/>
    </row>
    <row r="767" spans="1:5" x14ac:dyDescent="0.2">
      <c r="A767" s="19" t="str">
        <f>CONCATENATE("IIEE-SJ - ",B767)</f>
        <v>IIEE-SJ - 2</v>
      </c>
      <c r="B767" s="21">
        <v>2</v>
      </c>
      <c r="E767" s="21" t="s">
        <v>859</v>
      </c>
    </row>
    <row r="768" spans="1:5" x14ac:dyDescent="0.2">
      <c r="A768" s="19"/>
    </row>
    <row r="769" spans="1:5" x14ac:dyDescent="0.2">
      <c r="A769" s="19" t="str">
        <f>CONCATENATE("IIEE-SJ - ",B769)</f>
        <v>IIEE-SJ - 201</v>
      </c>
      <c r="B769" s="21">
        <v>201</v>
      </c>
      <c r="E769" s="21" t="s">
        <v>860</v>
      </c>
    </row>
    <row r="770" spans="1:5" x14ac:dyDescent="0.2">
      <c r="A770" s="19" t="str">
        <f>CONCATENATE("IIEE-SJ - ",B770)</f>
        <v>IIEE-SJ - 201001</v>
      </c>
      <c r="B770" s="21">
        <v>201001</v>
      </c>
      <c r="E770" s="21" t="s">
        <v>585</v>
      </c>
    </row>
    <row r="771" spans="1:5" x14ac:dyDescent="0.2">
      <c r="A771" s="19" t="str">
        <f>CONCATENATE("IIEE-SJ - ",B771)</f>
        <v>IIEE-SJ - 201002</v>
      </c>
      <c r="B771" s="21">
        <v>201002</v>
      </c>
      <c r="E771" s="21" t="s">
        <v>586</v>
      </c>
    </row>
    <row r="772" spans="1:5" x14ac:dyDescent="0.2">
      <c r="A772" s="19" t="str">
        <f>CONCATENATE("IIEE-SJ - ",B772)</f>
        <v>IIEE-SJ - 201003</v>
      </c>
      <c r="B772" s="21">
        <v>201003</v>
      </c>
      <c r="E772" s="21" t="s">
        <v>587</v>
      </c>
    </row>
    <row r="773" spans="1:5" x14ac:dyDescent="0.2">
      <c r="A773" s="19" t="str">
        <f>CONCATENATE("IIEE-SJ - ",B773)</f>
        <v>IIEE-SJ - 201004</v>
      </c>
      <c r="B773" s="21">
        <v>201004</v>
      </c>
      <c r="E773" s="21" t="s">
        <v>713</v>
      </c>
    </row>
    <row r="774" spans="1:5" x14ac:dyDescent="0.2">
      <c r="A774" s="19"/>
    </row>
    <row r="775" spans="1:5" x14ac:dyDescent="0.2">
      <c r="A775" s="19" t="str">
        <f>CONCATENATE("IIEE-SJ - ",B775)</f>
        <v>IIEE-SJ - 202</v>
      </c>
      <c r="B775" s="21">
        <v>202</v>
      </c>
      <c r="E775" s="21" t="s">
        <v>861</v>
      </c>
    </row>
    <row r="776" spans="1:5" x14ac:dyDescent="0.2">
      <c r="A776" s="19" t="str">
        <f>CONCATENATE("IIEE-SJ - ",B776)</f>
        <v>IIEE-SJ - 202001</v>
      </c>
      <c r="B776" s="21">
        <v>202001</v>
      </c>
      <c r="E776" s="21" t="s">
        <v>588</v>
      </c>
    </row>
    <row r="777" spans="1:5" x14ac:dyDescent="0.2">
      <c r="A777" s="19" t="str">
        <f>CONCATENATE("IIEE-SJ - ",B777)</f>
        <v>IIEE-SJ - 202002</v>
      </c>
      <c r="B777" s="21">
        <v>202002</v>
      </c>
      <c r="E777" s="21" t="s">
        <v>589</v>
      </c>
    </row>
    <row r="778" spans="1:5" x14ac:dyDescent="0.2">
      <c r="A778" s="19" t="str">
        <f>CONCATENATE("IIEE-SJ - ",B778)</f>
        <v>IIEE-SJ - 202003</v>
      </c>
      <c r="B778" s="21">
        <v>202003</v>
      </c>
      <c r="E778" s="21" t="s">
        <v>590</v>
      </c>
    </row>
    <row r="779" spans="1:5" x14ac:dyDescent="0.2">
      <c r="A779" s="19" t="str">
        <f>CONCATENATE("IIEE-SJ - ",B779)</f>
        <v>IIEE-SJ - 202004</v>
      </c>
      <c r="B779" s="21">
        <v>202004</v>
      </c>
      <c r="E779" s="21" t="s">
        <v>683</v>
      </c>
    </row>
    <row r="780" spans="1:5" x14ac:dyDescent="0.2">
      <c r="A780" s="19"/>
    </row>
    <row r="781" spans="1:5" x14ac:dyDescent="0.2">
      <c r="A781" s="19" t="str">
        <f>CONCATENATE("IIEE-SJ - ",B781)</f>
        <v>IIEE-SJ - 203</v>
      </c>
      <c r="B781" s="21">
        <v>203</v>
      </c>
      <c r="E781" s="21" t="s">
        <v>862</v>
      </c>
    </row>
    <row r="782" spans="1:5" x14ac:dyDescent="0.2">
      <c r="A782" s="19" t="str">
        <f>CONCATENATE("IIEE-SJ - ",B782)</f>
        <v>IIEE-SJ - 203001</v>
      </c>
      <c r="B782" s="21">
        <v>203001</v>
      </c>
      <c r="E782" s="21" t="s">
        <v>863</v>
      </c>
    </row>
    <row r="783" spans="1:5" x14ac:dyDescent="0.2">
      <c r="A783" s="19" t="str">
        <f>CONCATENATE("IIEE-SJ - ",B783)</f>
        <v>IIEE-SJ - 203002</v>
      </c>
      <c r="B783" s="21">
        <v>203002</v>
      </c>
      <c r="E783" s="21" t="s">
        <v>716</v>
      </c>
    </row>
    <row r="784" spans="1:5" x14ac:dyDescent="0.2">
      <c r="A784" s="19"/>
    </row>
    <row r="785" spans="1:5" x14ac:dyDescent="0.2">
      <c r="A785" s="19" t="str">
        <f t="shared" ref="A785:A790" si="22">CONCATENATE("IIEE-SJ - ",B785)</f>
        <v>IIEE-SJ - 204</v>
      </c>
      <c r="B785" s="21">
        <v>204</v>
      </c>
      <c r="E785" s="21" t="s">
        <v>864</v>
      </c>
    </row>
    <row r="786" spans="1:5" ht="12" x14ac:dyDescent="0.2">
      <c r="A786" s="19" t="str">
        <f t="shared" si="22"/>
        <v>IIEE-SJ - 204001</v>
      </c>
      <c r="B786" s="21">
        <v>204001</v>
      </c>
      <c r="E786" s="68" t="s">
        <v>865</v>
      </c>
    </row>
    <row r="787" spans="1:5" ht="12" x14ac:dyDescent="0.2">
      <c r="A787" s="19" t="str">
        <f t="shared" si="22"/>
        <v>IIEE-SJ - 204002</v>
      </c>
      <c r="B787" s="21">
        <v>204002</v>
      </c>
      <c r="E787" s="68" t="s">
        <v>866</v>
      </c>
    </row>
    <row r="788" spans="1:5" ht="12" x14ac:dyDescent="0.2">
      <c r="A788" s="19" t="str">
        <f t="shared" si="22"/>
        <v>IIEE-SJ - 204003</v>
      </c>
      <c r="B788" s="21">
        <v>204003</v>
      </c>
      <c r="E788" s="68" t="s">
        <v>867</v>
      </c>
    </row>
    <row r="789" spans="1:5" x14ac:dyDescent="0.2">
      <c r="A789" s="19" t="str">
        <f t="shared" si="22"/>
        <v>IIEE-SJ - 204004</v>
      </c>
      <c r="B789" s="21">
        <v>204004</v>
      </c>
      <c r="E789" s="21" t="s">
        <v>693</v>
      </c>
    </row>
    <row r="790" spans="1:5" x14ac:dyDescent="0.2">
      <c r="A790" s="19" t="str">
        <f t="shared" si="22"/>
        <v>IIEE-SJ - 204005</v>
      </c>
      <c r="B790" s="21">
        <v>204005</v>
      </c>
      <c r="E790" s="21" t="s">
        <v>694</v>
      </c>
    </row>
    <row r="791" spans="1:5" x14ac:dyDescent="0.2">
      <c r="A791" s="19"/>
    </row>
    <row r="792" spans="1:5" x14ac:dyDescent="0.2">
      <c r="A792" s="19" t="str">
        <f t="shared" ref="A792:A797" si="23">CONCATENATE("IIEE-SJ - ",B792)</f>
        <v>IIEE-SJ - 205</v>
      </c>
      <c r="B792" s="21">
        <v>205</v>
      </c>
      <c r="E792" s="21" t="s">
        <v>868</v>
      </c>
    </row>
    <row r="793" spans="1:5" x14ac:dyDescent="0.2">
      <c r="A793" s="19" t="str">
        <f t="shared" si="23"/>
        <v>IIEE-SJ - 205001</v>
      </c>
      <c r="B793" s="21">
        <v>205001</v>
      </c>
      <c r="E793" s="21" t="s">
        <v>869</v>
      </c>
    </row>
    <row r="794" spans="1:5" x14ac:dyDescent="0.2">
      <c r="A794" s="19" t="str">
        <f t="shared" si="23"/>
        <v>IIEE-SJ - 205002</v>
      </c>
      <c r="B794" s="21">
        <v>205002</v>
      </c>
      <c r="E794" s="21" t="s">
        <v>870</v>
      </c>
    </row>
    <row r="795" spans="1:5" x14ac:dyDescent="0.2">
      <c r="A795" s="19" t="str">
        <f t="shared" si="23"/>
        <v>IIEE-SJ - 205003</v>
      </c>
      <c r="B795" s="21">
        <v>205003</v>
      </c>
      <c r="E795" s="21" t="s">
        <v>691</v>
      </c>
    </row>
    <row r="796" spans="1:5" x14ac:dyDescent="0.2">
      <c r="A796" s="19" t="str">
        <f t="shared" si="23"/>
        <v>IIEE-SJ - 205004</v>
      </c>
      <c r="B796" s="21">
        <v>205004</v>
      </c>
      <c r="E796" s="21" t="s">
        <v>692</v>
      </c>
    </row>
    <row r="797" spans="1:5" x14ac:dyDescent="0.2">
      <c r="A797" s="19" t="str">
        <f t="shared" si="23"/>
        <v>IIEE-SJ - 205005</v>
      </c>
      <c r="B797" s="21">
        <v>205005</v>
      </c>
      <c r="E797" s="21" t="s">
        <v>690</v>
      </c>
    </row>
    <row r="798" spans="1:5" x14ac:dyDescent="0.2">
      <c r="A798" s="19"/>
    </row>
    <row r="799" spans="1:5" x14ac:dyDescent="0.2">
      <c r="A799" s="19" t="str">
        <f>CONCATENATE("IIEE-SJ - ",B799)</f>
        <v>IIEE-SJ - 206</v>
      </c>
      <c r="B799" s="21">
        <v>206</v>
      </c>
      <c r="E799" s="21" t="s">
        <v>871</v>
      </c>
    </row>
    <row r="800" spans="1:5" x14ac:dyDescent="0.2">
      <c r="A800" s="19" t="str">
        <f>CONCATENATE("IIEE-SJ - ",B800)</f>
        <v>IIEE-SJ - 206001</v>
      </c>
      <c r="B800" s="21">
        <v>206001</v>
      </c>
      <c r="E800" s="21" t="s">
        <v>872</v>
      </c>
    </row>
    <row r="801" spans="1:5" x14ac:dyDescent="0.2">
      <c r="A801" s="19" t="str">
        <f>CONCATENATE("IIEE-SJ - ",B801)</f>
        <v>IIEE-SJ - 206002</v>
      </c>
      <c r="B801" s="21">
        <v>206002</v>
      </c>
      <c r="E801" s="21" t="s">
        <v>591</v>
      </c>
    </row>
    <row r="802" spans="1:5" x14ac:dyDescent="0.2">
      <c r="A802" s="19" t="str">
        <f>CONCATENATE("IIEE-SJ - ",B802)</f>
        <v>IIEE-SJ - 206003</v>
      </c>
      <c r="B802" s="21">
        <v>206003</v>
      </c>
      <c r="E802" s="21" t="s">
        <v>684</v>
      </c>
    </row>
    <row r="803" spans="1:5" x14ac:dyDescent="0.2">
      <c r="A803" s="19" t="str">
        <f>CONCATENATE("IIEE-SJ - ",B803)</f>
        <v>IIEE-SJ - 206004</v>
      </c>
      <c r="B803" s="21">
        <v>206004</v>
      </c>
      <c r="E803" s="21" t="s">
        <v>685</v>
      </c>
    </row>
    <row r="804" spans="1:5" x14ac:dyDescent="0.2">
      <c r="A804" s="19"/>
    </row>
    <row r="805" spans="1:5" x14ac:dyDescent="0.2">
      <c r="A805" s="19" t="str">
        <f>CONCATENATE("IIEE-SJ - ",B805)</f>
        <v>IIEE-SJ - 207</v>
      </c>
      <c r="B805" s="21">
        <v>207</v>
      </c>
      <c r="E805" s="21" t="s">
        <v>873</v>
      </c>
    </row>
    <row r="806" spans="1:5" x14ac:dyDescent="0.2">
      <c r="A806" s="19" t="str">
        <f>CONCATENATE("IIEE-SJ - ",B806)</f>
        <v>IIEE-SJ - 207001</v>
      </c>
      <c r="B806" s="21">
        <v>207001</v>
      </c>
      <c r="E806" s="21" t="s">
        <v>592</v>
      </c>
    </row>
    <row r="807" spans="1:5" x14ac:dyDescent="0.2">
      <c r="A807" s="19" t="str">
        <f>CONCATENATE("IIEE-SJ - ",B807)</f>
        <v>IIEE-SJ - 207002</v>
      </c>
      <c r="B807" s="21">
        <v>207002</v>
      </c>
      <c r="E807" s="21" t="s">
        <v>874</v>
      </c>
    </row>
    <row r="808" spans="1:5" x14ac:dyDescent="0.2">
      <c r="A808" s="19" t="str">
        <f>CONCATENATE("IIEE-SJ - ",B808)</f>
        <v>IIEE-SJ - 207003</v>
      </c>
      <c r="B808" s="21">
        <v>207003</v>
      </c>
      <c r="E808" s="21" t="s">
        <v>686</v>
      </c>
    </row>
    <row r="809" spans="1:5" x14ac:dyDescent="0.2">
      <c r="A809" s="19" t="str">
        <f>CONCATENATE("IIEE-SJ - ",B809)</f>
        <v>IIEE-SJ - 207004</v>
      </c>
      <c r="B809" s="21">
        <v>207004</v>
      </c>
      <c r="E809" s="21" t="s">
        <v>689</v>
      </c>
    </row>
    <row r="810" spans="1:5" x14ac:dyDescent="0.2">
      <c r="A810" s="19"/>
    </row>
    <row r="811" spans="1:5" x14ac:dyDescent="0.2">
      <c r="A811" s="19" t="str">
        <f>CONCATENATE("IIEE-SJ - ",B811)</f>
        <v>IIEE-SJ - 208</v>
      </c>
      <c r="B811" s="21">
        <v>208</v>
      </c>
      <c r="E811" s="21" t="s">
        <v>875</v>
      </c>
    </row>
    <row r="812" spans="1:5" x14ac:dyDescent="0.2">
      <c r="A812" s="19" t="str">
        <f>CONCATENATE("IIEE-SJ - ",B812)</f>
        <v>IIEE-SJ - 208001</v>
      </c>
      <c r="B812" s="21">
        <v>208001</v>
      </c>
      <c r="E812" s="21" t="s">
        <v>593</v>
      </c>
    </row>
    <row r="813" spans="1:5" x14ac:dyDescent="0.2">
      <c r="A813" s="19" t="str">
        <f>CONCATENATE("IIEE-SJ - ",B813)</f>
        <v>IIEE-SJ - 208001</v>
      </c>
      <c r="B813" s="21">
        <v>208001</v>
      </c>
      <c r="E813" s="21" t="s">
        <v>876</v>
      </c>
    </row>
    <row r="814" spans="1:5" x14ac:dyDescent="0.2">
      <c r="A814" s="19"/>
    </row>
    <row r="815" spans="1:5" x14ac:dyDescent="0.2">
      <c r="A815" s="19" t="str">
        <f t="shared" ref="A815:A823" si="24">CONCATENATE("IIEE-SJ - ",B815)</f>
        <v>IIEE-SJ - 209</v>
      </c>
      <c r="B815" s="21">
        <v>209</v>
      </c>
      <c r="E815" s="21" t="s">
        <v>877</v>
      </c>
    </row>
    <row r="816" spans="1:5" x14ac:dyDescent="0.2">
      <c r="A816" s="19" t="str">
        <f t="shared" si="24"/>
        <v>IIEE-SJ - 209001</v>
      </c>
      <c r="B816" s="21">
        <v>209001</v>
      </c>
      <c r="E816" s="21" t="s">
        <v>594</v>
      </c>
    </row>
    <row r="817" spans="1:5" x14ac:dyDescent="0.2">
      <c r="A817" s="19" t="str">
        <f t="shared" si="24"/>
        <v>IIEE-SJ - 209002</v>
      </c>
      <c r="B817" s="21">
        <v>209002</v>
      </c>
      <c r="E817" s="21" t="s">
        <v>595</v>
      </c>
    </row>
    <row r="818" spans="1:5" x14ac:dyDescent="0.2">
      <c r="A818" s="19" t="str">
        <f t="shared" si="24"/>
        <v>IIEE-SJ - 209003</v>
      </c>
      <c r="B818" s="21">
        <v>209003</v>
      </c>
      <c r="E818" s="21" t="s">
        <v>596</v>
      </c>
    </row>
    <row r="819" spans="1:5" x14ac:dyDescent="0.2">
      <c r="A819" s="19" t="str">
        <f t="shared" si="24"/>
        <v>IIEE-SJ - 209004</v>
      </c>
      <c r="B819" s="21">
        <v>209004</v>
      </c>
      <c r="E819" s="21" t="s">
        <v>597</v>
      </c>
    </row>
    <row r="820" spans="1:5" x14ac:dyDescent="0.2">
      <c r="A820" s="19" t="str">
        <f t="shared" si="24"/>
        <v>IIEE-SJ - 209005</v>
      </c>
      <c r="B820" s="21">
        <v>209005</v>
      </c>
      <c r="E820" s="21" t="s">
        <v>698</v>
      </c>
    </row>
    <row r="821" spans="1:5" x14ac:dyDescent="0.2">
      <c r="A821" s="19" t="str">
        <f t="shared" si="24"/>
        <v>IIEE-SJ - 209006</v>
      </c>
      <c r="B821" s="21">
        <v>209006</v>
      </c>
      <c r="E821" s="21" t="s">
        <v>699</v>
      </c>
    </row>
    <row r="822" spans="1:5" x14ac:dyDescent="0.2">
      <c r="A822" s="19" t="str">
        <f t="shared" si="24"/>
        <v>IIEE-SJ - 209007</v>
      </c>
      <c r="B822" s="21">
        <v>209007</v>
      </c>
      <c r="E822" s="21" t="s">
        <v>700</v>
      </c>
    </row>
    <row r="823" spans="1:5" x14ac:dyDescent="0.2">
      <c r="A823" s="19" t="str">
        <f t="shared" si="24"/>
        <v>IIEE-SJ - 209008</v>
      </c>
      <c r="B823" s="21">
        <v>209008</v>
      </c>
      <c r="E823" s="21" t="s">
        <v>701</v>
      </c>
    </row>
    <row r="824" spans="1:5" x14ac:dyDescent="0.2">
      <c r="A824" s="19"/>
    </row>
    <row r="825" spans="1:5" x14ac:dyDescent="0.2">
      <c r="A825" s="19" t="str">
        <f t="shared" ref="A825:A833" si="25">CONCATENATE("IIEE-SJ - ",B825)</f>
        <v>IIEE-SJ - 210</v>
      </c>
      <c r="B825" s="21">
        <v>210</v>
      </c>
      <c r="E825" s="21" t="s">
        <v>878</v>
      </c>
    </row>
    <row r="826" spans="1:5" x14ac:dyDescent="0.2">
      <c r="A826" s="19" t="str">
        <f t="shared" si="25"/>
        <v>IIEE-SJ - 210001</v>
      </c>
      <c r="B826" s="21">
        <v>210001</v>
      </c>
      <c r="E826" s="21" t="s">
        <v>598</v>
      </c>
    </row>
    <row r="827" spans="1:5" x14ac:dyDescent="0.2">
      <c r="A827" s="19" t="str">
        <f t="shared" si="25"/>
        <v>IIEE-SJ - 210002</v>
      </c>
      <c r="B827" s="21">
        <v>210002</v>
      </c>
      <c r="E827" s="21" t="s">
        <v>599</v>
      </c>
    </row>
    <row r="828" spans="1:5" x14ac:dyDescent="0.2">
      <c r="A828" s="19" t="str">
        <f t="shared" si="25"/>
        <v>IIEE-SJ - 210003</v>
      </c>
      <c r="B828" s="21">
        <v>210003</v>
      </c>
      <c r="E828" s="21" t="s">
        <v>600</v>
      </c>
    </row>
    <row r="829" spans="1:5" x14ac:dyDescent="0.2">
      <c r="A829" s="19" t="str">
        <f t="shared" si="25"/>
        <v>IIEE-SJ - 210004</v>
      </c>
      <c r="B829" s="21">
        <v>210004</v>
      </c>
      <c r="E829" s="21" t="s">
        <v>601</v>
      </c>
    </row>
    <row r="830" spans="1:5" x14ac:dyDescent="0.2">
      <c r="A830" s="19" t="str">
        <f t="shared" si="25"/>
        <v>IIEE-SJ - 210005</v>
      </c>
      <c r="B830" s="21">
        <v>210005</v>
      </c>
      <c r="E830" s="21" t="s">
        <v>602</v>
      </c>
    </row>
    <row r="831" spans="1:5" x14ac:dyDescent="0.2">
      <c r="A831" s="19" t="str">
        <f t="shared" si="25"/>
        <v>IIEE-SJ - 210006</v>
      </c>
      <c r="B831" s="21">
        <v>210006</v>
      </c>
      <c r="E831" s="21" t="s">
        <v>603</v>
      </c>
    </row>
    <row r="832" spans="1:5" x14ac:dyDescent="0.2">
      <c r="A832" s="19" t="str">
        <f t="shared" si="25"/>
        <v>IIEE-SJ - 210007</v>
      </c>
      <c r="B832" s="21">
        <v>210007</v>
      </c>
      <c r="E832" s="21" t="s">
        <v>604</v>
      </c>
    </row>
    <row r="833" spans="1:5" x14ac:dyDescent="0.2">
      <c r="A833" s="19" t="str">
        <f t="shared" si="25"/>
        <v>IIEE-SJ - 210008</v>
      </c>
      <c r="B833" s="21">
        <v>210008</v>
      </c>
      <c r="E833" s="21" t="s">
        <v>605</v>
      </c>
    </row>
    <row r="834" spans="1:5" x14ac:dyDescent="0.2">
      <c r="A834" s="19"/>
    </row>
    <row r="835" spans="1:5" x14ac:dyDescent="0.2">
      <c r="A835" s="19" t="str">
        <f t="shared" ref="A835:A844" si="26">CONCATENATE("IIEE-SJ - ",B835)</f>
        <v>IIEE-SJ - 211</v>
      </c>
      <c r="B835" s="21">
        <v>211</v>
      </c>
      <c r="E835" s="21" t="s">
        <v>879</v>
      </c>
    </row>
    <row r="836" spans="1:5" x14ac:dyDescent="0.2">
      <c r="A836" s="19" t="str">
        <f t="shared" si="26"/>
        <v>IIEE-SJ - 211001</v>
      </c>
      <c r="B836" s="21">
        <v>211001</v>
      </c>
      <c r="E836" s="21" t="s">
        <v>606</v>
      </c>
    </row>
    <row r="837" spans="1:5" x14ac:dyDescent="0.2">
      <c r="A837" s="19" t="str">
        <f t="shared" si="26"/>
        <v>IIEE-SJ - 211002</v>
      </c>
      <c r="B837" s="21">
        <v>211002</v>
      </c>
      <c r="E837" s="21" t="s">
        <v>607</v>
      </c>
    </row>
    <row r="838" spans="1:5" x14ac:dyDescent="0.2">
      <c r="A838" s="19" t="str">
        <f t="shared" si="26"/>
        <v>IIEE-SJ - 211003</v>
      </c>
      <c r="B838" s="21">
        <v>211003</v>
      </c>
      <c r="E838" s="21" t="s">
        <v>608</v>
      </c>
    </row>
    <row r="839" spans="1:5" x14ac:dyDescent="0.2">
      <c r="A839" s="19" t="str">
        <f t="shared" si="26"/>
        <v>IIEE-SJ - 211004</v>
      </c>
      <c r="B839" s="21">
        <v>211004</v>
      </c>
      <c r="E839" s="21" t="s">
        <v>609</v>
      </c>
    </row>
    <row r="840" spans="1:5" x14ac:dyDescent="0.2">
      <c r="A840" s="19" t="str">
        <f t="shared" si="26"/>
        <v>IIEE-SJ - 211005</v>
      </c>
      <c r="B840" s="21">
        <v>211005</v>
      </c>
      <c r="E840" s="21" t="s">
        <v>610</v>
      </c>
    </row>
    <row r="841" spans="1:5" x14ac:dyDescent="0.2">
      <c r="A841" s="19" t="str">
        <f t="shared" si="26"/>
        <v>IIEE-SJ - 211006</v>
      </c>
      <c r="B841" s="21">
        <v>211006</v>
      </c>
      <c r="E841" s="21" t="s">
        <v>714</v>
      </c>
    </row>
    <row r="842" spans="1:5" x14ac:dyDescent="0.2">
      <c r="A842" s="19" t="str">
        <f t="shared" si="26"/>
        <v>IIEE-SJ - 211007</v>
      </c>
      <c r="B842" s="21">
        <v>211007</v>
      </c>
      <c r="E842" s="21" t="s">
        <v>715</v>
      </c>
    </row>
    <row r="843" spans="1:5" x14ac:dyDescent="0.2">
      <c r="A843" s="19" t="str">
        <f t="shared" si="26"/>
        <v>IIEE-SJ - 211008</v>
      </c>
      <c r="B843" s="21">
        <v>211008</v>
      </c>
      <c r="E843" s="21" t="s">
        <v>880</v>
      </c>
    </row>
    <row r="844" spans="1:5" x14ac:dyDescent="0.2">
      <c r="A844" s="19" t="str">
        <f t="shared" si="26"/>
        <v>IIEE-SJ - 211009</v>
      </c>
      <c r="B844" s="21">
        <v>211009</v>
      </c>
      <c r="E844" s="21" t="s">
        <v>881</v>
      </c>
    </row>
    <row r="845" spans="1:5" x14ac:dyDescent="0.2">
      <c r="A845" s="19"/>
    </row>
    <row r="846" spans="1:5" x14ac:dyDescent="0.2">
      <c r="A846" s="19" t="str">
        <f>CONCATENATE("IIEE-SJ - ",B846)</f>
        <v>IIEE-SJ - 212</v>
      </c>
      <c r="B846" s="21">
        <v>212</v>
      </c>
      <c r="E846" s="21" t="s">
        <v>882</v>
      </c>
    </row>
    <row r="847" spans="1:5" x14ac:dyDescent="0.2">
      <c r="A847" s="19" t="str">
        <f>CONCATENATE("IIEE-SJ - ",B847)</f>
        <v>IIEE-SJ - 212001</v>
      </c>
      <c r="B847" s="21">
        <v>212001</v>
      </c>
      <c r="E847" s="21" t="s">
        <v>611</v>
      </c>
    </row>
    <row r="848" spans="1:5" x14ac:dyDescent="0.2">
      <c r="A848" s="19" t="str">
        <f>CONCATENATE("IIEE-SJ - ",B848)</f>
        <v>IIEE-SJ - 212002</v>
      </c>
      <c r="B848" s="21">
        <v>212002</v>
      </c>
      <c r="E848" s="21" t="s">
        <v>612</v>
      </c>
    </row>
    <row r="849" spans="1:5" x14ac:dyDescent="0.2">
      <c r="A849" s="19" t="str">
        <f>CONCATENATE("IIEE-SJ - ",B849)</f>
        <v>IIEE-SJ - 212003</v>
      </c>
      <c r="B849" s="21">
        <v>212003</v>
      </c>
      <c r="E849" s="21" t="s">
        <v>613</v>
      </c>
    </row>
    <row r="850" spans="1:5" x14ac:dyDescent="0.2">
      <c r="A850" s="19" t="str">
        <f>CONCATENATE("IIEE-SJ - ",B850)</f>
        <v>IIEE-SJ - 212004</v>
      </c>
      <c r="B850" s="21">
        <v>212004</v>
      </c>
      <c r="E850" s="21" t="s">
        <v>614</v>
      </c>
    </row>
    <row r="851" spans="1:5" x14ac:dyDescent="0.2">
      <c r="A851" s="19"/>
    </row>
    <row r="852" spans="1:5" x14ac:dyDescent="0.2">
      <c r="A852" s="19" t="str">
        <f t="shared" ref="A852:A860" si="27">CONCATENATE("IIEE-SJ - ",B852)</f>
        <v>IIEE-SJ - 213</v>
      </c>
      <c r="B852" s="21">
        <v>213</v>
      </c>
      <c r="E852" s="21" t="s">
        <v>883</v>
      </c>
    </row>
    <row r="853" spans="1:5" x14ac:dyDescent="0.2">
      <c r="A853" s="19" t="str">
        <f t="shared" si="27"/>
        <v>IIEE-SJ - 213001</v>
      </c>
      <c r="B853" s="21">
        <v>213001</v>
      </c>
      <c r="E853" s="21" t="s">
        <v>615</v>
      </c>
    </row>
    <row r="854" spans="1:5" x14ac:dyDescent="0.2">
      <c r="A854" s="19" t="str">
        <f t="shared" si="27"/>
        <v>IIEE-SJ - 213002</v>
      </c>
      <c r="B854" s="21">
        <v>213002</v>
      </c>
      <c r="E854" s="21" t="s">
        <v>616</v>
      </c>
    </row>
    <row r="855" spans="1:5" x14ac:dyDescent="0.2">
      <c r="A855" s="19" t="str">
        <f t="shared" si="27"/>
        <v>IIEE-SJ - 213003</v>
      </c>
      <c r="B855" s="21">
        <v>213003</v>
      </c>
      <c r="E855" s="21" t="s">
        <v>617</v>
      </c>
    </row>
    <row r="856" spans="1:5" x14ac:dyDescent="0.2">
      <c r="A856" s="19" t="str">
        <f t="shared" si="27"/>
        <v>IIEE-SJ - 213004</v>
      </c>
      <c r="B856" s="21">
        <v>213004</v>
      </c>
      <c r="E856" s="21" t="s">
        <v>618</v>
      </c>
    </row>
    <row r="857" spans="1:5" x14ac:dyDescent="0.2">
      <c r="A857" s="19" t="str">
        <f t="shared" si="27"/>
        <v>IIEE-SJ - 213005</v>
      </c>
      <c r="B857" s="21">
        <v>213005</v>
      </c>
      <c r="E857" s="21" t="s">
        <v>619</v>
      </c>
    </row>
    <row r="858" spans="1:5" x14ac:dyDescent="0.2">
      <c r="A858" s="19" t="str">
        <f t="shared" si="27"/>
        <v>IIEE-SJ - 213006</v>
      </c>
      <c r="B858" s="21">
        <v>213006</v>
      </c>
      <c r="E858" s="21" t="s">
        <v>620</v>
      </c>
    </row>
    <row r="859" spans="1:5" x14ac:dyDescent="0.2">
      <c r="A859" s="19" t="str">
        <f t="shared" si="27"/>
        <v>IIEE-SJ - 213007</v>
      </c>
      <c r="B859" s="21">
        <v>213007</v>
      </c>
      <c r="E859" s="21" t="s">
        <v>621</v>
      </c>
    </row>
    <row r="860" spans="1:5" x14ac:dyDescent="0.2">
      <c r="A860" s="19" t="str">
        <f t="shared" si="27"/>
        <v>IIEE-SJ - 213008</v>
      </c>
      <c r="B860" s="21">
        <v>213008</v>
      </c>
      <c r="E860" s="21" t="s">
        <v>622</v>
      </c>
    </row>
    <row r="861" spans="1:5" x14ac:dyDescent="0.2">
      <c r="A861" s="19"/>
    </row>
    <row r="862" spans="1:5" x14ac:dyDescent="0.2">
      <c r="A862" s="19" t="str">
        <f t="shared" ref="A862:A868" si="28">CONCATENATE("IIEE-SJ - ",B862)</f>
        <v>IIEE-SJ - 214</v>
      </c>
      <c r="B862" s="21">
        <v>214</v>
      </c>
      <c r="E862" s="21" t="s">
        <v>884</v>
      </c>
    </row>
    <row r="863" spans="1:5" x14ac:dyDescent="0.2">
      <c r="A863" s="19" t="str">
        <f t="shared" si="28"/>
        <v>IIEE-SJ - 214001</v>
      </c>
      <c r="B863" s="21">
        <v>214001</v>
      </c>
      <c r="E863" s="21" t="s">
        <v>623</v>
      </c>
    </row>
    <row r="864" spans="1:5" x14ac:dyDescent="0.2">
      <c r="A864" s="19" t="str">
        <f t="shared" si="28"/>
        <v>IIEE-SJ - 214002</v>
      </c>
      <c r="B864" s="21">
        <v>214002</v>
      </c>
      <c r="E864" s="21" t="s">
        <v>624</v>
      </c>
    </row>
    <row r="865" spans="1:5" x14ac:dyDescent="0.2">
      <c r="A865" s="19" t="str">
        <f t="shared" si="28"/>
        <v>IIEE-SJ - 214003</v>
      </c>
      <c r="B865" s="21">
        <v>214003</v>
      </c>
      <c r="E865" s="21" t="s">
        <v>625</v>
      </c>
    </row>
    <row r="866" spans="1:5" x14ac:dyDescent="0.2">
      <c r="A866" s="19" t="str">
        <f t="shared" si="28"/>
        <v>IIEE-SJ - 214004</v>
      </c>
      <c r="B866" s="21">
        <v>214004</v>
      </c>
      <c r="E866" s="21" t="s">
        <v>626</v>
      </c>
    </row>
    <row r="867" spans="1:5" x14ac:dyDescent="0.2">
      <c r="A867" s="19" t="str">
        <f t="shared" si="28"/>
        <v>IIEE-SJ - 214005</v>
      </c>
      <c r="B867" s="21">
        <v>214005</v>
      </c>
      <c r="E867" s="21" t="s">
        <v>627</v>
      </c>
    </row>
    <row r="868" spans="1:5" x14ac:dyDescent="0.2">
      <c r="A868" s="19" t="str">
        <f t="shared" si="28"/>
        <v>IIEE-SJ - 214006</v>
      </c>
      <c r="B868" s="21">
        <v>214006</v>
      </c>
      <c r="E868" s="21" t="s">
        <v>628</v>
      </c>
    </row>
    <row r="869" spans="1:5" x14ac:dyDescent="0.2">
      <c r="A869" s="19"/>
    </row>
    <row r="870" spans="1:5" x14ac:dyDescent="0.2">
      <c r="A870" s="19" t="str">
        <f t="shared" ref="A870:A876" si="29">CONCATENATE("IIEE-SJ - ",B870)</f>
        <v>IIEE-SJ - 215</v>
      </c>
      <c r="B870" s="21">
        <v>215</v>
      </c>
      <c r="E870" s="21" t="s">
        <v>885</v>
      </c>
    </row>
    <row r="871" spans="1:5" x14ac:dyDescent="0.2">
      <c r="A871" s="19" t="str">
        <f t="shared" si="29"/>
        <v>IIEE-SJ - 215001</v>
      </c>
      <c r="B871" s="21">
        <v>215001</v>
      </c>
      <c r="E871" s="21" t="s">
        <v>629</v>
      </c>
    </row>
    <row r="872" spans="1:5" x14ac:dyDescent="0.2">
      <c r="A872" s="19" t="str">
        <f t="shared" si="29"/>
        <v>IIEE-SJ - 215002</v>
      </c>
      <c r="B872" s="21">
        <v>215002</v>
      </c>
      <c r="E872" s="21" t="s">
        <v>630</v>
      </c>
    </row>
    <row r="873" spans="1:5" x14ac:dyDescent="0.2">
      <c r="A873" s="19" t="str">
        <f t="shared" si="29"/>
        <v>IIEE-SJ - 215003</v>
      </c>
      <c r="B873" s="21">
        <v>215003</v>
      </c>
      <c r="E873" s="21" t="s">
        <v>631</v>
      </c>
    </row>
    <row r="874" spans="1:5" x14ac:dyDescent="0.2">
      <c r="A874" s="19" t="str">
        <f t="shared" si="29"/>
        <v>IIEE-SJ - 215004</v>
      </c>
      <c r="B874" s="21">
        <v>215004</v>
      </c>
      <c r="E874" s="21" t="s">
        <v>632</v>
      </c>
    </row>
    <row r="875" spans="1:5" x14ac:dyDescent="0.2">
      <c r="A875" s="19" t="str">
        <f t="shared" si="29"/>
        <v>IIEE-SJ - 215005</v>
      </c>
      <c r="B875" s="21">
        <v>215005</v>
      </c>
      <c r="E875" s="21" t="s">
        <v>633</v>
      </c>
    </row>
    <row r="876" spans="1:5" x14ac:dyDescent="0.2">
      <c r="A876" s="19" t="str">
        <f t="shared" si="29"/>
        <v>IIEE-SJ - 215006</v>
      </c>
      <c r="B876" s="21">
        <v>215006</v>
      </c>
      <c r="E876" s="21" t="s">
        <v>634</v>
      </c>
    </row>
    <row r="877" spans="1:5" x14ac:dyDescent="0.2">
      <c r="A877" s="19"/>
    </row>
    <row r="878" spans="1:5" x14ac:dyDescent="0.2">
      <c r="A878" s="19" t="str">
        <f t="shared" ref="A878:A883" si="30">CONCATENATE("IIEE-SJ - ",B878)</f>
        <v>IIEE-SJ - 216</v>
      </c>
      <c r="B878" s="21">
        <v>216</v>
      </c>
      <c r="E878" s="21" t="s">
        <v>886</v>
      </c>
    </row>
    <row r="879" spans="1:5" x14ac:dyDescent="0.2">
      <c r="A879" s="19" t="str">
        <f t="shared" si="30"/>
        <v>IIEE-SJ - 216001</v>
      </c>
      <c r="B879" s="21">
        <v>216001</v>
      </c>
      <c r="E879" s="21" t="s">
        <v>635</v>
      </c>
    </row>
    <row r="880" spans="1:5" x14ac:dyDescent="0.2">
      <c r="A880" s="19" t="str">
        <f t="shared" si="30"/>
        <v>IIEE-SJ - 216002</v>
      </c>
      <c r="B880" s="21">
        <v>216002</v>
      </c>
      <c r="E880" s="21" t="s">
        <v>636</v>
      </c>
    </row>
    <row r="881" spans="1:5" x14ac:dyDescent="0.2">
      <c r="A881" s="19" t="str">
        <f t="shared" si="30"/>
        <v>IIEE-SJ - 216003</v>
      </c>
      <c r="B881" s="21">
        <v>216003</v>
      </c>
      <c r="E881" s="21" t="s">
        <v>637</v>
      </c>
    </row>
    <row r="882" spans="1:5" x14ac:dyDescent="0.2">
      <c r="A882" s="19" t="str">
        <f t="shared" si="30"/>
        <v>IIEE-SJ - 216004</v>
      </c>
      <c r="B882" s="21">
        <v>216004</v>
      </c>
      <c r="E882" s="21" t="s">
        <v>638</v>
      </c>
    </row>
    <row r="883" spans="1:5" x14ac:dyDescent="0.2">
      <c r="A883" s="19" t="str">
        <f t="shared" si="30"/>
        <v>IIEE-SJ - 216005</v>
      </c>
      <c r="B883" s="21">
        <v>216005</v>
      </c>
      <c r="E883" s="21" t="s">
        <v>639</v>
      </c>
    </row>
    <row r="884" spans="1:5" x14ac:dyDescent="0.2">
      <c r="A884" s="19"/>
    </row>
    <row r="885" spans="1:5" x14ac:dyDescent="0.2">
      <c r="A885" s="19" t="str">
        <f>CONCATENATE("IIEE-SJ - ",B885)</f>
        <v>IIEE-SJ - 217</v>
      </c>
      <c r="B885" s="21">
        <v>217</v>
      </c>
      <c r="E885" s="21" t="s">
        <v>887</v>
      </c>
    </row>
    <row r="886" spans="1:5" x14ac:dyDescent="0.2">
      <c r="A886" s="19" t="str">
        <f>CONCATENATE("IIEE-SJ - ",B886)</f>
        <v>IIEE-SJ - 217001</v>
      </c>
      <c r="B886" s="21">
        <v>217001</v>
      </c>
      <c r="E886" s="21" t="s">
        <v>640</v>
      </c>
    </row>
    <row r="887" spans="1:5" x14ac:dyDescent="0.2">
      <c r="A887" s="19" t="str">
        <f>CONCATENATE("IIEE-SJ - ",B887)</f>
        <v>IIEE-SJ - 217002</v>
      </c>
      <c r="B887" s="21">
        <v>217002</v>
      </c>
      <c r="E887" s="21" t="s">
        <v>641</v>
      </c>
    </row>
    <row r="888" spans="1:5" x14ac:dyDescent="0.2">
      <c r="A888" s="19"/>
    </row>
    <row r="889" spans="1:5" x14ac:dyDescent="0.2">
      <c r="A889" s="19" t="str">
        <f>CONCATENATE("IIEE-SJ - ",B889)</f>
        <v>IIEE-SJ - 218</v>
      </c>
      <c r="B889" s="21">
        <v>218</v>
      </c>
      <c r="E889" s="21" t="s">
        <v>835</v>
      </c>
    </row>
    <row r="890" spans="1:5" x14ac:dyDescent="0.2">
      <c r="A890" s="19" t="str">
        <f>CONCATENATE("IIEE-SJ - ",B890)</f>
        <v>IIEE-SJ - 218001</v>
      </c>
      <c r="B890" s="21">
        <v>218001</v>
      </c>
      <c r="E890" s="21" t="s">
        <v>642</v>
      </c>
    </row>
    <row r="891" spans="1:5" x14ac:dyDescent="0.2">
      <c r="A891" s="19" t="str">
        <f>CONCATENATE("IIEE-SJ - ",B891)</f>
        <v>IIEE-SJ - 218002</v>
      </c>
      <c r="B891" s="21">
        <v>218002</v>
      </c>
      <c r="E891" s="21" t="s">
        <v>643</v>
      </c>
    </row>
    <row r="892" spans="1:5" x14ac:dyDescent="0.2">
      <c r="A892" s="19" t="str">
        <f>CONCATENATE("IIEE-SJ - ",B892)</f>
        <v>IIEE-SJ - 218003</v>
      </c>
      <c r="B892" s="21">
        <v>218003</v>
      </c>
      <c r="E892" s="21" t="s">
        <v>644</v>
      </c>
    </row>
    <row r="893" spans="1:5" x14ac:dyDescent="0.2">
      <c r="A893" s="19"/>
    </row>
    <row r="894" spans="1:5" x14ac:dyDescent="0.2">
      <c r="A894" s="19" t="str">
        <f t="shared" ref="A894:A899" si="31">CONCATENATE("IIEE-SJ - ",B894)</f>
        <v>IIEE-SJ - 219</v>
      </c>
      <c r="B894" s="21">
        <v>219</v>
      </c>
      <c r="E894" s="21" t="s">
        <v>888</v>
      </c>
    </row>
    <row r="895" spans="1:5" x14ac:dyDescent="0.2">
      <c r="A895" s="19" t="str">
        <f t="shared" si="31"/>
        <v>IIEE-SJ - 219001</v>
      </c>
      <c r="B895" s="21">
        <v>219001</v>
      </c>
      <c r="E895" s="21" t="s">
        <v>889</v>
      </c>
    </row>
    <row r="896" spans="1:5" x14ac:dyDescent="0.2">
      <c r="A896" s="19" t="str">
        <f t="shared" si="31"/>
        <v>IIEE-SJ - 219002</v>
      </c>
      <c r="B896" s="21">
        <v>219002</v>
      </c>
      <c r="E896" s="21" t="s">
        <v>890</v>
      </c>
    </row>
    <row r="897" spans="1:5" x14ac:dyDescent="0.2">
      <c r="A897" s="19" t="str">
        <f t="shared" si="31"/>
        <v>IIEE-SJ - 219003</v>
      </c>
      <c r="B897" s="21">
        <v>219003</v>
      </c>
      <c r="E897" s="21" t="s">
        <v>891</v>
      </c>
    </row>
    <row r="898" spans="1:5" x14ac:dyDescent="0.2">
      <c r="A898" s="19" t="str">
        <f t="shared" si="31"/>
        <v>IIEE-SJ - 219004</v>
      </c>
      <c r="B898" s="21">
        <v>219004</v>
      </c>
      <c r="E898" s="21" t="s">
        <v>892</v>
      </c>
    </row>
    <row r="899" spans="1:5" x14ac:dyDescent="0.2">
      <c r="A899" s="19" t="str">
        <f t="shared" si="31"/>
        <v>IIEE-SJ - 219005</v>
      </c>
      <c r="B899" s="21">
        <v>219005</v>
      </c>
      <c r="E899" s="21" t="s">
        <v>893</v>
      </c>
    </row>
    <row r="900" spans="1:5" x14ac:dyDescent="0.2">
      <c r="A900" s="19"/>
    </row>
    <row r="901" spans="1:5" x14ac:dyDescent="0.2">
      <c r="A901" s="19" t="str">
        <f t="shared" ref="A901:A907" si="32">CONCATENATE("IIEE-SJ - ",B901)</f>
        <v>IIEE-SJ - 220</v>
      </c>
      <c r="B901" s="21">
        <v>220</v>
      </c>
      <c r="E901" s="21" t="s">
        <v>894</v>
      </c>
    </row>
    <row r="902" spans="1:5" x14ac:dyDescent="0.2">
      <c r="A902" s="19" t="str">
        <f t="shared" si="32"/>
        <v>IIEE-SJ - 220001</v>
      </c>
      <c r="B902" s="21">
        <v>220001</v>
      </c>
      <c r="E902" s="21" t="s">
        <v>645</v>
      </c>
    </row>
    <row r="903" spans="1:5" x14ac:dyDescent="0.2">
      <c r="A903" s="19" t="str">
        <f t="shared" si="32"/>
        <v>IIEE-SJ - 220002</v>
      </c>
      <c r="B903" s="21">
        <v>220002</v>
      </c>
      <c r="E903" s="21" t="s">
        <v>646</v>
      </c>
    </row>
    <row r="904" spans="1:5" x14ac:dyDescent="0.2">
      <c r="A904" s="19" t="str">
        <f t="shared" si="32"/>
        <v>IIEE-SJ - 220003</v>
      </c>
      <c r="B904" s="21">
        <v>220003</v>
      </c>
      <c r="E904" s="21" t="s">
        <v>647</v>
      </c>
    </row>
    <row r="905" spans="1:5" x14ac:dyDescent="0.2">
      <c r="A905" s="19" t="str">
        <f t="shared" si="32"/>
        <v>IIEE-SJ - 220004</v>
      </c>
      <c r="B905" s="21">
        <v>220004</v>
      </c>
      <c r="E905" s="21" t="s">
        <v>648</v>
      </c>
    </row>
    <row r="906" spans="1:5" x14ac:dyDescent="0.2">
      <c r="A906" s="19" t="str">
        <f t="shared" si="32"/>
        <v>IIEE-SJ - 220005</v>
      </c>
      <c r="B906" s="21">
        <v>220005</v>
      </c>
      <c r="E906" s="21" t="s">
        <v>649</v>
      </c>
    </row>
    <row r="907" spans="1:5" x14ac:dyDescent="0.2">
      <c r="A907" s="19" t="str">
        <f t="shared" si="32"/>
        <v>IIEE-SJ - 220006</v>
      </c>
      <c r="B907" s="21">
        <v>220006</v>
      </c>
      <c r="E907" s="21" t="s">
        <v>650</v>
      </c>
    </row>
    <row r="908" spans="1:5" x14ac:dyDescent="0.2">
      <c r="A908" s="19"/>
    </row>
    <row r="909" spans="1:5" x14ac:dyDescent="0.2">
      <c r="A909" s="19" t="str">
        <f t="shared" ref="A909:A915" si="33">CONCATENATE("IIEE-SJ - ",B909)</f>
        <v>IIEE-SJ - 221</v>
      </c>
      <c r="B909" s="21">
        <v>221</v>
      </c>
      <c r="E909" s="21" t="s">
        <v>895</v>
      </c>
    </row>
    <row r="910" spans="1:5" x14ac:dyDescent="0.2">
      <c r="A910" s="19" t="str">
        <f t="shared" si="33"/>
        <v>IIEE-SJ - 221001</v>
      </c>
      <c r="B910" s="21">
        <v>221001</v>
      </c>
      <c r="E910" s="21" t="s">
        <v>651</v>
      </c>
    </row>
    <row r="911" spans="1:5" x14ac:dyDescent="0.2">
      <c r="A911" s="19" t="str">
        <f t="shared" si="33"/>
        <v>IIEE-SJ - 221002</v>
      </c>
      <c r="B911" s="21">
        <v>221002</v>
      </c>
      <c r="E911" s="21" t="s">
        <v>652</v>
      </c>
    </row>
    <row r="912" spans="1:5" x14ac:dyDescent="0.2">
      <c r="A912" s="19" t="str">
        <f t="shared" si="33"/>
        <v>IIEE-SJ - 221003</v>
      </c>
      <c r="B912" s="21">
        <v>221003</v>
      </c>
      <c r="E912" s="21" t="s">
        <v>653</v>
      </c>
    </row>
    <row r="913" spans="1:5" x14ac:dyDescent="0.2">
      <c r="A913" s="19" t="str">
        <f t="shared" si="33"/>
        <v>IIEE-SJ - 221004</v>
      </c>
      <c r="B913" s="21">
        <v>221004</v>
      </c>
      <c r="E913" s="21" t="s">
        <v>654</v>
      </c>
    </row>
    <row r="914" spans="1:5" x14ac:dyDescent="0.2">
      <c r="A914" s="19" t="str">
        <f t="shared" si="33"/>
        <v>IIEE-SJ - 221005</v>
      </c>
      <c r="B914" s="21">
        <v>221005</v>
      </c>
      <c r="E914" s="21" t="s">
        <v>655</v>
      </c>
    </row>
    <row r="915" spans="1:5" x14ac:dyDescent="0.2">
      <c r="A915" s="19" t="str">
        <f t="shared" si="33"/>
        <v>IIEE-SJ - 221006</v>
      </c>
      <c r="B915" s="21">
        <v>221006</v>
      </c>
      <c r="E915" s="21" t="s">
        <v>656</v>
      </c>
    </row>
    <row r="916" spans="1:5" x14ac:dyDescent="0.2">
      <c r="A916" s="19"/>
    </row>
    <row r="917" spans="1:5" x14ac:dyDescent="0.2">
      <c r="A917" s="19" t="str">
        <f t="shared" ref="A917:A933" si="34">CONCATENATE("IIEE-SJ - ",B917)</f>
        <v>IIEE-SJ - 222</v>
      </c>
      <c r="B917" s="21">
        <v>222</v>
      </c>
      <c r="E917" s="21" t="s">
        <v>896</v>
      </c>
    </row>
    <row r="918" spans="1:5" x14ac:dyDescent="0.2">
      <c r="A918" s="19" t="str">
        <f t="shared" si="34"/>
        <v>IIEE-SJ - 222001</v>
      </c>
      <c r="B918" s="21">
        <v>222001</v>
      </c>
      <c r="E918" s="21" t="s">
        <v>657</v>
      </c>
    </row>
    <row r="919" spans="1:5" x14ac:dyDescent="0.2">
      <c r="A919" s="19" t="str">
        <f t="shared" si="34"/>
        <v>IIEE-SJ - 222002</v>
      </c>
      <c r="B919" s="21">
        <v>222002</v>
      </c>
      <c r="E919" s="21" t="s">
        <v>658</v>
      </c>
    </row>
    <row r="920" spans="1:5" x14ac:dyDescent="0.2">
      <c r="A920" s="19" t="str">
        <f t="shared" si="34"/>
        <v>IIEE-SJ - 222003</v>
      </c>
      <c r="B920" s="21">
        <v>222003</v>
      </c>
      <c r="E920" s="21" t="s">
        <v>659</v>
      </c>
    </row>
    <row r="921" spans="1:5" x14ac:dyDescent="0.2">
      <c r="A921" s="19" t="str">
        <f t="shared" si="34"/>
        <v>IIEE-SJ - 222004</v>
      </c>
      <c r="B921" s="21">
        <v>222004</v>
      </c>
      <c r="E921" s="21" t="s">
        <v>660</v>
      </c>
    </row>
    <row r="922" spans="1:5" x14ac:dyDescent="0.2">
      <c r="A922" s="19" t="str">
        <f t="shared" si="34"/>
        <v>IIEE-SJ - 222005</v>
      </c>
      <c r="B922" s="21">
        <v>222005</v>
      </c>
      <c r="E922" s="21" t="s">
        <v>661</v>
      </c>
    </row>
    <row r="923" spans="1:5" x14ac:dyDescent="0.2">
      <c r="A923" s="19" t="str">
        <f t="shared" si="34"/>
        <v>IIEE-SJ - 222006</v>
      </c>
      <c r="B923" s="21">
        <v>222006</v>
      </c>
      <c r="E923" s="21" t="s">
        <v>662</v>
      </c>
    </row>
    <row r="924" spans="1:5" x14ac:dyDescent="0.2">
      <c r="A924" s="19" t="str">
        <f t="shared" si="34"/>
        <v>IIEE-SJ - 222007</v>
      </c>
      <c r="B924" s="21">
        <v>222007</v>
      </c>
      <c r="E924" s="21" t="s">
        <v>663</v>
      </c>
    </row>
    <row r="925" spans="1:5" x14ac:dyDescent="0.2">
      <c r="A925" s="19" t="str">
        <f t="shared" si="34"/>
        <v>IIEE-SJ - 222008</v>
      </c>
      <c r="B925" s="21">
        <v>222008</v>
      </c>
      <c r="E925" s="21" t="s">
        <v>664</v>
      </c>
    </row>
    <row r="926" spans="1:5" x14ac:dyDescent="0.2">
      <c r="A926" s="19" t="str">
        <f t="shared" si="34"/>
        <v>IIEE-SJ - 222009</v>
      </c>
      <c r="B926" s="21">
        <v>222009</v>
      </c>
      <c r="E926" s="21" t="s">
        <v>665</v>
      </c>
    </row>
    <row r="927" spans="1:5" x14ac:dyDescent="0.2">
      <c r="A927" s="19" t="str">
        <f t="shared" si="34"/>
        <v>IIEE-SJ - 222010</v>
      </c>
      <c r="B927" s="21">
        <v>222010</v>
      </c>
      <c r="E927" s="21" t="s">
        <v>666</v>
      </c>
    </row>
    <row r="928" spans="1:5" x14ac:dyDescent="0.2">
      <c r="A928" s="19" t="str">
        <f t="shared" si="34"/>
        <v>IIEE-SJ - 222011</v>
      </c>
      <c r="B928" s="21">
        <v>222011</v>
      </c>
      <c r="E928" s="21" t="s">
        <v>667</v>
      </c>
    </row>
    <row r="929" spans="1:5" x14ac:dyDescent="0.2">
      <c r="A929" s="19" t="str">
        <f t="shared" si="34"/>
        <v>IIEE-SJ - 222012</v>
      </c>
      <c r="B929" s="21">
        <v>222012</v>
      </c>
      <c r="E929" s="21" t="s">
        <v>668</v>
      </c>
    </row>
    <row r="930" spans="1:5" x14ac:dyDescent="0.2">
      <c r="A930" s="19" t="str">
        <f t="shared" si="34"/>
        <v>IIEE-SJ - 222013</v>
      </c>
      <c r="B930" s="21">
        <v>222013</v>
      </c>
      <c r="E930" s="21" t="s">
        <v>669</v>
      </c>
    </row>
    <row r="931" spans="1:5" x14ac:dyDescent="0.2">
      <c r="A931" s="19" t="str">
        <f t="shared" si="34"/>
        <v>IIEE-SJ - 222014</v>
      </c>
      <c r="B931" s="21">
        <v>222014</v>
      </c>
      <c r="E931" s="21" t="s">
        <v>670</v>
      </c>
    </row>
    <row r="932" spans="1:5" x14ac:dyDescent="0.2">
      <c r="A932" s="19" t="str">
        <f t="shared" si="34"/>
        <v>IIEE-SJ - 222015</v>
      </c>
      <c r="B932" s="21">
        <v>222015</v>
      </c>
      <c r="E932" s="21" t="s">
        <v>671</v>
      </c>
    </row>
    <row r="933" spans="1:5" x14ac:dyDescent="0.2">
      <c r="A933" s="19" t="str">
        <f t="shared" si="34"/>
        <v>IIEE-SJ - 222016</v>
      </c>
      <c r="B933" s="21">
        <v>222016</v>
      </c>
      <c r="E933" s="21" t="s">
        <v>672</v>
      </c>
    </row>
    <row r="934" spans="1:5" x14ac:dyDescent="0.2">
      <c r="A934" s="19"/>
    </row>
    <row r="935" spans="1:5" x14ac:dyDescent="0.2">
      <c r="A935" s="19" t="str">
        <f t="shared" ref="A935:A945" si="35">CONCATENATE("IIEE-SJ - ",B935)</f>
        <v>IIEE-SJ - 223</v>
      </c>
      <c r="B935" s="21">
        <v>223</v>
      </c>
      <c r="E935" s="21" t="s">
        <v>897</v>
      </c>
    </row>
    <row r="936" spans="1:5" x14ac:dyDescent="0.2">
      <c r="A936" s="19" t="str">
        <f t="shared" si="35"/>
        <v>IIEE-SJ - 223001</v>
      </c>
      <c r="B936" s="21">
        <v>223001</v>
      </c>
      <c r="E936" s="21" t="s">
        <v>673</v>
      </c>
    </row>
    <row r="937" spans="1:5" x14ac:dyDescent="0.2">
      <c r="A937" s="19" t="str">
        <f t="shared" si="35"/>
        <v>IIEE-SJ - 223002</v>
      </c>
      <c r="B937" s="21">
        <v>223002</v>
      </c>
      <c r="E937" s="21" t="s">
        <v>674</v>
      </c>
    </row>
    <row r="938" spans="1:5" x14ac:dyDescent="0.2">
      <c r="A938" s="19" t="str">
        <f t="shared" si="35"/>
        <v>IIEE-SJ - 223003</v>
      </c>
      <c r="B938" s="21">
        <v>223003</v>
      </c>
      <c r="E938" s="21" t="s">
        <v>675</v>
      </c>
    </row>
    <row r="939" spans="1:5" x14ac:dyDescent="0.2">
      <c r="A939" s="19" t="str">
        <f t="shared" si="35"/>
        <v>IIEE-SJ - 223004</v>
      </c>
      <c r="B939" s="21">
        <v>223004</v>
      </c>
      <c r="E939" s="21" t="s">
        <v>676</v>
      </c>
    </row>
    <row r="940" spans="1:5" x14ac:dyDescent="0.2">
      <c r="A940" s="19" t="str">
        <f t="shared" si="35"/>
        <v>IIEE-SJ - 223005</v>
      </c>
      <c r="B940" s="21">
        <v>223005</v>
      </c>
      <c r="E940" s="21" t="s">
        <v>677</v>
      </c>
    </row>
    <row r="941" spans="1:5" x14ac:dyDescent="0.2">
      <c r="A941" s="19" t="str">
        <f t="shared" si="35"/>
        <v>IIEE-SJ - 223006</v>
      </c>
      <c r="B941" s="21">
        <v>223006</v>
      </c>
      <c r="E941" s="21" t="s">
        <v>678</v>
      </c>
    </row>
    <row r="942" spans="1:5" x14ac:dyDescent="0.2">
      <c r="A942" s="19" t="str">
        <f t="shared" si="35"/>
        <v>IIEE-SJ - 223007</v>
      </c>
      <c r="B942" s="21">
        <v>223007</v>
      </c>
      <c r="E942" s="21" t="s">
        <v>679</v>
      </c>
    </row>
    <row r="943" spans="1:5" x14ac:dyDescent="0.2">
      <c r="A943" s="19" t="str">
        <f t="shared" si="35"/>
        <v>IIEE-SJ - 223008</v>
      </c>
      <c r="B943" s="21">
        <v>223008</v>
      </c>
      <c r="E943" s="21" t="s">
        <v>680</v>
      </c>
    </row>
    <row r="944" spans="1:5" x14ac:dyDescent="0.2">
      <c r="A944" s="19" t="str">
        <f t="shared" si="35"/>
        <v>IIEE-SJ - 223009</v>
      </c>
      <c r="B944" s="21">
        <v>223009</v>
      </c>
      <c r="E944" s="21" t="s">
        <v>681</v>
      </c>
    </row>
    <row r="945" spans="1:5" x14ac:dyDescent="0.2">
      <c r="A945" s="19" t="str">
        <f t="shared" si="35"/>
        <v>IIEE-SJ - 223010</v>
      </c>
      <c r="B945" s="21">
        <v>223010</v>
      </c>
      <c r="E945" s="21" t="s">
        <v>682</v>
      </c>
    </row>
    <row r="946" spans="1:5" x14ac:dyDescent="0.2">
      <c r="A946" s="19"/>
    </row>
    <row r="947" spans="1:5" x14ac:dyDescent="0.2">
      <c r="A947" s="19" t="str">
        <f>CONCATENATE("IIEE-SJ - ",B947)</f>
        <v>IIEE-SJ - 224</v>
      </c>
      <c r="B947" s="21">
        <v>224</v>
      </c>
      <c r="E947" s="21" t="s">
        <v>303</v>
      </c>
    </row>
    <row r="948" spans="1:5" x14ac:dyDescent="0.2">
      <c r="A948" s="19" t="str">
        <f>CONCATENATE("IIEE-SJ - ",B948)</f>
        <v>IIEE-SJ - 224001</v>
      </c>
      <c r="B948" s="21">
        <v>224001</v>
      </c>
      <c r="E948" s="21" t="s">
        <v>687</v>
      </c>
    </row>
    <row r="949" spans="1:5" x14ac:dyDescent="0.2">
      <c r="A949" s="19" t="str">
        <f>CONCATENATE("IIEE-SJ - ",B949)</f>
        <v>IIEE-SJ - 224002</v>
      </c>
      <c r="B949" s="21">
        <v>224002</v>
      </c>
      <c r="E949" s="21" t="s">
        <v>688</v>
      </c>
    </row>
    <row r="950" spans="1:5" x14ac:dyDescent="0.2">
      <c r="A950" s="19"/>
    </row>
    <row r="951" spans="1:5" x14ac:dyDescent="0.2">
      <c r="A951" s="19" t="str">
        <f>CONCATENATE("IIEE-SJ - ",B951)</f>
        <v>IIEE-SJ - 225</v>
      </c>
      <c r="B951" s="21">
        <v>225</v>
      </c>
      <c r="E951" s="21" t="s">
        <v>898</v>
      </c>
    </row>
    <row r="952" spans="1:5" x14ac:dyDescent="0.2">
      <c r="A952" s="19" t="str">
        <f>CONCATENATE("IIEE-SJ - ",B952)</f>
        <v>IIEE-SJ - 225001</v>
      </c>
      <c r="B952" s="21">
        <v>225001</v>
      </c>
      <c r="E952" s="21" t="s">
        <v>709</v>
      </c>
    </row>
    <row r="953" spans="1:5" x14ac:dyDescent="0.2">
      <c r="A953" s="19" t="str">
        <f>CONCATENATE("IIEE-SJ - ",B953)</f>
        <v>IIEE-SJ - 225002</v>
      </c>
      <c r="B953" s="21">
        <v>225002</v>
      </c>
      <c r="E953" s="21" t="s">
        <v>710</v>
      </c>
    </row>
    <row r="954" spans="1:5" x14ac:dyDescent="0.2">
      <c r="A954" s="19"/>
    </row>
    <row r="955" spans="1:5" x14ac:dyDescent="0.2">
      <c r="A955" s="19" t="str">
        <f t="shared" ref="A955:A960" si="36">CONCATENATE("IIEE-SJ - ",B955)</f>
        <v>IIEE-SJ - 226</v>
      </c>
      <c r="B955" s="21">
        <v>226</v>
      </c>
      <c r="E955" s="21" t="s">
        <v>899</v>
      </c>
    </row>
    <row r="956" spans="1:5" x14ac:dyDescent="0.2">
      <c r="A956" s="19" t="str">
        <f t="shared" si="36"/>
        <v>IIEE-SJ - 226001</v>
      </c>
      <c r="B956" s="21">
        <v>226001</v>
      </c>
      <c r="E956" s="21" t="s">
        <v>695</v>
      </c>
    </row>
    <row r="957" spans="1:5" x14ac:dyDescent="0.2">
      <c r="A957" s="19" t="str">
        <f t="shared" si="36"/>
        <v>IIEE-SJ - 226002</v>
      </c>
      <c r="B957" s="21">
        <v>226002</v>
      </c>
      <c r="E957" s="21" t="s">
        <v>696</v>
      </c>
    </row>
    <row r="958" spans="1:5" x14ac:dyDescent="0.2">
      <c r="A958" s="19" t="str">
        <f t="shared" si="36"/>
        <v>IIEE-SJ - 226003</v>
      </c>
      <c r="B958" s="21">
        <v>226003</v>
      </c>
      <c r="E958" s="21" t="s">
        <v>697</v>
      </c>
    </row>
    <row r="959" spans="1:5" x14ac:dyDescent="0.2">
      <c r="A959" s="19" t="str">
        <f t="shared" si="36"/>
        <v>IIEE-SJ - 226004</v>
      </c>
      <c r="B959" s="21">
        <v>226004</v>
      </c>
      <c r="E959" s="21" t="s">
        <v>711</v>
      </c>
    </row>
    <row r="960" spans="1:5" x14ac:dyDescent="0.2">
      <c r="A960" s="19" t="str">
        <f t="shared" si="36"/>
        <v>IIEE-SJ - 226005</v>
      </c>
      <c r="B960" s="21">
        <v>226005</v>
      </c>
      <c r="E960" s="21" t="s">
        <v>712</v>
      </c>
    </row>
    <row r="961" spans="1:5" x14ac:dyDescent="0.2">
      <c r="A961" s="19"/>
    </row>
    <row r="962" spans="1:5" x14ac:dyDescent="0.2">
      <c r="A962" s="19" t="str">
        <f t="shared" ref="A962:A969" si="37">CONCATENATE("IIEE-SJ - ",B962)</f>
        <v>IIEE-SJ - 227</v>
      </c>
      <c r="B962" s="21">
        <v>227</v>
      </c>
      <c r="E962" s="21" t="s">
        <v>900</v>
      </c>
    </row>
    <row r="963" spans="1:5" x14ac:dyDescent="0.2">
      <c r="A963" s="19" t="str">
        <f t="shared" si="37"/>
        <v>IIEE-SJ - 227001</v>
      </c>
      <c r="B963" s="21">
        <v>227001</v>
      </c>
      <c r="E963" s="21" t="s">
        <v>703</v>
      </c>
    </row>
    <row r="964" spans="1:5" x14ac:dyDescent="0.2">
      <c r="A964" s="19" t="str">
        <f t="shared" si="37"/>
        <v>IIEE-SJ - 227002</v>
      </c>
      <c r="B964" s="21">
        <v>227002</v>
      </c>
      <c r="E964" s="21" t="s">
        <v>704</v>
      </c>
    </row>
    <row r="965" spans="1:5" x14ac:dyDescent="0.2">
      <c r="A965" s="19" t="str">
        <f t="shared" si="37"/>
        <v>IIEE-SJ - 227003</v>
      </c>
      <c r="B965" s="21">
        <v>227003</v>
      </c>
      <c r="E965" s="21" t="s">
        <v>705</v>
      </c>
    </row>
    <row r="966" spans="1:5" x14ac:dyDescent="0.2">
      <c r="A966" s="19" t="str">
        <f t="shared" si="37"/>
        <v>IIEE-SJ - 227004</v>
      </c>
      <c r="B966" s="21">
        <v>227004</v>
      </c>
      <c r="E966" s="21" t="s">
        <v>706</v>
      </c>
    </row>
    <row r="967" spans="1:5" x14ac:dyDescent="0.2">
      <c r="A967" s="19" t="str">
        <f t="shared" si="37"/>
        <v>IIEE-SJ - 227005</v>
      </c>
      <c r="B967" s="21">
        <v>227005</v>
      </c>
      <c r="E967" s="21" t="s">
        <v>707</v>
      </c>
    </row>
    <row r="968" spans="1:5" x14ac:dyDescent="0.2">
      <c r="A968" s="19" t="str">
        <f t="shared" si="37"/>
        <v>IIEE-SJ - 227006</v>
      </c>
      <c r="B968" s="21">
        <v>227006</v>
      </c>
      <c r="E968" s="21" t="s">
        <v>708</v>
      </c>
    </row>
    <row r="969" spans="1:5" x14ac:dyDescent="0.2">
      <c r="A969" s="19" t="str">
        <f t="shared" si="37"/>
        <v>IIEE-SJ - 227007</v>
      </c>
      <c r="B969" s="21">
        <v>227007</v>
      </c>
      <c r="E969" s="21" t="s">
        <v>702</v>
      </c>
    </row>
  </sheetData>
  <sheetProtection password="E676" sheet="1" objects="1" scenarios="1"/>
  <autoFilter ref="B1:D969"/>
  <mergeCells count="40">
    <mergeCell ref="B530:D530"/>
    <mergeCell ref="A530:A531"/>
    <mergeCell ref="E530:E531"/>
    <mergeCell ref="B531:D531"/>
    <mergeCell ref="B487:B488"/>
    <mergeCell ref="E487:E488"/>
    <mergeCell ref="F487:F488"/>
    <mergeCell ref="G487:G488"/>
    <mergeCell ref="B511:B512"/>
    <mergeCell ref="E511:E512"/>
    <mergeCell ref="F511:F512"/>
    <mergeCell ref="G511:G512"/>
    <mergeCell ref="B303:D303"/>
    <mergeCell ref="A303:A304"/>
    <mergeCell ref="E303:E304"/>
    <mergeCell ref="B304:D304"/>
    <mergeCell ref="B450:D450"/>
    <mergeCell ref="A450:A451"/>
    <mergeCell ref="E450:E451"/>
    <mergeCell ref="B451:D451"/>
    <mergeCell ref="B273:D273"/>
    <mergeCell ref="A273:A274"/>
    <mergeCell ref="E273:E274"/>
    <mergeCell ref="B274:D274"/>
    <mergeCell ref="B288:D288"/>
    <mergeCell ref="A288:A289"/>
    <mergeCell ref="E288:E289"/>
    <mergeCell ref="B289:D289"/>
    <mergeCell ref="B237:D238"/>
    <mergeCell ref="A237:A238"/>
    <mergeCell ref="E237:E238"/>
    <mergeCell ref="B264:D265"/>
    <mergeCell ref="A264:A265"/>
    <mergeCell ref="E264:E265"/>
    <mergeCell ref="A3:A4"/>
    <mergeCell ref="E3:E4"/>
    <mergeCell ref="B225:D225"/>
    <mergeCell ref="A225:A226"/>
    <mergeCell ref="E225:E226"/>
    <mergeCell ref="B226:D226"/>
  </mergeCells>
  <pageMargins left="0.75" right="0.75" top="1" bottom="1" header="0" footer="0"/>
  <pageSetup paperSize="9" scale="65" orientation="landscape"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dimension ref="A1:S827"/>
  <sheetViews>
    <sheetView topLeftCell="C217" workbookViewId="0">
      <selection activeCell="C228" sqref="C228"/>
    </sheetView>
  </sheetViews>
  <sheetFormatPr baseColWidth="10" defaultColWidth="11.42578125" defaultRowHeight="15" x14ac:dyDescent="0.2"/>
  <cols>
    <col min="1" max="1" width="11.42578125" style="551"/>
    <col min="2" max="2" width="23" style="551" bestFit="1" customWidth="1"/>
    <col min="3" max="3" width="61.7109375" style="551" customWidth="1"/>
    <col min="4" max="4" width="17.28515625" style="551" bestFit="1" customWidth="1"/>
    <col min="5" max="16384" width="11.42578125" style="94"/>
  </cols>
  <sheetData>
    <row r="1" spans="1:19" x14ac:dyDescent="0.2">
      <c r="A1" s="368"/>
      <c r="B1" s="369" t="s">
        <v>1056</v>
      </c>
      <c r="C1" s="370" t="s">
        <v>1057</v>
      </c>
      <c r="D1" s="371"/>
      <c r="G1" s="372"/>
      <c r="H1" s="373" t="s">
        <v>1056</v>
      </c>
      <c r="I1" s="374" t="s">
        <v>1057</v>
      </c>
      <c r="J1" s="372"/>
      <c r="K1" s="372"/>
      <c r="L1" s="372"/>
      <c r="M1" s="372"/>
      <c r="N1" s="372"/>
      <c r="O1" s="375"/>
      <c r="P1" s="372"/>
      <c r="Q1" s="372"/>
      <c r="R1" s="372"/>
      <c r="S1" s="372"/>
    </row>
    <row r="2" spans="1:19" ht="15.75" thickBot="1" x14ac:dyDescent="0.25">
      <c r="A2" s="368"/>
      <c r="B2" s="369"/>
      <c r="C2" s="370"/>
      <c r="D2" s="371"/>
      <c r="G2" s="372"/>
      <c r="H2" s="376"/>
      <c r="I2" s="377"/>
      <c r="J2" s="372"/>
      <c r="K2" s="372"/>
      <c r="L2" s="372"/>
      <c r="M2" s="372"/>
      <c r="N2" s="372"/>
      <c r="O2" s="375"/>
      <c r="P2" s="372"/>
      <c r="Q2" s="372"/>
      <c r="R2" s="372"/>
      <c r="S2" s="372"/>
    </row>
    <row r="3" spans="1:19" x14ac:dyDescent="0.2">
      <c r="A3" s="378">
        <v>1</v>
      </c>
      <c r="B3" s="379" t="s">
        <v>1058</v>
      </c>
      <c r="C3" s="380" t="s">
        <v>1059</v>
      </c>
      <c r="D3" s="371"/>
      <c r="G3" s="372"/>
      <c r="H3" s="381">
        <v>1</v>
      </c>
      <c r="I3" s="382"/>
      <c r="J3" s="383"/>
      <c r="K3" s="384" t="s">
        <v>1059</v>
      </c>
      <c r="L3" s="385"/>
      <c r="M3" s="385"/>
      <c r="N3" s="385"/>
      <c r="O3" s="386"/>
      <c r="P3" s="372"/>
      <c r="Q3" s="387">
        <f>H3</f>
        <v>1</v>
      </c>
      <c r="R3" s="377" t="str">
        <f>CONCATENATE("II-",TEXT(Q3,"0000"))</f>
        <v>II-0001</v>
      </c>
      <c r="S3" s="388" t="str">
        <f>K3</f>
        <v xml:space="preserve"> ACERO EN BARRA COLOCADO</v>
      </c>
    </row>
    <row r="4" spans="1:19" x14ac:dyDescent="0.2">
      <c r="A4" s="378"/>
      <c r="B4" s="379"/>
      <c r="C4" s="380"/>
      <c r="D4" s="371"/>
      <c r="G4" s="372"/>
      <c r="H4" s="389"/>
      <c r="I4" s="390" t="s">
        <v>1060</v>
      </c>
      <c r="J4" s="391"/>
      <c r="K4" s="392" t="s">
        <v>1061</v>
      </c>
      <c r="L4" s="393"/>
      <c r="M4" s="393"/>
      <c r="N4" s="393"/>
      <c r="O4" s="394"/>
      <c r="P4" s="372"/>
      <c r="Q4" s="372"/>
      <c r="R4" s="372"/>
      <c r="S4" s="372"/>
    </row>
    <row r="5" spans="1:19" x14ac:dyDescent="0.2">
      <c r="A5" s="378">
        <v>1</v>
      </c>
      <c r="B5" s="379" t="s">
        <v>1062</v>
      </c>
      <c r="C5" s="380" t="s">
        <v>1063</v>
      </c>
      <c r="D5" s="395" t="s">
        <v>1064</v>
      </c>
      <c r="G5" s="372"/>
      <c r="H5" s="389"/>
      <c r="I5" s="396"/>
      <c r="J5" s="397">
        <v>1</v>
      </c>
      <c r="K5" s="398"/>
      <c r="L5" s="399" t="s">
        <v>1065</v>
      </c>
      <c r="M5" s="398"/>
      <c r="N5" s="398"/>
      <c r="O5" s="400" t="s">
        <v>1064</v>
      </c>
      <c r="P5" s="372"/>
      <c r="Q5" s="387">
        <v>1</v>
      </c>
      <c r="R5" s="379" t="str">
        <f>CONCATENATE($R$3,".",TEXT(Q5,"0000"))</f>
        <v>II-0001.0001</v>
      </c>
      <c r="S5" s="372" t="str">
        <f t="shared" ref="S5:S12" si="0">CONCATENATE($E$4," ",L5)</f>
        <v xml:space="preserve"> Ø4</v>
      </c>
    </row>
    <row r="6" spans="1:19" x14ac:dyDescent="0.2">
      <c r="A6" s="378">
        <v>2</v>
      </c>
      <c r="B6" s="371" t="s">
        <v>1066</v>
      </c>
      <c r="C6" s="380" t="s">
        <v>1067</v>
      </c>
      <c r="D6" s="395" t="s">
        <v>1064</v>
      </c>
      <c r="G6" s="372"/>
      <c r="H6" s="389"/>
      <c r="I6" s="396"/>
      <c r="J6" s="397">
        <v>2</v>
      </c>
      <c r="K6" s="398"/>
      <c r="L6" s="399" t="s">
        <v>1068</v>
      </c>
      <c r="M6" s="398"/>
      <c r="N6" s="398"/>
      <c r="O6" s="400" t="s">
        <v>1064</v>
      </c>
      <c r="P6" s="372"/>
      <c r="Q6" s="387">
        <v>2</v>
      </c>
      <c r="R6" s="379" t="str">
        <f t="shared" ref="R6:R30" si="1">CONCATENATE($R$3,".",TEXT(Q6,"0000"))</f>
        <v>II-0001.0002</v>
      </c>
      <c r="S6" s="372" t="str">
        <f t="shared" si="0"/>
        <v xml:space="preserve"> Ø6</v>
      </c>
    </row>
    <row r="7" spans="1:19" x14ac:dyDescent="0.2">
      <c r="A7" s="378">
        <v>3</v>
      </c>
      <c r="B7" s="371" t="s">
        <v>1069</v>
      </c>
      <c r="C7" s="380" t="s">
        <v>1070</v>
      </c>
      <c r="D7" s="395" t="s">
        <v>1064</v>
      </c>
      <c r="G7" s="372"/>
      <c r="H7" s="389"/>
      <c r="I7" s="396"/>
      <c r="J7" s="397">
        <v>3</v>
      </c>
      <c r="K7" s="398"/>
      <c r="L7" s="399" t="s">
        <v>1071</v>
      </c>
      <c r="M7" s="398"/>
      <c r="N7" s="398"/>
      <c r="O7" s="400" t="s">
        <v>1064</v>
      </c>
      <c r="P7" s="372"/>
      <c r="Q7" s="387">
        <v>3</v>
      </c>
      <c r="R7" s="379" t="str">
        <f t="shared" si="1"/>
        <v>II-0001.0003</v>
      </c>
      <c r="S7" s="372" t="str">
        <f t="shared" si="0"/>
        <v xml:space="preserve"> Ø8</v>
      </c>
    </row>
    <row r="8" spans="1:19" x14ac:dyDescent="0.2">
      <c r="A8" s="378">
        <v>4</v>
      </c>
      <c r="B8" s="401" t="s">
        <v>1072</v>
      </c>
      <c r="C8" s="402" t="s">
        <v>1073</v>
      </c>
      <c r="D8" s="395" t="s">
        <v>1064</v>
      </c>
      <c r="G8" s="372"/>
      <c r="H8" s="389"/>
      <c r="I8" s="396"/>
      <c r="J8" s="397">
        <v>4</v>
      </c>
      <c r="K8" s="398"/>
      <c r="L8" s="399" t="s">
        <v>1074</v>
      </c>
      <c r="M8" s="398"/>
      <c r="N8" s="398"/>
      <c r="O8" s="400" t="s">
        <v>1064</v>
      </c>
      <c r="P8" s="372"/>
      <c r="Q8" s="387">
        <v>4</v>
      </c>
      <c r="R8" s="379" t="str">
        <f t="shared" si="1"/>
        <v>II-0001.0004</v>
      </c>
      <c r="S8" s="372" t="str">
        <f t="shared" si="0"/>
        <v xml:space="preserve"> Ø10</v>
      </c>
    </row>
    <row r="9" spans="1:19" x14ac:dyDescent="0.2">
      <c r="A9" s="378">
        <v>5</v>
      </c>
      <c r="B9" s="379" t="s">
        <v>1075</v>
      </c>
      <c r="C9" s="380" t="s">
        <v>1076</v>
      </c>
      <c r="D9" s="395" t="s">
        <v>1064</v>
      </c>
      <c r="G9" s="372"/>
      <c r="H9" s="389"/>
      <c r="I9" s="396"/>
      <c r="J9" s="397">
        <v>5</v>
      </c>
      <c r="K9" s="398"/>
      <c r="L9" s="399" t="s">
        <v>1077</v>
      </c>
      <c r="M9" s="398"/>
      <c r="N9" s="398"/>
      <c r="O9" s="400" t="s">
        <v>1064</v>
      </c>
      <c r="P9" s="372"/>
      <c r="Q9" s="387">
        <v>5</v>
      </c>
      <c r="R9" s="379" t="str">
        <f t="shared" si="1"/>
        <v>II-0001.0005</v>
      </c>
      <c r="S9" s="372" t="str">
        <f t="shared" si="0"/>
        <v xml:space="preserve"> Ø12</v>
      </c>
    </row>
    <row r="10" spans="1:19" x14ac:dyDescent="0.2">
      <c r="A10" s="378">
        <v>6</v>
      </c>
      <c r="B10" s="379" t="s">
        <v>1078</v>
      </c>
      <c r="C10" s="380" t="s">
        <v>1079</v>
      </c>
      <c r="D10" s="395" t="s">
        <v>1064</v>
      </c>
      <c r="G10" s="372"/>
      <c r="H10" s="389"/>
      <c r="I10" s="396"/>
      <c r="J10" s="397">
        <v>6</v>
      </c>
      <c r="K10" s="398"/>
      <c r="L10" s="399" t="s">
        <v>1080</v>
      </c>
      <c r="M10" s="398"/>
      <c r="N10" s="398"/>
      <c r="O10" s="400" t="s">
        <v>1064</v>
      </c>
      <c r="P10" s="372"/>
      <c r="Q10" s="387">
        <v>6</v>
      </c>
      <c r="R10" s="379" t="str">
        <f t="shared" si="1"/>
        <v>II-0001.0006</v>
      </c>
      <c r="S10" s="372" t="str">
        <f t="shared" si="0"/>
        <v xml:space="preserve"> Ø16</v>
      </c>
    </row>
    <row r="11" spans="1:19" x14ac:dyDescent="0.2">
      <c r="A11" s="378">
        <v>7</v>
      </c>
      <c r="B11" s="379" t="s">
        <v>1081</v>
      </c>
      <c r="C11" s="380" t="s">
        <v>1082</v>
      </c>
      <c r="D11" s="395" t="s">
        <v>1064</v>
      </c>
      <c r="G11" s="372"/>
      <c r="H11" s="389"/>
      <c r="I11" s="396"/>
      <c r="J11" s="397">
        <v>7</v>
      </c>
      <c r="K11" s="398"/>
      <c r="L11" s="399" t="s">
        <v>1083</v>
      </c>
      <c r="M11" s="398"/>
      <c r="N11" s="398"/>
      <c r="O11" s="400" t="s">
        <v>1064</v>
      </c>
      <c r="P11" s="372"/>
      <c r="Q11" s="387">
        <v>7</v>
      </c>
      <c r="R11" s="379" t="str">
        <f t="shared" si="1"/>
        <v>II-0001.0007</v>
      </c>
      <c r="S11" s="372" t="str">
        <f t="shared" si="0"/>
        <v xml:space="preserve"> Ø18</v>
      </c>
    </row>
    <row r="12" spans="1:19" x14ac:dyDescent="0.2">
      <c r="A12" s="378">
        <v>8</v>
      </c>
      <c r="B12" s="371" t="s">
        <v>1084</v>
      </c>
      <c r="C12" s="380" t="s">
        <v>1085</v>
      </c>
      <c r="D12" s="395" t="s">
        <v>1064</v>
      </c>
      <c r="G12" s="372"/>
      <c r="H12" s="389"/>
      <c r="I12" s="396"/>
      <c r="J12" s="403">
        <v>8</v>
      </c>
      <c r="K12" s="404"/>
      <c r="L12" s="405" t="s">
        <v>1086</v>
      </c>
      <c r="M12" s="404"/>
      <c r="N12" s="404"/>
      <c r="O12" s="406" t="s">
        <v>1064</v>
      </c>
      <c r="P12" s="372"/>
      <c r="Q12" s="387">
        <v>8</v>
      </c>
      <c r="R12" s="379" t="str">
        <f t="shared" si="1"/>
        <v>II-0001.0008</v>
      </c>
      <c r="S12" s="372" t="str">
        <f t="shared" si="0"/>
        <v xml:space="preserve"> Ø20</v>
      </c>
    </row>
    <row r="13" spans="1:19" x14ac:dyDescent="0.2">
      <c r="A13" s="378"/>
      <c r="B13" s="371"/>
      <c r="C13" s="380"/>
      <c r="D13" s="395"/>
      <c r="G13" s="372"/>
      <c r="H13" s="389"/>
      <c r="I13" s="390" t="s">
        <v>1087</v>
      </c>
      <c r="J13" s="396"/>
      <c r="K13" s="407" t="s">
        <v>1088</v>
      </c>
      <c r="L13" s="393"/>
      <c r="M13" s="393"/>
      <c r="N13" s="393"/>
      <c r="O13" s="394"/>
      <c r="P13" s="372"/>
      <c r="Q13" s="372"/>
      <c r="R13" s="372"/>
      <c r="S13" s="372"/>
    </row>
    <row r="14" spans="1:19" x14ac:dyDescent="0.2">
      <c r="A14" s="378">
        <v>20</v>
      </c>
      <c r="B14" s="401" t="s">
        <v>1089</v>
      </c>
      <c r="C14" s="402" t="s">
        <v>1063</v>
      </c>
      <c r="D14" s="395" t="s">
        <v>1064</v>
      </c>
      <c r="G14" s="372"/>
      <c r="H14" s="389"/>
      <c r="I14" s="396"/>
      <c r="J14" s="397">
        <v>1</v>
      </c>
      <c r="K14" s="398"/>
      <c r="L14" s="399" t="s">
        <v>1065</v>
      </c>
      <c r="M14" s="398"/>
      <c r="N14" s="398"/>
      <c r="O14" s="400" t="s">
        <v>1064</v>
      </c>
      <c r="P14" s="372"/>
      <c r="Q14" s="387">
        <v>20</v>
      </c>
      <c r="R14" s="379" t="str">
        <f t="shared" si="1"/>
        <v>II-0001.0020</v>
      </c>
      <c r="S14" s="372" t="str">
        <f t="shared" ref="S14:S21" si="2">CONCATENATE($E$13," ",L14)</f>
        <v xml:space="preserve"> Ø4</v>
      </c>
    </row>
    <row r="15" spans="1:19" x14ac:dyDescent="0.2">
      <c r="A15" s="378">
        <v>21</v>
      </c>
      <c r="B15" s="379" t="s">
        <v>1090</v>
      </c>
      <c r="C15" s="380" t="s">
        <v>1067</v>
      </c>
      <c r="D15" s="395" t="s">
        <v>1064</v>
      </c>
      <c r="G15" s="372"/>
      <c r="H15" s="389"/>
      <c r="I15" s="396"/>
      <c r="J15" s="397">
        <v>2</v>
      </c>
      <c r="K15" s="398"/>
      <c r="L15" s="399" t="s">
        <v>1068</v>
      </c>
      <c r="M15" s="398"/>
      <c r="N15" s="398"/>
      <c r="O15" s="400" t="s">
        <v>1064</v>
      </c>
      <c r="P15" s="372"/>
      <c r="Q15" s="387">
        <v>21</v>
      </c>
      <c r="R15" s="379" t="str">
        <f t="shared" si="1"/>
        <v>II-0001.0021</v>
      </c>
      <c r="S15" s="372" t="str">
        <f t="shared" si="2"/>
        <v xml:space="preserve"> Ø6</v>
      </c>
    </row>
    <row r="16" spans="1:19" x14ac:dyDescent="0.2">
      <c r="A16" s="378">
        <v>22</v>
      </c>
      <c r="B16" s="379" t="s">
        <v>1091</v>
      </c>
      <c r="C16" s="380" t="s">
        <v>1070</v>
      </c>
      <c r="D16" s="395" t="s">
        <v>1064</v>
      </c>
      <c r="G16" s="372"/>
      <c r="H16" s="389"/>
      <c r="I16" s="396"/>
      <c r="J16" s="397">
        <v>3</v>
      </c>
      <c r="K16" s="398"/>
      <c r="L16" s="399" t="s">
        <v>1071</v>
      </c>
      <c r="M16" s="398"/>
      <c r="N16" s="398"/>
      <c r="O16" s="400" t="s">
        <v>1064</v>
      </c>
      <c r="P16" s="372"/>
      <c r="Q16" s="387">
        <v>22</v>
      </c>
      <c r="R16" s="379" t="str">
        <f t="shared" si="1"/>
        <v>II-0001.0022</v>
      </c>
      <c r="S16" s="372" t="str">
        <f t="shared" si="2"/>
        <v xml:space="preserve"> Ø8</v>
      </c>
    </row>
    <row r="17" spans="1:19" x14ac:dyDescent="0.2">
      <c r="A17" s="378">
        <v>23</v>
      </c>
      <c r="B17" s="379" t="s">
        <v>1092</v>
      </c>
      <c r="C17" s="380" t="s">
        <v>1073</v>
      </c>
      <c r="D17" s="395" t="s">
        <v>1064</v>
      </c>
      <c r="G17" s="372"/>
      <c r="H17" s="389"/>
      <c r="I17" s="396"/>
      <c r="J17" s="397">
        <v>4</v>
      </c>
      <c r="K17" s="398"/>
      <c r="L17" s="399" t="s">
        <v>1074</v>
      </c>
      <c r="M17" s="398"/>
      <c r="N17" s="398"/>
      <c r="O17" s="400" t="s">
        <v>1064</v>
      </c>
      <c r="P17" s="372"/>
      <c r="Q17" s="387">
        <v>23</v>
      </c>
      <c r="R17" s="379" t="str">
        <f t="shared" si="1"/>
        <v>II-0001.0023</v>
      </c>
      <c r="S17" s="372" t="str">
        <f t="shared" si="2"/>
        <v xml:space="preserve"> Ø10</v>
      </c>
    </row>
    <row r="18" spans="1:19" x14ac:dyDescent="0.2">
      <c r="A18" s="378">
        <v>24</v>
      </c>
      <c r="B18" s="379" t="s">
        <v>1093</v>
      </c>
      <c r="C18" s="380" t="s">
        <v>1076</v>
      </c>
      <c r="D18" s="395" t="s">
        <v>1064</v>
      </c>
      <c r="G18" s="372"/>
      <c r="H18" s="389"/>
      <c r="I18" s="396"/>
      <c r="J18" s="397">
        <v>5</v>
      </c>
      <c r="K18" s="398"/>
      <c r="L18" s="399" t="s">
        <v>1077</v>
      </c>
      <c r="M18" s="398"/>
      <c r="N18" s="398"/>
      <c r="O18" s="400" t="s">
        <v>1064</v>
      </c>
      <c r="P18" s="372"/>
      <c r="Q18" s="387">
        <v>24</v>
      </c>
      <c r="R18" s="379" t="str">
        <f t="shared" si="1"/>
        <v>II-0001.0024</v>
      </c>
      <c r="S18" s="372" t="str">
        <f t="shared" si="2"/>
        <v xml:space="preserve"> Ø12</v>
      </c>
    </row>
    <row r="19" spans="1:19" x14ac:dyDescent="0.2">
      <c r="A19" s="378">
        <v>25</v>
      </c>
      <c r="B19" s="371" t="s">
        <v>1094</v>
      </c>
      <c r="C19" s="380" t="s">
        <v>1079</v>
      </c>
      <c r="D19" s="395" t="s">
        <v>1064</v>
      </c>
      <c r="G19" s="372"/>
      <c r="H19" s="389"/>
      <c r="I19" s="396"/>
      <c r="J19" s="397">
        <v>6</v>
      </c>
      <c r="K19" s="398"/>
      <c r="L19" s="399" t="s">
        <v>1080</v>
      </c>
      <c r="M19" s="398"/>
      <c r="N19" s="398"/>
      <c r="O19" s="400" t="s">
        <v>1064</v>
      </c>
      <c r="P19" s="372"/>
      <c r="Q19" s="387">
        <v>25</v>
      </c>
      <c r="R19" s="379" t="str">
        <f t="shared" si="1"/>
        <v>II-0001.0025</v>
      </c>
      <c r="S19" s="372" t="str">
        <f t="shared" si="2"/>
        <v xml:space="preserve"> Ø16</v>
      </c>
    </row>
    <row r="20" spans="1:19" x14ac:dyDescent="0.2">
      <c r="A20" s="378">
        <v>26</v>
      </c>
      <c r="B20" s="371" t="s">
        <v>1095</v>
      </c>
      <c r="C20" s="380" t="s">
        <v>1082</v>
      </c>
      <c r="D20" s="395" t="s">
        <v>1064</v>
      </c>
      <c r="G20" s="372"/>
      <c r="H20" s="389"/>
      <c r="I20" s="396"/>
      <c r="J20" s="397">
        <v>7</v>
      </c>
      <c r="K20" s="398"/>
      <c r="L20" s="399" t="s">
        <v>1083</v>
      </c>
      <c r="M20" s="398"/>
      <c r="N20" s="398"/>
      <c r="O20" s="400" t="s">
        <v>1064</v>
      </c>
      <c r="P20" s="372"/>
      <c r="Q20" s="387">
        <v>26</v>
      </c>
      <c r="R20" s="379" t="str">
        <f t="shared" si="1"/>
        <v>II-0001.0026</v>
      </c>
      <c r="S20" s="372" t="str">
        <f t="shared" si="2"/>
        <v xml:space="preserve"> Ø18</v>
      </c>
    </row>
    <row r="21" spans="1:19" x14ac:dyDescent="0.2">
      <c r="A21" s="378">
        <v>27</v>
      </c>
      <c r="B21" s="401" t="s">
        <v>1096</v>
      </c>
      <c r="C21" s="402" t="s">
        <v>1085</v>
      </c>
      <c r="D21" s="395" t="s">
        <v>1064</v>
      </c>
      <c r="G21" s="372"/>
      <c r="H21" s="389"/>
      <c r="I21" s="408"/>
      <c r="J21" s="403">
        <v>8</v>
      </c>
      <c r="K21" s="404"/>
      <c r="L21" s="405" t="s">
        <v>1086</v>
      </c>
      <c r="M21" s="404"/>
      <c r="N21" s="404"/>
      <c r="O21" s="406" t="s">
        <v>1064</v>
      </c>
      <c r="P21" s="372"/>
      <c r="Q21" s="387">
        <v>27</v>
      </c>
      <c r="R21" s="379" t="str">
        <f t="shared" si="1"/>
        <v>II-0001.0027</v>
      </c>
      <c r="S21" s="372" t="str">
        <f t="shared" si="2"/>
        <v xml:space="preserve"> Ø20</v>
      </c>
    </row>
    <row r="22" spans="1:19" x14ac:dyDescent="0.2">
      <c r="A22" s="378"/>
      <c r="B22" s="379"/>
      <c r="C22" s="380"/>
      <c r="D22" s="395"/>
      <c r="G22" s="372"/>
      <c r="H22" s="389"/>
      <c r="I22" s="390" t="s">
        <v>1097</v>
      </c>
      <c r="J22" s="396"/>
      <c r="K22" s="407" t="s">
        <v>1098</v>
      </c>
      <c r="L22" s="393"/>
      <c r="M22" s="393"/>
      <c r="N22" s="393"/>
      <c r="O22" s="394"/>
      <c r="P22" s="372"/>
      <c r="Q22" s="372"/>
      <c r="R22" s="372"/>
      <c r="S22" s="372"/>
    </row>
    <row r="23" spans="1:19" x14ac:dyDescent="0.2">
      <c r="A23" s="378">
        <v>30</v>
      </c>
      <c r="B23" s="379" t="s">
        <v>1099</v>
      </c>
      <c r="C23" s="380" t="s">
        <v>1063</v>
      </c>
      <c r="D23" s="395" t="s">
        <v>1064</v>
      </c>
      <c r="G23" s="372"/>
      <c r="H23" s="389"/>
      <c r="I23" s="396"/>
      <c r="J23" s="397">
        <v>1</v>
      </c>
      <c r="K23" s="398"/>
      <c r="L23" s="399" t="s">
        <v>1065</v>
      </c>
      <c r="M23" s="398"/>
      <c r="N23" s="398"/>
      <c r="O23" s="400" t="s">
        <v>1064</v>
      </c>
      <c r="P23" s="372"/>
      <c r="Q23" s="387">
        <v>30</v>
      </c>
      <c r="R23" s="379" t="str">
        <f t="shared" si="1"/>
        <v>II-0001.0030</v>
      </c>
      <c r="S23" s="372" t="str">
        <f>CONCATENATE($E$22," ",L23)</f>
        <v xml:space="preserve"> Ø4</v>
      </c>
    </row>
    <row r="24" spans="1:19" x14ac:dyDescent="0.2">
      <c r="A24" s="378">
        <v>31</v>
      </c>
      <c r="B24" s="379" t="s">
        <v>1100</v>
      </c>
      <c r="C24" s="380" t="s">
        <v>1067</v>
      </c>
      <c r="D24" s="395" t="s">
        <v>1064</v>
      </c>
      <c r="G24" s="372"/>
      <c r="H24" s="389"/>
      <c r="I24" s="396"/>
      <c r="J24" s="397">
        <v>2</v>
      </c>
      <c r="K24" s="398"/>
      <c r="L24" s="399" t="s">
        <v>1068</v>
      </c>
      <c r="M24" s="398"/>
      <c r="N24" s="398"/>
      <c r="O24" s="400" t="s">
        <v>1064</v>
      </c>
      <c r="P24" s="372"/>
      <c r="Q24" s="387">
        <v>31</v>
      </c>
      <c r="R24" s="379" t="str">
        <f t="shared" si="1"/>
        <v>II-0001.0031</v>
      </c>
      <c r="S24" s="372" t="str">
        <f t="shared" ref="S24:S30" si="3">CONCATENATE($E$22," ",L24)</f>
        <v xml:space="preserve"> Ø6</v>
      </c>
    </row>
    <row r="25" spans="1:19" x14ac:dyDescent="0.2">
      <c r="A25" s="378">
        <v>32</v>
      </c>
      <c r="B25" s="379" t="s">
        <v>1101</v>
      </c>
      <c r="C25" s="380" t="s">
        <v>1070</v>
      </c>
      <c r="D25" s="395" t="s">
        <v>1064</v>
      </c>
      <c r="G25" s="372"/>
      <c r="H25" s="389"/>
      <c r="I25" s="396"/>
      <c r="J25" s="397">
        <v>3</v>
      </c>
      <c r="K25" s="398"/>
      <c r="L25" s="399" t="s">
        <v>1071</v>
      </c>
      <c r="M25" s="398"/>
      <c r="N25" s="398"/>
      <c r="O25" s="400" t="s">
        <v>1064</v>
      </c>
      <c r="P25" s="372"/>
      <c r="Q25" s="387">
        <v>32</v>
      </c>
      <c r="R25" s="379" t="str">
        <f t="shared" si="1"/>
        <v>II-0001.0032</v>
      </c>
      <c r="S25" s="372" t="str">
        <f t="shared" si="3"/>
        <v xml:space="preserve"> Ø8</v>
      </c>
    </row>
    <row r="26" spans="1:19" x14ac:dyDescent="0.2">
      <c r="A26" s="378">
        <v>33</v>
      </c>
      <c r="B26" s="379" t="s">
        <v>1102</v>
      </c>
      <c r="C26" s="380" t="s">
        <v>1073</v>
      </c>
      <c r="D26" s="395" t="s">
        <v>1064</v>
      </c>
      <c r="G26" s="372"/>
      <c r="H26" s="389"/>
      <c r="I26" s="396"/>
      <c r="J26" s="397">
        <v>4</v>
      </c>
      <c r="K26" s="398"/>
      <c r="L26" s="399" t="s">
        <v>1074</v>
      </c>
      <c r="M26" s="398"/>
      <c r="N26" s="398"/>
      <c r="O26" s="400" t="s">
        <v>1064</v>
      </c>
      <c r="P26" s="372"/>
      <c r="Q26" s="387">
        <v>33</v>
      </c>
      <c r="R26" s="379" t="str">
        <f t="shared" si="1"/>
        <v>II-0001.0033</v>
      </c>
      <c r="S26" s="372" t="str">
        <f t="shared" si="3"/>
        <v xml:space="preserve"> Ø10</v>
      </c>
    </row>
    <row r="27" spans="1:19" x14ac:dyDescent="0.2">
      <c r="A27" s="378">
        <v>34</v>
      </c>
      <c r="B27" s="379" t="s">
        <v>1103</v>
      </c>
      <c r="C27" s="380" t="s">
        <v>1076</v>
      </c>
      <c r="D27" s="395" t="s">
        <v>1064</v>
      </c>
      <c r="G27" s="372"/>
      <c r="H27" s="389"/>
      <c r="I27" s="396"/>
      <c r="J27" s="397">
        <v>5</v>
      </c>
      <c r="K27" s="398"/>
      <c r="L27" s="399" t="s">
        <v>1077</v>
      </c>
      <c r="M27" s="398"/>
      <c r="N27" s="398"/>
      <c r="O27" s="400" t="s">
        <v>1064</v>
      </c>
      <c r="P27" s="372"/>
      <c r="Q27" s="387">
        <v>34</v>
      </c>
      <c r="R27" s="379" t="str">
        <f t="shared" si="1"/>
        <v>II-0001.0034</v>
      </c>
      <c r="S27" s="372" t="str">
        <f t="shared" si="3"/>
        <v xml:space="preserve"> Ø12</v>
      </c>
    </row>
    <row r="28" spans="1:19" x14ac:dyDescent="0.2">
      <c r="A28" s="378">
        <v>35</v>
      </c>
      <c r="B28" s="379" t="s">
        <v>1104</v>
      </c>
      <c r="C28" s="380" t="s">
        <v>1079</v>
      </c>
      <c r="D28" s="395" t="s">
        <v>1064</v>
      </c>
      <c r="G28" s="372"/>
      <c r="H28" s="389"/>
      <c r="I28" s="396"/>
      <c r="J28" s="397">
        <v>6</v>
      </c>
      <c r="K28" s="398"/>
      <c r="L28" s="399" t="s">
        <v>1080</v>
      </c>
      <c r="M28" s="398"/>
      <c r="N28" s="398"/>
      <c r="O28" s="400" t="s">
        <v>1064</v>
      </c>
      <c r="P28" s="372"/>
      <c r="Q28" s="387">
        <v>35</v>
      </c>
      <c r="R28" s="379" t="str">
        <f t="shared" si="1"/>
        <v>II-0001.0035</v>
      </c>
      <c r="S28" s="372" t="str">
        <f t="shared" si="3"/>
        <v xml:space="preserve"> Ø16</v>
      </c>
    </row>
    <row r="29" spans="1:19" x14ac:dyDescent="0.2">
      <c r="A29" s="378">
        <v>36</v>
      </c>
      <c r="B29" s="379" t="s">
        <v>1105</v>
      </c>
      <c r="C29" s="380" t="s">
        <v>1082</v>
      </c>
      <c r="D29" s="395" t="s">
        <v>1064</v>
      </c>
      <c r="G29" s="372"/>
      <c r="H29" s="389"/>
      <c r="I29" s="396"/>
      <c r="J29" s="397">
        <v>7</v>
      </c>
      <c r="K29" s="398"/>
      <c r="L29" s="399" t="s">
        <v>1083</v>
      </c>
      <c r="M29" s="398"/>
      <c r="N29" s="398"/>
      <c r="O29" s="400" t="s">
        <v>1064</v>
      </c>
      <c r="P29" s="372"/>
      <c r="Q29" s="387">
        <v>36</v>
      </c>
      <c r="R29" s="379" t="str">
        <f t="shared" si="1"/>
        <v>II-0001.0036</v>
      </c>
      <c r="S29" s="372" t="str">
        <f t="shared" si="3"/>
        <v xml:space="preserve"> Ø18</v>
      </c>
    </row>
    <row r="30" spans="1:19" ht="15.75" thickBot="1" x14ac:dyDescent="0.25">
      <c r="A30" s="378">
        <v>37</v>
      </c>
      <c r="B30" s="379" t="s">
        <v>1106</v>
      </c>
      <c r="C30" s="380" t="s">
        <v>1085</v>
      </c>
      <c r="D30" s="395" t="s">
        <v>1064</v>
      </c>
      <c r="G30" s="372"/>
      <c r="H30" s="409"/>
      <c r="I30" s="410"/>
      <c r="J30" s="411">
        <v>8</v>
      </c>
      <c r="K30" s="412"/>
      <c r="L30" s="413" t="s">
        <v>1086</v>
      </c>
      <c r="M30" s="412"/>
      <c r="N30" s="412"/>
      <c r="O30" s="414" t="s">
        <v>1064</v>
      </c>
      <c r="P30" s="372"/>
      <c r="Q30" s="387">
        <v>37</v>
      </c>
      <c r="R30" s="379" t="str">
        <f t="shared" si="1"/>
        <v>II-0001.0037</v>
      </c>
      <c r="S30" s="372" t="str">
        <f t="shared" si="3"/>
        <v xml:space="preserve"> Ø20</v>
      </c>
    </row>
    <row r="31" spans="1:19" ht="16.5" thickTop="1" thickBot="1" x14ac:dyDescent="0.25">
      <c r="A31" s="378"/>
      <c r="B31" s="379"/>
      <c r="C31" s="380"/>
      <c r="D31" s="395"/>
      <c r="G31" s="372"/>
      <c r="H31" s="389"/>
      <c r="I31" s="396"/>
      <c r="J31" s="396"/>
      <c r="K31" s="398"/>
      <c r="L31" s="399"/>
      <c r="M31" s="398"/>
      <c r="N31" s="398"/>
      <c r="O31" s="415"/>
      <c r="P31" s="372"/>
      <c r="Q31" s="387"/>
      <c r="R31" s="379"/>
      <c r="S31" s="372"/>
    </row>
    <row r="32" spans="1:19" ht="15.75" thickTop="1" x14ac:dyDescent="0.2">
      <c r="A32" s="378">
        <v>2</v>
      </c>
      <c r="B32" s="379" t="s">
        <v>1107</v>
      </c>
      <c r="C32" s="380" t="s">
        <v>1108</v>
      </c>
      <c r="D32" s="395"/>
      <c r="G32" s="372"/>
      <c r="H32" s="416">
        <v>2</v>
      </c>
      <c r="I32" s="417"/>
      <c r="J32" s="418"/>
      <c r="K32" s="784" t="s">
        <v>1108</v>
      </c>
      <c r="L32" s="784"/>
      <c r="M32" s="784"/>
      <c r="N32" s="784"/>
      <c r="O32" s="419"/>
      <c r="P32" s="372"/>
      <c r="Q32" s="387">
        <f>H32</f>
        <v>2</v>
      </c>
      <c r="R32" s="377" t="str">
        <f>CONCATENATE("II-",TEXT(Q32,"0000"))</f>
        <v>II-0002</v>
      </c>
      <c r="S32" s="388" t="str">
        <f>K32</f>
        <v>ABOVEDAMIENTO  REACONDICIONAMIENTO</v>
      </c>
    </row>
    <row r="33" spans="1:19" ht="15.75" thickBot="1" x14ac:dyDescent="0.25">
      <c r="A33" s="378">
        <v>1</v>
      </c>
      <c r="B33" s="379" t="s">
        <v>1109</v>
      </c>
      <c r="C33" s="380" t="s">
        <v>1110</v>
      </c>
      <c r="D33" s="395" t="s">
        <v>6</v>
      </c>
      <c r="G33" s="372"/>
      <c r="H33" s="420"/>
      <c r="I33" s="421" t="s">
        <v>1060</v>
      </c>
      <c r="J33" s="422"/>
      <c r="K33" s="423" t="s">
        <v>1111</v>
      </c>
      <c r="L33" s="424"/>
      <c r="M33" s="424"/>
      <c r="N33" s="424"/>
      <c r="O33" s="425" t="s">
        <v>6</v>
      </c>
      <c r="P33" s="372"/>
      <c r="Q33" s="387">
        <v>1</v>
      </c>
      <c r="R33" s="379" t="str">
        <f>CONCATENATE($R$32,".",TEXT(Q33,"0000"))</f>
        <v>II-0002.0001</v>
      </c>
      <c r="S33" s="372" t="str">
        <f>CONCATENATE($K$33," ",L33)</f>
        <v xml:space="preserve">V-384 </v>
      </c>
    </row>
    <row r="34" spans="1:19" ht="16.5" thickTop="1" thickBot="1" x14ac:dyDescent="0.25">
      <c r="A34" s="378"/>
      <c r="B34" s="371"/>
      <c r="C34" s="380"/>
      <c r="D34" s="395"/>
      <c r="G34" s="372"/>
      <c r="H34" s="389"/>
      <c r="I34" s="396"/>
      <c r="J34" s="396"/>
      <c r="K34" s="426"/>
      <c r="L34" s="398"/>
      <c r="M34" s="398"/>
      <c r="N34" s="398"/>
      <c r="O34" s="427"/>
      <c r="P34" s="372"/>
      <c r="Q34" s="372"/>
      <c r="R34" s="372"/>
      <c r="S34" s="372"/>
    </row>
    <row r="35" spans="1:19" ht="15.75" thickTop="1" x14ac:dyDescent="0.2">
      <c r="A35" s="378">
        <v>3</v>
      </c>
      <c r="B35" s="371" t="s">
        <v>1112</v>
      </c>
      <c r="C35" s="380" t="s">
        <v>1113</v>
      </c>
      <c r="D35" s="395"/>
      <c r="G35" s="372"/>
      <c r="H35" s="416">
        <v>3</v>
      </c>
      <c r="I35" s="418"/>
      <c r="J35" s="418"/>
      <c r="K35" s="428" t="s">
        <v>1113</v>
      </c>
      <c r="L35" s="429"/>
      <c r="M35" s="429"/>
      <c r="N35" s="429"/>
      <c r="O35" s="419"/>
      <c r="P35" s="372"/>
      <c r="Q35" s="387">
        <f>H35</f>
        <v>3</v>
      </c>
      <c r="R35" s="377" t="str">
        <f>CONCATENATE("II-",TEXT(Q35,"0000"))</f>
        <v>II-0003</v>
      </c>
      <c r="S35" s="388" t="str">
        <f>K35</f>
        <v>ALAMBRADO</v>
      </c>
    </row>
    <row r="36" spans="1:19" x14ac:dyDescent="0.2">
      <c r="A36" s="378"/>
      <c r="B36" s="401"/>
      <c r="C36" s="402"/>
      <c r="D36" s="395"/>
      <c r="G36" s="372"/>
      <c r="H36" s="430"/>
      <c r="I36" s="390" t="s">
        <v>1060</v>
      </c>
      <c r="J36" s="391"/>
      <c r="K36" s="426" t="s">
        <v>1114</v>
      </c>
      <c r="L36" s="398"/>
      <c r="M36" s="398"/>
      <c r="N36" s="398"/>
      <c r="O36" s="431"/>
      <c r="P36" s="372"/>
      <c r="Q36" s="372"/>
      <c r="R36" s="372"/>
      <c r="S36" s="372"/>
    </row>
    <row r="37" spans="1:19" x14ac:dyDescent="0.2">
      <c r="A37" s="378">
        <v>1</v>
      </c>
      <c r="B37" s="379" t="s">
        <v>1115</v>
      </c>
      <c r="C37" s="380" t="s">
        <v>1116</v>
      </c>
      <c r="D37" s="395" t="s">
        <v>1030</v>
      </c>
      <c r="G37" s="372"/>
      <c r="H37" s="389"/>
      <c r="I37" s="396"/>
      <c r="J37" s="397">
        <v>1</v>
      </c>
      <c r="K37" s="398"/>
      <c r="L37" s="426" t="s">
        <v>1060</v>
      </c>
      <c r="M37" s="432"/>
      <c r="N37" s="398"/>
      <c r="O37" s="415" t="s">
        <v>1030</v>
      </c>
      <c r="P37" s="372"/>
      <c r="Q37" s="387">
        <v>1</v>
      </c>
      <c r="R37" s="379" t="str">
        <f>CONCATENATE($R$35,".",TEXT(Q37,"0000"))</f>
        <v>II-0003.0001</v>
      </c>
      <c r="S37" s="372" t="str">
        <f>CONCATENATE($K$36," - TIPO ",L37)</f>
        <v>H-2840-I - TIPO A</v>
      </c>
    </row>
    <row r="38" spans="1:19" x14ac:dyDescent="0.2">
      <c r="A38" s="378">
        <v>2</v>
      </c>
      <c r="B38" s="379" t="s">
        <v>1117</v>
      </c>
      <c r="C38" s="380" t="s">
        <v>1118</v>
      </c>
      <c r="D38" s="395" t="s">
        <v>1030</v>
      </c>
      <c r="G38" s="372"/>
      <c r="H38" s="389"/>
      <c r="I38" s="396"/>
      <c r="J38" s="397">
        <v>2</v>
      </c>
      <c r="K38" s="398"/>
      <c r="L38" s="426" t="s">
        <v>1087</v>
      </c>
      <c r="M38" s="432"/>
      <c r="N38" s="398"/>
      <c r="O38" s="415" t="s">
        <v>1030</v>
      </c>
      <c r="P38" s="372"/>
      <c r="Q38" s="387">
        <v>2</v>
      </c>
      <c r="R38" s="379" t="str">
        <f t="shared" ref="R38:R42" si="4">CONCATENATE($R$35,".",TEXT(Q38,"0000"))</f>
        <v>II-0003.0002</v>
      </c>
      <c r="S38" s="372" t="str">
        <f t="shared" ref="S38:S40" si="5">CONCATENATE($K$36," - TIPO ",L38)</f>
        <v>H-2840-I - TIPO B</v>
      </c>
    </row>
    <row r="39" spans="1:19" x14ac:dyDescent="0.2">
      <c r="A39" s="378">
        <v>3</v>
      </c>
      <c r="B39" s="379" t="s">
        <v>1119</v>
      </c>
      <c r="C39" s="380" t="s">
        <v>1120</v>
      </c>
      <c r="D39" s="395" t="s">
        <v>1030</v>
      </c>
      <c r="G39" s="372"/>
      <c r="H39" s="389"/>
      <c r="I39" s="396"/>
      <c r="J39" s="397">
        <v>3</v>
      </c>
      <c r="K39" s="398"/>
      <c r="L39" s="426" t="s">
        <v>1097</v>
      </c>
      <c r="M39" s="432"/>
      <c r="N39" s="398"/>
      <c r="O39" s="415" t="s">
        <v>1030</v>
      </c>
      <c r="P39" s="372"/>
      <c r="Q39" s="387">
        <v>3</v>
      </c>
      <c r="R39" s="379" t="str">
        <f t="shared" si="4"/>
        <v>II-0003.0003</v>
      </c>
      <c r="S39" s="372" t="str">
        <f t="shared" si="5"/>
        <v>H-2840-I - TIPO C</v>
      </c>
    </row>
    <row r="40" spans="1:19" x14ac:dyDescent="0.2">
      <c r="A40" s="378">
        <v>4</v>
      </c>
      <c r="B40" s="371" t="s">
        <v>1121</v>
      </c>
      <c r="C40" s="380" t="s">
        <v>1122</v>
      </c>
      <c r="D40" s="395" t="s">
        <v>1030</v>
      </c>
      <c r="G40" s="372"/>
      <c r="H40" s="389"/>
      <c r="I40" s="408"/>
      <c r="J40" s="403">
        <v>4</v>
      </c>
      <c r="K40" s="404"/>
      <c r="L40" s="433" t="s">
        <v>1123</v>
      </c>
      <c r="M40" s="434"/>
      <c r="N40" s="404"/>
      <c r="O40" s="435" t="s">
        <v>1030</v>
      </c>
      <c r="P40" s="372"/>
      <c r="Q40" s="387">
        <v>4</v>
      </c>
      <c r="R40" s="379" t="str">
        <f t="shared" si="4"/>
        <v>II-0003.0004</v>
      </c>
      <c r="S40" s="372" t="str">
        <f t="shared" si="5"/>
        <v>H-2840-I - TIPO D</v>
      </c>
    </row>
    <row r="41" spans="1:19" x14ac:dyDescent="0.2">
      <c r="A41" s="378">
        <v>5</v>
      </c>
      <c r="B41" s="379" t="s">
        <v>1124</v>
      </c>
      <c r="C41" s="380" t="s">
        <v>1125</v>
      </c>
      <c r="D41" s="395" t="s">
        <v>1030</v>
      </c>
      <c r="G41" s="372"/>
      <c r="H41" s="389"/>
      <c r="I41" s="403" t="s">
        <v>1087</v>
      </c>
      <c r="J41" s="408"/>
      <c r="K41" s="436" t="s">
        <v>1125</v>
      </c>
      <c r="L41" s="437"/>
      <c r="M41" s="437"/>
      <c r="N41" s="437"/>
      <c r="O41" s="438" t="s">
        <v>1030</v>
      </c>
      <c r="P41" s="372"/>
      <c r="Q41" s="387">
        <v>5</v>
      </c>
      <c r="R41" s="379" t="str">
        <f t="shared" si="4"/>
        <v>II-0003.0005</v>
      </c>
      <c r="S41" s="372" t="str">
        <f>CONCATENATE($E$36,K41)</f>
        <v>OLIMPICO H-9830</v>
      </c>
    </row>
    <row r="42" spans="1:19" ht="15.75" thickBot="1" x14ac:dyDescent="0.25">
      <c r="A42" s="378">
        <v>6</v>
      </c>
      <c r="B42" s="379" t="s">
        <v>1126</v>
      </c>
      <c r="C42" s="380" t="s">
        <v>1127</v>
      </c>
      <c r="D42" s="395" t="s">
        <v>1030</v>
      </c>
      <c r="G42" s="372"/>
      <c r="H42" s="409"/>
      <c r="I42" s="411" t="s">
        <v>1097</v>
      </c>
      <c r="J42" s="422"/>
      <c r="K42" s="423" t="s">
        <v>1127</v>
      </c>
      <c r="L42" s="424"/>
      <c r="M42" s="424"/>
      <c r="N42" s="424"/>
      <c r="O42" s="439" t="s">
        <v>1030</v>
      </c>
      <c r="P42" s="372"/>
      <c r="Q42" s="387">
        <v>6</v>
      </c>
      <c r="R42" s="379" t="str">
        <f t="shared" si="4"/>
        <v>II-0003.0006</v>
      </c>
      <c r="S42" s="372" t="str">
        <f>CONCATENATE($E$36,K42)</f>
        <v>TRAZADO C/ REPOSICION  (%)</v>
      </c>
    </row>
    <row r="43" spans="1:19" ht="15.75" thickTop="1" x14ac:dyDescent="0.2">
      <c r="A43" s="378">
        <v>7</v>
      </c>
      <c r="B43" s="379" t="s">
        <v>1128</v>
      </c>
      <c r="C43" s="380" t="s">
        <v>1129</v>
      </c>
      <c r="D43" s="395" t="s">
        <v>1030</v>
      </c>
      <c r="G43" s="372"/>
      <c r="H43" s="389"/>
      <c r="I43" s="396"/>
      <c r="J43" s="396"/>
      <c r="K43" s="426"/>
      <c r="L43" s="398"/>
      <c r="M43" s="398"/>
      <c r="N43" s="398"/>
      <c r="O43" s="415"/>
      <c r="P43" s="372"/>
      <c r="Q43" s="387"/>
      <c r="R43" s="379"/>
      <c r="S43" s="372"/>
    </row>
    <row r="44" spans="1:19" x14ac:dyDescent="0.2">
      <c r="A44" s="378">
        <v>4</v>
      </c>
      <c r="B44" s="371" t="s">
        <v>1130</v>
      </c>
      <c r="C44" s="380" t="s">
        <v>1131</v>
      </c>
      <c r="D44" s="395"/>
      <c r="G44" s="372"/>
      <c r="H44" s="416">
        <v>4</v>
      </c>
      <c r="I44" s="418"/>
      <c r="J44" s="418"/>
      <c r="K44" s="785" t="s">
        <v>1131</v>
      </c>
      <c r="L44" s="785"/>
      <c r="M44" s="785"/>
      <c r="N44" s="785"/>
      <c r="O44" s="440"/>
      <c r="P44" s="372"/>
      <c r="Q44" s="387">
        <f>H44</f>
        <v>4</v>
      </c>
      <c r="R44" s="377" t="str">
        <f>CONCATENATE("II-",TEXT(Q44,"0000"))</f>
        <v>II-0004</v>
      </c>
      <c r="S44" s="388" t="str">
        <f>K44</f>
        <v>ALCANTARILLAS METALICAS ACERO CORRUGADO</v>
      </c>
    </row>
    <row r="45" spans="1:19" x14ac:dyDescent="0.2">
      <c r="A45" s="378"/>
      <c r="B45" s="379"/>
      <c r="C45" s="380"/>
      <c r="D45" s="395"/>
      <c r="G45" s="372"/>
      <c r="H45" s="430"/>
      <c r="I45" s="390" t="s">
        <v>1060</v>
      </c>
      <c r="J45" s="391"/>
      <c r="K45" s="392" t="s">
        <v>1132</v>
      </c>
      <c r="L45" s="393"/>
      <c r="M45" s="393"/>
      <c r="N45" s="393"/>
      <c r="O45" s="441"/>
      <c r="P45" s="372"/>
      <c r="Q45" s="372"/>
      <c r="R45" s="372"/>
      <c r="S45" s="372"/>
    </row>
    <row r="46" spans="1:19" x14ac:dyDescent="0.2">
      <c r="A46" s="378">
        <v>1</v>
      </c>
      <c r="B46" s="379" t="s">
        <v>1133</v>
      </c>
      <c r="C46" s="380" t="s">
        <v>1134</v>
      </c>
      <c r="D46" s="395" t="s">
        <v>1030</v>
      </c>
      <c r="G46" s="372"/>
      <c r="H46" s="389"/>
      <c r="I46" s="396"/>
      <c r="J46" s="397">
        <v>1</v>
      </c>
      <c r="K46" s="398"/>
      <c r="L46" s="399" t="s">
        <v>1135</v>
      </c>
      <c r="M46" s="398"/>
      <c r="N46" s="398"/>
      <c r="O46" s="415" t="s">
        <v>1030</v>
      </c>
      <c r="P46" s="372"/>
      <c r="Q46" s="387">
        <v>1</v>
      </c>
      <c r="R46" s="379" t="str">
        <f>CONCATENATE($R$44,".",TEXT(Q46,"0000"))</f>
        <v>II-0004.0001</v>
      </c>
      <c r="S46" s="372" t="str">
        <f>CONCATENATE($K$45," - TIPO ",L46)</f>
        <v>H-10209 - TIPO H-9987</v>
      </c>
    </row>
    <row r="47" spans="1:19" x14ac:dyDescent="0.2">
      <c r="A47" s="378">
        <v>2</v>
      </c>
      <c r="B47" s="371" t="s">
        <v>1136</v>
      </c>
      <c r="C47" s="380" t="s">
        <v>1137</v>
      </c>
      <c r="D47" s="395" t="s">
        <v>1030</v>
      </c>
      <c r="G47" s="372"/>
      <c r="H47" s="389"/>
      <c r="I47" s="396"/>
      <c r="J47" s="403">
        <v>2</v>
      </c>
      <c r="K47" s="398"/>
      <c r="L47" s="399" t="s">
        <v>1138</v>
      </c>
      <c r="M47" s="398"/>
      <c r="N47" s="398"/>
      <c r="O47" s="415" t="s">
        <v>1030</v>
      </c>
      <c r="P47" s="372"/>
      <c r="Q47" s="387">
        <v>2</v>
      </c>
      <c r="R47" s="379" t="str">
        <f>CONCATENATE($R$44,".",TEXT(Q47,"0000"))</f>
        <v>II-0004.0002</v>
      </c>
      <c r="S47" s="372" t="str">
        <f>CONCATENATE($K$45," - TIPO ",L47)</f>
        <v>H-10209 - TIPO H-2993</v>
      </c>
    </row>
    <row r="48" spans="1:19" x14ac:dyDescent="0.2">
      <c r="A48" s="378"/>
      <c r="B48" s="371"/>
      <c r="C48" s="380"/>
      <c r="D48" s="395"/>
      <c r="G48" s="372"/>
      <c r="H48" s="389"/>
      <c r="I48" s="390" t="s">
        <v>1087</v>
      </c>
      <c r="J48" s="391"/>
      <c r="K48" s="392" t="s">
        <v>1139</v>
      </c>
      <c r="L48" s="393"/>
      <c r="M48" s="393"/>
      <c r="N48" s="393"/>
      <c r="O48" s="441"/>
      <c r="P48" s="372"/>
      <c r="Q48" s="372"/>
      <c r="R48" s="372"/>
      <c r="S48" s="372"/>
    </row>
    <row r="49" spans="1:19" x14ac:dyDescent="0.2">
      <c r="A49" s="378">
        <v>3</v>
      </c>
      <c r="B49" s="401" t="s">
        <v>1140</v>
      </c>
      <c r="C49" s="402" t="s">
        <v>1141</v>
      </c>
      <c r="D49" s="395" t="s">
        <v>1030</v>
      </c>
      <c r="G49" s="372"/>
      <c r="H49" s="389"/>
      <c r="I49" s="396"/>
      <c r="J49" s="397">
        <v>1</v>
      </c>
      <c r="K49" s="398"/>
      <c r="L49" s="399" t="s">
        <v>1135</v>
      </c>
      <c r="M49" s="398"/>
      <c r="N49" s="398"/>
      <c r="O49" s="415" t="s">
        <v>1030</v>
      </c>
      <c r="P49" s="372"/>
      <c r="Q49" s="387">
        <v>3</v>
      </c>
      <c r="R49" s="379" t="str">
        <f>CONCATENATE($R$44,".",TEXT(Q49,"0000"))</f>
        <v>II-0004.0003</v>
      </c>
      <c r="S49" s="372" t="str">
        <f>CONCATENATE($K$48," - TIPO ",L49)</f>
        <v>H-10235 - TIPO H-9987</v>
      </c>
    </row>
    <row r="50" spans="1:19" x14ac:dyDescent="0.2">
      <c r="A50" s="378">
        <v>4</v>
      </c>
      <c r="B50" s="379" t="s">
        <v>1142</v>
      </c>
      <c r="C50" s="380" t="s">
        <v>1143</v>
      </c>
      <c r="D50" s="395" t="s">
        <v>1030</v>
      </c>
      <c r="G50" s="372"/>
      <c r="H50" s="389"/>
      <c r="I50" s="396"/>
      <c r="J50" s="403">
        <v>2</v>
      </c>
      <c r="K50" s="398"/>
      <c r="L50" s="399" t="s">
        <v>1138</v>
      </c>
      <c r="M50" s="398"/>
      <c r="N50" s="398"/>
      <c r="O50" s="415" t="s">
        <v>1030</v>
      </c>
      <c r="P50" s="372"/>
      <c r="Q50" s="387">
        <v>4</v>
      </c>
      <c r="R50" s="379" t="str">
        <f>CONCATENATE($R$44,".",TEXT(Q50,"0000"))</f>
        <v>II-0004.0004</v>
      </c>
      <c r="S50" s="372" t="str">
        <f>CONCATENATE($K$48," - TIPO ",L50)</f>
        <v>H-10235 - TIPO H-2993</v>
      </c>
    </row>
    <row r="51" spans="1:19" x14ac:dyDescent="0.2">
      <c r="A51" s="378"/>
      <c r="B51" s="379"/>
      <c r="C51" s="380"/>
      <c r="D51" s="395"/>
      <c r="G51" s="372"/>
      <c r="H51" s="389"/>
      <c r="I51" s="390" t="s">
        <v>1097</v>
      </c>
      <c r="J51" s="391"/>
      <c r="K51" s="392" t="s">
        <v>1144</v>
      </c>
      <c r="L51" s="393"/>
      <c r="M51" s="393"/>
      <c r="N51" s="393"/>
      <c r="O51" s="441"/>
      <c r="P51" s="372"/>
      <c r="Q51" s="372"/>
      <c r="R51" s="372"/>
      <c r="S51" s="372"/>
    </row>
    <row r="52" spans="1:19" ht="15.75" thickBot="1" x14ac:dyDescent="0.25">
      <c r="A52" s="378">
        <v>5</v>
      </c>
      <c r="B52" s="379" t="s">
        <v>1145</v>
      </c>
      <c r="C52" s="380" t="s">
        <v>1146</v>
      </c>
      <c r="D52" s="395" t="s">
        <v>1030</v>
      </c>
      <c r="G52" s="372"/>
      <c r="H52" s="442"/>
      <c r="I52" s="443"/>
      <c r="J52" s="444">
        <v>1</v>
      </c>
      <c r="K52" s="445"/>
      <c r="L52" s="446" t="s">
        <v>1147</v>
      </c>
      <c r="M52" s="445"/>
      <c r="N52" s="445"/>
      <c r="O52" s="447" t="s">
        <v>1030</v>
      </c>
      <c r="P52" s="372"/>
      <c r="Q52" s="387">
        <v>5</v>
      </c>
      <c r="R52" s="379" t="str">
        <f>CONCATENATE($R$44,".",TEXT(Q52,"0000"))</f>
        <v>II-0004.0005</v>
      </c>
      <c r="S52" s="372" t="str">
        <f>CONCATENATE($K$51," - TIPO ",L52)</f>
        <v>H-10236 - TIPO H-2553</v>
      </c>
    </row>
    <row r="53" spans="1:19" x14ac:dyDescent="0.2">
      <c r="A53" s="378"/>
      <c r="B53" s="379"/>
      <c r="C53" s="380"/>
      <c r="D53" s="395"/>
      <c r="G53" s="398"/>
      <c r="H53" s="448"/>
      <c r="I53" s="396"/>
      <c r="J53" s="396"/>
      <c r="K53" s="398"/>
      <c r="L53" s="399"/>
      <c r="M53" s="398"/>
      <c r="N53" s="398"/>
      <c r="O53" s="432"/>
      <c r="P53" s="398"/>
      <c r="Q53" s="398"/>
      <c r="R53" s="398"/>
      <c r="S53" s="398"/>
    </row>
    <row r="54" spans="1:19" x14ac:dyDescent="0.2">
      <c r="A54" s="378">
        <v>4</v>
      </c>
      <c r="B54" s="379" t="s">
        <v>1130</v>
      </c>
      <c r="C54" s="380" t="s">
        <v>1131</v>
      </c>
      <c r="D54" s="395"/>
      <c r="G54" s="372"/>
      <c r="H54" s="416">
        <v>4</v>
      </c>
      <c r="I54" s="418"/>
      <c r="J54" s="418"/>
      <c r="K54" s="785" t="s">
        <v>1131</v>
      </c>
      <c r="L54" s="785"/>
      <c r="M54" s="785"/>
      <c r="N54" s="785"/>
      <c r="O54" s="440"/>
      <c r="P54" s="372"/>
      <c r="Q54" s="387">
        <f>H54</f>
        <v>4</v>
      </c>
      <c r="R54" s="377" t="str">
        <f>CONCATENATE("II-",TEXT(Q54,"0000"))</f>
        <v>II-0004</v>
      </c>
      <c r="S54" s="388" t="str">
        <f>K54</f>
        <v>ALCANTARILLAS METALICAS ACERO CORRUGADO</v>
      </c>
    </row>
    <row r="55" spans="1:19" x14ac:dyDescent="0.2">
      <c r="A55" s="378"/>
      <c r="B55" s="379"/>
      <c r="C55" s="380"/>
      <c r="D55" s="395"/>
      <c r="G55" s="372"/>
      <c r="H55" s="389"/>
      <c r="I55" s="390" t="s">
        <v>1123</v>
      </c>
      <c r="J55" s="391"/>
      <c r="K55" s="399" t="s">
        <v>1088</v>
      </c>
      <c r="L55" s="398"/>
      <c r="M55" s="398"/>
      <c r="N55" s="398"/>
      <c r="O55" s="431"/>
      <c r="P55" s="372"/>
      <c r="Q55" s="372"/>
      <c r="R55" s="372"/>
      <c r="S55" s="372"/>
    </row>
    <row r="56" spans="1:19" x14ac:dyDescent="0.2">
      <c r="A56" s="378">
        <v>10</v>
      </c>
      <c r="B56" s="379" t="s">
        <v>1148</v>
      </c>
      <c r="C56" s="380" t="s">
        <v>1149</v>
      </c>
      <c r="D56" s="395" t="s">
        <v>1030</v>
      </c>
      <c r="G56" s="372"/>
      <c r="H56" s="389"/>
      <c r="I56" s="396"/>
      <c r="J56" s="397">
        <v>1</v>
      </c>
      <c r="K56" s="398"/>
      <c r="L56" s="399" t="s">
        <v>1150</v>
      </c>
      <c r="M56" s="398"/>
      <c r="N56" s="398"/>
      <c r="O56" s="431" t="s">
        <v>1030</v>
      </c>
      <c r="P56" s="372"/>
      <c r="Q56" s="387">
        <v>10</v>
      </c>
      <c r="R56" s="379" t="str">
        <f>CONCATENATE($R$44,".",TEXT(Q56,"0000"))</f>
        <v>II-0004.0010</v>
      </c>
      <c r="S56" s="372" t="str">
        <f>CONCATENATE($K$55," - TIPO ",L56)</f>
        <v>ESPECIAL - TIPO BOVEDA PERFIL ALTO Z-6584</v>
      </c>
    </row>
    <row r="57" spans="1:19" x14ac:dyDescent="0.2">
      <c r="A57" s="378">
        <v>11</v>
      </c>
      <c r="B57" s="379" t="s">
        <v>1151</v>
      </c>
      <c r="C57" s="380" t="s">
        <v>1152</v>
      </c>
      <c r="D57" s="395" t="s">
        <v>1030</v>
      </c>
      <c r="G57" s="372"/>
      <c r="H57" s="389"/>
      <c r="I57" s="396"/>
      <c r="J57" s="397">
        <v>2</v>
      </c>
      <c r="K57" s="398"/>
      <c r="L57" s="399" t="s">
        <v>1153</v>
      </c>
      <c r="M57" s="398"/>
      <c r="N57" s="398"/>
      <c r="O57" s="431" t="s">
        <v>1030</v>
      </c>
      <c r="P57" s="372"/>
      <c r="Q57" s="387">
        <v>11</v>
      </c>
      <c r="R57" s="379" t="str">
        <f t="shared" ref="R57:R66" si="6">CONCATENATE($R$44,".",TEXT(Q57,"0000"))</f>
        <v>II-0004.0011</v>
      </c>
      <c r="S57" s="372" t="str">
        <f t="shared" ref="S57:S60" si="7">CONCATENATE($K$55," - TIPO ",L57)</f>
        <v>ESPECIAL - TIPO BOVEDA PERFIL BAJO Z-6584</v>
      </c>
    </row>
    <row r="58" spans="1:19" x14ac:dyDescent="0.2">
      <c r="A58" s="378">
        <v>12</v>
      </c>
      <c r="B58" s="371" t="s">
        <v>1154</v>
      </c>
      <c r="C58" s="380" t="s">
        <v>1155</v>
      </c>
      <c r="D58" s="395" t="s">
        <v>1030</v>
      </c>
      <c r="G58" s="372"/>
      <c r="H58" s="389"/>
      <c r="I58" s="396"/>
      <c r="J58" s="397">
        <v>3</v>
      </c>
      <c r="K58" s="398"/>
      <c r="L58" s="399" t="s">
        <v>1156</v>
      </c>
      <c r="M58" s="398"/>
      <c r="N58" s="398"/>
      <c r="O58" s="431" t="s">
        <v>1030</v>
      </c>
      <c r="P58" s="372"/>
      <c r="Q58" s="387">
        <v>12</v>
      </c>
      <c r="R58" s="379" t="str">
        <f t="shared" si="6"/>
        <v>II-0004.0012</v>
      </c>
      <c r="S58" s="372" t="str">
        <f t="shared" si="7"/>
        <v>ESPECIAL - TIPO CIRCULAR</v>
      </c>
    </row>
    <row r="59" spans="1:19" x14ac:dyDescent="0.2">
      <c r="A59" s="378">
        <v>13</v>
      </c>
      <c r="B59" s="371" t="s">
        <v>1157</v>
      </c>
      <c r="C59" s="380" t="s">
        <v>1158</v>
      </c>
      <c r="D59" s="395" t="s">
        <v>1030</v>
      </c>
      <c r="G59" s="372"/>
      <c r="H59" s="389"/>
      <c r="I59" s="396"/>
      <c r="J59" s="397">
        <v>4</v>
      </c>
      <c r="K59" s="398"/>
      <c r="L59" s="399" t="s">
        <v>1159</v>
      </c>
      <c r="M59" s="398"/>
      <c r="N59" s="398"/>
      <c r="O59" s="431" t="s">
        <v>1030</v>
      </c>
      <c r="P59" s="372"/>
      <c r="Q59" s="387">
        <v>13</v>
      </c>
      <c r="R59" s="379" t="str">
        <f t="shared" si="6"/>
        <v>II-0004.0013</v>
      </c>
      <c r="S59" s="372" t="str">
        <f t="shared" si="7"/>
        <v>ESPECIAL - TIPO ELIPTICA</v>
      </c>
    </row>
    <row r="60" spans="1:19" x14ac:dyDescent="0.2">
      <c r="A60" s="378">
        <v>14</v>
      </c>
      <c r="B60" s="379" t="s">
        <v>1160</v>
      </c>
      <c r="C60" s="380" t="s">
        <v>1161</v>
      </c>
      <c r="D60" s="395" t="s">
        <v>1030</v>
      </c>
      <c r="G60" s="372"/>
      <c r="H60" s="389"/>
      <c r="I60" s="449"/>
      <c r="J60" s="403">
        <v>5</v>
      </c>
      <c r="K60" s="404"/>
      <c r="L60" s="405" t="s">
        <v>1162</v>
      </c>
      <c r="M60" s="404"/>
      <c r="N60" s="404"/>
      <c r="O60" s="450" t="s">
        <v>1030</v>
      </c>
      <c r="P60" s="372"/>
      <c r="Q60" s="387">
        <v>14</v>
      </c>
      <c r="R60" s="379" t="str">
        <f t="shared" si="6"/>
        <v>II-0004.0014</v>
      </c>
      <c r="S60" s="372" t="str">
        <f t="shared" si="7"/>
        <v>ESPECIAL - TIPO ELIPTICA P/ FERROCARRIL Z-6584</v>
      </c>
    </row>
    <row r="61" spans="1:19" x14ac:dyDescent="0.2">
      <c r="A61" s="378">
        <v>20</v>
      </c>
      <c r="B61" s="379" t="s">
        <v>1163</v>
      </c>
      <c r="C61" s="380" t="s">
        <v>1164</v>
      </c>
      <c r="D61" s="395" t="s">
        <v>1030</v>
      </c>
      <c r="G61" s="451"/>
      <c r="H61" s="452"/>
      <c r="I61" s="453" t="s">
        <v>1165</v>
      </c>
      <c r="J61" s="453"/>
      <c r="K61" s="454" t="s">
        <v>1164</v>
      </c>
      <c r="L61" s="455"/>
      <c r="M61" s="455"/>
      <c r="N61" s="455"/>
      <c r="O61" s="456" t="s">
        <v>1030</v>
      </c>
      <c r="P61" s="451"/>
      <c r="Q61" s="387">
        <v>20</v>
      </c>
      <c r="R61" s="379" t="str">
        <f t="shared" si="6"/>
        <v>II-0004.0020</v>
      </c>
      <c r="S61" s="372" t="str">
        <f>CONCATENATE(K61)</f>
        <v>PINTURA</v>
      </c>
    </row>
    <row r="62" spans="1:19" x14ac:dyDescent="0.2">
      <c r="A62" s="378">
        <v>21</v>
      </c>
      <c r="B62" s="371" t="s">
        <v>1166</v>
      </c>
      <c r="C62" s="380" t="s">
        <v>1167</v>
      </c>
      <c r="D62" s="395" t="s">
        <v>1030</v>
      </c>
      <c r="G62" s="451"/>
      <c r="H62" s="452"/>
      <c r="I62" s="453" t="s">
        <v>1168</v>
      </c>
      <c r="J62" s="453"/>
      <c r="K62" s="786" t="s">
        <v>1167</v>
      </c>
      <c r="L62" s="786"/>
      <c r="M62" s="455"/>
      <c r="N62" s="455"/>
      <c r="O62" s="457" t="s">
        <v>1030</v>
      </c>
      <c r="P62" s="451"/>
      <c r="Q62" s="387">
        <v>21</v>
      </c>
      <c r="R62" s="379" t="str">
        <f t="shared" si="6"/>
        <v>II-0004.0021</v>
      </c>
      <c r="S62" s="372" t="str">
        <f t="shared" ref="S62:S66" si="8">CONCATENATE(K62)</f>
        <v>COLOCACION</v>
      </c>
    </row>
    <row r="63" spans="1:19" x14ac:dyDescent="0.2">
      <c r="A63" s="378">
        <v>22</v>
      </c>
      <c r="B63" s="379" t="s">
        <v>1169</v>
      </c>
      <c r="C63" s="380" t="s">
        <v>1170</v>
      </c>
      <c r="D63" s="395" t="s">
        <v>1171</v>
      </c>
      <c r="G63" s="451"/>
      <c r="H63" s="452"/>
      <c r="I63" s="453" t="s">
        <v>1172</v>
      </c>
      <c r="J63" s="453"/>
      <c r="K63" s="786" t="s">
        <v>1170</v>
      </c>
      <c r="L63" s="786"/>
      <c r="M63" s="455"/>
      <c r="N63" s="455"/>
      <c r="O63" s="457" t="s">
        <v>1171</v>
      </c>
      <c r="P63" s="451"/>
      <c r="Q63" s="387">
        <v>22</v>
      </c>
      <c r="R63" s="379" t="str">
        <f t="shared" si="6"/>
        <v>II-0004.0022</v>
      </c>
      <c r="S63" s="372" t="str">
        <f t="shared" si="8"/>
        <v>RELLENO DE SOCAVACION</v>
      </c>
    </row>
    <row r="64" spans="1:19" x14ac:dyDescent="0.2">
      <c r="A64" s="378">
        <v>23</v>
      </c>
      <c r="B64" s="379" t="s">
        <v>1173</v>
      </c>
      <c r="C64" s="380" t="s">
        <v>1174</v>
      </c>
      <c r="D64" s="395" t="s">
        <v>1030</v>
      </c>
      <c r="G64" s="372"/>
      <c r="H64" s="452"/>
      <c r="I64" s="390" t="s">
        <v>1175</v>
      </c>
      <c r="J64" s="437"/>
      <c r="K64" s="458" t="s">
        <v>1174</v>
      </c>
      <c r="L64" s="437"/>
      <c r="M64" s="437"/>
      <c r="N64" s="437"/>
      <c r="O64" s="457" t="s">
        <v>1030</v>
      </c>
      <c r="P64" s="372"/>
      <c r="Q64" s="387">
        <v>23</v>
      </c>
      <c r="R64" s="379" t="str">
        <f t="shared" si="6"/>
        <v>II-0004.0023</v>
      </c>
      <c r="S64" s="372" t="str">
        <f t="shared" si="8"/>
        <v>REPARACION</v>
      </c>
    </row>
    <row r="65" spans="1:19" x14ac:dyDescent="0.2">
      <c r="A65" s="378">
        <v>24</v>
      </c>
      <c r="B65" s="371" t="s">
        <v>1176</v>
      </c>
      <c r="C65" s="380" t="s">
        <v>1177</v>
      </c>
      <c r="D65" s="395" t="s">
        <v>1030</v>
      </c>
      <c r="G65" s="372"/>
      <c r="H65" s="452"/>
      <c r="I65" s="390" t="s">
        <v>901</v>
      </c>
      <c r="J65" s="437"/>
      <c r="K65" s="458" t="s">
        <v>1177</v>
      </c>
      <c r="L65" s="437"/>
      <c r="M65" s="437"/>
      <c r="N65" s="437"/>
      <c r="O65" s="457" t="s">
        <v>1030</v>
      </c>
      <c r="P65" s="372"/>
      <c r="Q65" s="387">
        <v>24</v>
      </c>
      <c r="R65" s="379" t="str">
        <f t="shared" si="6"/>
        <v>II-0004.0024</v>
      </c>
      <c r="S65" s="372" t="str">
        <f t="shared" si="8"/>
        <v>RETIRO Y RECOLOCACION</v>
      </c>
    </row>
    <row r="66" spans="1:19" ht="15.75" thickBot="1" x14ac:dyDescent="0.25">
      <c r="A66" s="378">
        <v>25</v>
      </c>
      <c r="B66" s="371" t="s">
        <v>1178</v>
      </c>
      <c r="C66" s="380" t="s">
        <v>1179</v>
      </c>
      <c r="D66" s="395" t="s">
        <v>1030</v>
      </c>
      <c r="G66" s="372"/>
      <c r="H66" s="459"/>
      <c r="I66" s="421" t="s">
        <v>1180</v>
      </c>
      <c r="J66" s="424"/>
      <c r="K66" s="460" t="s">
        <v>1179</v>
      </c>
      <c r="L66" s="424"/>
      <c r="M66" s="424"/>
      <c r="N66" s="424"/>
      <c r="O66" s="461" t="s">
        <v>1030</v>
      </c>
      <c r="P66" s="372"/>
      <c r="Q66" s="387">
        <v>25</v>
      </c>
      <c r="R66" s="379" t="str">
        <f t="shared" si="6"/>
        <v>II-0004.0025</v>
      </c>
      <c r="S66" s="372" t="str">
        <f t="shared" si="8"/>
        <v xml:space="preserve">RETIRO </v>
      </c>
    </row>
    <row r="67" spans="1:19" ht="16.5" thickTop="1" thickBot="1" x14ac:dyDescent="0.25">
      <c r="A67" s="378"/>
      <c r="B67" s="401"/>
      <c r="C67" s="402"/>
      <c r="D67" s="395"/>
      <c r="G67" s="372"/>
      <c r="H67" s="389"/>
      <c r="I67" s="396"/>
      <c r="J67" s="398"/>
      <c r="K67" s="399"/>
      <c r="L67" s="398"/>
      <c r="M67" s="398"/>
      <c r="N67" s="398"/>
      <c r="O67" s="462"/>
      <c r="P67" s="372"/>
      <c r="Q67" s="387"/>
      <c r="R67" s="379"/>
      <c r="S67" s="372"/>
    </row>
    <row r="68" spans="1:19" ht="15.75" thickTop="1" x14ac:dyDescent="0.2">
      <c r="A68" s="378">
        <v>5</v>
      </c>
      <c r="B68" s="379" t="s">
        <v>1181</v>
      </c>
      <c r="C68" s="380" t="s">
        <v>1182</v>
      </c>
      <c r="D68" s="395"/>
      <c r="G68" s="372"/>
      <c r="H68" s="416">
        <v>5</v>
      </c>
      <c r="I68" s="418"/>
      <c r="J68" s="429"/>
      <c r="K68" s="463" t="s">
        <v>1182</v>
      </c>
      <c r="L68" s="429"/>
      <c r="M68" s="429"/>
      <c r="N68" s="429"/>
      <c r="O68" s="440"/>
      <c r="P68" s="372"/>
      <c r="Q68" s="387">
        <f>H68</f>
        <v>5</v>
      </c>
      <c r="R68" s="377" t="str">
        <f>CONCATENATE("II-",TEXT(Q68,"0000"))</f>
        <v>II-0005</v>
      </c>
      <c r="S68" s="388" t="str">
        <f>K68</f>
        <v>ALCANTARILLAS HORMIGON</v>
      </c>
    </row>
    <row r="69" spans="1:19" x14ac:dyDescent="0.2">
      <c r="A69" s="378"/>
      <c r="B69" s="379"/>
      <c r="C69" s="380"/>
      <c r="D69" s="395"/>
      <c r="G69" s="372"/>
      <c r="H69" s="389"/>
      <c r="I69" s="390" t="s">
        <v>1060</v>
      </c>
      <c r="J69" s="393"/>
      <c r="K69" s="399" t="s">
        <v>1156</v>
      </c>
      <c r="L69" s="398"/>
      <c r="M69" s="398"/>
      <c r="N69" s="398"/>
      <c r="O69" s="431"/>
      <c r="P69" s="372"/>
      <c r="Q69" s="372"/>
      <c r="R69" s="372"/>
      <c r="S69" s="372"/>
    </row>
    <row r="70" spans="1:19" x14ac:dyDescent="0.2">
      <c r="A70" s="378">
        <v>1</v>
      </c>
      <c r="B70" s="379" t="s">
        <v>1183</v>
      </c>
      <c r="C70" s="380" t="s">
        <v>1184</v>
      </c>
      <c r="D70" s="395" t="s">
        <v>1030</v>
      </c>
      <c r="G70" s="372"/>
      <c r="H70" s="389"/>
      <c r="I70" s="396"/>
      <c r="J70" s="397">
        <v>1</v>
      </c>
      <c r="K70" s="398"/>
      <c r="L70" s="399" t="s">
        <v>1185</v>
      </c>
      <c r="M70" s="398"/>
      <c r="N70" s="398"/>
      <c r="O70" s="431" t="s">
        <v>1030</v>
      </c>
      <c r="P70" s="372"/>
      <c r="Q70" s="387">
        <v>1</v>
      </c>
      <c r="R70" s="379" t="str">
        <f>CONCATENATE($R$68,".",TEXT(Q70,"0000"))</f>
        <v>II-0005.0001</v>
      </c>
      <c r="S70" s="372" t="str">
        <f>CONCATENATE($K$69," - TIPO ",L70)</f>
        <v>CIRCULAR - TIPO A-82</v>
      </c>
    </row>
    <row r="71" spans="1:19" x14ac:dyDescent="0.2">
      <c r="A71" s="378">
        <v>2</v>
      </c>
      <c r="B71" s="379" t="s">
        <v>1186</v>
      </c>
      <c r="C71" s="380" t="s">
        <v>1187</v>
      </c>
      <c r="D71" s="395" t="s">
        <v>1030</v>
      </c>
      <c r="G71" s="372"/>
      <c r="H71" s="389"/>
      <c r="I71" s="408"/>
      <c r="J71" s="403">
        <v>2</v>
      </c>
      <c r="K71" s="404"/>
      <c r="L71" s="405" t="s">
        <v>1138</v>
      </c>
      <c r="M71" s="404"/>
      <c r="N71" s="404"/>
      <c r="O71" s="450" t="s">
        <v>1030</v>
      </c>
      <c r="P71" s="372"/>
      <c r="Q71" s="387">
        <v>2</v>
      </c>
      <c r="R71" s="379" t="str">
        <f>CONCATENATE($R$68,".",TEXT(Q71,"0000"))</f>
        <v>II-0005.0002</v>
      </c>
      <c r="S71" s="372" t="str">
        <f>CONCATENATE($K$69," - TIPO ",L71)</f>
        <v>CIRCULAR - TIPO H-2993</v>
      </c>
    </row>
    <row r="72" spans="1:19" x14ac:dyDescent="0.2">
      <c r="A72" s="378"/>
      <c r="B72" s="371"/>
      <c r="C72" s="380"/>
      <c r="D72" s="395" t="s">
        <v>1030</v>
      </c>
      <c r="G72" s="372"/>
      <c r="H72" s="389"/>
      <c r="I72" s="403" t="s">
        <v>1087</v>
      </c>
      <c r="J72" s="396"/>
      <c r="K72" s="399" t="s">
        <v>1188</v>
      </c>
      <c r="L72" s="399"/>
      <c r="M72" s="398"/>
      <c r="N72" s="398"/>
      <c r="O72" s="431" t="s">
        <v>1030</v>
      </c>
      <c r="P72" s="372"/>
      <c r="Q72" s="372"/>
      <c r="R72" s="372"/>
      <c r="S72" s="372"/>
    </row>
    <row r="73" spans="1:19" x14ac:dyDescent="0.2">
      <c r="A73" s="378">
        <v>10</v>
      </c>
      <c r="B73" s="371" t="s">
        <v>1189</v>
      </c>
      <c r="C73" s="380" t="s">
        <v>1190</v>
      </c>
      <c r="D73" s="395" t="s">
        <v>1030</v>
      </c>
      <c r="G73" s="372"/>
      <c r="H73" s="389"/>
      <c r="I73" s="396"/>
      <c r="J73" s="397">
        <v>1</v>
      </c>
      <c r="K73" s="398"/>
      <c r="L73" s="399" t="s">
        <v>1191</v>
      </c>
      <c r="M73" s="398"/>
      <c r="N73" s="398"/>
      <c r="O73" s="415" t="s">
        <v>1030</v>
      </c>
      <c r="P73" s="372"/>
      <c r="Q73" s="387">
        <v>10</v>
      </c>
      <c r="R73" s="379" t="str">
        <f>CONCATENATE($R$68,".",TEXT(Q73,"0000"))</f>
        <v>II-0005.0010</v>
      </c>
      <c r="S73" s="372" t="str">
        <f>CONCATENATE($K$72," - TIPO ",L73)</f>
        <v>RECTANGULAR - TIPO H-1900-BIS-1</v>
      </c>
    </row>
    <row r="74" spans="1:19" x14ac:dyDescent="0.2">
      <c r="A74" s="378">
        <v>11</v>
      </c>
      <c r="B74" s="401" t="s">
        <v>1192</v>
      </c>
      <c r="C74" s="402" t="s">
        <v>1193</v>
      </c>
      <c r="D74" s="395" t="s">
        <v>1030</v>
      </c>
      <c r="G74" s="372"/>
      <c r="H74" s="389"/>
      <c r="I74" s="396"/>
      <c r="J74" s="397">
        <v>2</v>
      </c>
      <c r="K74" s="398"/>
      <c r="L74" s="399" t="s">
        <v>1194</v>
      </c>
      <c r="M74" s="398"/>
      <c r="N74" s="398"/>
      <c r="O74" s="415" t="s">
        <v>1030</v>
      </c>
      <c r="P74" s="372"/>
      <c r="Q74" s="387">
        <v>11</v>
      </c>
      <c r="R74" s="379" t="str">
        <f t="shared" ref="R74:R89" si="9">CONCATENATE($R$68,".",TEXT(Q74,"0000"))</f>
        <v>II-0005.0011</v>
      </c>
      <c r="S74" s="372" t="str">
        <f t="shared" ref="S74:S84" si="10">CONCATENATE($K$72," - TIPO ",L74)</f>
        <v>RECTANGULAR - TIPO O-41211-I</v>
      </c>
    </row>
    <row r="75" spans="1:19" x14ac:dyDescent="0.2">
      <c r="A75" s="378">
        <v>12</v>
      </c>
      <c r="B75" s="379" t="s">
        <v>1195</v>
      </c>
      <c r="C75" s="380" t="s">
        <v>1196</v>
      </c>
      <c r="D75" s="395" t="s">
        <v>1030</v>
      </c>
      <c r="G75" s="372"/>
      <c r="H75" s="389"/>
      <c r="I75" s="396"/>
      <c r="J75" s="397">
        <v>3</v>
      </c>
      <c r="K75" s="398"/>
      <c r="L75" s="399" t="s">
        <v>1197</v>
      </c>
      <c r="M75" s="398"/>
      <c r="N75" s="398"/>
      <c r="O75" s="415" t="s">
        <v>1030</v>
      </c>
      <c r="P75" s="372"/>
      <c r="Q75" s="387">
        <v>12</v>
      </c>
      <c r="R75" s="379" t="str">
        <f t="shared" si="9"/>
        <v>II-0005.0012</v>
      </c>
      <c r="S75" s="372" t="str">
        <f t="shared" si="10"/>
        <v>RECTANGULAR - TIPO Z-959</v>
      </c>
    </row>
    <row r="76" spans="1:19" x14ac:dyDescent="0.2">
      <c r="A76" s="378">
        <v>13</v>
      </c>
      <c r="B76" s="379" t="s">
        <v>1198</v>
      </c>
      <c r="C76" s="380" t="s">
        <v>1199</v>
      </c>
      <c r="D76" s="395" t="s">
        <v>1030</v>
      </c>
      <c r="G76" s="372"/>
      <c r="H76" s="389"/>
      <c r="I76" s="396"/>
      <c r="J76" s="397">
        <v>4</v>
      </c>
      <c r="K76" s="398"/>
      <c r="L76" s="399" t="s">
        <v>1200</v>
      </c>
      <c r="M76" s="398"/>
      <c r="N76" s="398"/>
      <c r="O76" s="415" t="s">
        <v>1030</v>
      </c>
      <c r="P76" s="372"/>
      <c r="Q76" s="387">
        <v>13</v>
      </c>
      <c r="R76" s="379" t="str">
        <f t="shared" si="9"/>
        <v>II-0005.0013</v>
      </c>
      <c r="S76" s="372" t="str">
        <f t="shared" si="10"/>
        <v>RECTANGULAR - TIPO Z-2915-I</v>
      </c>
    </row>
    <row r="77" spans="1:19" x14ac:dyDescent="0.2">
      <c r="A77" s="378">
        <v>14</v>
      </c>
      <c r="B77" s="379" t="s">
        <v>1201</v>
      </c>
      <c r="C77" s="380" t="s">
        <v>1202</v>
      </c>
      <c r="D77" s="395" t="s">
        <v>1030</v>
      </c>
      <c r="G77" s="372"/>
      <c r="H77" s="389"/>
      <c r="I77" s="396"/>
      <c r="J77" s="397">
        <v>5</v>
      </c>
      <c r="K77" s="398"/>
      <c r="L77" s="399" t="s">
        <v>1203</v>
      </c>
      <c r="M77" s="398"/>
      <c r="N77" s="398"/>
      <c r="O77" s="415" t="s">
        <v>1030</v>
      </c>
      <c r="P77" s="372"/>
      <c r="Q77" s="387">
        <v>14</v>
      </c>
      <c r="R77" s="379" t="str">
        <f t="shared" si="9"/>
        <v>II-0005.0014</v>
      </c>
      <c r="S77" s="372" t="str">
        <f t="shared" si="10"/>
        <v>RECTANGULAR - TIPO Z-2916-I</v>
      </c>
    </row>
    <row r="78" spans="1:19" x14ac:dyDescent="0.2">
      <c r="A78" s="378">
        <v>15</v>
      </c>
      <c r="B78" s="379" t="s">
        <v>1204</v>
      </c>
      <c r="C78" s="380" t="s">
        <v>1205</v>
      </c>
      <c r="D78" s="395" t="s">
        <v>1030</v>
      </c>
      <c r="G78" s="372"/>
      <c r="H78" s="389"/>
      <c r="I78" s="396"/>
      <c r="J78" s="397">
        <v>6</v>
      </c>
      <c r="K78" s="398"/>
      <c r="L78" s="399" t="s">
        <v>1206</v>
      </c>
      <c r="M78" s="398"/>
      <c r="N78" s="398"/>
      <c r="O78" s="415" t="s">
        <v>1030</v>
      </c>
      <c r="P78" s="372"/>
      <c r="Q78" s="387">
        <v>15</v>
      </c>
      <c r="R78" s="379" t="str">
        <f t="shared" si="9"/>
        <v>II-0005.0015</v>
      </c>
      <c r="S78" s="372" t="str">
        <f t="shared" si="10"/>
        <v>RECTANGULAR - TIPO A-505</v>
      </c>
    </row>
    <row r="79" spans="1:19" x14ac:dyDescent="0.2">
      <c r="A79" s="378">
        <v>16</v>
      </c>
      <c r="B79" s="371" t="s">
        <v>1207</v>
      </c>
      <c r="C79" s="380" t="s">
        <v>1208</v>
      </c>
      <c r="D79" s="395" t="s">
        <v>1030</v>
      </c>
      <c r="G79" s="372"/>
      <c r="H79" s="389"/>
      <c r="I79" s="396"/>
      <c r="J79" s="397">
        <v>7</v>
      </c>
      <c r="K79" s="398"/>
      <c r="L79" s="399" t="s">
        <v>1209</v>
      </c>
      <c r="M79" s="398"/>
      <c r="N79" s="398"/>
      <c r="O79" s="415" t="s">
        <v>1030</v>
      </c>
      <c r="P79" s="372"/>
      <c r="Q79" s="387">
        <v>16</v>
      </c>
      <c r="R79" s="379" t="str">
        <f t="shared" si="9"/>
        <v>II-0005.0016</v>
      </c>
      <c r="S79" s="372" t="str">
        <f t="shared" si="10"/>
        <v>RECTANGULAR - TIPO A-660</v>
      </c>
    </row>
    <row r="80" spans="1:19" x14ac:dyDescent="0.2">
      <c r="A80" s="378">
        <v>17</v>
      </c>
      <c r="B80" s="371" t="s">
        <v>1210</v>
      </c>
      <c r="C80" s="380" t="s">
        <v>1211</v>
      </c>
      <c r="D80" s="395" t="s">
        <v>1030</v>
      </c>
      <c r="G80" s="372"/>
      <c r="H80" s="389"/>
      <c r="I80" s="396"/>
      <c r="J80" s="397">
        <v>8</v>
      </c>
      <c r="K80" s="398"/>
      <c r="L80" s="399" t="s">
        <v>1212</v>
      </c>
      <c r="M80" s="398"/>
      <c r="N80" s="398"/>
      <c r="O80" s="415" t="s">
        <v>1030</v>
      </c>
      <c r="P80" s="372"/>
      <c r="Q80" s="387">
        <v>17</v>
      </c>
      <c r="R80" s="379" t="str">
        <f t="shared" si="9"/>
        <v>II-0005.0017</v>
      </c>
      <c r="S80" s="372" t="str">
        <f t="shared" si="10"/>
        <v>RECTANGULAR - TIPO O-41211-MODIFICADA</v>
      </c>
    </row>
    <row r="81" spans="1:19" x14ac:dyDescent="0.2">
      <c r="A81" s="378">
        <v>18</v>
      </c>
      <c r="B81" s="401" t="s">
        <v>1213</v>
      </c>
      <c r="C81" s="402" t="s">
        <v>1214</v>
      </c>
      <c r="D81" s="395" t="s">
        <v>1030</v>
      </c>
      <c r="G81" s="372"/>
      <c r="H81" s="389"/>
      <c r="I81" s="396"/>
      <c r="J81" s="397">
        <v>9</v>
      </c>
      <c r="K81" s="398"/>
      <c r="L81" s="399" t="s">
        <v>1215</v>
      </c>
      <c r="M81" s="398"/>
      <c r="N81" s="398"/>
      <c r="O81" s="415" t="s">
        <v>1030</v>
      </c>
      <c r="P81" s="372"/>
      <c r="Q81" s="387">
        <v>18</v>
      </c>
      <c r="R81" s="379" t="str">
        <f t="shared" si="9"/>
        <v>II-0005.0018</v>
      </c>
      <c r="S81" s="372" t="str">
        <f t="shared" si="10"/>
        <v>RECTANGULAR - TIPO X-1113</v>
      </c>
    </row>
    <row r="82" spans="1:19" x14ac:dyDescent="0.2">
      <c r="A82" s="378">
        <v>19</v>
      </c>
      <c r="B82" s="379" t="s">
        <v>1216</v>
      </c>
      <c r="C82" s="380" t="s">
        <v>1217</v>
      </c>
      <c r="D82" s="395" t="s">
        <v>1030</v>
      </c>
      <c r="G82" s="372"/>
      <c r="H82" s="389"/>
      <c r="I82" s="396"/>
      <c r="J82" s="397">
        <v>10</v>
      </c>
      <c r="K82" s="398"/>
      <c r="L82" s="399" t="s">
        <v>1218</v>
      </c>
      <c r="M82" s="398"/>
      <c r="N82" s="398"/>
      <c r="O82" s="415" t="s">
        <v>1030</v>
      </c>
      <c r="P82" s="372"/>
      <c r="Q82" s="387">
        <v>19</v>
      </c>
      <c r="R82" s="379" t="str">
        <f t="shared" si="9"/>
        <v>II-0005.0019</v>
      </c>
      <c r="S82" s="372" t="str">
        <f t="shared" si="10"/>
        <v>RECTANGULAR - TIPO 0-52229</v>
      </c>
    </row>
    <row r="83" spans="1:19" x14ac:dyDescent="0.2">
      <c r="A83" s="378">
        <v>20</v>
      </c>
      <c r="B83" s="379" t="s">
        <v>1219</v>
      </c>
      <c r="C83" s="380" t="s">
        <v>1220</v>
      </c>
      <c r="D83" s="395" t="s">
        <v>1030</v>
      </c>
      <c r="G83" s="372"/>
      <c r="H83" s="389"/>
      <c r="I83" s="396"/>
      <c r="J83" s="397">
        <v>11</v>
      </c>
      <c r="K83" s="398"/>
      <c r="L83" s="399" t="s">
        <v>1221</v>
      </c>
      <c r="M83" s="398"/>
      <c r="N83" s="398"/>
      <c r="O83" s="415" t="s">
        <v>1030</v>
      </c>
      <c r="P83" s="372"/>
      <c r="Q83" s="387">
        <v>20</v>
      </c>
      <c r="R83" s="379" t="str">
        <f t="shared" si="9"/>
        <v>II-0005.0020</v>
      </c>
      <c r="S83" s="372" t="str">
        <f t="shared" si="10"/>
        <v>RECTANGULAR - TIPO 0-52233</v>
      </c>
    </row>
    <row r="84" spans="1:19" x14ac:dyDescent="0.2">
      <c r="A84" s="378">
        <v>21</v>
      </c>
      <c r="B84" s="371" t="s">
        <v>1222</v>
      </c>
      <c r="C84" s="380" t="s">
        <v>1223</v>
      </c>
      <c r="D84" s="395" t="s">
        <v>1030</v>
      </c>
      <c r="G84" s="372"/>
      <c r="H84" s="389"/>
      <c r="I84" s="408"/>
      <c r="J84" s="403">
        <v>12</v>
      </c>
      <c r="K84" s="398"/>
      <c r="L84" s="405" t="s">
        <v>1224</v>
      </c>
      <c r="M84" s="404"/>
      <c r="N84" s="404"/>
      <c r="O84" s="435" t="s">
        <v>1030</v>
      </c>
      <c r="P84" s="372"/>
      <c r="Q84" s="387">
        <v>21</v>
      </c>
      <c r="R84" s="379" t="str">
        <f t="shared" si="9"/>
        <v>II-0005.0021</v>
      </c>
      <c r="S84" s="372" t="str">
        <f t="shared" si="10"/>
        <v>RECTANGULAR - TIPO 0-52241</v>
      </c>
    </row>
    <row r="85" spans="1:19" x14ac:dyDescent="0.2">
      <c r="A85" s="378">
        <v>30</v>
      </c>
      <c r="B85" s="371" t="s">
        <v>1225</v>
      </c>
      <c r="C85" s="380" t="s">
        <v>1167</v>
      </c>
      <c r="D85" s="395" t="s">
        <v>1030</v>
      </c>
      <c r="G85" s="372"/>
      <c r="H85" s="389"/>
      <c r="I85" s="390" t="s">
        <v>1097</v>
      </c>
      <c r="J85" s="408"/>
      <c r="K85" s="458" t="s">
        <v>1167</v>
      </c>
      <c r="L85" s="405"/>
      <c r="M85" s="404"/>
      <c r="N85" s="404"/>
      <c r="O85" s="435" t="s">
        <v>1030</v>
      </c>
      <c r="P85" s="372"/>
      <c r="Q85" s="387">
        <v>30</v>
      </c>
      <c r="R85" s="379" t="str">
        <f t="shared" si="9"/>
        <v>II-0005.0030</v>
      </c>
      <c r="S85" s="372" t="str">
        <f>CONCATENATE(K85)</f>
        <v>COLOCACION</v>
      </c>
    </row>
    <row r="86" spans="1:19" x14ac:dyDescent="0.2">
      <c r="A86" s="378">
        <v>31</v>
      </c>
      <c r="B86" s="401" t="s">
        <v>1226</v>
      </c>
      <c r="C86" s="402" t="s">
        <v>1164</v>
      </c>
      <c r="D86" s="395" t="s">
        <v>1030</v>
      </c>
      <c r="G86" s="372"/>
      <c r="H86" s="389"/>
      <c r="I86" s="403" t="s">
        <v>1123</v>
      </c>
      <c r="J86" s="408"/>
      <c r="K86" s="399" t="s">
        <v>1164</v>
      </c>
      <c r="L86" s="405"/>
      <c r="M86" s="404"/>
      <c r="N86" s="404"/>
      <c r="O86" s="435" t="s">
        <v>1030</v>
      </c>
      <c r="P86" s="372"/>
      <c r="Q86" s="387">
        <v>31</v>
      </c>
      <c r="R86" s="379" t="str">
        <f t="shared" si="9"/>
        <v>II-0005.0031</v>
      </c>
      <c r="S86" s="372" t="str">
        <f t="shared" ref="S86:S89" si="11">CONCATENATE(K86)</f>
        <v>PINTURA</v>
      </c>
    </row>
    <row r="87" spans="1:19" x14ac:dyDescent="0.2">
      <c r="A87" s="378">
        <v>32</v>
      </c>
      <c r="B87" s="379" t="s">
        <v>1227</v>
      </c>
      <c r="C87" s="380" t="s">
        <v>1228</v>
      </c>
      <c r="D87" s="464" t="s">
        <v>1171</v>
      </c>
      <c r="G87" s="372"/>
      <c r="H87" s="389"/>
      <c r="I87" s="403" t="s">
        <v>1165</v>
      </c>
      <c r="J87" s="408"/>
      <c r="K87" s="458" t="s">
        <v>1228</v>
      </c>
      <c r="L87" s="405"/>
      <c r="M87" s="404"/>
      <c r="N87" s="404"/>
      <c r="O87" s="465" t="s">
        <v>1171</v>
      </c>
      <c r="P87" s="372"/>
      <c r="Q87" s="387">
        <v>32</v>
      </c>
      <c r="R87" s="379" t="str">
        <f t="shared" si="9"/>
        <v>II-0005.0032</v>
      </c>
      <c r="S87" s="372" t="str">
        <f t="shared" si="11"/>
        <v>RELLENO SOCAVACION</v>
      </c>
    </row>
    <row r="88" spans="1:19" x14ac:dyDescent="0.2">
      <c r="A88" s="378">
        <v>33</v>
      </c>
      <c r="B88" s="379" t="s">
        <v>1229</v>
      </c>
      <c r="C88" s="380" t="s">
        <v>1174</v>
      </c>
      <c r="D88" s="395" t="s">
        <v>1030</v>
      </c>
      <c r="G88" s="372"/>
      <c r="H88" s="389"/>
      <c r="I88" s="390" t="s">
        <v>1168</v>
      </c>
      <c r="J88" s="437"/>
      <c r="K88" s="458" t="s">
        <v>1174</v>
      </c>
      <c r="L88" s="437"/>
      <c r="M88" s="437"/>
      <c r="N88" s="437"/>
      <c r="O88" s="438" t="s">
        <v>1030</v>
      </c>
      <c r="P88" s="372"/>
      <c r="Q88" s="387">
        <v>33</v>
      </c>
      <c r="R88" s="379" t="str">
        <f t="shared" si="9"/>
        <v>II-0005.0033</v>
      </c>
      <c r="S88" s="372" t="str">
        <f t="shared" si="11"/>
        <v>REPARACION</v>
      </c>
    </row>
    <row r="89" spans="1:19" ht="15.75" thickBot="1" x14ac:dyDescent="0.25">
      <c r="A89" s="378">
        <v>34</v>
      </c>
      <c r="B89" s="379" t="s">
        <v>1230</v>
      </c>
      <c r="C89" s="380" t="s">
        <v>1179</v>
      </c>
      <c r="D89" s="395" t="s">
        <v>1030</v>
      </c>
      <c r="G89" s="372"/>
      <c r="H89" s="409"/>
      <c r="I89" s="421" t="s">
        <v>1172</v>
      </c>
      <c r="J89" s="412"/>
      <c r="K89" s="413" t="s">
        <v>1179</v>
      </c>
      <c r="L89" s="412"/>
      <c r="M89" s="412"/>
      <c r="N89" s="412"/>
      <c r="O89" s="466" t="s">
        <v>1030</v>
      </c>
      <c r="P89" s="372"/>
      <c r="Q89" s="387">
        <v>34</v>
      </c>
      <c r="R89" s="379" t="str">
        <f t="shared" si="9"/>
        <v>II-0005.0034</v>
      </c>
      <c r="S89" s="372" t="str">
        <f t="shared" si="11"/>
        <v xml:space="preserve">RETIRO </v>
      </c>
    </row>
    <row r="90" spans="1:19" ht="16.5" thickTop="1" thickBot="1" x14ac:dyDescent="0.25">
      <c r="A90" s="378"/>
      <c r="B90" s="379"/>
      <c r="C90" s="380"/>
      <c r="D90" s="395"/>
      <c r="G90" s="372"/>
      <c r="H90" s="389"/>
      <c r="I90" s="396"/>
      <c r="J90" s="398"/>
      <c r="K90" s="399"/>
      <c r="L90" s="398"/>
      <c r="M90" s="398"/>
      <c r="N90" s="398"/>
      <c r="O90" s="415"/>
      <c r="P90" s="372"/>
      <c r="Q90" s="387"/>
      <c r="R90" s="379"/>
      <c r="S90" s="372"/>
    </row>
    <row r="91" spans="1:19" ht="15.75" thickTop="1" x14ac:dyDescent="0.2">
      <c r="A91" s="378">
        <v>6</v>
      </c>
      <c r="B91" s="379" t="s">
        <v>1231</v>
      </c>
      <c r="C91" s="380" t="s">
        <v>1232</v>
      </c>
      <c r="D91" s="395"/>
      <c r="G91" s="372"/>
      <c r="H91" s="467">
        <v>6</v>
      </c>
      <c r="I91" s="468"/>
      <c r="J91" s="469"/>
      <c r="K91" s="470" t="s">
        <v>1232</v>
      </c>
      <c r="L91" s="469"/>
      <c r="M91" s="469"/>
      <c r="N91" s="469"/>
      <c r="O91" s="471"/>
      <c r="P91" s="372"/>
      <c r="Q91" s="387">
        <f>H91</f>
        <v>6</v>
      </c>
      <c r="R91" s="377" t="str">
        <f>CONCATENATE("II-",TEXT(Q91,"0000"))</f>
        <v>II-0006</v>
      </c>
      <c r="S91" s="388" t="str">
        <f>K91</f>
        <v>APERTURA DE CAJA P/ ENSANCHE</v>
      </c>
    </row>
    <row r="92" spans="1:19" x14ac:dyDescent="0.2">
      <c r="A92" s="378">
        <v>1</v>
      </c>
      <c r="B92" s="379" t="s">
        <v>1233</v>
      </c>
      <c r="C92" s="380" t="s">
        <v>1129</v>
      </c>
      <c r="D92" s="395" t="s">
        <v>1171</v>
      </c>
      <c r="G92" s="451"/>
      <c r="H92" s="389"/>
      <c r="I92" s="390" t="s">
        <v>1060</v>
      </c>
      <c r="J92" s="437"/>
      <c r="K92" s="458" t="s">
        <v>1129</v>
      </c>
      <c r="L92" s="437"/>
      <c r="M92" s="437"/>
      <c r="N92" s="437"/>
      <c r="O92" s="472" t="s">
        <v>1171</v>
      </c>
      <c r="P92" s="451"/>
      <c r="Q92" s="387">
        <v>1</v>
      </c>
      <c r="R92" s="379" t="str">
        <f>CONCATENATE($R$91,".",TEXT(Q92,"0000"))</f>
        <v>II-0006.0001</v>
      </c>
      <c r="S92" s="372" t="str">
        <f>CONCATENATE(K92)</f>
        <v>RETIRO</v>
      </c>
    </row>
    <row r="93" spans="1:19" ht="15.75" thickBot="1" x14ac:dyDescent="0.25">
      <c r="A93" s="378">
        <v>2</v>
      </c>
      <c r="B93" s="379" t="s">
        <v>1234</v>
      </c>
      <c r="C93" s="380" t="s">
        <v>1235</v>
      </c>
      <c r="D93" s="395" t="s">
        <v>1171</v>
      </c>
      <c r="G93" s="451"/>
      <c r="H93" s="473"/>
      <c r="I93" s="474" t="s">
        <v>1087</v>
      </c>
      <c r="J93" s="475"/>
      <c r="K93" s="476" t="s">
        <v>1235</v>
      </c>
      <c r="L93" s="475"/>
      <c r="M93" s="475"/>
      <c r="N93" s="475"/>
      <c r="O93" s="462" t="s">
        <v>1171</v>
      </c>
      <c r="P93" s="451"/>
      <c r="Q93" s="387">
        <v>2</v>
      </c>
      <c r="R93" s="379" t="str">
        <f>CONCATENATE($R$91,".",TEXT(Q93,"0000"))</f>
        <v>II-0006.0002</v>
      </c>
      <c r="S93" s="372" t="str">
        <f>CONCATENATE(K93)</f>
        <v>RETIRO Y COLOCACION</v>
      </c>
    </row>
    <row r="94" spans="1:19" ht="16.5" thickTop="1" thickBot="1" x14ac:dyDescent="0.25">
      <c r="A94" s="378"/>
      <c r="B94" s="371"/>
      <c r="C94" s="380"/>
      <c r="D94" s="395"/>
      <c r="G94" s="451"/>
      <c r="H94" s="473"/>
      <c r="I94" s="395"/>
      <c r="J94" s="475"/>
      <c r="K94" s="476"/>
      <c r="L94" s="475"/>
      <c r="M94" s="475"/>
      <c r="N94" s="475"/>
      <c r="O94" s="462"/>
      <c r="P94" s="451"/>
      <c r="Q94" s="387"/>
      <c r="R94" s="379"/>
      <c r="S94" s="372"/>
    </row>
    <row r="95" spans="1:19" ht="15.75" thickTop="1" x14ac:dyDescent="0.2">
      <c r="A95" s="378">
        <v>7</v>
      </c>
      <c r="B95" s="371" t="s">
        <v>1236</v>
      </c>
      <c r="C95" s="380" t="s">
        <v>1237</v>
      </c>
      <c r="D95" s="395"/>
      <c r="G95" s="372"/>
      <c r="H95" s="467">
        <v>7</v>
      </c>
      <c r="I95" s="417"/>
      <c r="J95" s="477"/>
      <c r="K95" s="478" t="s">
        <v>1237</v>
      </c>
      <c r="L95" s="477"/>
      <c r="M95" s="477"/>
      <c r="N95" s="477"/>
      <c r="O95" s="419"/>
      <c r="P95" s="372"/>
      <c r="Q95" s="387">
        <f>H95</f>
        <v>7</v>
      </c>
      <c r="R95" s="377" t="str">
        <f>CONCATENATE("II-",TEXT(Q95,"0000"))</f>
        <v>II-0007</v>
      </c>
      <c r="S95" s="388" t="str">
        <f>K95</f>
        <v>APOYO DE POLICLOROPENO SHARE 60</v>
      </c>
    </row>
    <row r="96" spans="1:19" x14ac:dyDescent="0.2">
      <c r="A96" s="378">
        <v>1</v>
      </c>
      <c r="B96" s="401" t="s">
        <v>1238</v>
      </c>
      <c r="C96" s="402" t="s">
        <v>1177</v>
      </c>
      <c r="D96" s="395" t="s">
        <v>1239</v>
      </c>
      <c r="G96" s="372"/>
      <c r="H96" s="389"/>
      <c r="I96" s="390" t="s">
        <v>1060</v>
      </c>
      <c r="J96" s="437"/>
      <c r="K96" s="458" t="s">
        <v>1177</v>
      </c>
      <c r="L96" s="437"/>
      <c r="M96" s="437"/>
      <c r="N96" s="437"/>
      <c r="O96" s="438" t="s">
        <v>1239</v>
      </c>
      <c r="P96" s="372"/>
      <c r="Q96" s="387">
        <v>1</v>
      </c>
      <c r="R96" s="379" t="str">
        <f>CONCATENATE($R$95,".",TEXT(Q96,"0000"))</f>
        <v>II-0007.0001</v>
      </c>
      <c r="S96" s="372" t="str">
        <f>CONCATENATE(K96)</f>
        <v>RETIRO Y RECOLOCACION</v>
      </c>
    </row>
    <row r="97" spans="1:19" ht="15.75" thickBot="1" x14ac:dyDescent="0.25">
      <c r="A97" s="378">
        <v>2</v>
      </c>
      <c r="B97" s="379" t="s">
        <v>1240</v>
      </c>
      <c r="C97" s="380" t="s">
        <v>1174</v>
      </c>
      <c r="D97" s="395" t="s">
        <v>1239</v>
      </c>
      <c r="G97" s="372"/>
      <c r="H97" s="389"/>
      <c r="I97" s="411" t="s">
        <v>1087</v>
      </c>
      <c r="J97" s="398"/>
      <c r="K97" s="399" t="s">
        <v>1174</v>
      </c>
      <c r="L97" s="398"/>
      <c r="M97" s="398"/>
      <c r="N97" s="398"/>
      <c r="O97" s="466" t="s">
        <v>1239</v>
      </c>
      <c r="P97" s="372"/>
      <c r="Q97" s="387">
        <v>2</v>
      </c>
      <c r="R97" s="379" t="str">
        <f>CONCATENATE($R$95,".",TEXT(Q97,"0000"))</f>
        <v>II-0007.0002</v>
      </c>
      <c r="S97" s="372" t="str">
        <f>CONCATENATE(K97)</f>
        <v>REPARACION</v>
      </c>
    </row>
    <row r="98" spans="1:19" ht="16.5" thickTop="1" thickBot="1" x14ac:dyDescent="0.25">
      <c r="A98" s="378"/>
      <c r="B98" s="379"/>
      <c r="C98" s="380"/>
      <c r="D98" s="395"/>
      <c r="G98" s="372"/>
      <c r="H98" s="389"/>
      <c r="I98" s="396"/>
      <c r="J98" s="398"/>
      <c r="K98" s="399"/>
      <c r="L98" s="398"/>
      <c r="M98" s="398"/>
      <c r="N98" s="398"/>
      <c r="O98" s="415"/>
      <c r="P98" s="372"/>
      <c r="Q98" s="387"/>
      <c r="R98" s="379"/>
      <c r="S98" s="372"/>
    </row>
    <row r="99" spans="1:19" ht="16.5" thickTop="1" thickBot="1" x14ac:dyDescent="0.25">
      <c r="A99" s="378">
        <v>8</v>
      </c>
      <c r="B99" s="379" t="s">
        <v>1241</v>
      </c>
      <c r="C99" s="380" t="s">
        <v>1242</v>
      </c>
      <c r="D99" s="395" t="s">
        <v>1171</v>
      </c>
      <c r="G99" s="372"/>
      <c r="H99" s="479">
        <v>8</v>
      </c>
      <c r="I99" s="480"/>
      <c r="J99" s="481"/>
      <c r="K99" s="482" t="s">
        <v>1242</v>
      </c>
      <c r="L99" s="481"/>
      <c r="M99" s="481"/>
      <c r="N99" s="481"/>
      <c r="O99" s="483" t="s">
        <v>1171</v>
      </c>
      <c r="P99" s="372"/>
      <c r="Q99" s="387">
        <f>H99</f>
        <v>8</v>
      </c>
      <c r="R99" s="377" t="str">
        <f>CONCATENATE("II-",TEXT(Q99,"0000"))</f>
        <v>II-0008</v>
      </c>
      <c r="S99" s="388" t="str">
        <f>K99</f>
        <v>ARIDOS</v>
      </c>
    </row>
    <row r="100" spans="1:19" x14ac:dyDescent="0.2">
      <c r="A100" s="378"/>
      <c r="B100" s="379"/>
      <c r="C100" s="380"/>
      <c r="D100" s="395"/>
      <c r="G100" s="475"/>
      <c r="H100" s="484"/>
      <c r="I100" s="395"/>
      <c r="J100" s="475"/>
      <c r="K100" s="476"/>
      <c r="L100" s="475"/>
      <c r="M100" s="475"/>
      <c r="N100" s="475"/>
      <c r="O100" s="485"/>
      <c r="P100" s="475"/>
      <c r="Q100" s="475"/>
      <c r="R100" s="475"/>
      <c r="S100" s="475"/>
    </row>
    <row r="101" spans="1:19" x14ac:dyDescent="0.2">
      <c r="A101" s="378"/>
      <c r="B101" s="379"/>
      <c r="C101" s="380"/>
      <c r="D101" s="395"/>
      <c r="G101" s="475"/>
      <c r="H101" s="484"/>
      <c r="I101" s="395"/>
      <c r="J101" s="475"/>
      <c r="K101" s="476"/>
      <c r="L101" s="475"/>
      <c r="M101" s="475"/>
      <c r="N101" s="475"/>
      <c r="O101" s="485"/>
      <c r="P101" s="475"/>
      <c r="Q101" s="475"/>
      <c r="R101" s="475"/>
      <c r="S101" s="475"/>
    </row>
    <row r="102" spans="1:19" x14ac:dyDescent="0.2">
      <c r="A102" s="378"/>
      <c r="B102" s="371"/>
      <c r="C102" s="380"/>
      <c r="D102" s="395"/>
      <c r="G102" s="475"/>
      <c r="H102" s="484"/>
      <c r="I102" s="395"/>
      <c r="J102" s="475"/>
      <c r="K102" s="476"/>
      <c r="L102" s="475"/>
      <c r="M102" s="475"/>
      <c r="N102" s="475"/>
      <c r="O102" s="485"/>
      <c r="P102" s="475"/>
      <c r="Q102" s="475"/>
      <c r="R102" s="475"/>
      <c r="S102" s="475"/>
    </row>
    <row r="103" spans="1:19" x14ac:dyDescent="0.2">
      <c r="A103" s="378">
        <v>9</v>
      </c>
      <c r="B103" s="371" t="s">
        <v>1243</v>
      </c>
      <c r="C103" s="380" t="s">
        <v>1244</v>
      </c>
      <c r="D103" s="395"/>
      <c r="G103" s="372"/>
      <c r="H103" s="416">
        <v>9</v>
      </c>
      <c r="I103" s="418"/>
      <c r="J103" s="429"/>
      <c r="K103" s="486" t="s">
        <v>1244</v>
      </c>
      <c r="L103" s="429"/>
      <c r="M103" s="429"/>
      <c r="N103" s="429"/>
      <c r="O103" s="440"/>
      <c r="P103" s="372"/>
      <c r="Q103" s="387">
        <f>H103</f>
        <v>9</v>
      </c>
      <c r="R103" s="377" t="str">
        <f>CONCATENATE("II-",TEXT(Q103,"0000"))</f>
        <v>II-0009</v>
      </c>
      <c r="S103" s="388" t="str">
        <f>K103</f>
        <v>BACHEO DE PAVIMENTO ASFALTICO</v>
      </c>
    </row>
    <row r="104" spans="1:19" x14ac:dyDescent="0.2">
      <c r="A104" s="378"/>
      <c r="B104" s="401"/>
      <c r="C104" s="402"/>
      <c r="D104" s="395"/>
      <c r="G104" s="451"/>
      <c r="H104" s="473"/>
      <c r="I104" s="390" t="s">
        <v>1060</v>
      </c>
      <c r="J104" s="398"/>
      <c r="K104" s="476" t="s">
        <v>1245</v>
      </c>
      <c r="L104" s="398"/>
      <c r="M104" s="398"/>
      <c r="N104" s="398"/>
      <c r="O104" s="431"/>
      <c r="P104" s="451"/>
      <c r="Q104" s="451"/>
      <c r="R104" s="451"/>
      <c r="S104" s="451"/>
    </row>
    <row r="105" spans="1:19" x14ac:dyDescent="0.2">
      <c r="A105" s="378">
        <v>1</v>
      </c>
      <c r="B105" s="379" t="s">
        <v>1246</v>
      </c>
      <c r="C105" s="380" t="s">
        <v>1247</v>
      </c>
      <c r="D105" s="395" t="s">
        <v>1171</v>
      </c>
      <c r="G105" s="451"/>
      <c r="H105" s="473"/>
      <c r="I105" s="395"/>
      <c r="J105" s="487">
        <v>1</v>
      </c>
      <c r="K105" s="476"/>
      <c r="L105" s="476" t="s">
        <v>1248</v>
      </c>
      <c r="M105" s="475"/>
      <c r="N105" s="475"/>
      <c r="O105" s="431" t="s">
        <v>1171</v>
      </c>
      <c r="P105" s="451"/>
      <c r="Q105" s="387">
        <v>1</v>
      </c>
      <c r="R105" s="379" t="str">
        <f>CONCATENATE($R$103,".",TEXT(Q105,"0000"))</f>
        <v>II-0009.0001</v>
      </c>
      <c r="S105" s="372" t="str">
        <f>CONCATENATE($K$104," CON ",L105)</f>
        <v>PROFUNDO CON MATERIAL PETREO Y SUELO</v>
      </c>
    </row>
    <row r="106" spans="1:19" x14ac:dyDescent="0.2">
      <c r="A106" s="378">
        <v>2</v>
      </c>
      <c r="B106" s="379" t="s">
        <v>1249</v>
      </c>
      <c r="C106" s="380" t="s">
        <v>1250</v>
      </c>
      <c r="D106" s="395" t="s">
        <v>1171</v>
      </c>
      <c r="G106" s="451"/>
      <c r="H106" s="473"/>
      <c r="I106" s="395"/>
      <c r="J106" s="487">
        <v>2</v>
      </c>
      <c r="K106" s="476"/>
      <c r="L106" s="476" t="s">
        <v>1251</v>
      </c>
      <c r="M106" s="475"/>
      <c r="N106" s="475"/>
      <c r="O106" s="431" t="s">
        <v>1171</v>
      </c>
      <c r="P106" s="451"/>
      <c r="Q106" s="387">
        <v>2</v>
      </c>
      <c r="R106" s="379" t="str">
        <f t="shared" ref="R106:R110" si="12">CONCATENATE($R$103,".",TEXT(Q106,"0000"))</f>
        <v>II-0009.0002</v>
      </c>
      <c r="S106" s="372" t="str">
        <f t="shared" ref="S106:S110" si="13">CONCATENATE($K$104," CON ",L106)</f>
        <v>PROFUNDO CON MEZCLA ASFALTICA</v>
      </c>
    </row>
    <row r="107" spans="1:19" x14ac:dyDescent="0.2">
      <c r="A107" s="378">
        <v>3</v>
      </c>
      <c r="B107" s="379" t="s">
        <v>1252</v>
      </c>
      <c r="C107" s="380" t="s">
        <v>1253</v>
      </c>
      <c r="D107" s="395" t="s">
        <v>1254</v>
      </c>
      <c r="G107" s="451"/>
      <c r="H107" s="473"/>
      <c r="I107" s="395"/>
      <c r="J107" s="487">
        <v>3</v>
      </c>
      <c r="K107" s="476"/>
      <c r="L107" s="476" t="s">
        <v>1255</v>
      </c>
      <c r="M107" s="475"/>
      <c r="N107" s="475"/>
      <c r="O107" s="431" t="s">
        <v>1254</v>
      </c>
      <c r="P107" s="451"/>
      <c r="Q107" s="387">
        <v>3</v>
      </c>
      <c r="R107" s="379" t="str">
        <f t="shared" si="12"/>
        <v>II-0009.0003</v>
      </c>
      <c r="S107" s="372" t="str">
        <f t="shared" si="13"/>
        <v>PROFUNDO CON SUELO CAL</v>
      </c>
    </row>
    <row r="108" spans="1:19" x14ac:dyDescent="0.2">
      <c r="A108" s="378">
        <v>4</v>
      </c>
      <c r="B108" s="379" t="s">
        <v>1256</v>
      </c>
      <c r="C108" s="380" t="s">
        <v>1257</v>
      </c>
      <c r="D108" s="395" t="s">
        <v>1254</v>
      </c>
      <c r="G108" s="451"/>
      <c r="H108" s="473"/>
      <c r="I108" s="395"/>
      <c r="J108" s="487">
        <v>4</v>
      </c>
      <c r="K108" s="476"/>
      <c r="L108" s="476" t="s">
        <v>1258</v>
      </c>
      <c r="M108" s="475"/>
      <c r="N108" s="475"/>
      <c r="O108" s="431" t="s">
        <v>1254</v>
      </c>
      <c r="P108" s="451"/>
      <c r="Q108" s="387">
        <v>4</v>
      </c>
      <c r="R108" s="379" t="str">
        <f t="shared" si="12"/>
        <v>II-0009.0004</v>
      </c>
      <c r="S108" s="372" t="str">
        <f t="shared" si="13"/>
        <v>PROFUNDO CON SUELO CEMENTO</v>
      </c>
    </row>
    <row r="109" spans="1:19" x14ac:dyDescent="0.2">
      <c r="A109" s="378">
        <v>5</v>
      </c>
      <c r="B109" s="379" t="s">
        <v>1259</v>
      </c>
      <c r="C109" s="380" t="s">
        <v>1260</v>
      </c>
      <c r="D109" s="395" t="s">
        <v>1254</v>
      </c>
      <c r="G109" s="451"/>
      <c r="H109" s="473"/>
      <c r="I109" s="395"/>
      <c r="J109" s="487">
        <v>5</v>
      </c>
      <c r="K109" s="476"/>
      <c r="L109" s="476" t="s">
        <v>1261</v>
      </c>
      <c r="M109" s="475"/>
      <c r="N109" s="475"/>
      <c r="O109" s="431" t="s">
        <v>1254</v>
      </c>
      <c r="P109" s="451"/>
      <c r="Q109" s="387">
        <v>5</v>
      </c>
      <c r="R109" s="379" t="str">
        <f t="shared" si="12"/>
        <v>II-0009.0005</v>
      </c>
      <c r="S109" s="372" t="str">
        <f t="shared" si="13"/>
        <v>PROFUNDO CON SUELO SELECCIONADO</v>
      </c>
    </row>
    <row r="110" spans="1:19" x14ac:dyDescent="0.2">
      <c r="A110" s="378">
        <v>6</v>
      </c>
      <c r="B110" s="379" t="s">
        <v>1262</v>
      </c>
      <c r="C110" s="380" t="s">
        <v>1263</v>
      </c>
      <c r="D110" s="395" t="s">
        <v>1254</v>
      </c>
      <c r="G110" s="451"/>
      <c r="H110" s="473"/>
      <c r="I110" s="453"/>
      <c r="J110" s="488">
        <v>6</v>
      </c>
      <c r="K110" s="489"/>
      <c r="L110" s="489" t="s">
        <v>1264</v>
      </c>
      <c r="M110" s="490"/>
      <c r="N110" s="490"/>
      <c r="O110" s="450" t="s">
        <v>1254</v>
      </c>
      <c r="P110" s="451"/>
      <c r="Q110" s="387">
        <v>6</v>
      </c>
      <c r="R110" s="379" t="str">
        <f t="shared" si="12"/>
        <v>II-0009.0006</v>
      </c>
      <c r="S110" s="372" t="str">
        <f t="shared" si="13"/>
        <v>PROFUNDO CON SUELO TRATADO C / CAL</v>
      </c>
    </row>
    <row r="111" spans="1:19" x14ac:dyDescent="0.2">
      <c r="A111" s="378"/>
      <c r="B111" s="380"/>
      <c r="C111" s="380"/>
      <c r="D111" s="395"/>
      <c r="G111" s="451"/>
      <c r="H111" s="473"/>
      <c r="I111" s="491" t="s">
        <v>1087</v>
      </c>
      <c r="J111" s="475"/>
      <c r="K111" s="476" t="s">
        <v>1265</v>
      </c>
      <c r="L111" s="475"/>
      <c r="M111" s="475"/>
      <c r="N111" s="475"/>
      <c r="O111" s="462"/>
      <c r="P111" s="451"/>
      <c r="Q111" s="451"/>
      <c r="R111" s="451"/>
      <c r="S111" s="451"/>
    </row>
    <row r="112" spans="1:19" ht="15.75" thickBot="1" x14ac:dyDescent="0.25">
      <c r="A112" s="378">
        <v>10</v>
      </c>
      <c r="B112" s="371" t="s">
        <v>1266</v>
      </c>
      <c r="C112" s="380" t="s">
        <v>1267</v>
      </c>
      <c r="D112" s="395" t="s">
        <v>1171</v>
      </c>
      <c r="G112" s="451"/>
      <c r="H112" s="492"/>
      <c r="I112" s="493"/>
      <c r="J112" s="494">
        <v>2</v>
      </c>
      <c r="K112" s="495"/>
      <c r="L112" s="495" t="s">
        <v>1251</v>
      </c>
      <c r="M112" s="496"/>
      <c r="N112" s="496"/>
      <c r="O112" s="497" t="s">
        <v>1171</v>
      </c>
      <c r="P112" s="451"/>
      <c r="Q112" s="387">
        <v>10</v>
      </c>
      <c r="R112" s="379" t="str">
        <f>CONCATENATE($R$103,".",TEXT(Q112,"0000"))</f>
        <v>II-0009.0010</v>
      </c>
      <c r="S112" s="372" t="str">
        <f>CONCATENATE($K$111," CON ",L112)</f>
        <v>SUPERFICIAL CON MEZCLA ASFALTICA</v>
      </c>
    </row>
    <row r="113" spans="1:19" ht="15.75" thickTop="1" x14ac:dyDescent="0.2">
      <c r="A113" s="378"/>
      <c r="B113" s="401"/>
      <c r="C113" s="402"/>
      <c r="D113" s="395"/>
      <c r="G113" s="451"/>
      <c r="H113" s="473"/>
      <c r="I113" s="395"/>
      <c r="J113" s="395"/>
      <c r="K113" s="476"/>
      <c r="L113" s="476"/>
      <c r="M113" s="475"/>
      <c r="N113" s="475"/>
      <c r="O113" s="431"/>
      <c r="P113" s="451"/>
      <c r="Q113" s="387"/>
      <c r="R113" s="379"/>
      <c r="S113" s="372"/>
    </row>
    <row r="114" spans="1:19" x14ac:dyDescent="0.2">
      <c r="A114" s="378">
        <v>10</v>
      </c>
      <c r="B114" s="379" t="s">
        <v>1268</v>
      </c>
      <c r="C114" s="380" t="s">
        <v>1269</v>
      </c>
      <c r="D114" s="395"/>
      <c r="G114" s="372"/>
      <c r="H114" s="416">
        <v>10</v>
      </c>
      <c r="I114" s="418"/>
      <c r="J114" s="429"/>
      <c r="K114" s="486" t="s">
        <v>1269</v>
      </c>
      <c r="L114" s="429"/>
      <c r="M114" s="429"/>
      <c r="N114" s="429"/>
      <c r="O114" s="440"/>
      <c r="P114" s="372"/>
      <c r="Q114" s="387">
        <f>H114</f>
        <v>10</v>
      </c>
      <c r="R114" s="377" t="str">
        <f>CONCATENATE("II-",TEXT(Q114,"0000"))</f>
        <v>II-0010</v>
      </c>
      <c r="S114" s="388" t="str">
        <f>K114</f>
        <v>BADEN</v>
      </c>
    </row>
    <row r="115" spans="1:19" x14ac:dyDescent="0.2">
      <c r="A115" s="378"/>
      <c r="B115" s="379"/>
      <c r="C115" s="380"/>
      <c r="D115" s="395"/>
      <c r="G115" s="372"/>
      <c r="H115" s="389"/>
      <c r="I115" s="390" t="s">
        <v>1060</v>
      </c>
      <c r="J115" s="398"/>
      <c r="K115" s="399" t="s">
        <v>1270</v>
      </c>
      <c r="L115" s="398"/>
      <c r="M115" s="398"/>
      <c r="N115" s="398"/>
      <c r="O115" s="431"/>
      <c r="P115" s="372"/>
      <c r="Q115" s="372"/>
      <c r="R115" s="372"/>
      <c r="S115" s="372"/>
    </row>
    <row r="116" spans="1:19" x14ac:dyDescent="0.2">
      <c r="A116" s="378">
        <v>1</v>
      </c>
      <c r="B116" s="379" t="s">
        <v>1271</v>
      </c>
      <c r="C116" s="380" t="s">
        <v>1272</v>
      </c>
      <c r="D116" s="395" t="s">
        <v>1171</v>
      </c>
      <c r="G116" s="372"/>
      <c r="H116" s="389"/>
      <c r="I116" s="396"/>
      <c r="J116" s="397">
        <v>1</v>
      </c>
      <c r="K116" s="398"/>
      <c r="L116" s="399" t="s">
        <v>1273</v>
      </c>
      <c r="M116" s="398"/>
      <c r="N116" s="398"/>
      <c r="O116" s="431" t="s">
        <v>1171</v>
      </c>
      <c r="P116" s="372"/>
      <c r="Q116" s="387">
        <v>1</v>
      </c>
      <c r="R116" s="379" t="str">
        <f>CONCATENATE($R$114,".",TEXT(Q116,"0000"))</f>
        <v>II-0010.0001</v>
      </c>
      <c r="S116" s="372" t="str">
        <f>CONCATENATE($K$115," - TIPO ",L116)</f>
        <v>Hº  SIMPLE - TIPO A-2862</v>
      </c>
    </row>
    <row r="117" spans="1:19" x14ac:dyDescent="0.2">
      <c r="A117" s="378">
        <v>2</v>
      </c>
      <c r="B117" s="379" t="s">
        <v>1274</v>
      </c>
      <c r="C117" s="380" t="s">
        <v>1275</v>
      </c>
      <c r="D117" s="395" t="s">
        <v>1171</v>
      </c>
      <c r="G117" s="372"/>
      <c r="H117" s="389"/>
      <c r="I117" s="396"/>
      <c r="J117" s="403">
        <v>2</v>
      </c>
      <c r="K117" s="404"/>
      <c r="L117" s="405" t="s">
        <v>1276</v>
      </c>
      <c r="M117" s="404"/>
      <c r="N117" s="404"/>
      <c r="O117" s="450" t="s">
        <v>1171</v>
      </c>
      <c r="P117" s="372"/>
      <c r="Q117" s="387">
        <v>2</v>
      </c>
      <c r="R117" s="379" t="str">
        <f>CONCATENATE($R$114,".",TEXT(Q117,"0000"))</f>
        <v>II-0010.0002</v>
      </c>
      <c r="S117" s="372" t="str">
        <f>CONCATENATE($K$115," - TIPO ",L117)</f>
        <v>Hº  SIMPLE - TIPO H-8621</v>
      </c>
    </row>
    <row r="118" spans="1:19" x14ac:dyDescent="0.2">
      <c r="A118" s="378"/>
      <c r="B118" s="379"/>
      <c r="C118" s="380"/>
      <c r="D118" s="395"/>
      <c r="G118" s="372"/>
      <c r="H118" s="389"/>
      <c r="I118" s="390" t="s">
        <v>1087</v>
      </c>
      <c r="J118" s="398"/>
      <c r="K118" s="399" t="s">
        <v>1277</v>
      </c>
      <c r="L118" s="398"/>
      <c r="M118" s="398"/>
      <c r="N118" s="398"/>
      <c r="O118" s="431"/>
      <c r="P118" s="372"/>
      <c r="Q118" s="372"/>
      <c r="R118" s="372"/>
      <c r="S118" s="372"/>
    </row>
    <row r="119" spans="1:19" x14ac:dyDescent="0.2">
      <c r="A119" s="378">
        <v>10</v>
      </c>
      <c r="B119" s="379" t="s">
        <v>1278</v>
      </c>
      <c r="C119" s="380" t="s">
        <v>1279</v>
      </c>
      <c r="D119" s="395" t="s">
        <v>1171</v>
      </c>
      <c r="G119" s="372"/>
      <c r="H119" s="389"/>
      <c r="I119" s="408"/>
      <c r="J119" s="403">
        <v>1</v>
      </c>
      <c r="K119" s="404"/>
      <c r="L119" s="405" t="s">
        <v>1280</v>
      </c>
      <c r="M119" s="404"/>
      <c r="N119" s="404"/>
      <c r="O119" s="450" t="s">
        <v>1171</v>
      </c>
      <c r="P119" s="372"/>
      <c r="Q119" s="387">
        <v>10</v>
      </c>
      <c r="R119" s="379" t="str">
        <f>CONCATENATE($R$114,".",TEXT(Q119,"0000"))</f>
        <v>II-0010.0010</v>
      </c>
      <c r="S119" s="372" t="str">
        <f>CONCATENATE($K$118," - TIPO ",L119)</f>
        <v>Hº ARMADO - TIPO V-331</v>
      </c>
    </row>
    <row r="120" spans="1:19" ht="15.75" thickBot="1" x14ac:dyDescent="0.25">
      <c r="A120" s="378"/>
      <c r="B120" s="379"/>
      <c r="C120" s="380"/>
      <c r="D120" s="395" t="s">
        <v>1171</v>
      </c>
      <c r="G120" s="372"/>
      <c r="H120" s="409"/>
      <c r="I120" s="411" t="s">
        <v>1097</v>
      </c>
      <c r="J120" s="412"/>
      <c r="K120" s="413" t="s">
        <v>1088</v>
      </c>
      <c r="L120" s="412"/>
      <c r="M120" s="412"/>
      <c r="N120" s="412"/>
      <c r="O120" s="497" t="s">
        <v>1171</v>
      </c>
      <c r="P120" s="372"/>
      <c r="Q120" s="372"/>
      <c r="R120" s="372"/>
      <c r="S120" s="372"/>
    </row>
    <row r="121" spans="1:19" ht="15.75" thickTop="1" x14ac:dyDescent="0.2">
      <c r="A121" s="378">
        <v>11</v>
      </c>
      <c r="B121" s="379" t="s">
        <v>1281</v>
      </c>
      <c r="C121" s="380" t="s">
        <v>1282</v>
      </c>
      <c r="D121" s="395"/>
      <c r="G121" s="372"/>
      <c r="H121" s="416">
        <v>11</v>
      </c>
      <c r="I121" s="418"/>
      <c r="J121" s="429"/>
      <c r="K121" s="486" t="s">
        <v>1282</v>
      </c>
      <c r="L121" s="429"/>
      <c r="M121" s="429"/>
      <c r="N121" s="429"/>
      <c r="O121" s="440"/>
      <c r="P121" s="372"/>
      <c r="Q121" s="387">
        <f>H121</f>
        <v>11</v>
      </c>
      <c r="R121" s="377" t="str">
        <f>CONCATENATE("II-",TEXT(Q121,"0000"))</f>
        <v>II-0011</v>
      </c>
      <c r="S121" s="388" t="str">
        <f>K121</f>
        <v>BAJADA DE AGUA</v>
      </c>
    </row>
    <row r="122" spans="1:19" x14ac:dyDescent="0.2">
      <c r="A122" s="378">
        <v>1</v>
      </c>
      <c r="B122" s="379" t="s">
        <v>1283</v>
      </c>
      <c r="C122" s="380" t="s">
        <v>1284</v>
      </c>
      <c r="D122" s="395" t="s">
        <v>1030</v>
      </c>
      <c r="G122" s="372"/>
      <c r="H122" s="430"/>
      <c r="I122" s="390" t="s">
        <v>1060</v>
      </c>
      <c r="J122" s="437"/>
      <c r="K122" s="458" t="s">
        <v>1284</v>
      </c>
      <c r="L122" s="437"/>
      <c r="M122" s="437"/>
      <c r="N122" s="437"/>
      <c r="O122" s="472" t="s">
        <v>1030</v>
      </c>
      <c r="P122" s="372"/>
      <c r="Q122" s="387">
        <v>1</v>
      </c>
      <c r="R122" s="379" t="str">
        <f>CONCATENATE($R$121,".",TEXT(Q122,"0000"))</f>
        <v>II-0011.0001</v>
      </c>
      <c r="S122" s="372" t="str">
        <f>CONCATENATE($K$122)</f>
        <v>METALICA</v>
      </c>
    </row>
    <row r="123" spans="1:19" x14ac:dyDescent="0.2">
      <c r="A123" s="378"/>
      <c r="B123" s="379"/>
      <c r="C123" s="380"/>
      <c r="D123" s="395"/>
      <c r="G123" s="372"/>
      <c r="H123" s="389"/>
      <c r="I123" s="390" t="s">
        <v>1087</v>
      </c>
      <c r="J123" s="398"/>
      <c r="K123" s="399" t="s">
        <v>1285</v>
      </c>
      <c r="L123" s="398"/>
      <c r="M123" s="398"/>
      <c r="N123" s="398"/>
      <c r="O123" s="431"/>
      <c r="P123" s="372"/>
      <c r="Q123" s="372"/>
      <c r="R123" s="372"/>
      <c r="S123" s="372"/>
    </row>
    <row r="124" spans="1:19" x14ac:dyDescent="0.2">
      <c r="A124" s="378">
        <v>10</v>
      </c>
      <c r="B124" s="379" t="s">
        <v>1286</v>
      </c>
      <c r="C124" s="380" t="s">
        <v>1287</v>
      </c>
      <c r="D124" s="395" t="s">
        <v>1288</v>
      </c>
      <c r="G124" s="372"/>
      <c r="H124" s="389"/>
      <c r="I124" s="396"/>
      <c r="J124" s="397">
        <v>1</v>
      </c>
      <c r="K124" s="398"/>
      <c r="L124" s="399" t="s">
        <v>1289</v>
      </c>
      <c r="M124" s="398"/>
      <c r="N124" s="398"/>
      <c r="O124" s="431" t="s">
        <v>1288</v>
      </c>
      <c r="P124" s="372"/>
      <c r="Q124" s="387">
        <v>10</v>
      </c>
      <c r="R124" s="379" t="str">
        <f>CONCATENATE($R$121,".",TEXT(Q124,"0000"))</f>
        <v>II-0011.0010</v>
      </c>
      <c r="S124" s="372" t="str">
        <f>CONCATENATE($K$123," - TIPO ",L124)</f>
        <v>HORMIGON - TIPO H-8558</v>
      </c>
    </row>
    <row r="125" spans="1:19" x14ac:dyDescent="0.2">
      <c r="A125" s="378">
        <v>11</v>
      </c>
      <c r="B125" s="379" t="s">
        <v>1290</v>
      </c>
      <c r="C125" s="380" t="s">
        <v>1291</v>
      </c>
      <c r="D125" s="395" t="s">
        <v>1288</v>
      </c>
      <c r="G125" s="372"/>
      <c r="H125" s="389"/>
      <c r="I125" s="396"/>
      <c r="J125" s="397">
        <v>2</v>
      </c>
      <c r="K125" s="398"/>
      <c r="L125" s="399" t="s">
        <v>1292</v>
      </c>
      <c r="M125" s="398"/>
      <c r="N125" s="398"/>
      <c r="O125" s="431" t="s">
        <v>1288</v>
      </c>
      <c r="P125" s="372"/>
      <c r="Q125" s="387">
        <v>11</v>
      </c>
      <c r="R125" s="379" t="str">
        <f>CONCATENATE($R$121,".",TEXT(Q125,"0000"))</f>
        <v>II-0011.0011</v>
      </c>
      <c r="S125" s="372" t="str">
        <f t="shared" ref="S125:S126" si="14">CONCATENATE($K$123," - TIPO ",L125)</f>
        <v>HORMIGON - TIPO H-2350</v>
      </c>
    </row>
    <row r="126" spans="1:19" x14ac:dyDescent="0.2">
      <c r="A126" s="378">
        <v>12</v>
      </c>
      <c r="B126" s="379" t="s">
        <v>1293</v>
      </c>
      <c r="C126" s="380" t="s">
        <v>1294</v>
      </c>
      <c r="D126" s="395" t="s">
        <v>1288</v>
      </c>
      <c r="G126" s="372"/>
      <c r="H126" s="389"/>
      <c r="I126" s="396"/>
      <c r="J126" s="403">
        <v>3</v>
      </c>
      <c r="K126" s="398"/>
      <c r="L126" s="399" t="s">
        <v>1295</v>
      </c>
      <c r="M126" s="398"/>
      <c r="N126" s="398"/>
      <c r="O126" s="431" t="s">
        <v>1288</v>
      </c>
      <c r="P126" s="372"/>
      <c r="Q126" s="387">
        <v>12</v>
      </c>
      <c r="R126" s="379" t="str">
        <f>CONCATENATE($R$121,".",TEXT(Q126,"0000"))</f>
        <v>II-0011.0012</v>
      </c>
      <c r="S126" s="372" t="str">
        <f t="shared" si="14"/>
        <v>HORMIGON - TIPO H-7691</v>
      </c>
    </row>
    <row r="127" spans="1:19" x14ac:dyDescent="0.2">
      <c r="A127" s="378">
        <v>12</v>
      </c>
      <c r="B127" s="371" t="s">
        <v>1293</v>
      </c>
      <c r="C127" s="380" t="s">
        <v>1129</v>
      </c>
      <c r="D127" s="395" t="s">
        <v>1296</v>
      </c>
      <c r="G127" s="372"/>
      <c r="H127" s="389"/>
      <c r="I127" s="390" t="s">
        <v>1097</v>
      </c>
      <c r="J127" s="437"/>
      <c r="K127" s="458" t="s">
        <v>1129</v>
      </c>
      <c r="L127" s="437"/>
      <c r="M127" s="437"/>
      <c r="N127" s="437"/>
      <c r="O127" s="472" t="s">
        <v>1296</v>
      </c>
      <c r="P127" s="372"/>
      <c r="Q127" s="387">
        <v>12</v>
      </c>
      <c r="R127" s="379" t="str">
        <f>CONCATENATE($R$121,".",TEXT(Q127,"0000"))</f>
        <v>II-0011.0012</v>
      </c>
      <c r="S127" s="372" t="str">
        <f>CONCATENATE($K$127)</f>
        <v>RETIRO</v>
      </c>
    </row>
    <row r="128" spans="1:19" ht="15.75" thickBot="1" x14ac:dyDescent="0.25">
      <c r="A128" s="378">
        <v>12</v>
      </c>
      <c r="B128" s="371" t="s">
        <v>1293</v>
      </c>
      <c r="C128" s="380" t="s">
        <v>1297</v>
      </c>
      <c r="D128" s="395" t="s">
        <v>1296</v>
      </c>
      <c r="G128" s="372"/>
      <c r="H128" s="409"/>
      <c r="I128" s="421" t="s">
        <v>1123</v>
      </c>
      <c r="J128" s="424"/>
      <c r="K128" s="460" t="s">
        <v>1297</v>
      </c>
      <c r="L128" s="424"/>
      <c r="M128" s="424"/>
      <c r="N128" s="424"/>
      <c r="O128" s="498" t="s">
        <v>1296</v>
      </c>
      <c r="P128" s="372"/>
      <c r="Q128" s="387">
        <v>12</v>
      </c>
      <c r="R128" s="379" t="str">
        <f>CONCATENATE($R$121,".",TEXT(Q128,"0000"))</f>
        <v>II-0011.0012</v>
      </c>
      <c r="S128" s="372" t="str">
        <f>CONCATENATE($K$128)</f>
        <v>RETIRO,REPARACION, RECOLOCACION</v>
      </c>
    </row>
    <row r="129" spans="1:19" ht="15.75" thickTop="1" x14ac:dyDescent="0.2">
      <c r="A129" s="378"/>
      <c r="B129" s="401"/>
      <c r="C129" s="402"/>
      <c r="D129" s="395"/>
      <c r="G129" s="372"/>
      <c r="H129" s="389"/>
      <c r="I129" s="396"/>
      <c r="J129" s="398"/>
      <c r="K129" s="399"/>
      <c r="L129" s="398"/>
      <c r="M129" s="398"/>
      <c r="N129" s="398"/>
      <c r="O129" s="431"/>
      <c r="P129" s="372"/>
      <c r="Q129" s="372"/>
      <c r="R129" s="372"/>
      <c r="S129" s="372"/>
    </row>
    <row r="130" spans="1:19" x14ac:dyDescent="0.2">
      <c r="A130" s="378">
        <v>12</v>
      </c>
      <c r="B130" s="379" t="s">
        <v>1298</v>
      </c>
      <c r="C130" s="380" t="s">
        <v>1299</v>
      </c>
      <c r="D130" s="395"/>
      <c r="G130" s="372"/>
      <c r="H130" s="416">
        <v>12</v>
      </c>
      <c r="I130" s="418"/>
      <c r="J130" s="429"/>
      <c r="K130" s="486" t="s">
        <v>1299</v>
      </c>
      <c r="L130" s="429"/>
      <c r="M130" s="429"/>
      <c r="N130" s="429"/>
      <c r="O130" s="440"/>
      <c r="P130" s="372"/>
      <c r="Q130" s="387">
        <f>H130</f>
        <v>12</v>
      </c>
      <c r="R130" s="377" t="str">
        <f>CONCATENATE("II-",TEXT(Q130,"0000"))</f>
        <v>II-0012</v>
      </c>
      <c r="S130" s="388" t="str">
        <f>K130</f>
        <v>BANQUINA</v>
      </c>
    </row>
    <row r="131" spans="1:19" x14ac:dyDescent="0.2">
      <c r="A131" s="378">
        <v>1</v>
      </c>
      <c r="B131" s="379" t="str">
        <f>CONCATENATE($B$130,".",TEXT(A131,"0000"))</f>
        <v>II-0012.0001</v>
      </c>
      <c r="C131" s="372" t="str">
        <f>CONCATENATE($K$131)</f>
        <v xml:space="preserve">SUELO </v>
      </c>
      <c r="D131" s="395" t="s">
        <v>1171</v>
      </c>
      <c r="G131" s="372"/>
      <c r="H131" s="389"/>
      <c r="I131" s="390" t="s">
        <v>1060</v>
      </c>
      <c r="J131" s="437"/>
      <c r="K131" s="458" t="s">
        <v>1300</v>
      </c>
      <c r="L131" s="437"/>
      <c r="M131" s="437"/>
      <c r="N131" s="437"/>
      <c r="O131" s="472" t="s">
        <v>1171</v>
      </c>
      <c r="P131" s="372"/>
      <c r="Q131" s="387">
        <v>1</v>
      </c>
      <c r="R131" s="379" t="str">
        <f>CONCATENATE($L$130,".",TEXT(Q131,"0000"))</f>
        <v>.0001</v>
      </c>
      <c r="S131" s="372" t="str">
        <f>CONCATENATE($E$131)</f>
        <v/>
      </c>
    </row>
    <row r="132" spans="1:19" x14ac:dyDescent="0.2">
      <c r="A132" s="378">
        <v>2</v>
      </c>
      <c r="B132" s="379" t="str">
        <f>CONCATENATE($B$130,".",TEXT(A132,"0000"))</f>
        <v>II-0012.0002</v>
      </c>
      <c r="C132" s="372" t="str">
        <f>CONCATENATE($K$131)</f>
        <v xml:space="preserve">SUELO </v>
      </c>
      <c r="D132" s="395" t="s">
        <v>1171</v>
      </c>
      <c r="G132" s="372"/>
      <c r="H132" s="389"/>
      <c r="I132" s="390" t="s">
        <v>1087</v>
      </c>
      <c r="J132" s="437"/>
      <c r="K132" s="458" t="s">
        <v>1301</v>
      </c>
      <c r="L132" s="437"/>
      <c r="M132" s="437"/>
      <c r="N132" s="437"/>
      <c r="O132" s="472" t="s">
        <v>1171</v>
      </c>
      <c r="P132" s="372"/>
      <c r="Q132" s="387">
        <v>2</v>
      </c>
      <c r="R132" s="379" t="str">
        <f>CONCATENATE($L$130,".",TEXT(Q132,"0000"))</f>
        <v>.0002</v>
      </c>
      <c r="S132" s="372" t="str">
        <f>CONCATENATE($E$132)</f>
        <v/>
      </c>
    </row>
    <row r="133" spans="1:19" x14ac:dyDescent="0.2">
      <c r="A133" s="378"/>
      <c r="B133" s="380"/>
      <c r="C133" s="380"/>
      <c r="D133" s="395"/>
      <c r="G133" s="372"/>
      <c r="H133" s="389"/>
      <c r="I133" s="390" t="s">
        <v>1097</v>
      </c>
      <c r="J133" s="398"/>
      <c r="K133" s="399" t="s">
        <v>1302</v>
      </c>
      <c r="L133" s="398"/>
      <c r="M133" s="398"/>
      <c r="N133" s="398"/>
      <c r="O133" s="431"/>
      <c r="P133" s="372"/>
      <c r="Q133" s="372"/>
      <c r="R133" s="372"/>
      <c r="S133" s="372"/>
    </row>
    <row r="134" spans="1:19" x14ac:dyDescent="0.2">
      <c r="A134" s="378">
        <v>3</v>
      </c>
      <c r="B134" s="379" t="str">
        <f t="shared" ref="B134:B135" si="15">CONCATENATE($B$130,".",TEXT(A134,"0000"))</f>
        <v>II-0012.0003</v>
      </c>
      <c r="C134" s="372" t="str">
        <f>CONCATENATE($K$133," - TIPO ",L134)</f>
        <v xml:space="preserve">PAVIMENTO - TIPO CARPETA </v>
      </c>
      <c r="D134" s="395" t="s">
        <v>1254</v>
      </c>
      <c r="G134" s="372"/>
      <c r="H134" s="389"/>
      <c r="I134" s="396"/>
      <c r="J134" s="397">
        <v>1</v>
      </c>
      <c r="K134" s="398"/>
      <c r="L134" s="399" t="s">
        <v>1303</v>
      </c>
      <c r="M134" s="398"/>
      <c r="N134" s="398"/>
      <c r="O134" s="431" t="s">
        <v>1254</v>
      </c>
      <c r="P134" s="372"/>
      <c r="Q134" s="387">
        <v>3</v>
      </c>
      <c r="R134" s="379" t="str">
        <f t="shared" ref="R134:R135" si="16">CONCATENATE($L$130,".",TEXT(Q134,"0000"))</f>
        <v>.0003</v>
      </c>
      <c r="S134" s="372" t="str">
        <f>CONCATENATE($E$133," TIPO ",L134)</f>
        <v xml:space="preserve"> TIPO CARPETA </v>
      </c>
    </row>
    <row r="135" spans="1:19" ht="15.75" thickBot="1" x14ac:dyDescent="0.25">
      <c r="A135" s="378">
        <v>4</v>
      </c>
      <c r="B135" s="379" t="str">
        <f t="shared" si="15"/>
        <v>II-0012.0004</v>
      </c>
      <c r="C135" s="372" t="str">
        <f>CONCATENATE($K$133," - TIPO ",L135)</f>
        <v>PAVIMENTO - TIPO TRATAMIENTO</v>
      </c>
      <c r="D135" s="395" t="s">
        <v>1254</v>
      </c>
      <c r="G135" s="372"/>
      <c r="H135" s="409"/>
      <c r="I135" s="410"/>
      <c r="J135" s="411">
        <v>2</v>
      </c>
      <c r="K135" s="412"/>
      <c r="L135" s="413" t="s">
        <v>1304</v>
      </c>
      <c r="M135" s="412"/>
      <c r="N135" s="412"/>
      <c r="O135" s="497" t="s">
        <v>1254</v>
      </c>
      <c r="P135" s="372"/>
      <c r="Q135" s="387">
        <v>4</v>
      </c>
      <c r="R135" s="379" t="str">
        <f t="shared" si="16"/>
        <v>.0004</v>
      </c>
      <c r="S135" s="372" t="str">
        <f>CONCATENATE($E$133," TIPO ",L135)</f>
        <v xml:space="preserve"> TIPO TRATAMIENTO</v>
      </c>
    </row>
    <row r="136" spans="1:19" ht="15.75" thickTop="1" x14ac:dyDescent="0.2">
      <c r="A136" s="378"/>
      <c r="B136" s="379"/>
      <c r="C136" s="380"/>
      <c r="D136" s="395"/>
      <c r="G136" s="372"/>
      <c r="H136" s="389"/>
      <c r="I136" s="396"/>
      <c r="J136" s="396"/>
      <c r="K136" s="398"/>
      <c r="L136" s="399"/>
      <c r="M136" s="398"/>
      <c r="N136" s="398"/>
      <c r="O136" s="431"/>
      <c r="P136" s="372"/>
      <c r="Q136" s="387"/>
      <c r="R136" s="372"/>
      <c r="S136" s="372"/>
    </row>
    <row r="137" spans="1:19" x14ac:dyDescent="0.2">
      <c r="A137" s="378">
        <v>13</v>
      </c>
      <c r="B137" s="379" t="s">
        <v>1305</v>
      </c>
      <c r="C137" s="380" t="s">
        <v>1306</v>
      </c>
      <c r="D137" s="395"/>
      <c r="G137" s="372"/>
      <c r="H137" s="416">
        <v>13</v>
      </c>
      <c r="I137" s="418"/>
      <c r="J137" s="429"/>
      <c r="K137" s="486" t="s">
        <v>1306</v>
      </c>
      <c r="L137" s="429"/>
      <c r="M137" s="429"/>
      <c r="N137" s="429"/>
      <c r="O137" s="440"/>
      <c r="P137" s="372"/>
      <c r="Q137" s="387">
        <f>H137</f>
        <v>13</v>
      </c>
      <c r="R137" s="377" t="str">
        <f>CONCATENATE("II-",TEXT(Q137,"0000"))</f>
        <v>II-0013</v>
      </c>
      <c r="S137" s="388" t="str">
        <f>K137</f>
        <v>BARANDA METALICA DE DEFENSA</v>
      </c>
    </row>
    <row r="138" spans="1:19" x14ac:dyDescent="0.2">
      <c r="A138" s="378"/>
      <c r="B138" s="379"/>
      <c r="C138" s="380"/>
      <c r="D138" s="395"/>
      <c r="G138" s="372"/>
      <c r="H138" s="430"/>
      <c r="I138" s="390" t="s">
        <v>1060</v>
      </c>
      <c r="J138" s="398"/>
      <c r="K138" s="399" t="s">
        <v>1307</v>
      </c>
      <c r="L138" s="393"/>
      <c r="M138" s="393"/>
      <c r="N138" s="393"/>
      <c r="O138" s="441"/>
      <c r="P138" s="372"/>
      <c r="Q138" s="372"/>
      <c r="R138" s="372"/>
      <c r="S138" s="372"/>
    </row>
    <row r="139" spans="1:19" x14ac:dyDescent="0.2">
      <c r="A139" s="378">
        <v>1</v>
      </c>
      <c r="B139" s="379" t="str">
        <f>CONCATENATE($B$137,".",TEXT(A139,"0000"))</f>
        <v>II-0013.0001</v>
      </c>
      <c r="C139" s="372" t="str">
        <f>CONCATENATE($K$138," - TIPO ",L139)</f>
        <v>VEHICULAR  H-10237 - TIPO LIVIANA  ( A )</v>
      </c>
      <c r="D139" s="395" t="s">
        <v>1030</v>
      </c>
      <c r="G139" s="372"/>
      <c r="H139" s="389"/>
      <c r="I139" s="396"/>
      <c r="J139" s="397">
        <v>1</v>
      </c>
      <c r="K139" s="398"/>
      <c r="L139" s="399" t="s">
        <v>1308</v>
      </c>
      <c r="M139" s="398"/>
      <c r="N139" s="398"/>
      <c r="O139" s="431" t="s">
        <v>1030</v>
      </c>
      <c r="P139" s="372"/>
      <c r="Q139" s="387">
        <v>1</v>
      </c>
      <c r="R139" s="379" t="str">
        <f>CONCATENATE($L$137,".",TEXT(Q139,"0000"))</f>
        <v>.0001</v>
      </c>
      <c r="S139" s="372" t="str">
        <f>CONCATENATE($E$138," TIPO ",L139)</f>
        <v xml:space="preserve"> TIPO LIVIANA  ( A )</v>
      </c>
    </row>
    <row r="140" spans="1:19" x14ac:dyDescent="0.2">
      <c r="A140" s="378">
        <v>2</v>
      </c>
      <c r="B140" s="379" t="str">
        <f>CONCATENATE($B$137,".",TEXT(A140,"0000"))</f>
        <v>II-0013.0002</v>
      </c>
      <c r="C140" s="372" t="str">
        <f>CONCATENATE($K$138," - TIPO ",L140)</f>
        <v>VEHICULAR  H-10237 - TIPO PESADA ( B )</v>
      </c>
      <c r="D140" s="395" t="s">
        <v>1030</v>
      </c>
      <c r="G140" s="372"/>
      <c r="H140" s="389"/>
      <c r="I140" s="396"/>
      <c r="J140" s="403">
        <v>2</v>
      </c>
      <c r="K140" s="404"/>
      <c r="L140" s="405" t="s">
        <v>1309</v>
      </c>
      <c r="M140" s="404"/>
      <c r="N140" s="404"/>
      <c r="O140" s="450" t="s">
        <v>1030</v>
      </c>
      <c r="P140" s="372"/>
      <c r="Q140" s="387">
        <v>2</v>
      </c>
      <c r="R140" s="379" t="str">
        <f>CONCATENATE($L$137,".",TEXT(Q140,"0000"))</f>
        <v>.0002</v>
      </c>
      <c r="S140" s="372" t="str">
        <f>CONCATENATE($E$138," TIPO ",L140)</f>
        <v xml:space="preserve"> TIPO PESADA ( B )</v>
      </c>
    </row>
    <row r="141" spans="1:19" x14ac:dyDescent="0.2">
      <c r="A141" s="378"/>
      <c r="B141" s="379"/>
      <c r="C141" s="380"/>
      <c r="D141" s="395" t="s">
        <v>1030</v>
      </c>
      <c r="G141" s="372"/>
      <c r="H141" s="389"/>
      <c r="I141" s="390" t="s">
        <v>1087</v>
      </c>
      <c r="J141" s="398"/>
      <c r="K141" s="399" t="s">
        <v>1310</v>
      </c>
      <c r="L141" s="398"/>
      <c r="M141" s="398"/>
      <c r="N141" s="398"/>
      <c r="O141" s="431" t="s">
        <v>1030</v>
      </c>
      <c r="P141" s="372"/>
      <c r="Q141" s="372"/>
      <c r="R141" s="372"/>
      <c r="S141" s="372"/>
    </row>
    <row r="142" spans="1:19" x14ac:dyDescent="0.2">
      <c r="A142" s="378">
        <v>3</v>
      </c>
      <c r="B142" s="379" t="str">
        <f t="shared" ref="B142:B145" si="17">CONCATENATE($B$137,".",TEXT(A142,"0000"))</f>
        <v>II-0013.0003</v>
      </c>
      <c r="C142" s="372" t="str">
        <f>CONCATENATE($K$141," - TIPO ",L142)</f>
        <v>PEATONAL  H-10237 - TIPO LIVIANA  ( A )</v>
      </c>
      <c r="D142" s="395" t="s">
        <v>1030</v>
      </c>
      <c r="G142" s="372"/>
      <c r="H142" s="389"/>
      <c r="I142" s="396"/>
      <c r="J142" s="397">
        <v>1</v>
      </c>
      <c r="K142" s="398"/>
      <c r="L142" s="399" t="s">
        <v>1308</v>
      </c>
      <c r="M142" s="398"/>
      <c r="N142" s="398"/>
      <c r="O142" s="431" t="s">
        <v>1030</v>
      </c>
      <c r="P142" s="372"/>
      <c r="Q142" s="387">
        <v>3</v>
      </c>
      <c r="R142" s="379" t="str">
        <f>CONCATENATE($L$137,".",TEXT(Q142,"0000"))</f>
        <v>.0003</v>
      </c>
      <c r="S142" s="372" t="str">
        <f>CONCATENATE($E$141," TIPO ",L142)</f>
        <v xml:space="preserve"> TIPO LIVIANA  ( A )</v>
      </c>
    </row>
    <row r="143" spans="1:19" x14ac:dyDescent="0.2">
      <c r="A143" s="378">
        <v>4</v>
      </c>
      <c r="B143" s="379" t="str">
        <f t="shared" si="17"/>
        <v>II-0013.0004</v>
      </c>
      <c r="C143" s="372" t="str">
        <f>CONCATENATE($K$141," - TIPO ",L143)</f>
        <v>PEATONAL  H-10237 - TIPO PESADA ( B )</v>
      </c>
      <c r="D143" s="395" t="s">
        <v>1030</v>
      </c>
      <c r="G143" s="372"/>
      <c r="H143" s="389"/>
      <c r="I143" s="396"/>
      <c r="J143" s="403">
        <v>2</v>
      </c>
      <c r="K143" s="398"/>
      <c r="L143" s="399" t="s">
        <v>1309</v>
      </c>
      <c r="M143" s="398"/>
      <c r="N143" s="398"/>
      <c r="O143" s="431" t="s">
        <v>1030</v>
      </c>
      <c r="P143" s="372"/>
      <c r="Q143" s="387">
        <v>4</v>
      </c>
      <c r="R143" s="379" t="str">
        <f>CONCATENATE($L$137,".",TEXT(Q143,"0000"))</f>
        <v>.0004</v>
      </c>
      <c r="S143" s="372" t="str">
        <f>CONCATENATE($E$141," TIPO ",L143)</f>
        <v xml:space="preserve"> TIPO PESADA ( B )</v>
      </c>
    </row>
    <row r="144" spans="1:19" x14ac:dyDescent="0.2">
      <c r="A144" s="378">
        <v>10</v>
      </c>
      <c r="B144" s="379" t="str">
        <f t="shared" si="17"/>
        <v>II-0013.0010</v>
      </c>
      <c r="C144" s="372" t="str">
        <f>CONCATENATE($K$144)</f>
        <v xml:space="preserve">RETIRO </v>
      </c>
      <c r="D144" s="395" t="s">
        <v>1030</v>
      </c>
      <c r="G144" s="372"/>
      <c r="H144" s="389"/>
      <c r="I144" s="390" t="s">
        <v>1097</v>
      </c>
      <c r="J144" s="437"/>
      <c r="K144" s="458" t="s">
        <v>1179</v>
      </c>
      <c r="L144" s="437"/>
      <c r="M144" s="437"/>
      <c r="N144" s="437"/>
      <c r="O144" s="472" t="s">
        <v>1030</v>
      </c>
      <c r="P144" s="372"/>
      <c r="Q144" s="387">
        <v>10</v>
      </c>
      <c r="R144" s="379" t="str">
        <f t="shared" ref="R144:R145" si="18">CONCATENATE($L$137,".",TEXT(Q144,"0000"))</f>
        <v>.0010</v>
      </c>
      <c r="S144" s="372" t="str">
        <f>CONCATENATE($E$144)</f>
        <v/>
      </c>
    </row>
    <row r="145" spans="1:19" ht="15.75" thickBot="1" x14ac:dyDescent="0.25">
      <c r="A145" s="378">
        <v>11</v>
      </c>
      <c r="B145" s="379" t="str">
        <f t="shared" si="17"/>
        <v>II-0013.0011</v>
      </c>
      <c r="C145" s="372" t="str">
        <f>CONCATENATE(K145)</f>
        <v>RETIRO Y REPARACION</v>
      </c>
      <c r="D145" s="395" t="s">
        <v>1030</v>
      </c>
      <c r="G145" s="372"/>
      <c r="H145" s="442"/>
      <c r="I145" s="499" t="s">
        <v>1123</v>
      </c>
      <c r="J145" s="445"/>
      <c r="K145" s="446" t="s">
        <v>1311</v>
      </c>
      <c r="L145" s="445"/>
      <c r="M145" s="445"/>
      <c r="N145" s="445"/>
      <c r="O145" s="500" t="s">
        <v>1030</v>
      </c>
      <c r="P145" s="372"/>
      <c r="Q145" s="387">
        <v>11</v>
      </c>
      <c r="R145" s="379" t="str">
        <f t="shared" si="18"/>
        <v>.0011</v>
      </c>
      <c r="S145" s="372" t="str">
        <f>CONCATENATE($E$145)</f>
        <v/>
      </c>
    </row>
    <row r="146" spans="1:19" x14ac:dyDescent="0.2">
      <c r="A146" s="378"/>
      <c r="B146" s="379"/>
      <c r="C146" s="380"/>
      <c r="D146" s="395"/>
      <c r="G146" s="372"/>
      <c r="H146" s="389"/>
      <c r="I146" s="396"/>
      <c r="J146" s="398"/>
      <c r="K146" s="399"/>
      <c r="L146" s="398"/>
      <c r="M146" s="398"/>
      <c r="N146" s="398"/>
      <c r="O146" s="431"/>
      <c r="P146" s="372"/>
      <c r="Q146" s="387"/>
      <c r="R146" s="379"/>
      <c r="S146" s="372"/>
    </row>
    <row r="147" spans="1:19" x14ac:dyDescent="0.2">
      <c r="A147" s="378">
        <v>14</v>
      </c>
      <c r="B147" s="371" t="s">
        <v>1312</v>
      </c>
      <c r="C147" s="380" t="s">
        <v>1313</v>
      </c>
      <c r="D147" s="395"/>
      <c r="G147" s="372"/>
      <c r="H147" s="416">
        <v>14</v>
      </c>
      <c r="I147" s="501"/>
      <c r="J147" s="502"/>
      <c r="K147" s="470" t="s">
        <v>1313</v>
      </c>
      <c r="L147" s="502"/>
      <c r="M147" s="502"/>
      <c r="N147" s="502"/>
      <c r="O147" s="503"/>
      <c r="P147" s="372"/>
      <c r="Q147" s="387">
        <f>H147</f>
        <v>14</v>
      </c>
      <c r="R147" s="377" t="str">
        <f>CONCATENATE("II-",TEXT(Q147,"0000"))</f>
        <v>II-0014</v>
      </c>
      <c r="S147" s="388" t="str">
        <f>K147</f>
        <v>BASE</v>
      </c>
    </row>
    <row r="148" spans="1:19" x14ac:dyDescent="0.2">
      <c r="A148" s="378">
        <v>1</v>
      </c>
      <c r="B148" s="379" t="str">
        <f>CONCATENATE($B$147,".",TEXT(A148,"0000"))</f>
        <v>II-0014.0001</v>
      </c>
      <c r="C148" s="380" t="s">
        <v>1314</v>
      </c>
      <c r="D148" s="395" t="s">
        <v>1171</v>
      </c>
      <c r="G148" s="398"/>
      <c r="H148" s="473"/>
      <c r="I148" s="390" t="s">
        <v>1060</v>
      </c>
      <c r="J148" s="437"/>
      <c r="K148" s="504" t="s">
        <v>1314</v>
      </c>
      <c r="L148" s="437"/>
      <c r="M148" s="437"/>
      <c r="N148" s="437"/>
      <c r="O148" s="472" t="s">
        <v>1171</v>
      </c>
      <c r="P148" s="398"/>
      <c r="Q148" s="387">
        <v>1</v>
      </c>
      <c r="R148" s="379" t="str">
        <f>CONCATENATE($L$147,".",TEXT(Q148,"0000"))</f>
        <v>.0001</v>
      </c>
      <c r="S148" s="372" t="str">
        <f>CONCATENATE(K148)</f>
        <v>ARENA ASFALTO</v>
      </c>
    </row>
    <row r="149" spans="1:19" x14ac:dyDescent="0.2">
      <c r="A149" s="378">
        <v>2</v>
      </c>
      <c r="B149" s="379" t="str">
        <f>CONCATENATE($B$147,".",TEXT(A149,"0000"))</f>
        <v>II-0014.0002</v>
      </c>
      <c r="C149" s="402" t="s">
        <v>1315</v>
      </c>
      <c r="D149" s="395" t="s">
        <v>1171</v>
      </c>
      <c r="G149" s="398"/>
      <c r="H149" s="389"/>
      <c r="I149" s="390" t="s">
        <v>1087</v>
      </c>
      <c r="J149" s="437"/>
      <c r="K149" s="458" t="s">
        <v>1315</v>
      </c>
      <c r="L149" s="437"/>
      <c r="M149" s="437"/>
      <c r="N149" s="437"/>
      <c r="O149" s="472" t="s">
        <v>1171</v>
      </c>
      <c r="P149" s="398"/>
      <c r="Q149" s="387">
        <v>2</v>
      </c>
      <c r="R149" s="379" t="str">
        <f>CONCATENATE($L$147,".",TEXT(Q149,"0000"))</f>
        <v>.0002</v>
      </c>
      <c r="S149" s="372" t="str">
        <f>CONCATENATE(K149)</f>
        <v>CONCRETO ASFALTICO BITUMINOSO</v>
      </c>
    </row>
    <row r="150" spans="1:19" x14ac:dyDescent="0.2">
      <c r="A150" s="378"/>
      <c r="B150" s="379"/>
      <c r="C150" s="380"/>
      <c r="D150" s="395"/>
      <c r="G150" s="398"/>
      <c r="H150" s="389"/>
      <c r="I150" s="403" t="s">
        <v>1097</v>
      </c>
      <c r="J150" s="398"/>
      <c r="K150" s="399" t="s">
        <v>1316</v>
      </c>
      <c r="L150" s="398"/>
      <c r="M150" s="398"/>
      <c r="N150" s="398"/>
      <c r="O150" s="431"/>
      <c r="P150" s="398"/>
      <c r="Q150" s="398"/>
      <c r="R150" s="398"/>
      <c r="S150" s="398"/>
    </row>
    <row r="151" spans="1:19" x14ac:dyDescent="0.2">
      <c r="A151" s="378">
        <v>3</v>
      </c>
      <c r="B151" s="379" t="str">
        <f t="shared" ref="B151:B153" si="19">CONCATENATE($B$147,".",TEXT(A151,"0000"))</f>
        <v>II-0014.0003</v>
      </c>
      <c r="C151" s="372" t="str">
        <f>CONCATENATE($K$150," - TIPO ",L151)</f>
        <v>GRANULAR - TIPO ANTICOGELANTES</v>
      </c>
      <c r="D151" s="395" t="s">
        <v>1171</v>
      </c>
      <c r="G151" s="398"/>
      <c r="H151" s="389"/>
      <c r="I151" s="396"/>
      <c r="J151" s="397">
        <v>1</v>
      </c>
      <c r="K151" s="398"/>
      <c r="L151" s="399" t="s">
        <v>1317</v>
      </c>
      <c r="M151" s="398"/>
      <c r="N151" s="398"/>
      <c r="O151" s="431" t="s">
        <v>1171</v>
      </c>
      <c r="P151" s="398"/>
      <c r="Q151" s="387">
        <v>3</v>
      </c>
      <c r="R151" s="379" t="str">
        <f>CONCATENATE($L$147,".",TEXT(Q151,"0000"))</f>
        <v>.0003</v>
      </c>
      <c r="S151" s="372" t="str">
        <f>CONCATENATE($E$150," ",L151)</f>
        <v xml:space="preserve"> ANTICOGELANTES</v>
      </c>
    </row>
    <row r="152" spans="1:19" x14ac:dyDescent="0.2">
      <c r="A152" s="378">
        <v>4</v>
      </c>
      <c r="B152" s="379" t="str">
        <f t="shared" si="19"/>
        <v>II-0014.0004</v>
      </c>
      <c r="C152" s="372" t="str">
        <f t="shared" ref="C152:C153" si="20">CONCATENATE($K$150," - TIPO ",L152)</f>
        <v>GRANULAR - TIPO DRENANTES</v>
      </c>
      <c r="D152" s="395" t="s">
        <v>1171</v>
      </c>
      <c r="G152" s="398"/>
      <c r="H152" s="389"/>
      <c r="I152" s="396"/>
      <c r="J152" s="397">
        <v>2</v>
      </c>
      <c r="K152" s="399"/>
      <c r="L152" s="399" t="s">
        <v>1318</v>
      </c>
      <c r="M152" s="398"/>
      <c r="N152" s="398"/>
      <c r="O152" s="431" t="s">
        <v>1171</v>
      </c>
      <c r="P152" s="398"/>
      <c r="Q152" s="387">
        <v>4</v>
      </c>
      <c r="R152" s="379" t="str">
        <f t="shared" ref="R152:R153" si="21">CONCATENATE($L$147,".",TEXT(Q152,"0000"))</f>
        <v>.0004</v>
      </c>
      <c r="S152" s="372" t="str">
        <f t="shared" ref="S152" si="22">CONCATENATE($E$150," ",L152)</f>
        <v xml:space="preserve"> DRENANTES</v>
      </c>
    </row>
    <row r="153" spans="1:19" ht="15.75" thickBot="1" x14ac:dyDescent="0.25">
      <c r="A153" s="378">
        <v>5</v>
      </c>
      <c r="B153" s="379" t="str">
        <f t="shared" si="19"/>
        <v>II-0014.0005</v>
      </c>
      <c r="C153" s="372" t="str">
        <f t="shared" si="20"/>
        <v>GRANULAR - TIPO GRANULAR</v>
      </c>
      <c r="D153" s="395" t="s">
        <v>1171</v>
      </c>
      <c r="G153" s="398"/>
      <c r="H153" s="442"/>
      <c r="I153" s="505"/>
      <c r="J153" s="444">
        <v>3</v>
      </c>
      <c r="K153" s="446"/>
      <c r="L153" s="446" t="s">
        <v>1316</v>
      </c>
      <c r="M153" s="445"/>
      <c r="N153" s="445"/>
      <c r="O153" s="500" t="s">
        <v>1171</v>
      </c>
      <c r="P153" s="398"/>
      <c r="Q153" s="387">
        <v>5</v>
      </c>
      <c r="R153" s="379" t="str">
        <f t="shared" si="21"/>
        <v>.0005</v>
      </c>
      <c r="S153" s="372" t="str">
        <f>CONCATENATE($E$150)</f>
        <v/>
      </c>
    </row>
    <row r="154" spans="1:19" x14ac:dyDescent="0.2">
      <c r="A154" s="378"/>
      <c r="B154" s="379"/>
      <c r="C154" s="380"/>
      <c r="D154" s="395"/>
      <c r="G154" s="398"/>
      <c r="H154" s="448"/>
      <c r="I154" s="396"/>
      <c r="J154" s="396"/>
      <c r="K154" s="399"/>
      <c r="L154" s="399"/>
      <c r="M154" s="398"/>
      <c r="N154" s="398"/>
      <c r="O154" s="506"/>
      <c r="P154" s="398"/>
      <c r="Q154" s="387"/>
      <c r="R154" s="398"/>
      <c r="S154" s="398"/>
    </row>
    <row r="155" spans="1:19" x14ac:dyDescent="0.2">
      <c r="A155" s="378"/>
      <c r="B155" s="379"/>
      <c r="C155" s="380"/>
      <c r="D155" s="395"/>
      <c r="G155" s="372"/>
      <c r="H155" s="416">
        <v>14</v>
      </c>
      <c r="I155" s="418"/>
      <c r="J155" s="429"/>
      <c r="K155" s="486" t="s">
        <v>1313</v>
      </c>
      <c r="L155" s="429"/>
      <c r="M155" s="429"/>
      <c r="N155" s="429"/>
      <c r="O155" s="440"/>
      <c r="P155" s="372"/>
      <c r="Q155" s="387"/>
      <c r="R155" s="372"/>
      <c r="S155" s="372"/>
    </row>
    <row r="156" spans="1:19" x14ac:dyDescent="0.2">
      <c r="A156" s="378">
        <v>6</v>
      </c>
      <c r="B156" s="379" t="str">
        <f t="shared" ref="B156" si="23">CONCATENATE($B$147,".",TEXT(A156,"0000"))</f>
        <v>II-0014.0006</v>
      </c>
      <c r="C156" s="372" t="str">
        <f>CONCATENATE(K156)</f>
        <v>AGREGADO PETREO Y SUELO</v>
      </c>
      <c r="D156" s="395" t="s">
        <v>1171</v>
      </c>
      <c r="G156" s="372"/>
      <c r="H156" s="389"/>
      <c r="I156" s="390" t="s">
        <v>1123</v>
      </c>
      <c r="J156" s="437"/>
      <c r="K156" s="504" t="s">
        <v>1319</v>
      </c>
      <c r="L156" s="437"/>
      <c r="M156" s="437"/>
      <c r="N156" s="437"/>
      <c r="O156" s="472" t="s">
        <v>1171</v>
      </c>
      <c r="P156" s="372"/>
      <c r="Q156" s="387">
        <v>6</v>
      </c>
      <c r="R156" s="379" t="str">
        <f t="shared" ref="R156" si="24">CONCATENATE($L$147,".",TEXT(Q156,"0000"))</f>
        <v>.0006</v>
      </c>
      <c r="S156" s="372" t="str">
        <f>CONCATENATE($E$156)</f>
        <v/>
      </c>
    </row>
    <row r="157" spans="1:19" x14ac:dyDescent="0.2">
      <c r="A157" s="378"/>
      <c r="B157" s="379"/>
      <c r="C157" s="380"/>
      <c r="D157" s="395"/>
      <c r="G157" s="372"/>
      <c r="H157" s="389"/>
      <c r="I157" s="390" t="s">
        <v>1165</v>
      </c>
      <c r="J157" s="398"/>
      <c r="K157" s="476" t="s">
        <v>1174</v>
      </c>
      <c r="L157" s="398"/>
      <c r="M157" s="398"/>
      <c r="N157" s="398"/>
      <c r="O157" s="431"/>
      <c r="P157" s="372"/>
      <c r="Q157" s="372"/>
      <c r="R157" s="372"/>
      <c r="S157" s="372"/>
    </row>
    <row r="158" spans="1:19" x14ac:dyDescent="0.2">
      <c r="A158" s="378">
        <v>10</v>
      </c>
      <c r="B158" s="379" t="str">
        <f t="shared" ref="B158:B166" si="25">CONCATENATE($B$147,".",TEXT(A158,"0000"))</f>
        <v>II-0014.0010</v>
      </c>
      <c r="C158" s="372" t="str">
        <f>CONCATENATE($K$157," ",L158)</f>
        <v>REPARACION AGREGADO PETREO Y SUELO</v>
      </c>
      <c r="D158" s="395" t="s">
        <v>1171</v>
      </c>
      <c r="G158" s="372"/>
      <c r="H158" s="389"/>
      <c r="I158" s="396"/>
      <c r="J158" s="397">
        <v>1</v>
      </c>
      <c r="K158" s="476"/>
      <c r="L158" s="399" t="s">
        <v>1319</v>
      </c>
      <c r="M158" s="398"/>
      <c r="N158" s="398"/>
      <c r="O158" s="431" t="s">
        <v>1171</v>
      </c>
      <c r="P158" s="372"/>
      <c r="Q158" s="387">
        <v>10</v>
      </c>
      <c r="R158" s="379" t="str">
        <f>CONCATENATE($L$147,".",TEXT(Q158,"0000"))</f>
        <v>.0010</v>
      </c>
      <c r="S158" s="372" t="str">
        <f>CONCATENATE($E$157," ",L158)</f>
        <v xml:space="preserve"> AGREGADO PETREO Y SUELO</v>
      </c>
    </row>
    <row r="159" spans="1:19" x14ac:dyDescent="0.2">
      <c r="A159" s="378">
        <v>11</v>
      </c>
      <c r="B159" s="379" t="str">
        <f t="shared" si="25"/>
        <v>II-0014.0011</v>
      </c>
      <c r="C159" s="372" t="str">
        <f t="shared" ref="C159:C162" si="26">CONCATENATE($K$157," ",L159)</f>
        <v>REPARACION SUELO CAL</v>
      </c>
      <c r="D159" s="395" t="s">
        <v>1171</v>
      </c>
      <c r="G159" s="372"/>
      <c r="H159" s="389"/>
      <c r="I159" s="396"/>
      <c r="J159" s="397">
        <v>2</v>
      </c>
      <c r="K159" s="476"/>
      <c r="L159" s="399" t="s">
        <v>1255</v>
      </c>
      <c r="M159" s="398"/>
      <c r="N159" s="398"/>
      <c r="O159" s="431" t="s">
        <v>1171</v>
      </c>
      <c r="P159" s="372"/>
      <c r="Q159" s="387">
        <v>11</v>
      </c>
      <c r="R159" s="379" t="str">
        <f t="shared" ref="R159:R166" si="27">CONCATENATE($L$147,".",TEXT(Q159,"0000"))</f>
        <v>.0011</v>
      </c>
      <c r="S159" s="372" t="str">
        <f t="shared" ref="S159:S162" si="28">CONCATENATE($E$157," ",L159)</f>
        <v xml:space="preserve"> SUELO CAL</v>
      </c>
    </row>
    <row r="160" spans="1:19" x14ac:dyDescent="0.2">
      <c r="A160" s="378">
        <v>12</v>
      </c>
      <c r="B160" s="379" t="str">
        <f t="shared" si="25"/>
        <v>II-0014.0012</v>
      </c>
      <c r="C160" s="372" t="str">
        <f t="shared" si="26"/>
        <v>REPARACION SUELO CEMENTO</v>
      </c>
      <c r="D160" s="395" t="s">
        <v>1171</v>
      </c>
      <c r="G160" s="372"/>
      <c r="H160" s="389"/>
      <c r="I160" s="396"/>
      <c r="J160" s="397">
        <v>3</v>
      </c>
      <c r="K160" s="476"/>
      <c r="L160" s="399" t="s">
        <v>1258</v>
      </c>
      <c r="M160" s="398"/>
      <c r="N160" s="398"/>
      <c r="O160" s="431" t="s">
        <v>1171</v>
      </c>
      <c r="P160" s="372"/>
      <c r="Q160" s="387">
        <v>12</v>
      </c>
      <c r="R160" s="379" t="str">
        <f t="shared" si="27"/>
        <v>.0012</v>
      </c>
      <c r="S160" s="372" t="str">
        <f t="shared" si="28"/>
        <v xml:space="preserve"> SUELO CEMENTO</v>
      </c>
    </row>
    <row r="161" spans="1:19" x14ac:dyDescent="0.2">
      <c r="A161" s="378">
        <v>13</v>
      </c>
      <c r="B161" s="379" t="str">
        <f t="shared" si="25"/>
        <v>II-0014.0013</v>
      </c>
      <c r="C161" s="372" t="str">
        <f t="shared" si="26"/>
        <v>REPARACION SUELO ESCORIA</v>
      </c>
      <c r="D161" s="395" t="s">
        <v>1171</v>
      </c>
      <c r="G161" s="372"/>
      <c r="H161" s="389"/>
      <c r="I161" s="396"/>
      <c r="J161" s="397">
        <v>4</v>
      </c>
      <c r="K161" s="476"/>
      <c r="L161" s="399" t="s">
        <v>1320</v>
      </c>
      <c r="M161" s="398"/>
      <c r="N161" s="398"/>
      <c r="O161" s="431" t="s">
        <v>1171</v>
      </c>
      <c r="P161" s="372"/>
      <c r="Q161" s="387">
        <v>13</v>
      </c>
      <c r="R161" s="379" t="str">
        <f t="shared" si="27"/>
        <v>.0013</v>
      </c>
      <c r="S161" s="372" t="str">
        <f t="shared" si="28"/>
        <v xml:space="preserve"> SUELO ESCORIA</v>
      </c>
    </row>
    <row r="162" spans="1:19" x14ac:dyDescent="0.2">
      <c r="A162" s="378">
        <v>14</v>
      </c>
      <c r="B162" s="379" t="str">
        <f t="shared" si="25"/>
        <v>II-0014.0014</v>
      </c>
      <c r="C162" s="372" t="str">
        <f t="shared" si="26"/>
        <v>REPARACION SUELO SELECCIONADO</v>
      </c>
      <c r="D162" s="395" t="s">
        <v>1171</v>
      </c>
      <c r="G162" s="372"/>
      <c r="H162" s="389"/>
      <c r="I162" s="408"/>
      <c r="J162" s="403">
        <v>5</v>
      </c>
      <c r="K162" s="476"/>
      <c r="L162" s="399" t="s">
        <v>1261</v>
      </c>
      <c r="M162" s="398"/>
      <c r="N162" s="398"/>
      <c r="O162" s="431" t="s">
        <v>1171</v>
      </c>
      <c r="P162" s="372"/>
      <c r="Q162" s="387">
        <v>14</v>
      </c>
      <c r="R162" s="379" t="str">
        <f t="shared" si="27"/>
        <v>.0014</v>
      </c>
      <c r="S162" s="372" t="str">
        <f t="shared" si="28"/>
        <v xml:space="preserve"> SUELO SELECCIONADO</v>
      </c>
    </row>
    <row r="163" spans="1:19" x14ac:dyDescent="0.2">
      <c r="A163" s="378">
        <v>20</v>
      </c>
      <c r="B163" s="379" t="str">
        <f t="shared" si="25"/>
        <v>II-0014.0020</v>
      </c>
      <c r="C163" s="372" t="str">
        <f t="shared" ref="C163:C166" si="29">CONCATENATE(K163)</f>
        <v>SUELO CAL</v>
      </c>
      <c r="D163" s="395" t="s">
        <v>1171</v>
      </c>
      <c r="G163" s="372"/>
      <c r="H163" s="389"/>
      <c r="I163" s="403" t="s">
        <v>1168</v>
      </c>
      <c r="J163" s="437"/>
      <c r="K163" s="504" t="s">
        <v>1255</v>
      </c>
      <c r="L163" s="437"/>
      <c r="M163" s="437"/>
      <c r="N163" s="437"/>
      <c r="O163" s="472" t="s">
        <v>1171</v>
      </c>
      <c r="P163" s="372"/>
      <c r="Q163" s="387">
        <v>20</v>
      </c>
      <c r="R163" s="379" t="str">
        <f t="shared" si="27"/>
        <v>.0020</v>
      </c>
      <c r="S163" s="372" t="str">
        <f>CONCATENATE(K163)</f>
        <v>SUELO CAL</v>
      </c>
    </row>
    <row r="164" spans="1:19" x14ac:dyDescent="0.2">
      <c r="A164" s="378">
        <v>21</v>
      </c>
      <c r="B164" s="379" t="str">
        <f t="shared" si="25"/>
        <v>II-0014.0021</v>
      </c>
      <c r="C164" s="372" t="str">
        <f t="shared" si="29"/>
        <v>SUELO CEMENTO</v>
      </c>
      <c r="D164" s="395" t="s">
        <v>1171</v>
      </c>
      <c r="G164" s="372"/>
      <c r="H164" s="389"/>
      <c r="I164" s="397" t="s">
        <v>1172</v>
      </c>
      <c r="J164" s="398"/>
      <c r="K164" s="476" t="s">
        <v>1258</v>
      </c>
      <c r="L164" s="398"/>
      <c r="M164" s="398"/>
      <c r="N164" s="398"/>
      <c r="O164" s="431" t="s">
        <v>1171</v>
      </c>
      <c r="P164" s="372"/>
      <c r="Q164" s="387">
        <v>21</v>
      </c>
      <c r="R164" s="379" t="str">
        <f t="shared" si="27"/>
        <v>.0021</v>
      </c>
      <c r="S164" s="372" t="str">
        <f t="shared" ref="S164:S166" si="30">CONCATENATE(K164)</f>
        <v>SUELO CEMENTO</v>
      </c>
    </row>
    <row r="165" spans="1:19" x14ac:dyDescent="0.2">
      <c r="A165" s="378">
        <v>22</v>
      </c>
      <c r="B165" s="379" t="str">
        <f t="shared" si="25"/>
        <v>II-0014.0022</v>
      </c>
      <c r="C165" s="372" t="str">
        <f t="shared" si="29"/>
        <v>SUELO ESCORIA</v>
      </c>
      <c r="D165" s="395" t="s">
        <v>1171</v>
      </c>
      <c r="G165" s="372"/>
      <c r="H165" s="389"/>
      <c r="I165" s="390" t="s">
        <v>1175</v>
      </c>
      <c r="J165" s="437"/>
      <c r="K165" s="504" t="s">
        <v>1320</v>
      </c>
      <c r="L165" s="437"/>
      <c r="M165" s="437"/>
      <c r="N165" s="437"/>
      <c r="O165" s="472" t="s">
        <v>1171</v>
      </c>
      <c r="P165" s="372"/>
      <c r="Q165" s="387">
        <v>22</v>
      </c>
      <c r="R165" s="379" t="str">
        <f t="shared" si="27"/>
        <v>.0022</v>
      </c>
      <c r="S165" s="372" t="str">
        <f t="shared" si="30"/>
        <v>SUELO ESCORIA</v>
      </c>
    </row>
    <row r="166" spans="1:19" x14ac:dyDescent="0.2">
      <c r="A166" s="378">
        <v>23</v>
      </c>
      <c r="B166" s="379" t="str">
        <f t="shared" si="25"/>
        <v>II-0014.0023</v>
      </c>
      <c r="C166" s="372" t="str">
        <f t="shared" si="29"/>
        <v>SUELO SELECCIONADO</v>
      </c>
      <c r="D166" s="395" t="s">
        <v>1171</v>
      </c>
      <c r="G166" s="372"/>
      <c r="H166" s="389"/>
      <c r="I166" s="397" t="s">
        <v>901</v>
      </c>
      <c r="J166" s="398"/>
      <c r="K166" s="476" t="s">
        <v>1261</v>
      </c>
      <c r="L166" s="398"/>
      <c r="M166" s="398"/>
      <c r="N166" s="398"/>
      <c r="O166" s="431" t="s">
        <v>1171</v>
      </c>
      <c r="P166" s="372"/>
      <c r="Q166" s="387">
        <v>23</v>
      </c>
      <c r="R166" s="379" t="str">
        <f t="shared" si="27"/>
        <v>.0023</v>
      </c>
      <c r="S166" s="372" t="str">
        <f t="shared" si="30"/>
        <v>SUELO SELECCIONADO</v>
      </c>
    </row>
    <row r="167" spans="1:19" ht="15.75" thickBot="1" x14ac:dyDescent="0.25">
      <c r="A167" s="378"/>
      <c r="B167" s="379"/>
      <c r="C167" s="380"/>
      <c r="D167" s="395"/>
      <c r="G167" s="372"/>
      <c r="H167" s="389"/>
      <c r="I167" s="396"/>
      <c r="J167" s="398"/>
      <c r="K167" s="476"/>
      <c r="L167" s="398"/>
      <c r="M167" s="398"/>
      <c r="N167" s="398"/>
      <c r="O167" s="431"/>
      <c r="P167" s="372"/>
      <c r="Q167" s="387"/>
      <c r="R167" s="379"/>
      <c r="S167" s="372"/>
    </row>
    <row r="168" spans="1:19" ht="15.75" thickTop="1" x14ac:dyDescent="0.2">
      <c r="A168" s="378">
        <v>15</v>
      </c>
      <c r="B168" s="379" t="s">
        <v>1321</v>
      </c>
      <c r="C168" s="380" t="s">
        <v>1322</v>
      </c>
      <c r="D168" s="395"/>
      <c r="G168" s="372"/>
      <c r="H168" s="467">
        <v>15</v>
      </c>
      <c r="I168" s="417"/>
      <c r="J168" s="477"/>
      <c r="K168" s="478" t="s">
        <v>1322</v>
      </c>
      <c r="L168" s="477"/>
      <c r="M168" s="477"/>
      <c r="N168" s="477"/>
      <c r="O168" s="419"/>
      <c r="P168" s="372"/>
      <c r="Q168" s="387">
        <f>H168</f>
        <v>15</v>
      </c>
      <c r="R168" s="377" t="str">
        <f>CONCATENATE("II-",TEXT(Q168,"0000"))</f>
        <v>II-0015</v>
      </c>
      <c r="S168" s="388" t="str">
        <f>K168</f>
        <v>CALZADA</v>
      </c>
    </row>
    <row r="169" spans="1:19" x14ac:dyDescent="0.2">
      <c r="A169" s="378"/>
      <c r="B169" s="379"/>
      <c r="C169" s="380"/>
      <c r="D169" s="395"/>
      <c r="G169" s="372"/>
      <c r="H169" s="389"/>
      <c r="I169" s="390" t="s">
        <v>1060</v>
      </c>
      <c r="J169" s="398"/>
      <c r="K169" s="399" t="s">
        <v>1323</v>
      </c>
      <c r="L169" s="393"/>
      <c r="M169" s="393"/>
      <c r="N169" s="393"/>
      <c r="O169" s="441"/>
      <c r="P169" s="372"/>
      <c r="Q169" s="387"/>
      <c r="R169" s="372"/>
      <c r="S169" s="372"/>
    </row>
    <row r="170" spans="1:19" x14ac:dyDescent="0.2">
      <c r="A170" s="378">
        <v>1</v>
      </c>
      <c r="B170" s="379" t="str">
        <f>CONCATENATE($B$168,".",TEXT(A170,"0000"))</f>
        <v>II-0015.0001</v>
      </c>
      <c r="C170" s="372" t="str">
        <f>CONCATENATE($K$169," ",L170)</f>
        <v>CORRECCION DE AHUELLAMIENTO AGREGADO PETREO Y SUELO</v>
      </c>
      <c r="D170" s="395" t="s">
        <v>1254</v>
      </c>
      <c r="G170" s="372"/>
      <c r="H170" s="389"/>
      <c r="I170" s="396"/>
      <c r="J170" s="397">
        <v>1</v>
      </c>
      <c r="K170" s="398"/>
      <c r="L170" s="476" t="s">
        <v>1319</v>
      </c>
      <c r="M170" s="398"/>
      <c r="N170" s="398"/>
      <c r="O170" s="431" t="s">
        <v>1254</v>
      </c>
      <c r="P170" s="372"/>
      <c r="Q170" s="387"/>
      <c r="R170" s="372"/>
      <c r="S170" s="372"/>
    </row>
    <row r="171" spans="1:19" x14ac:dyDescent="0.2">
      <c r="A171" s="378">
        <v>2</v>
      </c>
      <c r="B171" s="379" t="str">
        <f t="shared" ref="B171:B180" si="31">CONCATENATE($B$168,".",TEXT(A171,"0000"))</f>
        <v>II-0015.0002</v>
      </c>
      <c r="C171" s="372" t="str">
        <f t="shared" ref="C171:C174" si="32">CONCATENATE($K$169," ",L171)</f>
        <v>CORRECCION DE AHUELLAMIENTO FRESADO</v>
      </c>
      <c r="D171" s="395" t="s">
        <v>1254</v>
      </c>
      <c r="G171" s="372"/>
      <c r="H171" s="389"/>
      <c r="I171" s="396"/>
      <c r="J171" s="397">
        <v>2</v>
      </c>
      <c r="K171" s="399"/>
      <c r="L171" s="388" t="s">
        <v>1324</v>
      </c>
      <c r="M171" s="475"/>
      <c r="N171" s="475"/>
      <c r="O171" s="431" t="s">
        <v>1254</v>
      </c>
      <c r="P171" s="372"/>
      <c r="Q171" s="387"/>
      <c r="R171" s="372"/>
      <c r="S171" s="372"/>
    </row>
    <row r="172" spans="1:19" x14ac:dyDescent="0.2">
      <c r="A172" s="378">
        <v>3</v>
      </c>
      <c r="B172" s="379" t="str">
        <f t="shared" si="31"/>
        <v>II-0015.0003</v>
      </c>
      <c r="C172" s="372" t="str">
        <f t="shared" si="32"/>
        <v>CORRECCION DE AHUELLAMIENTO MEZCLA ASFALTICA</v>
      </c>
      <c r="D172" s="395" t="s">
        <v>1254</v>
      </c>
      <c r="G172" s="372"/>
      <c r="H172" s="389"/>
      <c r="I172" s="396"/>
      <c r="J172" s="397">
        <v>3</v>
      </c>
      <c r="K172" s="399"/>
      <c r="L172" s="399" t="s">
        <v>1251</v>
      </c>
      <c r="M172" s="475"/>
      <c r="N172" s="475"/>
      <c r="O172" s="431" t="s">
        <v>1254</v>
      </c>
      <c r="P172" s="372"/>
      <c r="Q172" s="372"/>
      <c r="R172" s="372"/>
      <c r="S172" s="372"/>
    </row>
    <row r="173" spans="1:19" x14ac:dyDescent="0.2">
      <c r="A173" s="378">
        <v>4</v>
      </c>
      <c r="B173" s="379" t="str">
        <f t="shared" si="31"/>
        <v>II-0015.0004</v>
      </c>
      <c r="C173" s="372" t="str">
        <f t="shared" si="32"/>
        <v>CORRECCION DE AHUELLAMIENTO MICROAGLOMERADO</v>
      </c>
      <c r="D173" s="395" t="s">
        <v>1254</v>
      </c>
      <c r="G173" s="372"/>
      <c r="H173" s="389"/>
      <c r="I173" s="396"/>
      <c r="J173" s="487">
        <v>4</v>
      </c>
      <c r="K173" s="399"/>
      <c r="L173" s="399" t="s">
        <v>1325</v>
      </c>
      <c r="M173" s="398"/>
      <c r="N173" s="398"/>
      <c r="O173" s="431" t="s">
        <v>1254</v>
      </c>
      <c r="P173" s="372"/>
      <c r="Q173" s="372"/>
      <c r="R173" s="372"/>
      <c r="S173" s="372"/>
    </row>
    <row r="174" spans="1:19" x14ac:dyDescent="0.2">
      <c r="A174" s="378">
        <v>5</v>
      </c>
      <c r="B174" s="379" t="str">
        <f t="shared" si="31"/>
        <v>II-0015.0005</v>
      </c>
      <c r="C174" s="372" t="str">
        <f t="shared" si="32"/>
        <v>CORRECCION DE AHUELLAMIENTO SUELO CEMENTO</v>
      </c>
      <c r="D174" s="395" t="s">
        <v>1254</v>
      </c>
      <c r="G174" s="372"/>
      <c r="H174" s="389"/>
      <c r="I174" s="408"/>
      <c r="J174" s="488">
        <v>5</v>
      </c>
      <c r="K174" s="405"/>
      <c r="L174" s="405" t="s">
        <v>1258</v>
      </c>
      <c r="M174" s="404"/>
      <c r="N174" s="404"/>
      <c r="O174" s="450" t="s">
        <v>1254</v>
      </c>
      <c r="P174" s="372"/>
      <c r="Q174" s="372"/>
      <c r="R174" s="372"/>
      <c r="S174" s="372"/>
    </row>
    <row r="175" spans="1:19" x14ac:dyDescent="0.2">
      <c r="A175" s="378"/>
      <c r="B175" s="379"/>
      <c r="C175" s="380"/>
      <c r="D175" s="395"/>
      <c r="G175" s="372"/>
      <c r="H175" s="389"/>
      <c r="I175" s="390" t="s">
        <v>1087</v>
      </c>
      <c r="J175" s="395"/>
      <c r="K175" s="399" t="s">
        <v>1326</v>
      </c>
      <c r="L175" s="476"/>
      <c r="M175" s="398"/>
      <c r="N175" s="398"/>
      <c r="O175" s="431"/>
      <c r="P175" s="372"/>
      <c r="Q175" s="372"/>
      <c r="R175" s="372"/>
      <c r="S175" s="372"/>
    </row>
    <row r="176" spans="1:19" x14ac:dyDescent="0.2">
      <c r="A176" s="378">
        <v>11</v>
      </c>
      <c r="B176" s="379" t="str">
        <f t="shared" si="31"/>
        <v>II-0015.0011</v>
      </c>
      <c r="C176" s="372" t="str">
        <f>CONCATENATE($K$175," ",L176)</f>
        <v>CORRECCION DE DEPRESIONES Y DEFORMACIONES AGREGADO PETREO Y SUELO</v>
      </c>
      <c r="D176" s="395" t="s">
        <v>1171</v>
      </c>
      <c r="G176" s="372"/>
      <c r="H176" s="389"/>
      <c r="I176" s="396"/>
      <c r="J176" s="397">
        <v>1</v>
      </c>
      <c r="K176" s="399"/>
      <c r="L176" s="476" t="s">
        <v>1319</v>
      </c>
      <c r="M176" s="475"/>
      <c r="N176" s="475"/>
      <c r="O176" s="431" t="s">
        <v>1171</v>
      </c>
      <c r="P176" s="372"/>
      <c r="Q176" s="372"/>
      <c r="R176" s="372"/>
      <c r="S176" s="372"/>
    </row>
    <row r="177" spans="1:19" x14ac:dyDescent="0.2">
      <c r="A177" s="378">
        <v>12</v>
      </c>
      <c r="B177" s="379" t="str">
        <f t="shared" si="31"/>
        <v>II-0015.0012</v>
      </c>
      <c r="C177" s="372" t="str">
        <f t="shared" ref="C177:C180" si="33">CONCATENATE($K$175," ",L177)</f>
        <v>CORRECCION DE DEPRESIONES Y DEFORMACIONES SUELO CAL</v>
      </c>
      <c r="D177" s="395" t="s">
        <v>1171</v>
      </c>
      <c r="G177" s="372"/>
      <c r="H177" s="389"/>
      <c r="I177" s="396"/>
      <c r="J177" s="397">
        <v>2</v>
      </c>
      <c r="K177" s="399"/>
      <c r="L177" s="476" t="s">
        <v>1255</v>
      </c>
      <c r="M177" s="475"/>
      <c r="N177" s="475"/>
      <c r="O177" s="431" t="s">
        <v>1171</v>
      </c>
      <c r="P177" s="372"/>
      <c r="Q177" s="372"/>
      <c r="R177" s="372"/>
      <c r="S177" s="372"/>
    </row>
    <row r="178" spans="1:19" x14ac:dyDescent="0.2">
      <c r="A178" s="378">
        <v>13</v>
      </c>
      <c r="B178" s="379" t="str">
        <f t="shared" si="31"/>
        <v>II-0015.0013</v>
      </c>
      <c r="C178" s="372" t="str">
        <f t="shared" si="33"/>
        <v>CORRECCION DE DEPRESIONES Y DEFORMACIONES SUELO CEMENTO</v>
      </c>
      <c r="D178" s="395" t="s">
        <v>1171</v>
      </c>
      <c r="G178" s="372"/>
      <c r="H178" s="389"/>
      <c r="I178" s="396"/>
      <c r="J178" s="397">
        <v>3</v>
      </c>
      <c r="K178" s="399"/>
      <c r="L178" s="476" t="s">
        <v>1258</v>
      </c>
      <c r="M178" s="475"/>
      <c r="N178" s="475"/>
      <c r="O178" s="431" t="s">
        <v>1171</v>
      </c>
      <c r="P178" s="372"/>
      <c r="Q178" s="372"/>
      <c r="R178" s="372"/>
      <c r="S178" s="372"/>
    </row>
    <row r="179" spans="1:19" x14ac:dyDescent="0.2">
      <c r="A179" s="378">
        <v>14</v>
      </c>
      <c r="B179" s="379" t="str">
        <f t="shared" si="31"/>
        <v>II-0015.0014</v>
      </c>
      <c r="C179" s="372" t="str">
        <f t="shared" si="33"/>
        <v>CORRECCION DE DEPRESIONES Y DEFORMACIONES SUELO ESCORIA</v>
      </c>
      <c r="D179" s="395" t="s">
        <v>1171</v>
      </c>
      <c r="G179" s="372"/>
      <c r="H179" s="389"/>
      <c r="I179" s="396"/>
      <c r="J179" s="487">
        <v>4</v>
      </c>
      <c r="K179" s="399"/>
      <c r="L179" s="476" t="s">
        <v>1320</v>
      </c>
      <c r="M179" s="398"/>
      <c r="N179" s="398"/>
      <c r="O179" s="431" t="s">
        <v>1171</v>
      </c>
      <c r="P179" s="372"/>
      <c r="Q179" s="372"/>
      <c r="R179" s="372"/>
      <c r="S179" s="372"/>
    </row>
    <row r="180" spans="1:19" x14ac:dyDescent="0.2">
      <c r="A180" s="378">
        <v>15</v>
      </c>
      <c r="B180" s="379" t="str">
        <f t="shared" si="31"/>
        <v>II-0015.0015</v>
      </c>
      <c r="C180" s="372" t="str">
        <f t="shared" si="33"/>
        <v>CORRECCION DE DEPRESIONES Y DEFORMACIONES SUELO SELECCIONADO</v>
      </c>
      <c r="D180" s="395" t="s">
        <v>1171</v>
      </c>
      <c r="G180" s="372"/>
      <c r="H180" s="389"/>
      <c r="I180" s="408"/>
      <c r="J180" s="488">
        <v>5</v>
      </c>
      <c r="K180" s="405"/>
      <c r="L180" s="489" t="s">
        <v>1261</v>
      </c>
      <c r="M180" s="404"/>
      <c r="N180" s="404"/>
      <c r="O180" s="450" t="s">
        <v>1171</v>
      </c>
      <c r="P180" s="372"/>
      <c r="Q180" s="372"/>
      <c r="R180" s="372"/>
      <c r="S180" s="372"/>
    </row>
    <row r="181" spans="1:19" ht="15.75" thickBot="1" x14ac:dyDescent="0.25">
      <c r="A181" s="378"/>
      <c r="B181" s="401"/>
      <c r="C181" s="402"/>
      <c r="D181" s="395" t="s">
        <v>1030</v>
      </c>
      <c r="G181" s="372"/>
      <c r="H181" s="409"/>
      <c r="I181" s="421" t="s">
        <v>1123</v>
      </c>
      <c r="J181" s="493"/>
      <c r="K181" s="413" t="s">
        <v>1327</v>
      </c>
      <c r="L181" s="495"/>
      <c r="M181" s="412"/>
      <c r="N181" s="412"/>
      <c r="O181" s="497" t="s">
        <v>1030</v>
      </c>
      <c r="P181" s="372"/>
      <c r="Q181" s="372"/>
      <c r="R181" s="372"/>
      <c r="S181" s="372"/>
    </row>
    <row r="182" spans="1:19" ht="15.75" thickTop="1" x14ac:dyDescent="0.2">
      <c r="A182" s="378">
        <v>16</v>
      </c>
      <c r="B182" s="379" t="s">
        <v>1328</v>
      </c>
      <c r="C182" s="380" t="s">
        <v>1329</v>
      </c>
      <c r="D182" s="395"/>
      <c r="G182" s="372"/>
      <c r="H182" s="416">
        <v>16</v>
      </c>
      <c r="I182" s="418"/>
      <c r="J182" s="429"/>
      <c r="K182" s="486" t="s">
        <v>1329</v>
      </c>
      <c r="L182" s="429"/>
      <c r="M182" s="429"/>
      <c r="N182" s="429"/>
      <c r="O182" s="440"/>
      <c r="P182" s="372"/>
      <c r="Q182" s="387">
        <f>H182</f>
        <v>16</v>
      </c>
      <c r="R182" s="377" t="str">
        <f>CONCATENATE("II-",TEXT(Q182,"0000"))</f>
        <v>II-0016</v>
      </c>
      <c r="S182" s="388" t="str">
        <f>K182</f>
        <v>CAMARA DE INSPECCION</v>
      </c>
    </row>
    <row r="183" spans="1:19" ht="15.75" thickBot="1" x14ac:dyDescent="0.25">
      <c r="A183" s="378">
        <v>1</v>
      </c>
      <c r="B183" s="379" t="str">
        <f>CONCATENATE($B$182,".",TEXT(A183,"0000"))</f>
        <v>II-0016.0001</v>
      </c>
      <c r="C183" s="372" t="str">
        <f>CONCATENATE("S/PLANO ",K183)</f>
        <v>S/PLANO H-2465</v>
      </c>
      <c r="D183" s="395" t="s">
        <v>5</v>
      </c>
      <c r="G183" s="372"/>
      <c r="H183" s="420"/>
      <c r="I183" s="421" t="s">
        <v>1060</v>
      </c>
      <c r="J183" s="424"/>
      <c r="K183" s="460" t="s">
        <v>1330</v>
      </c>
      <c r="L183" s="424"/>
      <c r="M183" s="424"/>
      <c r="N183" s="424"/>
      <c r="O183" s="498" t="s">
        <v>5</v>
      </c>
      <c r="P183" s="372"/>
      <c r="Q183" s="372"/>
      <c r="R183" s="372"/>
      <c r="S183" s="372"/>
    </row>
    <row r="184" spans="1:19" ht="15.75" thickTop="1" x14ac:dyDescent="0.2">
      <c r="A184" s="378">
        <v>17</v>
      </c>
      <c r="B184" s="379" t="s">
        <v>1331</v>
      </c>
      <c r="C184" s="380" t="s">
        <v>1332</v>
      </c>
      <c r="D184" s="395"/>
      <c r="G184" s="372"/>
      <c r="H184" s="416">
        <v>17</v>
      </c>
      <c r="I184" s="418"/>
      <c r="J184" s="429"/>
      <c r="K184" s="486" t="s">
        <v>1332</v>
      </c>
      <c r="L184" s="429"/>
      <c r="M184" s="429"/>
      <c r="N184" s="429"/>
      <c r="O184" s="440"/>
      <c r="P184" s="372"/>
      <c r="Q184" s="387">
        <f>H184</f>
        <v>17</v>
      </c>
      <c r="R184" s="377" t="str">
        <f>CONCATENATE("II-",TEXT(Q184,"0000"))</f>
        <v>II-0017</v>
      </c>
      <c r="S184" s="388" t="str">
        <f>K184</f>
        <v>CARPETA</v>
      </c>
    </row>
    <row r="185" spans="1:19" x14ac:dyDescent="0.2">
      <c r="A185" s="378"/>
      <c r="B185" s="379"/>
      <c r="C185" s="380"/>
      <c r="D185" s="395"/>
      <c r="G185" s="372"/>
      <c r="H185" s="389"/>
      <c r="I185" s="390" t="s">
        <v>1060</v>
      </c>
      <c r="J185" s="395"/>
      <c r="K185" s="399" t="s">
        <v>1333</v>
      </c>
      <c r="L185" s="476"/>
      <c r="M185" s="398"/>
      <c r="N185" s="398"/>
      <c r="O185" s="431"/>
      <c r="P185" s="372"/>
      <c r="Q185" s="372"/>
      <c r="R185" s="372"/>
      <c r="S185" s="372"/>
    </row>
    <row r="186" spans="1:19" x14ac:dyDescent="0.2">
      <c r="A186" s="378">
        <v>1</v>
      </c>
      <c r="B186" s="379" t="str">
        <f>CONCATENATE($B$184,".",TEXT(A186,"0000"))</f>
        <v>II-0017.0001</v>
      </c>
      <c r="C186" s="372" t="str">
        <f>CONCATENATE($K$185," ",L186)</f>
        <v>MEZCLA BITUMINOSA DE CONCRETO ASFALTICO MEZCLA EN CALIENTE</v>
      </c>
      <c r="D186" s="395" t="s">
        <v>1254</v>
      </c>
      <c r="G186" s="372"/>
      <c r="H186" s="389"/>
      <c r="I186" s="396"/>
      <c r="J186" s="397">
        <v>1</v>
      </c>
      <c r="K186" s="399"/>
      <c r="L186" s="476" t="s">
        <v>1334</v>
      </c>
      <c r="M186" s="475"/>
      <c r="N186" s="398"/>
      <c r="O186" s="431" t="s">
        <v>1254</v>
      </c>
      <c r="P186" s="372"/>
      <c r="Q186" s="372"/>
      <c r="R186" s="372"/>
      <c r="S186" s="372"/>
    </row>
    <row r="187" spans="1:19" x14ac:dyDescent="0.2">
      <c r="A187" s="378">
        <v>2</v>
      </c>
      <c r="B187" s="379" t="str">
        <f t="shared" ref="B187:B191" si="34">CONCATENATE($B$184,".",TEXT(A187,"0000"))</f>
        <v>II-0017.0002</v>
      </c>
      <c r="C187" s="372" t="str">
        <f>CONCATENATE($K$185," ",L187)</f>
        <v>MEZCLA BITUMINOSA DE CONCRETO ASFALTICO MEZCLA EN FRIO</v>
      </c>
      <c r="D187" s="395" t="s">
        <v>1254</v>
      </c>
      <c r="G187" s="372"/>
      <c r="H187" s="389"/>
      <c r="I187" s="396"/>
      <c r="J187" s="403">
        <v>2</v>
      </c>
      <c r="K187" s="405"/>
      <c r="L187" s="405" t="s">
        <v>1335</v>
      </c>
      <c r="M187" s="404"/>
      <c r="N187" s="404"/>
      <c r="O187" s="450" t="s">
        <v>1254</v>
      </c>
      <c r="P187" s="372"/>
      <c r="Q187" s="372"/>
      <c r="R187" s="372"/>
      <c r="S187" s="372"/>
    </row>
    <row r="188" spans="1:19" x14ac:dyDescent="0.2">
      <c r="A188" s="378"/>
      <c r="B188" s="379"/>
      <c r="C188" s="380"/>
      <c r="D188" s="395"/>
      <c r="G188" s="372"/>
      <c r="H188" s="389"/>
      <c r="I188" s="390" t="s">
        <v>1087</v>
      </c>
      <c r="J188" s="395"/>
      <c r="K188" s="399" t="s">
        <v>1336</v>
      </c>
      <c r="L188" s="476"/>
      <c r="M188" s="398"/>
      <c r="N188" s="398"/>
      <c r="O188" s="431"/>
      <c r="P188" s="372"/>
      <c r="Q188" s="372"/>
      <c r="R188" s="372"/>
      <c r="S188" s="372"/>
    </row>
    <row r="189" spans="1:19" x14ac:dyDescent="0.2">
      <c r="A189" s="378">
        <v>11</v>
      </c>
      <c r="B189" s="379" t="str">
        <f t="shared" si="34"/>
        <v>II-0017.0011</v>
      </c>
      <c r="C189" s="372" t="str">
        <f>CONCATENATE($K$188," ",L189)</f>
        <v>CARPETA DE BAJO ESPESOR MEZCLA EN CALIENTE</v>
      </c>
      <c r="D189" s="395" t="s">
        <v>1254</v>
      </c>
      <c r="G189" s="372"/>
      <c r="H189" s="389"/>
      <c r="I189" s="396"/>
      <c r="J189" s="397">
        <v>1</v>
      </c>
      <c r="K189" s="399"/>
      <c r="L189" s="476" t="s">
        <v>1334</v>
      </c>
      <c r="M189" s="475"/>
      <c r="N189" s="475"/>
      <c r="O189" s="431" t="s">
        <v>1254</v>
      </c>
      <c r="P189" s="372"/>
      <c r="Q189" s="372"/>
      <c r="R189" s="372"/>
      <c r="S189" s="372"/>
    </row>
    <row r="190" spans="1:19" x14ac:dyDescent="0.2">
      <c r="A190" s="378">
        <v>12</v>
      </c>
      <c r="B190" s="379" t="str">
        <f t="shared" si="34"/>
        <v>II-0017.0012</v>
      </c>
      <c r="C190" s="372" t="str">
        <f t="shared" ref="C190:C191" si="35">CONCATENATE($K$188," ",L190)</f>
        <v>CARPETA DE BAJO ESPESOR MEZCLA EN FRIO</v>
      </c>
      <c r="D190" s="395" t="s">
        <v>1254</v>
      </c>
      <c r="G190" s="372"/>
      <c r="H190" s="389"/>
      <c r="I190" s="396"/>
      <c r="J190" s="397">
        <v>2</v>
      </c>
      <c r="K190" s="399"/>
      <c r="L190" s="476" t="s">
        <v>1335</v>
      </c>
      <c r="M190" s="475"/>
      <c r="N190" s="475"/>
      <c r="O190" s="431" t="s">
        <v>1254</v>
      </c>
      <c r="P190" s="372"/>
      <c r="Q190" s="372"/>
      <c r="R190" s="372"/>
      <c r="S190" s="372"/>
    </row>
    <row r="191" spans="1:19" ht="15.75" thickBot="1" x14ac:dyDescent="0.25">
      <c r="A191" s="378">
        <v>13</v>
      </c>
      <c r="B191" s="379" t="str">
        <f t="shared" si="34"/>
        <v>II-0017.0013</v>
      </c>
      <c r="C191" s="372" t="str">
        <f t="shared" si="35"/>
        <v>CARPETA DE BAJO ESPESOR MICROAGLOMERADO</v>
      </c>
      <c r="D191" s="395" t="s">
        <v>1254</v>
      </c>
      <c r="G191" s="372"/>
      <c r="H191" s="389"/>
      <c r="I191" s="396"/>
      <c r="J191" s="397">
        <v>3</v>
      </c>
      <c r="K191" s="399"/>
      <c r="L191" s="476" t="s">
        <v>1325</v>
      </c>
      <c r="M191" s="475"/>
      <c r="N191" s="475"/>
      <c r="O191" s="431" t="s">
        <v>1254</v>
      </c>
      <c r="P191" s="372"/>
      <c r="Q191" s="372"/>
      <c r="R191" s="372"/>
      <c r="S191" s="372"/>
    </row>
    <row r="192" spans="1:19" ht="15.75" thickTop="1" x14ac:dyDescent="0.2">
      <c r="A192" s="378">
        <v>18</v>
      </c>
      <c r="B192" s="379" t="s">
        <v>1337</v>
      </c>
      <c r="C192" s="380" t="s">
        <v>1338</v>
      </c>
      <c r="D192" s="395"/>
      <c r="G192" s="372"/>
      <c r="H192" s="467">
        <v>18</v>
      </c>
      <c r="I192" s="417"/>
      <c r="J192" s="477"/>
      <c r="K192" s="478" t="s">
        <v>1338</v>
      </c>
      <c r="L192" s="477"/>
      <c r="M192" s="477"/>
      <c r="N192" s="477"/>
      <c r="O192" s="419"/>
      <c r="P192" s="372"/>
      <c r="Q192" s="387">
        <f>H192</f>
        <v>18</v>
      </c>
      <c r="R192" s="377" t="str">
        <f>CONCATENATE("II-",TEXT(Q192,"0000"))</f>
        <v>II-0018</v>
      </c>
      <c r="S192" s="388" t="str">
        <f>K192</f>
        <v>COLCHONETA ( PIEDRA EMBOLSADA)</v>
      </c>
    </row>
    <row r="193" spans="1:19" x14ac:dyDescent="0.2">
      <c r="A193" s="378">
        <v>1</v>
      </c>
      <c r="B193" s="379" t="str">
        <f>CONCATENATE($B$192,".",TEXT(A193,"0000"))</f>
        <v>II-0018.0001</v>
      </c>
      <c r="C193" s="372" t="str">
        <f>CONCATENATE(K193," ",L193)</f>
        <v xml:space="preserve">ELECTROSOLDADA </v>
      </c>
      <c r="D193" s="395" t="s">
        <v>1171</v>
      </c>
      <c r="G193" s="372"/>
      <c r="H193" s="507"/>
      <c r="I193" s="390" t="s">
        <v>1060</v>
      </c>
      <c r="J193" s="437"/>
      <c r="K193" s="458" t="s">
        <v>1339</v>
      </c>
      <c r="L193" s="437"/>
      <c r="M193" s="437"/>
      <c r="N193" s="437"/>
      <c r="O193" s="472" t="s">
        <v>1171</v>
      </c>
      <c r="P193" s="372"/>
      <c r="Q193" s="372"/>
      <c r="R193" s="372"/>
      <c r="S193" s="372"/>
    </row>
    <row r="194" spans="1:19" x14ac:dyDescent="0.2">
      <c r="A194" s="378">
        <v>2</v>
      </c>
      <c r="B194" s="379" t="str">
        <f t="shared" ref="B194:B196" si="36">CONCATENATE($B$192,".",TEXT(A194,"0000"))</f>
        <v>II-0018.0002</v>
      </c>
      <c r="C194" s="372" t="str">
        <f t="shared" ref="C194:C196" si="37">CONCATENATE(K194," ",L194)</f>
        <v xml:space="preserve">MALLA HEXAGONAL </v>
      </c>
      <c r="D194" s="395" t="s">
        <v>1171</v>
      </c>
      <c r="G194" s="372"/>
      <c r="H194" s="452"/>
      <c r="I194" s="390" t="s">
        <v>1087</v>
      </c>
      <c r="J194" s="437"/>
      <c r="K194" s="458" t="s">
        <v>1340</v>
      </c>
      <c r="L194" s="437"/>
      <c r="M194" s="437"/>
      <c r="N194" s="437"/>
      <c r="O194" s="472" t="s">
        <v>1171</v>
      </c>
      <c r="P194" s="372"/>
      <c r="Q194" s="372"/>
      <c r="R194" s="372"/>
      <c r="S194" s="372"/>
    </row>
    <row r="195" spans="1:19" x14ac:dyDescent="0.2">
      <c r="A195" s="378">
        <v>3</v>
      </c>
      <c r="B195" s="379" t="str">
        <f t="shared" si="36"/>
        <v>II-0018.0003</v>
      </c>
      <c r="C195" s="372" t="str">
        <f t="shared" si="37"/>
        <v xml:space="preserve">REPARACION </v>
      </c>
      <c r="D195" s="395" t="s">
        <v>1171</v>
      </c>
      <c r="G195" s="372"/>
      <c r="H195" s="452"/>
      <c r="I195" s="390" t="s">
        <v>1097</v>
      </c>
      <c r="J195" s="437"/>
      <c r="K195" s="458" t="s">
        <v>1174</v>
      </c>
      <c r="L195" s="437"/>
      <c r="M195" s="437"/>
      <c r="N195" s="437"/>
      <c r="O195" s="472" t="s">
        <v>1171</v>
      </c>
      <c r="P195" s="372"/>
      <c r="Q195" s="372"/>
      <c r="R195" s="372"/>
      <c r="S195" s="372"/>
    </row>
    <row r="196" spans="1:19" x14ac:dyDescent="0.2">
      <c r="A196" s="378">
        <v>4</v>
      </c>
      <c r="B196" s="379" t="str">
        <f t="shared" si="36"/>
        <v>II-0018.0004</v>
      </c>
      <c r="C196" s="372" t="str">
        <f t="shared" si="37"/>
        <v xml:space="preserve">RETIRO  </v>
      </c>
      <c r="D196" s="395" t="s">
        <v>1171</v>
      </c>
      <c r="G196" s="372"/>
      <c r="H196" s="452"/>
      <c r="I196" s="390" t="s">
        <v>1123</v>
      </c>
      <c r="J196" s="437"/>
      <c r="K196" s="458" t="s">
        <v>1179</v>
      </c>
      <c r="L196" s="437"/>
      <c r="M196" s="437"/>
      <c r="N196" s="437"/>
      <c r="O196" s="472" t="s">
        <v>1171</v>
      </c>
      <c r="P196" s="372"/>
      <c r="Q196" s="372"/>
      <c r="R196" s="372"/>
      <c r="S196" s="372"/>
    </row>
    <row r="197" spans="1:19" ht="15.75" thickBot="1" x14ac:dyDescent="0.25">
      <c r="A197" s="378"/>
      <c r="B197" s="379"/>
      <c r="C197" s="380"/>
      <c r="D197" s="395" t="s">
        <v>1171</v>
      </c>
      <c r="G197" s="372"/>
      <c r="H197" s="459"/>
      <c r="I197" s="421" t="s">
        <v>1165</v>
      </c>
      <c r="J197" s="424"/>
      <c r="K197" s="460" t="s">
        <v>1297</v>
      </c>
      <c r="L197" s="424"/>
      <c r="M197" s="424"/>
      <c r="N197" s="424"/>
      <c r="O197" s="498" t="s">
        <v>1171</v>
      </c>
      <c r="P197" s="372"/>
      <c r="Q197" s="372"/>
      <c r="R197" s="372"/>
      <c r="S197" s="372"/>
    </row>
    <row r="198" spans="1:19" ht="15.75" thickTop="1" x14ac:dyDescent="0.2">
      <c r="A198" s="378">
        <v>19</v>
      </c>
      <c r="B198" s="379" t="s">
        <v>1341</v>
      </c>
      <c r="C198" s="380" t="s">
        <v>1342</v>
      </c>
      <c r="D198" s="395"/>
      <c r="G198" s="398"/>
      <c r="H198" s="416">
        <v>19</v>
      </c>
      <c r="I198" s="418"/>
      <c r="J198" s="429"/>
      <c r="K198" s="486" t="s">
        <v>1342</v>
      </c>
      <c r="L198" s="429"/>
      <c r="M198" s="429"/>
      <c r="N198" s="429"/>
      <c r="O198" s="440"/>
      <c r="P198" s="398"/>
      <c r="Q198" s="387">
        <f>H198</f>
        <v>19</v>
      </c>
      <c r="R198" s="377" t="str">
        <f>CONCATENATE("II-",TEXT(Q198,"0000"))</f>
        <v>II-0019</v>
      </c>
      <c r="S198" s="388" t="str">
        <f>K198</f>
        <v>CORDONES</v>
      </c>
    </row>
    <row r="199" spans="1:19" x14ac:dyDescent="0.2">
      <c r="A199" s="378"/>
      <c r="B199" s="379"/>
      <c r="C199" s="380"/>
      <c r="D199" s="395"/>
      <c r="G199" s="398"/>
      <c r="H199" s="430"/>
      <c r="I199" s="390" t="s">
        <v>1060</v>
      </c>
      <c r="J199" s="396"/>
      <c r="K199" s="399" t="s">
        <v>1343</v>
      </c>
      <c r="L199" s="398"/>
      <c r="M199" s="398"/>
      <c r="N199" s="398"/>
      <c r="O199" s="431"/>
      <c r="P199" s="398"/>
      <c r="Q199" s="398"/>
      <c r="R199" s="398"/>
      <c r="S199" s="398"/>
    </row>
    <row r="200" spans="1:19" x14ac:dyDescent="0.2">
      <c r="A200" s="378">
        <v>1</v>
      </c>
      <c r="B200" s="380"/>
      <c r="C200" s="372" t="str">
        <f>CONCATENATE("S/PLANO ",$K$199," - TIPO ",L200 )</f>
        <v>S/PLANO H-8431 - TIPO A</v>
      </c>
      <c r="D200" s="395" t="s">
        <v>1296</v>
      </c>
      <c r="G200" s="372"/>
      <c r="H200" s="389"/>
      <c r="I200" s="396"/>
      <c r="J200" s="397">
        <v>1</v>
      </c>
      <c r="K200" s="398"/>
      <c r="L200" s="399" t="s">
        <v>1060</v>
      </c>
      <c r="M200" s="398"/>
      <c r="N200" s="398"/>
      <c r="O200" s="431" t="s">
        <v>1296</v>
      </c>
      <c r="P200" s="372"/>
      <c r="Q200" s="372"/>
      <c r="R200" s="372"/>
      <c r="S200" s="372"/>
    </row>
    <row r="201" spans="1:19" x14ac:dyDescent="0.2">
      <c r="A201" s="378">
        <v>2</v>
      </c>
      <c r="B201" s="379"/>
      <c r="C201" s="372" t="str">
        <f t="shared" ref="C201:C202" si="38">CONCATENATE("S/PLANO ",$K$199," - TIPO ",L201 )</f>
        <v>S/PLANO H-8431 - TIPO B</v>
      </c>
      <c r="D201" s="395" t="s">
        <v>1296</v>
      </c>
      <c r="G201" s="372"/>
      <c r="H201" s="389"/>
      <c r="I201" s="396"/>
      <c r="J201" s="397">
        <v>2</v>
      </c>
      <c r="K201" s="398"/>
      <c r="L201" s="399" t="s">
        <v>1087</v>
      </c>
      <c r="M201" s="398"/>
      <c r="N201" s="398"/>
      <c r="O201" s="431" t="s">
        <v>1296</v>
      </c>
      <c r="P201" s="372"/>
      <c r="Q201" s="372"/>
      <c r="R201" s="372"/>
      <c r="S201" s="372"/>
    </row>
    <row r="202" spans="1:19" ht="15.75" thickBot="1" x14ac:dyDescent="0.25">
      <c r="A202" s="378">
        <v>3</v>
      </c>
      <c r="B202" s="380"/>
      <c r="C202" s="372" t="str">
        <f t="shared" si="38"/>
        <v>S/PLANO H-8431 - TIPO C</v>
      </c>
      <c r="D202" s="395" t="s">
        <v>1296</v>
      </c>
      <c r="G202" s="372"/>
      <c r="H202" s="442"/>
      <c r="I202" s="443"/>
      <c r="J202" s="444">
        <v>3</v>
      </c>
      <c r="K202" s="445"/>
      <c r="L202" s="446" t="s">
        <v>1097</v>
      </c>
      <c r="M202" s="445"/>
      <c r="N202" s="445"/>
      <c r="O202" s="500" t="s">
        <v>1296</v>
      </c>
      <c r="P202" s="372"/>
      <c r="Q202" s="372"/>
      <c r="R202" s="372"/>
      <c r="S202" s="372"/>
    </row>
    <row r="203" spans="1:19" x14ac:dyDescent="0.2">
      <c r="A203" s="378"/>
      <c r="B203" s="379"/>
      <c r="C203" s="380"/>
      <c r="D203" s="395"/>
      <c r="G203" s="372"/>
      <c r="H203" s="376"/>
      <c r="I203" s="377"/>
      <c r="J203" s="372"/>
      <c r="K203" s="372"/>
      <c r="L203" s="372"/>
      <c r="M203" s="372"/>
      <c r="N203" s="372"/>
      <c r="O203" s="375"/>
      <c r="P203" s="372"/>
      <c r="Q203" s="372"/>
      <c r="R203" s="372"/>
      <c r="S203" s="372"/>
    </row>
    <row r="204" spans="1:19" x14ac:dyDescent="0.2">
      <c r="A204" s="378"/>
      <c r="B204" s="371"/>
      <c r="C204" s="380"/>
      <c r="D204" s="395"/>
      <c r="G204" s="398"/>
      <c r="H204" s="416">
        <v>19</v>
      </c>
      <c r="I204" s="418"/>
      <c r="J204" s="429"/>
      <c r="K204" s="486" t="s">
        <v>1342</v>
      </c>
      <c r="L204" s="429"/>
      <c r="M204" s="429"/>
      <c r="N204" s="429"/>
      <c r="O204" s="440"/>
      <c r="P204" s="398"/>
      <c r="Q204" s="398"/>
      <c r="R204" s="398"/>
      <c r="S204" s="398"/>
    </row>
    <row r="205" spans="1:19" x14ac:dyDescent="0.2">
      <c r="A205" s="378"/>
      <c r="B205" s="379"/>
      <c r="C205" s="380"/>
      <c r="D205" s="395"/>
      <c r="G205" s="475"/>
      <c r="H205" s="473"/>
      <c r="I205" s="390" t="s">
        <v>1060</v>
      </c>
      <c r="J205" s="396"/>
      <c r="K205" s="399" t="s">
        <v>1343</v>
      </c>
      <c r="L205" s="475"/>
      <c r="M205" s="475"/>
      <c r="N205" s="475"/>
      <c r="O205" s="462"/>
      <c r="P205" s="475"/>
      <c r="Q205" s="475"/>
      <c r="R205" s="475"/>
      <c r="S205" s="475"/>
    </row>
    <row r="206" spans="1:19" x14ac:dyDescent="0.2">
      <c r="A206" s="378"/>
      <c r="B206" s="371"/>
      <c r="C206" s="380"/>
      <c r="D206" s="395" t="s">
        <v>1296</v>
      </c>
      <c r="G206" s="372"/>
      <c r="H206" s="389"/>
      <c r="I206" s="396"/>
      <c r="J206" s="487">
        <v>4</v>
      </c>
      <c r="K206" s="398"/>
      <c r="L206" s="399" t="s">
        <v>1123</v>
      </c>
      <c r="M206" s="398"/>
      <c r="N206" s="398"/>
      <c r="O206" s="431" t="s">
        <v>1296</v>
      </c>
      <c r="P206" s="372"/>
      <c r="Q206" s="372"/>
      <c r="R206" s="372"/>
      <c r="S206" s="372"/>
    </row>
    <row r="207" spans="1:19" x14ac:dyDescent="0.2">
      <c r="A207" s="378"/>
      <c r="B207" s="379"/>
      <c r="C207" s="380"/>
      <c r="D207" s="395" t="s">
        <v>1296</v>
      </c>
      <c r="G207" s="372"/>
      <c r="H207" s="389"/>
      <c r="I207" s="396"/>
      <c r="J207" s="487">
        <v>5</v>
      </c>
      <c r="K207" s="398"/>
      <c r="L207" s="399" t="s">
        <v>1165</v>
      </c>
      <c r="M207" s="398"/>
      <c r="N207" s="398"/>
      <c r="O207" s="431" t="s">
        <v>1296</v>
      </c>
      <c r="P207" s="372"/>
      <c r="Q207" s="372"/>
      <c r="R207" s="372"/>
      <c r="S207" s="372"/>
    </row>
    <row r="208" spans="1:19" x14ac:dyDescent="0.2">
      <c r="A208" s="378"/>
      <c r="B208" s="371"/>
      <c r="C208" s="380"/>
      <c r="D208" s="395" t="s">
        <v>1296</v>
      </c>
      <c r="G208" s="372"/>
      <c r="H208" s="389"/>
      <c r="I208" s="396"/>
      <c r="J208" s="487">
        <v>6</v>
      </c>
      <c r="K208" s="398"/>
      <c r="L208" s="399" t="s">
        <v>1168</v>
      </c>
      <c r="M208" s="398"/>
      <c r="N208" s="398"/>
      <c r="O208" s="431" t="s">
        <v>1296</v>
      </c>
      <c r="P208" s="372"/>
      <c r="Q208" s="372"/>
      <c r="R208" s="372"/>
      <c r="S208" s="372"/>
    </row>
    <row r="209" spans="1:19" x14ac:dyDescent="0.2">
      <c r="A209" s="378"/>
      <c r="B209" s="371"/>
      <c r="C209" s="380"/>
      <c r="D209" s="395" t="s">
        <v>1296</v>
      </c>
      <c r="G209" s="372"/>
      <c r="H209" s="389"/>
      <c r="I209" s="396"/>
      <c r="J209" s="487">
        <v>7</v>
      </c>
      <c r="K209" s="398"/>
      <c r="L209" s="399" t="s">
        <v>1172</v>
      </c>
      <c r="M209" s="398"/>
      <c r="N209" s="398"/>
      <c r="O209" s="431" t="s">
        <v>1296</v>
      </c>
      <c r="P209" s="372"/>
      <c r="Q209" s="372"/>
      <c r="R209" s="372"/>
      <c r="S209" s="372"/>
    </row>
    <row r="210" spans="1:19" x14ac:dyDescent="0.2">
      <c r="A210" s="378"/>
      <c r="B210" s="401"/>
      <c r="C210" s="402"/>
      <c r="D210" s="395" t="s">
        <v>1296</v>
      </c>
      <c r="G210" s="372"/>
      <c r="H210" s="389"/>
      <c r="I210" s="396"/>
      <c r="J210" s="487">
        <v>8</v>
      </c>
      <c r="K210" s="398"/>
      <c r="L210" s="399" t="s">
        <v>1175</v>
      </c>
      <c r="M210" s="398"/>
      <c r="N210" s="398"/>
      <c r="O210" s="431" t="s">
        <v>1296</v>
      </c>
      <c r="P210" s="372"/>
      <c r="Q210" s="372"/>
      <c r="R210" s="372"/>
      <c r="S210" s="372"/>
    </row>
    <row r="211" spans="1:19" x14ac:dyDescent="0.2">
      <c r="A211" s="378"/>
      <c r="B211" s="379"/>
      <c r="C211" s="380"/>
      <c r="D211" s="395" t="s">
        <v>1296</v>
      </c>
      <c r="G211" s="372"/>
      <c r="H211" s="389"/>
      <c r="I211" s="396"/>
      <c r="J211" s="487">
        <v>9</v>
      </c>
      <c r="K211" s="398"/>
      <c r="L211" s="399" t="s">
        <v>901</v>
      </c>
      <c r="M211" s="398"/>
      <c r="N211" s="398"/>
      <c r="O211" s="431" t="s">
        <v>1296</v>
      </c>
      <c r="P211" s="372"/>
      <c r="Q211" s="372"/>
      <c r="R211" s="372"/>
      <c r="S211" s="372"/>
    </row>
    <row r="212" spans="1:19" x14ac:dyDescent="0.2">
      <c r="A212" s="378"/>
      <c r="B212" s="379"/>
      <c r="C212" s="380"/>
      <c r="D212" s="395" t="s">
        <v>1296</v>
      </c>
      <c r="G212" s="372"/>
      <c r="H212" s="389"/>
      <c r="I212" s="408"/>
      <c r="J212" s="488">
        <v>10</v>
      </c>
      <c r="K212" s="404"/>
      <c r="L212" s="405" t="s">
        <v>1180</v>
      </c>
      <c r="M212" s="404"/>
      <c r="N212" s="404"/>
      <c r="O212" s="450" t="s">
        <v>1296</v>
      </c>
      <c r="P212" s="372"/>
      <c r="Q212" s="372"/>
      <c r="R212" s="372"/>
      <c r="S212" s="372"/>
    </row>
    <row r="213" spans="1:19" x14ac:dyDescent="0.2">
      <c r="A213" s="378"/>
      <c r="B213" s="379"/>
      <c r="C213" s="380"/>
      <c r="D213" s="395" t="s">
        <v>1296</v>
      </c>
      <c r="G213" s="372"/>
      <c r="H213" s="389"/>
      <c r="I213" s="403" t="s">
        <v>1087</v>
      </c>
      <c r="J213" s="396"/>
      <c r="K213" s="399" t="s">
        <v>1344</v>
      </c>
      <c r="L213" s="398"/>
      <c r="M213" s="398"/>
      <c r="N213" s="398"/>
      <c r="O213" s="431" t="s">
        <v>1296</v>
      </c>
      <c r="P213" s="372"/>
      <c r="Q213" s="372"/>
      <c r="R213" s="372"/>
      <c r="S213" s="372"/>
    </row>
    <row r="214" spans="1:19" x14ac:dyDescent="0.2">
      <c r="A214" s="378"/>
      <c r="B214" s="379"/>
      <c r="C214" s="380"/>
      <c r="D214" s="395" t="s">
        <v>1296</v>
      </c>
      <c r="G214" s="372"/>
      <c r="H214" s="389"/>
      <c r="I214" s="396"/>
      <c r="J214" s="397">
        <v>1</v>
      </c>
      <c r="K214" s="398"/>
      <c r="L214" s="399" t="s">
        <v>1060</v>
      </c>
      <c r="M214" s="398"/>
      <c r="N214" s="398"/>
      <c r="O214" s="431" t="s">
        <v>1296</v>
      </c>
      <c r="P214" s="372"/>
      <c r="Q214" s="372"/>
      <c r="R214" s="372"/>
      <c r="S214" s="372"/>
    </row>
    <row r="215" spans="1:19" x14ac:dyDescent="0.2">
      <c r="A215" s="378"/>
      <c r="B215" s="379"/>
      <c r="C215" s="380"/>
      <c r="D215" s="395" t="s">
        <v>1296</v>
      </c>
      <c r="G215" s="372"/>
      <c r="H215" s="389"/>
      <c r="I215" s="396"/>
      <c r="J215" s="397">
        <v>2</v>
      </c>
      <c r="K215" s="398"/>
      <c r="L215" s="399" t="s">
        <v>1087</v>
      </c>
      <c r="M215" s="398"/>
      <c r="N215" s="398"/>
      <c r="O215" s="431" t="s">
        <v>1296</v>
      </c>
      <c r="P215" s="372"/>
      <c r="Q215" s="372"/>
      <c r="R215" s="372"/>
      <c r="S215" s="372"/>
    </row>
    <row r="216" spans="1:19" x14ac:dyDescent="0.2">
      <c r="A216" s="378"/>
      <c r="B216" s="371"/>
      <c r="C216" s="380"/>
      <c r="D216" s="395" t="s">
        <v>1296</v>
      </c>
      <c r="G216" s="372"/>
      <c r="H216" s="389"/>
      <c r="I216" s="396"/>
      <c r="J216" s="397">
        <v>3</v>
      </c>
      <c r="K216" s="398"/>
      <c r="L216" s="399" t="s">
        <v>1097</v>
      </c>
      <c r="M216" s="398"/>
      <c r="N216" s="398"/>
      <c r="O216" s="431" t="s">
        <v>1296</v>
      </c>
      <c r="P216" s="372"/>
      <c r="Q216" s="372"/>
      <c r="R216" s="372"/>
      <c r="S216" s="372"/>
    </row>
    <row r="217" spans="1:19" x14ac:dyDescent="0.2">
      <c r="A217" s="378"/>
      <c r="B217" s="401"/>
      <c r="C217" s="402"/>
      <c r="D217" s="395" t="s">
        <v>1296</v>
      </c>
      <c r="G217" s="372"/>
      <c r="H217" s="389"/>
      <c r="I217" s="396"/>
      <c r="J217" s="487">
        <v>4</v>
      </c>
      <c r="K217" s="398"/>
      <c r="L217" s="399" t="s">
        <v>1123</v>
      </c>
      <c r="M217" s="398"/>
      <c r="N217" s="398"/>
      <c r="O217" s="431" t="s">
        <v>1296</v>
      </c>
      <c r="P217" s="372"/>
      <c r="Q217" s="372"/>
      <c r="R217" s="372"/>
      <c r="S217" s="372"/>
    </row>
    <row r="218" spans="1:19" x14ac:dyDescent="0.2">
      <c r="A218" s="378"/>
      <c r="B218" s="379"/>
      <c r="C218" s="380"/>
      <c r="D218" s="395" t="s">
        <v>1296</v>
      </c>
      <c r="G218" s="372"/>
      <c r="H218" s="389"/>
      <c r="I218" s="372"/>
      <c r="J218" s="487">
        <v>5</v>
      </c>
      <c r="K218" s="398"/>
      <c r="L218" s="399" t="s">
        <v>1165</v>
      </c>
      <c r="M218" s="398"/>
      <c r="N218" s="398"/>
      <c r="O218" s="431" t="s">
        <v>1296</v>
      </c>
      <c r="P218" s="372"/>
      <c r="Q218" s="372"/>
      <c r="R218" s="372"/>
      <c r="S218" s="372"/>
    </row>
    <row r="219" spans="1:19" x14ac:dyDescent="0.2">
      <c r="A219" s="378"/>
      <c r="B219" s="379"/>
      <c r="C219" s="380"/>
      <c r="D219" s="395" t="s">
        <v>1296</v>
      </c>
      <c r="G219" s="372"/>
      <c r="H219" s="389"/>
      <c r="I219" s="372"/>
      <c r="J219" s="487">
        <v>6</v>
      </c>
      <c r="K219" s="398"/>
      <c r="L219" s="399" t="s">
        <v>1168</v>
      </c>
      <c r="M219" s="398"/>
      <c r="N219" s="398"/>
      <c r="O219" s="431" t="s">
        <v>1296</v>
      </c>
      <c r="P219" s="372"/>
      <c r="Q219" s="372"/>
      <c r="R219" s="372"/>
      <c r="S219" s="372"/>
    </row>
    <row r="220" spans="1:19" x14ac:dyDescent="0.2">
      <c r="A220" s="378"/>
      <c r="B220" s="371"/>
      <c r="C220" s="380"/>
      <c r="D220" s="395" t="s">
        <v>1296</v>
      </c>
      <c r="G220" s="372"/>
      <c r="H220" s="389"/>
      <c r="I220" s="396"/>
      <c r="J220" s="487">
        <v>7</v>
      </c>
      <c r="K220" s="398"/>
      <c r="L220" s="399" t="s">
        <v>1172</v>
      </c>
      <c r="M220" s="398"/>
      <c r="N220" s="398"/>
      <c r="O220" s="431" t="s">
        <v>1296</v>
      </c>
      <c r="P220" s="372"/>
      <c r="Q220" s="372"/>
      <c r="R220" s="372"/>
      <c r="S220" s="372"/>
    </row>
    <row r="221" spans="1:19" x14ac:dyDescent="0.2">
      <c r="A221" s="378"/>
      <c r="B221" s="371"/>
      <c r="C221" s="380"/>
      <c r="D221" s="395" t="s">
        <v>1296</v>
      </c>
      <c r="G221" s="372"/>
      <c r="H221" s="389"/>
      <c r="I221" s="396"/>
      <c r="J221" s="487">
        <v>8</v>
      </c>
      <c r="K221" s="398"/>
      <c r="L221" s="399" t="s">
        <v>1175</v>
      </c>
      <c r="M221" s="398"/>
      <c r="N221" s="398"/>
      <c r="O221" s="431" t="s">
        <v>1296</v>
      </c>
      <c r="P221" s="372"/>
      <c r="Q221" s="372"/>
      <c r="R221" s="372"/>
      <c r="S221" s="372"/>
    </row>
    <row r="222" spans="1:19" x14ac:dyDescent="0.2">
      <c r="A222" s="378"/>
      <c r="B222" s="371"/>
      <c r="C222" s="380"/>
      <c r="D222" s="395" t="s">
        <v>1296</v>
      </c>
      <c r="G222" s="372"/>
      <c r="H222" s="389"/>
      <c r="I222" s="396"/>
      <c r="J222" s="487">
        <v>9</v>
      </c>
      <c r="K222" s="398"/>
      <c r="L222" s="399" t="s">
        <v>901</v>
      </c>
      <c r="M222" s="398"/>
      <c r="N222" s="398"/>
      <c r="O222" s="431" t="s">
        <v>1296</v>
      </c>
      <c r="P222" s="372"/>
      <c r="Q222" s="372"/>
      <c r="R222" s="372"/>
      <c r="S222" s="372"/>
    </row>
    <row r="223" spans="1:19" x14ac:dyDescent="0.2">
      <c r="A223" s="378"/>
      <c r="B223" s="401"/>
      <c r="C223" s="402"/>
      <c r="D223" s="395" t="s">
        <v>1296</v>
      </c>
      <c r="G223" s="372"/>
      <c r="H223" s="389"/>
      <c r="I223" s="396"/>
      <c r="J223" s="488">
        <v>10</v>
      </c>
      <c r="K223" s="404"/>
      <c r="L223" s="399" t="s">
        <v>1180</v>
      </c>
      <c r="M223" s="398"/>
      <c r="N223" s="398"/>
      <c r="O223" s="431" t="s">
        <v>1296</v>
      </c>
      <c r="P223" s="372"/>
      <c r="Q223" s="372"/>
      <c r="R223" s="372"/>
      <c r="S223" s="372"/>
    </row>
    <row r="224" spans="1:19" x14ac:dyDescent="0.2">
      <c r="A224" s="378"/>
      <c r="B224" s="379"/>
      <c r="C224" s="380"/>
      <c r="D224" s="395" t="s">
        <v>1296</v>
      </c>
      <c r="G224" s="372"/>
      <c r="H224" s="389"/>
      <c r="I224" s="390" t="s">
        <v>1097</v>
      </c>
      <c r="J224" s="437"/>
      <c r="K224" s="405" t="s">
        <v>1345</v>
      </c>
      <c r="L224" s="437"/>
      <c r="M224" s="437"/>
      <c r="N224" s="437"/>
      <c r="O224" s="472" t="s">
        <v>1296</v>
      </c>
      <c r="P224" s="372"/>
      <c r="Q224" s="372"/>
      <c r="R224" s="372"/>
      <c r="S224" s="372"/>
    </row>
    <row r="225" spans="1:19" x14ac:dyDescent="0.2">
      <c r="A225" s="378"/>
      <c r="B225" s="379"/>
      <c r="C225" s="380"/>
      <c r="D225" s="395" t="s">
        <v>1296</v>
      </c>
      <c r="G225" s="372"/>
      <c r="H225" s="389"/>
      <c r="I225" s="390" t="s">
        <v>1123</v>
      </c>
      <c r="J225" s="437"/>
      <c r="K225" s="458" t="s">
        <v>1179</v>
      </c>
      <c r="L225" s="437"/>
      <c r="M225" s="437"/>
      <c r="N225" s="437"/>
      <c r="O225" s="431" t="s">
        <v>1296</v>
      </c>
      <c r="P225" s="372"/>
      <c r="Q225" s="372"/>
      <c r="R225" s="372"/>
      <c r="S225" s="372"/>
    </row>
    <row r="226" spans="1:19" ht="15.75" thickBot="1" x14ac:dyDescent="0.25">
      <c r="A226" s="378"/>
      <c r="B226" s="379"/>
      <c r="C226" s="380"/>
      <c r="D226" s="395" t="s">
        <v>1296</v>
      </c>
      <c r="G226" s="372"/>
      <c r="H226" s="409"/>
      <c r="I226" s="411" t="s">
        <v>1165</v>
      </c>
      <c r="J226" s="412"/>
      <c r="K226" s="413" t="s">
        <v>1346</v>
      </c>
      <c r="L226" s="412"/>
      <c r="M226" s="412"/>
      <c r="N226" s="412"/>
      <c r="O226" s="498" t="s">
        <v>1296</v>
      </c>
      <c r="P226" s="372"/>
      <c r="Q226" s="372"/>
      <c r="R226" s="372"/>
      <c r="S226" s="372"/>
    </row>
    <row r="227" spans="1:19" ht="16.5" thickTop="1" thickBot="1" x14ac:dyDescent="0.25">
      <c r="A227" s="378">
        <v>20</v>
      </c>
      <c r="B227" s="379" t="s">
        <v>1347</v>
      </c>
      <c r="C227" s="380" t="s">
        <v>1348</v>
      </c>
      <c r="D227" s="395" t="s">
        <v>1031</v>
      </c>
      <c r="G227" s="372"/>
      <c r="H227" s="508">
        <v>20</v>
      </c>
      <c r="I227" s="509"/>
      <c r="J227" s="510"/>
      <c r="K227" s="511" t="s">
        <v>1348</v>
      </c>
      <c r="L227" s="510"/>
      <c r="M227" s="510"/>
      <c r="N227" s="510"/>
      <c r="O227" s="512" t="s">
        <v>1031</v>
      </c>
      <c r="P227" s="372"/>
      <c r="Q227" s="387">
        <f>H227</f>
        <v>20</v>
      </c>
      <c r="R227" s="377" t="str">
        <f>CONCATENATE("II-",TEXT(Q227,"0000"))</f>
        <v>II-0020</v>
      </c>
      <c r="S227" s="388" t="str">
        <f>K227</f>
        <v>CORTE DE PASTO</v>
      </c>
    </row>
    <row r="228" spans="1:19" ht="15.75" thickTop="1" x14ac:dyDescent="0.2">
      <c r="A228" s="378">
        <v>21</v>
      </c>
      <c r="B228" s="379" t="s">
        <v>1349</v>
      </c>
      <c r="C228" s="380" t="s">
        <v>1350</v>
      </c>
      <c r="D228" s="395"/>
      <c r="G228" s="372"/>
      <c r="H228" s="467">
        <v>21</v>
      </c>
      <c r="I228" s="418"/>
      <c r="J228" s="429"/>
      <c r="K228" s="486" t="s">
        <v>1350</v>
      </c>
      <c r="L228" s="429"/>
      <c r="M228" s="429"/>
      <c r="N228" s="429"/>
      <c r="O228" s="440"/>
      <c r="P228" s="372"/>
      <c r="Q228" s="387">
        <f>H228</f>
        <v>21</v>
      </c>
      <c r="R228" s="377" t="str">
        <f>CONCATENATE("II-",TEXT(Q228,"0000"))</f>
        <v>II-0021</v>
      </c>
      <c r="S228" s="388" t="str">
        <f>K228</f>
        <v xml:space="preserve">CUNETA </v>
      </c>
    </row>
    <row r="229" spans="1:19" x14ac:dyDescent="0.2">
      <c r="A229" s="378"/>
      <c r="B229" s="379"/>
      <c r="C229" s="380"/>
      <c r="D229" s="395" t="s">
        <v>1171</v>
      </c>
      <c r="G229" s="451"/>
      <c r="H229" s="452"/>
      <c r="I229" s="453" t="s">
        <v>1060</v>
      </c>
      <c r="J229" s="490"/>
      <c r="K229" s="489" t="s">
        <v>1351</v>
      </c>
      <c r="L229" s="490"/>
      <c r="M229" s="490"/>
      <c r="N229" s="490"/>
      <c r="O229" s="456" t="s">
        <v>1171</v>
      </c>
      <c r="P229" s="451"/>
      <c r="Q229" s="451"/>
      <c r="R229" s="451"/>
      <c r="S229" s="451"/>
    </row>
    <row r="230" spans="1:19" x14ac:dyDescent="0.2">
      <c r="A230" s="378"/>
      <c r="B230" s="379"/>
      <c r="C230" s="380"/>
      <c r="D230" s="395" t="s">
        <v>1254</v>
      </c>
      <c r="G230" s="372"/>
      <c r="H230" s="452"/>
      <c r="I230" s="390" t="s">
        <v>1087</v>
      </c>
      <c r="J230" s="437"/>
      <c r="K230" s="458" t="s">
        <v>1174</v>
      </c>
      <c r="L230" s="437"/>
      <c r="M230" s="437"/>
      <c r="N230" s="437"/>
      <c r="O230" s="472" t="s">
        <v>1254</v>
      </c>
      <c r="P230" s="372"/>
      <c r="Q230" s="372"/>
      <c r="R230" s="372"/>
      <c r="S230" s="372"/>
    </row>
    <row r="231" spans="1:19" x14ac:dyDescent="0.2">
      <c r="A231" s="378"/>
      <c r="B231" s="379"/>
      <c r="C231" s="380"/>
      <c r="D231" s="395" t="s">
        <v>1296</v>
      </c>
      <c r="G231" s="372"/>
      <c r="H231" s="452"/>
      <c r="I231" s="390" t="s">
        <v>1097</v>
      </c>
      <c r="J231" s="437"/>
      <c r="K231" s="458" t="s">
        <v>1179</v>
      </c>
      <c r="L231" s="437"/>
      <c r="M231" s="437"/>
      <c r="N231" s="437"/>
      <c r="O231" s="472" t="s">
        <v>1296</v>
      </c>
      <c r="P231" s="372"/>
      <c r="Q231" s="372"/>
      <c r="R231" s="372"/>
      <c r="S231" s="372"/>
    </row>
    <row r="232" spans="1:19" x14ac:dyDescent="0.2">
      <c r="A232" s="378"/>
      <c r="B232" s="371"/>
      <c r="C232" s="380"/>
      <c r="D232" s="395" t="s">
        <v>1030</v>
      </c>
      <c r="G232" s="372"/>
      <c r="H232" s="452"/>
      <c r="I232" s="390" t="s">
        <v>1123</v>
      </c>
      <c r="J232" s="437"/>
      <c r="K232" s="458" t="s">
        <v>1235</v>
      </c>
      <c r="L232" s="437"/>
      <c r="M232" s="437"/>
      <c r="N232" s="437"/>
      <c r="O232" s="472" t="s">
        <v>1030</v>
      </c>
      <c r="P232" s="372"/>
      <c r="Q232" s="372"/>
      <c r="R232" s="372"/>
      <c r="S232" s="372"/>
    </row>
    <row r="233" spans="1:19" x14ac:dyDescent="0.2">
      <c r="A233" s="378"/>
      <c r="B233" s="371"/>
      <c r="C233" s="380"/>
      <c r="D233" s="395" t="s">
        <v>1171</v>
      </c>
      <c r="G233" s="372"/>
      <c r="H233" s="452"/>
      <c r="I233" s="390" t="s">
        <v>1165</v>
      </c>
      <c r="J233" s="437"/>
      <c r="K233" s="458" t="s">
        <v>1352</v>
      </c>
      <c r="L233" s="437"/>
      <c r="M233" s="437"/>
      <c r="N233" s="437"/>
      <c r="O233" s="472" t="s">
        <v>1171</v>
      </c>
      <c r="P233" s="372"/>
      <c r="Q233" s="372"/>
      <c r="R233" s="372"/>
      <c r="S233" s="372"/>
    </row>
    <row r="234" spans="1:19" ht="15.75" thickBot="1" x14ac:dyDescent="0.25">
      <c r="A234" s="378"/>
      <c r="B234" s="401"/>
      <c r="C234" s="402"/>
      <c r="D234" s="395" t="s">
        <v>1030</v>
      </c>
      <c r="G234" s="372"/>
      <c r="H234" s="459"/>
      <c r="I234" s="421" t="s">
        <v>1168</v>
      </c>
      <c r="J234" s="424"/>
      <c r="K234" s="460" t="s">
        <v>1353</v>
      </c>
      <c r="L234" s="424"/>
      <c r="M234" s="424"/>
      <c r="N234" s="424"/>
      <c r="O234" s="498" t="s">
        <v>1030</v>
      </c>
      <c r="P234" s="372"/>
      <c r="Q234" s="372"/>
      <c r="R234" s="372"/>
      <c r="S234" s="372"/>
    </row>
    <row r="235" spans="1:19" ht="16.5" thickTop="1" thickBot="1" x14ac:dyDescent="0.25">
      <c r="A235" s="378">
        <v>22</v>
      </c>
      <c r="B235" s="379" t="s">
        <v>1354</v>
      </c>
      <c r="C235" s="380" t="s">
        <v>1355</v>
      </c>
      <c r="D235" s="395" t="s">
        <v>5</v>
      </c>
      <c r="G235" s="372"/>
      <c r="H235" s="513">
        <v>22</v>
      </c>
      <c r="I235" s="514"/>
      <c r="J235" s="515"/>
      <c r="K235" s="516" t="s">
        <v>1355</v>
      </c>
      <c r="L235" s="515"/>
      <c r="M235" s="515"/>
      <c r="N235" s="515"/>
      <c r="O235" s="517" t="s">
        <v>5</v>
      </c>
      <c r="P235" s="372"/>
      <c r="Q235" s="387">
        <f>H235</f>
        <v>22</v>
      </c>
      <c r="R235" s="377" t="str">
        <f>CONCATENATE("II-",TEXT(Q235,"0000"))</f>
        <v>II-0022</v>
      </c>
      <c r="S235" s="388" t="str">
        <f>K235</f>
        <v>DARSENA DE DETENCION DE VEHICULOS</v>
      </c>
    </row>
    <row r="236" spans="1:19" ht="15.75" thickTop="1" x14ac:dyDescent="0.2">
      <c r="A236" s="378">
        <v>23</v>
      </c>
      <c r="B236" s="368" t="s">
        <v>1356</v>
      </c>
      <c r="C236" s="368" t="s">
        <v>1357</v>
      </c>
      <c r="D236" s="395"/>
      <c r="G236" s="372"/>
      <c r="H236" s="467">
        <v>23</v>
      </c>
      <c r="I236" s="417"/>
      <c r="J236" s="477"/>
      <c r="K236" s="478" t="s">
        <v>1357</v>
      </c>
      <c r="L236" s="477"/>
      <c r="M236" s="477"/>
      <c r="N236" s="477"/>
      <c r="O236" s="419"/>
      <c r="P236" s="372"/>
      <c r="Q236" s="387">
        <f>H236</f>
        <v>23</v>
      </c>
      <c r="R236" s="377" t="str">
        <f>CONCATENATE("II-",TEXT(Q236,"0000"))</f>
        <v>II-0023</v>
      </c>
      <c r="S236" s="388" t="str">
        <f>K236</f>
        <v>DEFENSA CAMINOS</v>
      </c>
    </row>
    <row r="237" spans="1:19" x14ac:dyDescent="0.2">
      <c r="A237" s="378"/>
      <c r="B237" s="368"/>
      <c r="C237" s="368"/>
      <c r="D237" s="395" t="s">
        <v>1254</v>
      </c>
      <c r="G237" s="372"/>
      <c r="H237" s="389"/>
      <c r="I237" s="390" t="s">
        <v>1060</v>
      </c>
      <c r="J237" s="437"/>
      <c r="K237" s="458" t="s">
        <v>1358</v>
      </c>
      <c r="L237" s="437"/>
      <c r="M237" s="437"/>
      <c r="N237" s="437"/>
      <c r="O237" s="472" t="s">
        <v>1254</v>
      </c>
      <c r="P237" s="372"/>
      <c r="Q237" s="372"/>
      <c r="R237" s="372"/>
      <c r="S237" s="372"/>
    </row>
    <row r="238" spans="1:19" x14ac:dyDescent="0.2">
      <c r="A238" s="378"/>
      <c r="B238" s="368"/>
      <c r="C238" s="368"/>
      <c r="D238" s="395" t="s">
        <v>1254</v>
      </c>
      <c r="G238" s="372"/>
      <c r="H238" s="389"/>
      <c r="I238" s="390" t="s">
        <v>1087</v>
      </c>
      <c r="J238" s="437"/>
      <c r="K238" s="458" t="s">
        <v>1359</v>
      </c>
      <c r="L238" s="437"/>
      <c r="M238" s="437"/>
      <c r="N238" s="437"/>
      <c r="O238" s="472" t="s">
        <v>1254</v>
      </c>
      <c r="P238" s="372"/>
      <c r="Q238" s="372"/>
      <c r="R238" s="372"/>
      <c r="S238" s="372"/>
    </row>
    <row r="239" spans="1:19" x14ac:dyDescent="0.2">
      <c r="A239" s="378"/>
      <c r="B239" s="368"/>
      <c r="C239" s="368"/>
      <c r="D239" s="395" t="s">
        <v>1254</v>
      </c>
      <c r="G239" s="372"/>
      <c r="H239" s="389"/>
      <c r="I239" s="390" t="s">
        <v>1097</v>
      </c>
      <c r="J239" s="437"/>
      <c r="K239" s="458" t="s">
        <v>1360</v>
      </c>
      <c r="L239" s="437"/>
      <c r="M239" s="437"/>
      <c r="N239" s="437"/>
      <c r="O239" s="472" t="s">
        <v>1254</v>
      </c>
      <c r="P239" s="372"/>
      <c r="Q239" s="372"/>
      <c r="R239" s="372"/>
      <c r="S239" s="372"/>
    </row>
    <row r="240" spans="1:19" x14ac:dyDescent="0.2">
      <c r="A240" s="378"/>
      <c r="B240" s="401"/>
      <c r="C240" s="402"/>
      <c r="D240" s="395" t="s">
        <v>1171</v>
      </c>
      <c r="G240" s="372"/>
      <c r="H240" s="389"/>
      <c r="I240" s="390" t="s">
        <v>1123</v>
      </c>
      <c r="J240" s="437"/>
      <c r="K240" s="458" t="s">
        <v>1361</v>
      </c>
      <c r="L240" s="437"/>
      <c r="M240" s="437"/>
      <c r="N240" s="437"/>
      <c r="O240" s="472" t="s">
        <v>1171</v>
      </c>
      <c r="P240" s="372"/>
      <c r="Q240" s="372"/>
      <c r="R240" s="372"/>
      <c r="S240" s="372"/>
    </row>
    <row r="241" spans="1:19" x14ac:dyDescent="0.2">
      <c r="A241" s="378"/>
      <c r="B241" s="379"/>
      <c r="C241" s="380"/>
      <c r="D241" s="395" t="s">
        <v>1171</v>
      </c>
      <c r="G241" s="372"/>
      <c r="H241" s="389"/>
      <c r="I241" s="390" t="s">
        <v>1165</v>
      </c>
      <c r="J241" s="437"/>
      <c r="K241" s="458" t="s">
        <v>1174</v>
      </c>
      <c r="L241" s="437"/>
      <c r="M241" s="437"/>
      <c r="N241" s="437"/>
      <c r="O241" s="472" t="s">
        <v>1171</v>
      </c>
      <c r="P241" s="372"/>
      <c r="Q241" s="372"/>
      <c r="R241" s="372"/>
      <c r="S241" s="372"/>
    </row>
    <row r="242" spans="1:19" x14ac:dyDescent="0.2">
      <c r="A242" s="378"/>
      <c r="B242" s="379"/>
      <c r="C242" s="380"/>
      <c r="D242" s="395" t="s">
        <v>1171</v>
      </c>
      <c r="G242" s="372"/>
      <c r="H242" s="389"/>
      <c r="I242" s="390" t="s">
        <v>1168</v>
      </c>
      <c r="J242" s="437"/>
      <c r="K242" s="458" t="s">
        <v>1129</v>
      </c>
      <c r="L242" s="437"/>
      <c r="M242" s="437"/>
      <c r="N242" s="437"/>
      <c r="O242" s="472" t="s">
        <v>1171</v>
      </c>
      <c r="P242" s="372"/>
      <c r="Q242" s="372"/>
      <c r="R242" s="372"/>
      <c r="S242" s="372"/>
    </row>
    <row r="243" spans="1:19" x14ac:dyDescent="0.2">
      <c r="A243" s="378"/>
      <c r="B243" s="379"/>
      <c r="C243" s="380"/>
      <c r="D243" s="395" t="s">
        <v>1171</v>
      </c>
      <c r="G243" s="372"/>
      <c r="H243" s="389"/>
      <c r="I243" s="390" t="s">
        <v>1172</v>
      </c>
      <c r="J243" s="437"/>
      <c r="K243" s="458" t="s">
        <v>1177</v>
      </c>
      <c r="L243" s="437"/>
      <c r="M243" s="437"/>
      <c r="N243" s="437"/>
      <c r="O243" s="472" t="s">
        <v>1171</v>
      </c>
      <c r="P243" s="372"/>
      <c r="Q243" s="372"/>
      <c r="R243" s="372"/>
      <c r="S243" s="372"/>
    </row>
    <row r="244" spans="1:19" ht="15.75" thickBot="1" x14ac:dyDescent="0.25">
      <c r="A244" s="378"/>
      <c r="B244" s="379"/>
      <c r="C244" s="380"/>
      <c r="D244" s="395" t="s">
        <v>1171</v>
      </c>
      <c r="G244" s="372"/>
      <c r="H244" s="409"/>
      <c r="I244" s="421" t="s">
        <v>1175</v>
      </c>
      <c r="J244" s="424"/>
      <c r="K244" s="460" t="s">
        <v>1362</v>
      </c>
      <c r="L244" s="424"/>
      <c r="M244" s="424"/>
      <c r="N244" s="424"/>
      <c r="O244" s="498" t="s">
        <v>1171</v>
      </c>
      <c r="P244" s="372"/>
      <c r="Q244" s="372"/>
      <c r="R244" s="372"/>
      <c r="S244" s="372"/>
    </row>
    <row r="245" spans="1:19" ht="15.75" thickTop="1" x14ac:dyDescent="0.2">
      <c r="A245" s="378">
        <v>24</v>
      </c>
      <c r="B245" s="371" t="s">
        <v>1363</v>
      </c>
      <c r="C245" s="380" t="s">
        <v>1364</v>
      </c>
      <c r="D245" s="395"/>
      <c r="G245" s="372"/>
      <c r="H245" s="467">
        <v>24</v>
      </c>
      <c r="I245" s="417"/>
      <c r="J245" s="477"/>
      <c r="K245" s="478" t="s">
        <v>1364</v>
      </c>
      <c r="L245" s="477"/>
      <c r="M245" s="477"/>
      <c r="N245" s="477"/>
      <c r="O245" s="419"/>
      <c r="P245" s="372"/>
      <c r="Q245" s="387">
        <f>H245</f>
        <v>24</v>
      </c>
      <c r="R245" s="377" t="str">
        <f>CONCATENATE("II-",TEXT(Q245,"0000"))</f>
        <v>II-0024</v>
      </c>
      <c r="S245" s="388" t="str">
        <f>K245</f>
        <v>DEFENSA DE MARGENES</v>
      </c>
    </row>
    <row r="246" spans="1:19" x14ac:dyDescent="0.2">
      <c r="A246" s="378"/>
      <c r="B246" s="371"/>
      <c r="C246" s="380"/>
      <c r="D246" s="395" t="s">
        <v>1254</v>
      </c>
      <c r="G246" s="372"/>
      <c r="H246" s="389"/>
      <c r="I246" s="390" t="s">
        <v>1060</v>
      </c>
      <c r="J246" s="437"/>
      <c r="K246" s="458" t="s">
        <v>1365</v>
      </c>
      <c r="L246" s="437"/>
      <c r="M246" s="437"/>
      <c r="N246" s="437"/>
      <c r="O246" s="472" t="s">
        <v>1254</v>
      </c>
      <c r="P246" s="372"/>
      <c r="Q246" s="372"/>
      <c r="R246" s="372"/>
      <c r="S246" s="372"/>
    </row>
    <row r="247" spans="1:19" x14ac:dyDescent="0.2">
      <c r="A247" s="378"/>
      <c r="B247" s="401"/>
      <c r="C247" s="402"/>
      <c r="D247" s="395" t="s">
        <v>1171</v>
      </c>
      <c r="G247" s="372"/>
      <c r="H247" s="389"/>
      <c r="I247" s="390" t="s">
        <v>1087</v>
      </c>
      <c r="J247" s="437"/>
      <c r="K247" s="458" t="s">
        <v>1366</v>
      </c>
      <c r="L247" s="437"/>
      <c r="M247" s="437"/>
      <c r="N247" s="437"/>
      <c r="O247" s="472" t="s">
        <v>1171</v>
      </c>
      <c r="P247" s="372"/>
      <c r="Q247" s="372"/>
      <c r="R247" s="372"/>
      <c r="S247" s="372"/>
    </row>
    <row r="248" spans="1:19" x14ac:dyDescent="0.2">
      <c r="A248" s="378"/>
      <c r="B248" s="379"/>
      <c r="C248" s="380"/>
      <c r="D248" s="395" t="s">
        <v>1171</v>
      </c>
      <c r="G248" s="372"/>
      <c r="H248" s="389"/>
      <c r="I248" s="403" t="s">
        <v>1097</v>
      </c>
      <c r="J248" s="404"/>
      <c r="K248" s="405" t="s">
        <v>1367</v>
      </c>
      <c r="L248" s="404"/>
      <c r="M248" s="404"/>
      <c r="N248" s="404"/>
      <c r="O248" s="450" t="s">
        <v>1171</v>
      </c>
      <c r="P248" s="372"/>
      <c r="Q248" s="372"/>
      <c r="R248" s="372"/>
      <c r="S248" s="372"/>
    </row>
    <row r="249" spans="1:19" x14ac:dyDescent="0.2">
      <c r="A249" s="378"/>
      <c r="B249" s="379"/>
      <c r="C249" s="380"/>
      <c r="D249" s="395" t="s">
        <v>1171</v>
      </c>
      <c r="G249" s="372"/>
      <c r="H249" s="389"/>
      <c r="I249" s="390" t="s">
        <v>1123</v>
      </c>
      <c r="J249" s="437"/>
      <c r="K249" s="458" t="s">
        <v>1368</v>
      </c>
      <c r="L249" s="437"/>
      <c r="M249" s="437"/>
      <c r="N249" s="437"/>
      <c r="O249" s="472" t="s">
        <v>1171</v>
      </c>
      <c r="P249" s="372"/>
      <c r="Q249" s="372"/>
      <c r="R249" s="372"/>
      <c r="S249" s="372"/>
    </row>
    <row r="250" spans="1:19" ht="15.75" thickBot="1" x14ac:dyDescent="0.25">
      <c r="A250" s="378"/>
      <c r="B250" s="379"/>
      <c r="C250" s="380"/>
      <c r="D250" s="395" t="s">
        <v>1030</v>
      </c>
      <c r="G250" s="372"/>
      <c r="H250" s="442"/>
      <c r="I250" s="499" t="s">
        <v>1165</v>
      </c>
      <c r="J250" s="518"/>
      <c r="K250" s="519" t="s">
        <v>1369</v>
      </c>
      <c r="L250" s="518"/>
      <c r="M250" s="518"/>
      <c r="N250" s="518"/>
      <c r="O250" s="520" t="s">
        <v>1030</v>
      </c>
      <c r="P250" s="372"/>
      <c r="Q250" s="372"/>
      <c r="R250" s="372"/>
      <c r="S250" s="372"/>
    </row>
    <row r="251" spans="1:19" x14ac:dyDescent="0.2">
      <c r="A251" s="378"/>
      <c r="B251" s="379"/>
      <c r="C251" s="380"/>
      <c r="D251" s="395"/>
      <c r="G251" s="398"/>
      <c r="H251" s="448"/>
      <c r="I251" s="396"/>
      <c r="J251" s="398"/>
      <c r="K251" s="399"/>
      <c r="L251" s="398"/>
      <c r="M251" s="398"/>
      <c r="N251" s="398"/>
      <c r="O251" s="506"/>
      <c r="P251" s="398"/>
      <c r="Q251" s="398"/>
      <c r="R251" s="398"/>
      <c r="S251" s="398"/>
    </row>
    <row r="252" spans="1:19" s="93" customFormat="1" x14ac:dyDescent="0.2">
      <c r="A252" s="378">
        <v>25</v>
      </c>
      <c r="B252" s="368" t="s">
        <v>1370</v>
      </c>
      <c r="C252" s="368" t="s">
        <v>1371</v>
      </c>
      <c r="D252" s="395"/>
      <c r="G252" s="372"/>
      <c r="H252" s="416">
        <v>25</v>
      </c>
      <c r="I252" s="418"/>
      <c r="J252" s="429"/>
      <c r="K252" s="486" t="s">
        <v>1371</v>
      </c>
      <c r="L252" s="429"/>
      <c r="M252" s="429"/>
      <c r="N252" s="429"/>
      <c r="O252" s="440"/>
      <c r="P252" s="372"/>
      <c r="Q252" s="387">
        <f>H252</f>
        <v>25</v>
      </c>
      <c r="R252" s="377" t="str">
        <f>CONCATENATE("II-",TEXT(Q252,"0000"))</f>
        <v>II-0025</v>
      </c>
      <c r="S252" s="388" t="str">
        <f>K252</f>
        <v>DEFENSA VEHICULAR</v>
      </c>
    </row>
    <row r="253" spans="1:19" x14ac:dyDescent="0.2">
      <c r="A253" s="378"/>
      <c r="B253" s="368"/>
      <c r="C253" s="368"/>
      <c r="D253" s="395"/>
      <c r="G253" s="372"/>
      <c r="H253" s="430"/>
      <c r="I253" s="390" t="s">
        <v>1060</v>
      </c>
      <c r="J253" s="393"/>
      <c r="K253" s="407" t="s">
        <v>1284</v>
      </c>
      <c r="L253" s="393"/>
      <c r="M253" s="393"/>
      <c r="N253" s="393"/>
      <c r="O253" s="441"/>
      <c r="P253" s="372"/>
      <c r="Q253" s="372"/>
      <c r="R253" s="372"/>
      <c r="S253" s="372"/>
    </row>
    <row r="254" spans="1:19" x14ac:dyDescent="0.2">
      <c r="A254" s="378"/>
      <c r="B254" s="368"/>
      <c r="C254" s="368"/>
      <c r="D254" s="395" t="s">
        <v>1296</v>
      </c>
      <c r="G254" s="372"/>
      <c r="H254" s="389"/>
      <c r="I254" s="396"/>
      <c r="J254" s="397">
        <v>1</v>
      </c>
      <c r="K254" s="398"/>
      <c r="L254" s="399" t="s">
        <v>1372</v>
      </c>
      <c r="M254" s="398"/>
      <c r="N254" s="398"/>
      <c r="O254" s="431" t="s">
        <v>1296</v>
      </c>
      <c r="P254" s="372"/>
      <c r="Q254" s="372"/>
      <c r="R254" s="372"/>
      <c r="S254" s="372"/>
    </row>
    <row r="255" spans="1:19" x14ac:dyDescent="0.2">
      <c r="A255" s="378"/>
      <c r="B255" s="368"/>
      <c r="C255" s="368"/>
      <c r="D255" s="395" t="s">
        <v>1296</v>
      </c>
      <c r="G255" s="372"/>
      <c r="H255" s="389"/>
      <c r="I255" s="396"/>
      <c r="J255" s="403">
        <v>2</v>
      </c>
      <c r="K255" s="404"/>
      <c r="L255" s="405" t="s">
        <v>1373</v>
      </c>
      <c r="M255" s="404"/>
      <c r="N255" s="404"/>
      <c r="O255" s="450" t="s">
        <v>1296</v>
      </c>
      <c r="P255" s="372"/>
      <c r="Q255" s="372"/>
      <c r="R255" s="372"/>
      <c r="S255" s="372"/>
    </row>
    <row r="256" spans="1:19" x14ac:dyDescent="0.2">
      <c r="A256" s="378"/>
      <c r="B256" s="368"/>
      <c r="C256" s="368"/>
      <c r="D256" s="395"/>
      <c r="G256" s="372"/>
      <c r="H256" s="389"/>
      <c r="I256" s="390" t="s">
        <v>1087</v>
      </c>
      <c r="J256" s="398"/>
      <c r="K256" s="399" t="s">
        <v>1285</v>
      </c>
      <c r="L256" s="398"/>
      <c r="M256" s="398"/>
      <c r="N256" s="398"/>
      <c r="O256" s="431"/>
      <c r="P256" s="372"/>
      <c r="Q256" s="372"/>
      <c r="R256" s="372"/>
      <c r="S256" s="372"/>
    </row>
    <row r="257" spans="1:19" x14ac:dyDescent="0.2">
      <c r="A257" s="378"/>
      <c r="B257" s="368"/>
      <c r="C257" s="368"/>
      <c r="D257" s="395" t="s">
        <v>1296</v>
      </c>
      <c r="G257" s="372"/>
      <c r="H257" s="389"/>
      <c r="I257" s="396"/>
      <c r="J257" s="397">
        <v>1</v>
      </c>
      <c r="K257" s="398"/>
      <c r="L257" s="399" t="s">
        <v>1374</v>
      </c>
      <c r="M257" s="398"/>
      <c r="N257" s="398"/>
      <c r="O257" s="431" t="s">
        <v>1296</v>
      </c>
      <c r="P257" s="372"/>
      <c r="Q257" s="372"/>
      <c r="R257" s="372"/>
      <c r="S257" s="372"/>
    </row>
    <row r="258" spans="1:19" x14ac:dyDescent="0.2">
      <c r="A258" s="378"/>
      <c r="B258" s="368"/>
      <c r="C258" s="368"/>
      <c r="D258" s="395" t="s">
        <v>1296</v>
      </c>
      <c r="G258" s="372"/>
      <c r="H258" s="389"/>
      <c r="I258" s="396"/>
      <c r="J258" s="397">
        <v>2</v>
      </c>
      <c r="K258" s="398"/>
      <c r="L258" s="399" t="s">
        <v>1375</v>
      </c>
      <c r="M258" s="398"/>
      <c r="N258" s="398"/>
      <c r="O258" s="431" t="s">
        <v>1296</v>
      </c>
      <c r="P258" s="372"/>
      <c r="Q258" s="372"/>
      <c r="R258" s="372"/>
      <c r="S258" s="372"/>
    </row>
    <row r="259" spans="1:19" x14ac:dyDescent="0.2">
      <c r="A259" s="378"/>
      <c r="B259" s="368"/>
      <c r="C259" s="368"/>
      <c r="D259" s="395" t="s">
        <v>1030</v>
      </c>
      <c r="G259" s="372"/>
      <c r="H259" s="389"/>
      <c r="I259" s="390" t="s">
        <v>1097</v>
      </c>
      <c r="J259" s="437"/>
      <c r="K259" s="458" t="s">
        <v>1179</v>
      </c>
      <c r="L259" s="437"/>
      <c r="M259" s="437"/>
      <c r="N259" s="437"/>
      <c r="O259" s="472" t="s">
        <v>1030</v>
      </c>
      <c r="P259" s="372"/>
      <c r="Q259" s="372"/>
      <c r="R259" s="372"/>
      <c r="S259" s="372"/>
    </row>
    <row r="260" spans="1:19" ht="15.75" thickBot="1" x14ac:dyDescent="0.25">
      <c r="A260" s="378"/>
      <c r="B260" s="368"/>
      <c r="C260" s="368"/>
      <c r="D260" s="395" t="s">
        <v>1030</v>
      </c>
      <c r="G260" s="372"/>
      <c r="H260" s="409"/>
      <c r="I260" s="421" t="s">
        <v>1123</v>
      </c>
      <c r="J260" s="424"/>
      <c r="K260" s="460" t="s">
        <v>1177</v>
      </c>
      <c r="L260" s="424"/>
      <c r="M260" s="424"/>
      <c r="N260" s="424"/>
      <c r="O260" s="498" t="s">
        <v>1030</v>
      </c>
      <c r="P260" s="372"/>
      <c r="Q260" s="372"/>
      <c r="R260" s="372"/>
      <c r="S260" s="372"/>
    </row>
    <row r="261" spans="1:19" ht="15.75" thickTop="1" x14ac:dyDescent="0.2">
      <c r="A261" s="378">
        <v>26</v>
      </c>
      <c r="B261" s="368" t="s">
        <v>1376</v>
      </c>
      <c r="C261" s="368" t="s">
        <v>1377</v>
      </c>
      <c r="D261" s="395"/>
      <c r="G261" s="372"/>
      <c r="H261" s="467">
        <v>26</v>
      </c>
      <c r="I261" s="417"/>
      <c r="J261" s="477"/>
      <c r="K261" s="478" t="s">
        <v>1377</v>
      </c>
      <c r="L261" s="477"/>
      <c r="M261" s="477"/>
      <c r="N261" s="477"/>
      <c r="O261" s="419"/>
      <c r="P261" s="372"/>
      <c r="Q261" s="387">
        <f>H261</f>
        <v>26</v>
      </c>
      <c r="R261" s="377" t="str">
        <f>CONCATENATE("II-",TEXT(Q261,"0000"))</f>
        <v>II-0026</v>
      </c>
      <c r="S261" s="388" t="str">
        <f>K261</f>
        <v xml:space="preserve">DEMOLICION </v>
      </c>
    </row>
    <row r="262" spans="1:19" x14ac:dyDescent="0.2">
      <c r="A262" s="378"/>
      <c r="B262" s="368"/>
      <c r="C262" s="368"/>
      <c r="D262" s="395" t="s">
        <v>1254</v>
      </c>
      <c r="G262" s="372"/>
      <c r="H262" s="389"/>
      <c r="I262" s="390" t="s">
        <v>1060</v>
      </c>
      <c r="J262" s="437"/>
      <c r="K262" s="458" t="s">
        <v>1302</v>
      </c>
      <c r="L262" s="437"/>
      <c r="M262" s="437"/>
      <c r="N262" s="437"/>
      <c r="O262" s="472" t="s">
        <v>1254</v>
      </c>
      <c r="P262" s="372"/>
      <c r="Q262" s="372"/>
      <c r="R262" s="372"/>
      <c r="S262" s="372"/>
    </row>
    <row r="263" spans="1:19" ht="15.75" thickBot="1" x14ac:dyDescent="0.25">
      <c r="A263" s="378"/>
      <c r="B263" s="368"/>
      <c r="C263" s="368"/>
      <c r="D263" s="395" t="s">
        <v>5</v>
      </c>
      <c r="G263" s="372"/>
      <c r="H263" s="409"/>
      <c r="I263" s="421" t="s">
        <v>1087</v>
      </c>
      <c r="J263" s="424"/>
      <c r="K263" s="460" t="s">
        <v>1378</v>
      </c>
      <c r="L263" s="424"/>
      <c r="M263" s="424"/>
      <c r="N263" s="424"/>
      <c r="O263" s="498" t="s">
        <v>5</v>
      </c>
      <c r="P263" s="372"/>
      <c r="Q263" s="372"/>
      <c r="R263" s="372"/>
      <c r="S263" s="372"/>
    </row>
    <row r="264" spans="1:19" ht="15.75" thickTop="1" x14ac:dyDescent="0.2">
      <c r="A264" s="378">
        <v>27</v>
      </c>
      <c r="B264" s="368" t="s">
        <v>1379</v>
      </c>
      <c r="C264" s="368" t="s">
        <v>1380</v>
      </c>
      <c r="D264" s="395"/>
      <c r="G264" s="372"/>
      <c r="H264" s="416">
        <v>27</v>
      </c>
      <c r="I264" s="418"/>
      <c r="J264" s="429"/>
      <c r="K264" s="486" t="s">
        <v>1380</v>
      </c>
      <c r="L264" s="429"/>
      <c r="M264" s="429"/>
      <c r="N264" s="429"/>
      <c r="O264" s="440"/>
      <c r="P264" s="372"/>
      <c r="Q264" s="387">
        <f>H264</f>
        <v>27</v>
      </c>
      <c r="R264" s="377" t="str">
        <f>CONCATENATE("II-",TEXT(Q264,"0000"))</f>
        <v>II-0027</v>
      </c>
      <c r="S264" s="388" t="str">
        <f>K264</f>
        <v>DESAGUES</v>
      </c>
    </row>
    <row r="265" spans="1:19" x14ac:dyDescent="0.2">
      <c r="A265" s="378"/>
      <c r="B265" s="368"/>
      <c r="C265" s="368"/>
      <c r="D265" s="395" t="s">
        <v>1288</v>
      </c>
      <c r="G265" s="372"/>
      <c r="H265" s="389"/>
      <c r="I265" s="390" t="s">
        <v>1060</v>
      </c>
      <c r="J265" s="437"/>
      <c r="K265" s="458" t="s">
        <v>1381</v>
      </c>
      <c r="L265" s="437"/>
      <c r="M265" s="437"/>
      <c r="N265" s="437"/>
      <c r="O265" s="472" t="s">
        <v>1288</v>
      </c>
      <c r="P265" s="372"/>
      <c r="Q265" s="372"/>
      <c r="R265" s="372"/>
      <c r="S265" s="372"/>
    </row>
    <row r="266" spans="1:19" x14ac:dyDescent="0.2">
      <c r="A266" s="378"/>
      <c r="B266" s="368"/>
      <c r="C266" s="368"/>
      <c r="D266" s="395" t="s">
        <v>1288</v>
      </c>
      <c r="G266" s="372"/>
      <c r="H266" s="389"/>
      <c r="I266" s="390" t="s">
        <v>1087</v>
      </c>
      <c r="J266" s="437"/>
      <c r="K266" s="458" t="s">
        <v>1382</v>
      </c>
      <c r="L266" s="437"/>
      <c r="M266" s="437"/>
      <c r="N266" s="437"/>
      <c r="O266" s="472" t="s">
        <v>1288</v>
      </c>
      <c r="P266" s="372"/>
      <c r="Q266" s="372"/>
      <c r="R266" s="372"/>
      <c r="S266" s="372"/>
    </row>
    <row r="267" spans="1:19" x14ac:dyDescent="0.2">
      <c r="A267" s="378"/>
      <c r="B267" s="368"/>
      <c r="C267" s="368"/>
      <c r="D267" s="395"/>
      <c r="G267" s="372"/>
      <c r="H267" s="389"/>
      <c r="I267" s="390" t="s">
        <v>1097</v>
      </c>
      <c r="J267" s="398"/>
      <c r="K267" s="399" t="s">
        <v>1383</v>
      </c>
      <c r="L267" s="398"/>
      <c r="M267" s="398"/>
      <c r="N267" s="398"/>
      <c r="O267" s="431"/>
      <c r="P267" s="372"/>
      <c r="Q267" s="372"/>
      <c r="R267" s="372"/>
      <c r="S267" s="372"/>
    </row>
    <row r="268" spans="1:19" x14ac:dyDescent="0.2">
      <c r="A268" s="378"/>
      <c r="B268" s="368"/>
      <c r="C268" s="368"/>
      <c r="D268" s="395" t="s">
        <v>1288</v>
      </c>
      <c r="G268" s="372"/>
      <c r="H268" s="389"/>
      <c r="I268" s="396"/>
      <c r="J268" s="397">
        <v>1</v>
      </c>
      <c r="K268" s="398"/>
      <c r="L268" s="399" t="s">
        <v>1289</v>
      </c>
      <c r="M268" s="398"/>
      <c r="N268" s="398"/>
      <c r="O268" s="431" t="s">
        <v>1288</v>
      </c>
      <c r="P268" s="372"/>
      <c r="Q268" s="372"/>
      <c r="R268" s="372"/>
      <c r="S268" s="372"/>
    </row>
    <row r="269" spans="1:19" x14ac:dyDescent="0.2">
      <c r="A269" s="378"/>
      <c r="B269" s="368"/>
      <c r="C269" s="368"/>
      <c r="D269" s="395" t="s">
        <v>1288</v>
      </c>
      <c r="G269" s="372"/>
      <c r="H269" s="389"/>
      <c r="I269" s="396"/>
      <c r="J269" s="403">
        <v>2</v>
      </c>
      <c r="K269" s="398"/>
      <c r="L269" s="399" t="s">
        <v>1292</v>
      </c>
      <c r="M269" s="398"/>
      <c r="N269" s="398"/>
      <c r="O269" s="431" t="s">
        <v>1288</v>
      </c>
      <c r="P269" s="372"/>
      <c r="Q269" s="372"/>
      <c r="R269" s="372"/>
      <c r="S269" s="372"/>
    </row>
    <row r="270" spans="1:19" x14ac:dyDescent="0.2">
      <c r="A270" s="378"/>
      <c r="B270" s="368"/>
      <c r="C270" s="368"/>
      <c r="D270" s="395" t="s">
        <v>1288</v>
      </c>
      <c r="G270" s="372"/>
      <c r="H270" s="389"/>
      <c r="I270" s="390" t="s">
        <v>1123</v>
      </c>
      <c r="J270" s="437"/>
      <c r="K270" s="458" t="s">
        <v>1179</v>
      </c>
      <c r="L270" s="437"/>
      <c r="M270" s="437"/>
      <c r="N270" s="437"/>
      <c r="O270" s="472" t="s">
        <v>1288</v>
      </c>
      <c r="P270" s="372"/>
      <c r="Q270" s="372"/>
      <c r="R270" s="372"/>
      <c r="S270" s="372"/>
    </row>
    <row r="271" spans="1:19" x14ac:dyDescent="0.2">
      <c r="A271" s="378"/>
      <c r="B271" s="368"/>
      <c r="C271" s="368"/>
      <c r="D271" s="395" t="s">
        <v>1288</v>
      </c>
      <c r="G271" s="372"/>
      <c r="H271" s="389"/>
      <c r="I271" s="403" t="s">
        <v>1165</v>
      </c>
      <c r="J271" s="404"/>
      <c r="K271" s="405" t="s">
        <v>1177</v>
      </c>
      <c r="L271" s="404"/>
      <c r="M271" s="404"/>
      <c r="N271" s="404"/>
      <c r="O271" s="450" t="s">
        <v>1288</v>
      </c>
      <c r="P271" s="372"/>
      <c r="Q271" s="372"/>
      <c r="R271" s="372"/>
      <c r="S271" s="372"/>
    </row>
    <row r="272" spans="1:19" ht="15.75" thickBot="1" x14ac:dyDescent="0.25">
      <c r="A272" s="378"/>
      <c r="B272" s="368"/>
      <c r="C272" s="368"/>
      <c r="D272" s="395" t="s">
        <v>1288</v>
      </c>
      <c r="G272" s="372"/>
      <c r="H272" s="389"/>
      <c r="I272" s="390" t="s">
        <v>1168</v>
      </c>
      <c r="J272" s="437"/>
      <c r="K272" s="458" t="s">
        <v>1174</v>
      </c>
      <c r="L272" s="437"/>
      <c r="M272" s="437"/>
      <c r="N272" s="437"/>
      <c r="O272" s="472" t="s">
        <v>1288</v>
      </c>
      <c r="P272" s="372"/>
      <c r="Q272" s="372"/>
      <c r="R272" s="372"/>
      <c r="S272" s="372"/>
    </row>
    <row r="273" spans="1:19" ht="16.5" thickTop="1" thickBot="1" x14ac:dyDescent="0.25">
      <c r="A273" s="378">
        <v>28</v>
      </c>
      <c r="B273" s="368" t="s">
        <v>1384</v>
      </c>
      <c r="C273" s="368" t="s">
        <v>1385</v>
      </c>
      <c r="D273" s="395" t="s">
        <v>1031</v>
      </c>
      <c r="G273" s="372"/>
      <c r="H273" s="467">
        <v>28</v>
      </c>
      <c r="I273" s="417"/>
      <c r="J273" s="477"/>
      <c r="K273" s="478" t="s">
        <v>1385</v>
      </c>
      <c r="L273" s="477"/>
      <c r="M273" s="477"/>
      <c r="N273" s="477"/>
      <c r="O273" s="419" t="s">
        <v>1031</v>
      </c>
      <c r="P273" s="372"/>
      <c r="Q273" s="387">
        <f t="shared" ref="Q273:Q278" si="39">H273</f>
        <v>28</v>
      </c>
      <c r="R273" s="377" t="str">
        <f t="shared" ref="R273:R278" si="40">CONCATENATE("II-",TEXT(Q273,"0000"))</f>
        <v>II-0028</v>
      </c>
      <c r="S273" s="388" t="str">
        <f t="shared" ref="S273:S278" si="41">K273</f>
        <v>DESBOSQUE / DESTRONQUE LIMPIEZA</v>
      </c>
    </row>
    <row r="274" spans="1:19" ht="16.5" thickTop="1" thickBot="1" x14ac:dyDescent="0.25">
      <c r="A274" s="378">
        <v>29</v>
      </c>
      <c r="B274" s="368" t="s">
        <v>1386</v>
      </c>
      <c r="C274" s="368" t="s">
        <v>1387</v>
      </c>
      <c r="D274" s="395" t="s">
        <v>1171</v>
      </c>
      <c r="G274" s="372"/>
      <c r="H274" s="467">
        <v>29</v>
      </c>
      <c r="I274" s="417"/>
      <c r="J274" s="477"/>
      <c r="K274" s="478" t="s">
        <v>1387</v>
      </c>
      <c r="L274" s="477"/>
      <c r="M274" s="477"/>
      <c r="N274" s="477"/>
      <c r="O274" s="419" t="s">
        <v>1171</v>
      </c>
      <c r="P274" s="372"/>
      <c r="Q274" s="387">
        <f t="shared" si="39"/>
        <v>29</v>
      </c>
      <c r="R274" s="377" t="str">
        <f t="shared" si="40"/>
        <v>II-0029</v>
      </c>
      <c r="S274" s="388" t="str">
        <f t="shared" si="41"/>
        <v>DESCARGA</v>
      </c>
    </row>
    <row r="275" spans="1:19" ht="16.5" thickTop="1" thickBot="1" x14ac:dyDescent="0.25">
      <c r="A275" s="378">
        <v>30</v>
      </c>
      <c r="B275" s="368" t="s">
        <v>1388</v>
      </c>
      <c r="C275" s="368" t="s">
        <v>1389</v>
      </c>
      <c r="D275" s="395" t="s">
        <v>1171</v>
      </c>
      <c r="G275" s="372"/>
      <c r="H275" s="513">
        <v>30</v>
      </c>
      <c r="I275" s="514"/>
      <c r="J275" s="515"/>
      <c r="K275" s="516" t="s">
        <v>1389</v>
      </c>
      <c r="L275" s="515"/>
      <c r="M275" s="515"/>
      <c r="N275" s="515"/>
      <c r="O275" s="517" t="s">
        <v>1171</v>
      </c>
      <c r="P275" s="372"/>
      <c r="Q275" s="387">
        <f t="shared" si="39"/>
        <v>30</v>
      </c>
      <c r="R275" s="377" t="str">
        <f t="shared" si="40"/>
        <v>II-0030</v>
      </c>
      <c r="S275" s="388" t="str">
        <f t="shared" si="41"/>
        <v>DESEMBARRO P/ SANEAMIENTO</v>
      </c>
    </row>
    <row r="276" spans="1:19" ht="16.5" thickTop="1" thickBot="1" x14ac:dyDescent="0.25">
      <c r="A276" s="378">
        <v>31</v>
      </c>
      <c r="B276" s="368" t="s">
        <v>1390</v>
      </c>
      <c r="C276" s="368" t="s">
        <v>1391</v>
      </c>
      <c r="D276" s="395" t="s">
        <v>1031</v>
      </c>
      <c r="G276" s="372"/>
      <c r="H276" s="513">
        <v>31</v>
      </c>
      <c r="I276" s="514"/>
      <c r="J276" s="515"/>
      <c r="K276" s="516" t="s">
        <v>1391</v>
      </c>
      <c r="L276" s="515"/>
      <c r="M276" s="515"/>
      <c r="N276" s="515"/>
      <c r="O276" s="517" t="s">
        <v>1031</v>
      </c>
      <c r="P276" s="372"/>
      <c r="Q276" s="387">
        <f t="shared" si="39"/>
        <v>31</v>
      </c>
      <c r="R276" s="377" t="str">
        <f t="shared" si="40"/>
        <v>II-0031</v>
      </c>
      <c r="S276" s="388" t="str">
        <f t="shared" si="41"/>
        <v>DESPEDRADO DE LADERAS</v>
      </c>
    </row>
    <row r="277" spans="1:19" ht="16.5" thickTop="1" thickBot="1" x14ac:dyDescent="0.25">
      <c r="A277" s="378">
        <v>32</v>
      </c>
      <c r="B277" s="368" t="s">
        <v>1392</v>
      </c>
      <c r="C277" s="368" t="s">
        <v>1393</v>
      </c>
      <c r="D277" s="395" t="s">
        <v>5</v>
      </c>
      <c r="G277" s="372"/>
      <c r="H277" s="513">
        <v>32</v>
      </c>
      <c r="I277" s="514"/>
      <c r="J277" s="515"/>
      <c r="K277" s="516" t="s">
        <v>1393</v>
      </c>
      <c r="L277" s="515"/>
      <c r="M277" s="515"/>
      <c r="N277" s="515"/>
      <c r="O277" s="517" t="s">
        <v>5</v>
      </c>
      <c r="P277" s="372"/>
      <c r="Q277" s="387">
        <f t="shared" si="39"/>
        <v>32</v>
      </c>
      <c r="R277" s="377" t="str">
        <f t="shared" si="40"/>
        <v>II-0032</v>
      </c>
      <c r="S277" s="388" t="str">
        <f t="shared" si="41"/>
        <v>DESVIO</v>
      </c>
    </row>
    <row r="278" spans="1:19" ht="15.75" thickTop="1" x14ac:dyDescent="0.2">
      <c r="A278" s="378">
        <v>33</v>
      </c>
      <c r="B278" s="368" t="s">
        <v>1394</v>
      </c>
      <c r="C278" s="368" t="s">
        <v>1395</v>
      </c>
      <c r="D278" s="395"/>
      <c r="G278" s="372"/>
      <c r="H278" s="416">
        <v>33</v>
      </c>
      <c r="I278" s="418"/>
      <c r="J278" s="429"/>
      <c r="K278" s="486" t="s">
        <v>1395</v>
      </c>
      <c r="L278" s="429"/>
      <c r="M278" s="429"/>
      <c r="N278" s="429"/>
      <c r="O278" s="440"/>
      <c r="P278" s="372"/>
      <c r="Q278" s="387">
        <f t="shared" si="39"/>
        <v>33</v>
      </c>
      <c r="R278" s="377" t="str">
        <f t="shared" si="40"/>
        <v>II-0033</v>
      </c>
      <c r="S278" s="388" t="str">
        <f t="shared" si="41"/>
        <v>DRENES</v>
      </c>
    </row>
    <row r="279" spans="1:19" x14ac:dyDescent="0.2">
      <c r="A279" s="378"/>
      <c r="B279" s="368"/>
      <c r="C279" s="368"/>
      <c r="D279" s="395"/>
      <c r="G279" s="372"/>
      <c r="H279" s="389"/>
      <c r="I279" s="390" t="s">
        <v>1060</v>
      </c>
      <c r="J279" s="396"/>
      <c r="K279" s="399" t="s">
        <v>1396</v>
      </c>
      <c r="L279" s="398"/>
      <c r="M279" s="398"/>
      <c r="N279" s="398"/>
      <c r="O279" s="431"/>
      <c r="P279" s="372"/>
      <c r="Q279" s="372"/>
      <c r="R279" s="372"/>
      <c r="S279" s="372"/>
    </row>
    <row r="280" spans="1:19" x14ac:dyDescent="0.2">
      <c r="A280" s="378"/>
      <c r="B280" s="368"/>
      <c r="C280" s="368"/>
      <c r="D280" s="395" t="s">
        <v>1254</v>
      </c>
      <c r="G280" s="372"/>
      <c r="H280" s="389"/>
      <c r="I280" s="396"/>
      <c r="J280" s="397">
        <v>1</v>
      </c>
      <c r="K280" s="398"/>
      <c r="L280" s="399" t="s">
        <v>1397</v>
      </c>
      <c r="M280" s="398"/>
      <c r="N280" s="398"/>
      <c r="O280" s="431" t="s">
        <v>1254</v>
      </c>
      <c r="P280" s="372"/>
      <c r="Q280" s="372"/>
      <c r="R280" s="372"/>
      <c r="S280" s="372"/>
    </row>
    <row r="281" spans="1:19" x14ac:dyDescent="0.2">
      <c r="A281" s="378"/>
      <c r="B281" s="368"/>
      <c r="C281" s="368"/>
      <c r="D281" s="395" t="s">
        <v>1171</v>
      </c>
      <c r="G281" s="372"/>
      <c r="H281" s="389"/>
      <c r="I281" s="396"/>
      <c r="J281" s="397">
        <v>2</v>
      </c>
      <c r="K281" s="398"/>
      <c r="L281" s="399" t="s">
        <v>1398</v>
      </c>
      <c r="M281" s="398"/>
      <c r="N281" s="398"/>
      <c r="O281" s="431" t="s">
        <v>1171</v>
      </c>
      <c r="P281" s="372"/>
      <c r="Q281" s="372"/>
      <c r="R281" s="372"/>
      <c r="S281" s="372"/>
    </row>
    <row r="282" spans="1:19" x14ac:dyDescent="0.2">
      <c r="A282" s="378"/>
      <c r="B282" s="368"/>
      <c r="C282" s="368"/>
      <c r="D282" s="395" t="s">
        <v>1030</v>
      </c>
      <c r="G282" s="372"/>
      <c r="H282" s="389"/>
      <c r="I282" s="408"/>
      <c r="J282" s="403">
        <v>3</v>
      </c>
      <c r="K282" s="404"/>
      <c r="L282" s="405" t="s">
        <v>1399</v>
      </c>
      <c r="M282" s="404"/>
      <c r="N282" s="404"/>
      <c r="O282" s="450" t="s">
        <v>1030</v>
      </c>
      <c r="P282" s="372"/>
      <c r="Q282" s="372"/>
      <c r="R282" s="372"/>
      <c r="S282" s="372"/>
    </row>
    <row r="283" spans="1:19" x14ac:dyDescent="0.2">
      <c r="A283" s="378"/>
      <c r="B283" s="368"/>
      <c r="C283" s="368"/>
      <c r="D283" s="395"/>
      <c r="G283" s="372"/>
      <c r="H283" s="389"/>
      <c r="I283" s="403" t="s">
        <v>1087</v>
      </c>
      <c r="J283" s="396"/>
      <c r="K283" s="399" t="s">
        <v>1400</v>
      </c>
      <c r="L283" s="398"/>
      <c r="M283" s="398"/>
      <c r="N283" s="398"/>
      <c r="O283" s="431"/>
      <c r="P283" s="372"/>
      <c r="Q283" s="372"/>
      <c r="R283" s="372"/>
      <c r="S283" s="372"/>
    </row>
    <row r="284" spans="1:19" x14ac:dyDescent="0.2">
      <c r="A284" s="378"/>
      <c r="B284" s="368"/>
      <c r="C284" s="368"/>
      <c r="D284" s="395" t="s">
        <v>1254</v>
      </c>
      <c r="G284" s="372"/>
      <c r="H284" s="389"/>
      <c r="I284" s="396"/>
      <c r="J284" s="397">
        <v>1</v>
      </c>
      <c r="K284" s="398"/>
      <c r="L284" s="399" t="s">
        <v>1397</v>
      </c>
      <c r="M284" s="398"/>
      <c r="N284" s="398"/>
      <c r="O284" s="431" t="s">
        <v>1254</v>
      </c>
      <c r="P284" s="372"/>
      <c r="Q284" s="372"/>
      <c r="R284" s="372"/>
      <c r="S284" s="372"/>
    </row>
    <row r="285" spans="1:19" x14ac:dyDescent="0.2">
      <c r="A285" s="378"/>
      <c r="B285" s="368"/>
      <c r="C285" s="368"/>
      <c r="D285" s="395" t="s">
        <v>1171</v>
      </c>
      <c r="G285" s="372"/>
      <c r="H285" s="389"/>
      <c r="I285" s="396"/>
      <c r="J285" s="397">
        <v>2</v>
      </c>
      <c r="K285" s="398"/>
      <c r="L285" s="399" t="s">
        <v>1398</v>
      </c>
      <c r="M285" s="398"/>
      <c r="N285" s="398"/>
      <c r="O285" s="431" t="s">
        <v>1171</v>
      </c>
      <c r="P285" s="372"/>
      <c r="Q285" s="372"/>
      <c r="R285" s="372"/>
      <c r="S285" s="372"/>
    </row>
    <row r="286" spans="1:19" x14ac:dyDescent="0.2">
      <c r="A286" s="378"/>
      <c r="B286" s="368"/>
      <c r="C286" s="368"/>
      <c r="D286" s="395" t="s">
        <v>1030</v>
      </c>
      <c r="G286" s="372"/>
      <c r="H286" s="389"/>
      <c r="I286" s="408"/>
      <c r="J286" s="403">
        <v>3</v>
      </c>
      <c r="K286" s="404"/>
      <c r="L286" s="405" t="s">
        <v>1399</v>
      </c>
      <c r="M286" s="404"/>
      <c r="N286" s="404"/>
      <c r="O286" s="450" t="s">
        <v>1030</v>
      </c>
      <c r="P286" s="372"/>
      <c r="Q286" s="372"/>
      <c r="R286" s="372"/>
      <c r="S286" s="372"/>
    </row>
    <row r="287" spans="1:19" x14ac:dyDescent="0.2">
      <c r="A287" s="378"/>
      <c r="B287" s="368"/>
      <c r="C287" s="368"/>
      <c r="D287" s="395"/>
      <c r="G287" s="372"/>
      <c r="H287" s="389"/>
      <c r="I287" s="403" t="s">
        <v>1097</v>
      </c>
      <c r="J287" s="396"/>
      <c r="K287" s="399" t="s">
        <v>1401</v>
      </c>
      <c r="L287" s="398"/>
      <c r="M287" s="398"/>
      <c r="N287" s="398"/>
      <c r="O287" s="431"/>
      <c r="P287" s="372"/>
      <c r="Q287" s="372"/>
      <c r="R287" s="372"/>
      <c r="S287" s="372"/>
    </row>
    <row r="288" spans="1:19" x14ac:dyDescent="0.2">
      <c r="A288" s="378"/>
      <c r="B288" s="368"/>
      <c r="C288" s="368"/>
      <c r="D288" s="395" t="s">
        <v>1296</v>
      </c>
      <c r="G288" s="372"/>
      <c r="H288" s="389"/>
      <c r="I288" s="396"/>
      <c r="J288" s="397">
        <v>1</v>
      </c>
      <c r="K288" s="398"/>
      <c r="L288" s="399" t="s">
        <v>1402</v>
      </c>
      <c r="M288" s="398"/>
      <c r="N288" s="398"/>
      <c r="O288" s="431" t="s">
        <v>1296</v>
      </c>
      <c r="P288" s="372"/>
      <c r="Q288" s="372"/>
      <c r="R288" s="372"/>
      <c r="S288" s="372"/>
    </row>
    <row r="289" spans="1:19" x14ac:dyDescent="0.2">
      <c r="A289" s="378"/>
      <c r="B289" s="368"/>
      <c r="C289" s="368"/>
      <c r="D289" s="395" t="s">
        <v>1296</v>
      </c>
      <c r="G289" s="372"/>
      <c r="H289" s="389"/>
      <c r="I289" s="390" t="s">
        <v>1123</v>
      </c>
      <c r="J289" s="437"/>
      <c r="K289" s="458" t="s">
        <v>1129</v>
      </c>
      <c r="L289" s="437"/>
      <c r="M289" s="437"/>
      <c r="N289" s="437"/>
      <c r="O289" s="472" t="s">
        <v>1296</v>
      </c>
      <c r="P289" s="372"/>
      <c r="Q289" s="372"/>
      <c r="R289" s="372"/>
      <c r="S289" s="372"/>
    </row>
    <row r="290" spans="1:19" ht="15.75" thickBot="1" x14ac:dyDescent="0.25">
      <c r="A290" s="378"/>
      <c r="B290" s="368"/>
      <c r="C290" s="368"/>
      <c r="D290" s="395" t="s">
        <v>1296</v>
      </c>
      <c r="G290" s="372"/>
      <c r="H290" s="389"/>
      <c r="I290" s="421" t="s">
        <v>1165</v>
      </c>
      <c r="J290" s="398"/>
      <c r="K290" s="399" t="s">
        <v>1177</v>
      </c>
      <c r="L290" s="398"/>
      <c r="M290" s="398"/>
      <c r="N290" s="398"/>
      <c r="O290" s="431" t="s">
        <v>1296</v>
      </c>
      <c r="P290" s="372"/>
      <c r="Q290" s="372"/>
      <c r="R290" s="372"/>
      <c r="S290" s="372"/>
    </row>
    <row r="291" spans="1:19" ht="15.75" thickTop="1" x14ac:dyDescent="0.2">
      <c r="A291" s="378">
        <v>34</v>
      </c>
      <c r="B291" s="368" t="s">
        <v>1403</v>
      </c>
      <c r="C291" s="368" t="s">
        <v>1404</v>
      </c>
      <c r="D291" s="395"/>
      <c r="G291" s="372"/>
      <c r="H291" s="467">
        <v>34</v>
      </c>
      <c r="I291" s="417"/>
      <c r="J291" s="477"/>
      <c r="K291" s="478" t="s">
        <v>1404</v>
      </c>
      <c r="L291" s="477"/>
      <c r="M291" s="477"/>
      <c r="N291" s="477"/>
      <c r="O291" s="419"/>
      <c r="P291" s="372"/>
      <c r="Q291" s="387">
        <f>H291</f>
        <v>34</v>
      </c>
      <c r="R291" s="377" t="str">
        <f>CONCATENATE("II-",TEXT(Q291,"0000"))</f>
        <v>II-0034</v>
      </c>
      <c r="S291" s="388" t="str">
        <f>K291</f>
        <v>ELEVACION DE GUARDARUEDAS</v>
      </c>
    </row>
    <row r="292" spans="1:19" ht="15.75" thickBot="1" x14ac:dyDescent="0.25">
      <c r="A292" s="378"/>
      <c r="B292" s="368"/>
      <c r="C292" s="368"/>
      <c r="D292" s="395" t="s">
        <v>1254</v>
      </c>
      <c r="G292" s="372"/>
      <c r="H292" s="521"/>
      <c r="I292" s="499" t="s">
        <v>1060</v>
      </c>
      <c r="J292" s="518"/>
      <c r="K292" s="519" t="s">
        <v>1405</v>
      </c>
      <c r="L292" s="518"/>
      <c r="M292" s="518"/>
      <c r="N292" s="518"/>
      <c r="O292" s="520" t="s">
        <v>1254</v>
      </c>
      <c r="P292" s="372"/>
      <c r="Q292" s="372"/>
      <c r="R292" s="372"/>
      <c r="S292" s="372"/>
    </row>
    <row r="293" spans="1:19" x14ac:dyDescent="0.2">
      <c r="A293" s="378">
        <v>35</v>
      </c>
      <c r="B293" s="368" t="s">
        <v>1406</v>
      </c>
      <c r="C293" s="368" t="s">
        <v>1407</v>
      </c>
      <c r="D293" s="395"/>
      <c r="G293" s="372"/>
      <c r="H293" s="416">
        <v>35</v>
      </c>
      <c r="I293" s="418"/>
      <c r="J293" s="429"/>
      <c r="K293" s="486" t="s">
        <v>1407</v>
      </c>
      <c r="L293" s="429"/>
      <c r="M293" s="429"/>
      <c r="N293" s="429"/>
      <c r="O293" s="440"/>
      <c r="P293" s="372"/>
      <c r="Q293" s="387">
        <f>H293</f>
        <v>35</v>
      </c>
      <c r="R293" s="377" t="str">
        <f>CONCATENATE("II-",TEXT(Q293,"0000"))</f>
        <v>II-0035</v>
      </c>
      <c r="S293" s="388" t="str">
        <f>K293</f>
        <v>ENCAUZAMIENTO</v>
      </c>
    </row>
    <row r="294" spans="1:19" x14ac:dyDescent="0.2">
      <c r="A294" s="378"/>
      <c r="B294" s="368"/>
      <c r="C294" s="368"/>
      <c r="D294" s="395" t="s">
        <v>1171</v>
      </c>
      <c r="G294" s="372"/>
      <c r="H294" s="389"/>
      <c r="I294" s="390" t="s">
        <v>1060</v>
      </c>
      <c r="J294" s="437"/>
      <c r="K294" s="458" t="s">
        <v>1353</v>
      </c>
      <c r="L294" s="437"/>
      <c r="M294" s="437"/>
      <c r="N294" s="437"/>
      <c r="O294" s="472" t="s">
        <v>1171</v>
      </c>
      <c r="P294" s="372"/>
      <c r="Q294" s="372"/>
      <c r="R294" s="372"/>
      <c r="S294" s="372"/>
    </row>
    <row r="295" spans="1:19" x14ac:dyDescent="0.2">
      <c r="A295" s="378"/>
      <c r="B295" s="368"/>
      <c r="C295" s="368"/>
      <c r="D295" s="395"/>
      <c r="G295" s="372"/>
      <c r="H295" s="389"/>
      <c r="I295" s="390" t="s">
        <v>1087</v>
      </c>
      <c r="J295" s="396"/>
      <c r="K295" s="399" t="s">
        <v>1408</v>
      </c>
      <c r="L295" s="398"/>
      <c r="M295" s="398"/>
      <c r="N295" s="398"/>
      <c r="O295" s="431"/>
      <c r="P295" s="372"/>
      <c r="Q295" s="372"/>
      <c r="R295" s="372"/>
      <c r="S295" s="372"/>
    </row>
    <row r="296" spans="1:19" x14ac:dyDescent="0.2">
      <c r="A296" s="378"/>
      <c r="B296" s="368"/>
      <c r="C296" s="368"/>
      <c r="D296" s="395" t="s">
        <v>1171</v>
      </c>
      <c r="G296" s="372"/>
      <c r="H296" s="389"/>
      <c r="I296" s="396"/>
      <c r="J296" s="397">
        <v>1</v>
      </c>
      <c r="K296" s="398"/>
      <c r="L296" s="399" t="s">
        <v>1409</v>
      </c>
      <c r="M296" s="398"/>
      <c r="N296" s="398"/>
      <c r="O296" s="431" t="s">
        <v>1171</v>
      </c>
      <c r="P296" s="372"/>
      <c r="Q296" s="372"/>
      <c r="R296" s="372"/>
      <c r="S296" s="372"/>
    </row>
    <row r="297" spans="1:19" ht="15.75" thickBot="1" x14ac:dyDescent="0.25">
      <c r="A297" s="378"/>
      <c r="B297" s="368"/>
      <c r="C297" s="368"/>
      <c r="D297" s="395" t="s">
        <v>1171</v>
      </c>
      <c r="G297" s="372"/>
      <c r="H297" s="442"/>
      <c r="I297" s="443"/>
      <c r="J297" s="444">
        <v>2</v>
      </c>
      <c r="K297" s="445"/>
      <c r="L297" s="446" t="s">
        <v>1285</v>
      </c>
      <c r="M297" s="445"/>
      <c r="N297" s="445"/>
      <c r="O297" s="500" t="s">
        <v>1171</v>
      </c>
      <c r="P297" s="372"/>
      <c r="Q297" s="372"/>
      <c r="R297" s="372"/>
      <c r="S297" s="372"/>
    </row>
    <row r="298" spans="1:19" x14ac:dyDescent="0.2">
      <c r="A298" s="378"/>
      <c r="B298" s="368"/>
      <c r="C298" s="368"/>
      <c r="D298" s="395"/>
      <c r="G298" s="398"/>
      <c r="H298" s="448"/>
      <c r="I298" s="396"/>
      <c r="J298" s="396"/>
      <c r="K298" s="398"/>
      <c r="L298" s="399"/>
      <c r="M298" s="398"/>
      <c r="N298" s="398"/>
      <c r="O298" s="506"/>
      <c r="P298" s="398"/>
      <c r="Q298" s="398"/>
      <c r="R298" s="398"/>
      <c r="S298" s="398"/>
    </row>
    <row r="299" spans="1:19" ht="15.75" thickBot="1" x14ac:dyDescent="0.25">
      <c r="A299" s="378">
        <v>36</v>
      </c>
      <c r="B299" s="368" t="s">
        <v>1410</v>
      </c>
      <c r="C299" s="368" t="s">
        <v>1411</v>
      </c>
      <c r="D299" s="395" t="s">
        <v>1171</v>
      </c>
      <c r="G299" s="372"/>
      <c r="H299" s="416">
        <v>36</v>
      </c>
      <c r="I299" s="418"/>
      <c r="J299" s="429"/>
      <c r="K299" s="486" t="s">
        <v>1411</v>
      </c>
      <c r="L299" s="429"/>
      <c r="M299" s="429"/>
      <c r="N299" s="429"/>
      <c r="O299" s="440" t="s">
        <v>1171</v>
      </c>
      <c r="P299" s="372"/>
      <c r="Q299" s="387">
        <f t="shared" ref="Q299:Q302" si="42">H299</f>
        <v>36</v>
      </c>
      <c r="R299" s="377" t="str">
        <f t="shared" ref="R299:R302" si="43">CONCATENATE("II-",TEXT(Q299,"0000"))</f>
        <v>II-0036</v>
      </c>
      <c r="S299" s="388" t="str">
        <f t="shared" ref="S299:S302" si="44">K299</f>
        <v>ENROCADOS</v>
      </c>
    </row>
    <row r="300" spans="1:19" ht="16.5" thickTop="1" thickBot="1" x14ac:dyDescent="0.25">
      <c r="A300" s="378">
        <v>37</v>
      </c>
      <c r="B300" s="368" t="s">
        <v>1412</v>
      </c>
      <c r="C300" s="368" t="s">
        <v>1413</v>
      </c>
      <c r="D300" s="395" t="s">
        <v>1254</v>
      </c>
      <c r="G300" s="372"/>
      <c r="H300" s="467">
        <v>37</v>
      </c>
      <c r="I300" s="417"/>
      <c r="J300" s="477"/>
      <c r="K300" s="478" t="s">
        <v>1413</v>
      </c>
      <c r="L300" s="477"/>
      <c r="M300" s="477"/>
      <c r="N300" s="477"/>
      <c r="O300" s="419" t="s">
        <v>1254</v>
      </c>
      <c r="P300" s="372"/>
      <c r="Q300" s="387">
        <f t="shared" si="42"/>
        <v>37</v>
      </c>
      <c r="R300" s="377" t="str">
        <f t="shared" si="43"/>
        <v>II-0037</v>
      </c>
      <c r="S300" s="388" t="str">
        <f t="shared" si="44"/>
        <v>ENRIPIADO</v>
      </c>
    </row>
    <row r="301" spans="1:19" ht="16.5" thickTop="1" thickBot="1" x14ac:dyDescent="0.25">
      <c r="A301" s="378">
        <v>38</v>
      </c>
      <c r="B301" s="368" t="s">
        <v>1414</v>
      </c>
      <c r="C301" s="368" t="s">
        <v>1415</v>
      </c>
      <c r="D301" s="395" t="s">
        <v>1254</v>
      </c>
      <c r="G301" s="372"/>
      <c r="H301" s="467">
        <v>38</v>
      </c>
      <c r="I301" s="417"/>
      <c r="J301" s="477"/>
      <c r="K301" s="478" t="s">
        <v>1415</v>
      </c>
      <c r="L301" s="477"/>
      <c r="M301" s="477"/>
      <c r="N301" s="477"/>
      <c r="O301" s="419" t="s">
        <v>1254</v>
      </c>
      <c r="P301" s="372"/>
      <c r="Q301" s="387">
        <f t="shared" si="42"/>
        <v>38</v>
      </c>
      <c r="R301" s="377" t="str">
        <f t="shared" si="43"/>
        <v>II-0038</v>
      </c>
      <c r="S301" s="388" t="str">
        <f t="shared" si="44"/>
        <v>ESCARIFICADO</v>
      </c>
    </row>
    <row r="302" spans="1:19" ht="15.75" thickTop="1" x14ac:dyDescent="0.2">
      <c r="A302" s="378">
        <v>39</v>
      </c>
      <c r="B302" s="368" t="s">
        <v>1416</v>
      </c>
      <c r="C302" s="368" t="s">
        <v>1417</v>
      </c>
      <c r="D302" s="395"/>
      <c r="G302" s="372"/>
      <c r="H302" s="467">
        <v>39</v>
      </c>
      <c r="I302" s="417"/>
      <c r="J302" s="477"/>
      <c r="K302" s="478" t="s">
        <v>1417</v>
      </c>
      <c r="L302" s="477"/>
      <c r="M302" s="477"/>
      <c r="N302" s="477"/>
      <c r="O302" s="419"/>
      <c r="P302" s="372"/>
      <c r="Q302" s="387">
        <f t="shared" si="42"/>
        <v>39</v>
      </c>
      <c r="R302" s="377" t="str">
        <f t="shared" si="43"/>
        <v>II-0039</v>
      </c>
      <c r="S302" s="388" t="str">
        <f t="shared" si="44"/>
        <v>EXCAVACIONES</v>
      </c>
    </row>
    <row r="303" spans="1:19" x14ac:dyDescent="0.2">
      <c r="A303" s="378"/>
      <c r="B303" s="368"/>
      <c r="C303" s="368"/>
      <c r="D303" s="395" t="s">
        <v>1171</v>
      </c>
      <c r="G303" s="372"/>
      <c r="H303" s="389"/>
      <c r="I303" s="390" t="s">
        <v>1060</v>
      </c>
      <c r="J303" s="437"/>
      <c r="K303" s="458" t="s">
        <v>1418</v>
      </c>
      <c r="L303" s="458"/>
      <c r="M303" s="458"/>
      <c r="N303" s="458"/>
      <c r="O303" s="472" t="s">
        <v>1171</v>
      </c>
      <c r="P303" s="372"/>
      <c r="Q303" s="372"/>
      <c r="R303" s="372"/>
      <c r="S303" s="372"/>
    </row>
    <row r="304" spans="1:19" x14ac:dyDescent="0.2">
      <c r="A304" s="378"/>
      <c r="B304" s="368"/>
      <c r="C304" s="368"/>
      <c r="D304" s="395" t="s">
        <v>1171</v>
      </c>
      <c r="G304" s="372"/>
      <c r="H304" s="389"/>
      <c r="I304" s="390" t="s">
        <v>1087</v>
      </c>
      <c r="J304" s="437"/>
      <c r="K304" s="458" t="s">
        <v>1419</v>
      </c>
      <c r="L304" s="458"/>
      <c r="M304" s="458"/>
      <c r="N304" s="458"/>
      <c r="O304" s="472" t="s">
        <v>1171</v>
      </c>
      <c r="P304" s="372"/>
      <c r="Q304" s="372"/>
      <c r="R304" s="372"/>
      <c r="S304" s="372"/>
    </row>
    <row r="305" spans="1:19" x14ac:dyDescent="0.2">
      <c r="A305" s="378"/>
      <c r="B305" s="368"/>
      <c r="C305" s="368"/>
      <c r="D305" s="395" t="s">
        <v>1171</v>
      </c>
      <c r="G305" s="372"/>
      <c r="H305" s="389"/>
      <c r="I305" s="390" t="s">
        <v>1097</v>
      </c>
      <c r="J305" s="437"/>
      <c r="K305" s="458" t="s">
        <v>1420</v>
      </c>
      <c r="L305" s="458"/>
      <c r="M305" s="458"/>
      <c r="N305" s="458"/>
      <c r="O305" s="472" t="s">
        <v>1171</v>
      </c>
      <c r="P305" s="372"/>
      <c r="Q305" s="372"/>
      <c r="R305" s="372"/>
      <c r="S305" s="372"/>
    </row>
    <row r="306" spans="1:19" x14ac:dyDescent="0.2">
      <c r="A306" s="378"/>
      <c r="B306" s="368"/>
      <c r="C306" s="368"/>
      <c r="D306" s="395" t="s">
        <v>1171</v>
      </c>
      <c r="G306" s="372"/>
      <c r="H306" s="389"/>
      <c r="I306" s="390" t="s">
        <v>1123</v>
      </c>
      <c r="J306" s="437"/>
      <c r="K306" s="458" t="s">
        <v>1421</v>
      </c>
      <c r="L306" s="458"/>
      <c r="M306" s="458"/>
      <c r="N306" s="458"/>
      <c r="O306" s="472" t="s">
        <v>1171</v>
      </c>
      <c r="P306" s="372"/>
      <c r="Q306" s="372"/>
      <c r="R306" s="372"/>
      <c r="S306" s="372"/>
    </row>
    <row r="307" spans="1:19" x14ac:dyDescent="0.2">
      <c r="A307" s="378"/>
      <c r="B307" s="368"/>
      <c r="C307" s="368"/>
      <c r="D307" s="395" t="s">
        <v>1171</v>
      </c>
      <c r="G307" s="372"/>
      <c r="H307" s="389"/>
      <c r="I307" s="390" t="s">
        <v>1165</v>
      </c>
      <c r="J307" s="437"/>
      <c r="K307" s="458" t="s">
        <v>1422</v>
      </c>
      <c r="L307" s="458"/>
      <c r="M307" s="458"/>
      <c r="N307" s="458"/>
      <c r="O307" s="472" t="s">
        <v>1171</v>
      </c>
      <c r="P307" s="372"/>
      <c r="Q307" s="372"/>
      <c r="R307" s="372"/>
      <c r="S307" s="372"/>
    </row>
    <row r="308" spans="1:19" x14ac:dyDescent="0.2">
      <c r="A308" s="378"/>
      <c r="B308" s="368"/>
      <c r="C308" s="368"/>
      <c r="D308" s="395" t="s">
        <v>1171</v>
      </c>
      <c r="G308" s="372"/>
      <c r="H308" s="389"/>
      <c r="I308" s="390" t="s">
        <v>1168</v>
      </c>
      <c r="J308" s="437"/>
      <c r="K308" s="458" t="s">
        <v>1423</v>
      </c>
      <c r="L308" s="458"/>
      <c r="M308" s="458"/>
      <c r="N308" s="458"/>
      <c r="O308" s="472" t="s">
        <v>1171</v>
      </c>
      <c r="P308" s="372"/>
      <c r="Q308" s="372"/>
      <c r="R308" s="372"/>
      <c r="S308" s="372"/>
    </row>
    <row r="309" spans="1:19" x14ac:dyDescent="0.2">
      <c r="A309" s="378"/>
      <c r="B309" s="368"/>
      <c r="C309" s="368"/>
      <c r="D309" s="395" t="s">
        <v>1171</v>
      </c>
      <c r="G309" s="372"/>
      <c r="H309" s="389"/>
      <c r="I309" s="390" t="s">
        <v>1172</v>
      </c>
      <c r="J309" s="437"/>
      <c r="K309" s="458" t="s">
        <v>1424</v>
      </c>
      <c r="L309" s="458"/>
      <c r="M309" s="458"/>
      <c r="N309" s="458"/>
      <c r="O309" s="472" t="s">
        <v>1171</v>
      </c>
      <c r="P309" s="372"/>
      <c r="Q309" s="372"/>
      <c r="R309" s="372"/>
      <c r="S309" s="372"/>
    </row>
    <row r="310" spans="1:19" x14ac:dyDescent="0.2">
      <c r="A310" s="378"/>
      <c r="B310" s="368"/>
      <c r="C310" s="368"/>
      <c r="D310" s="395" t="s">
        <v>1171</v>
      </c>
      <c r="G310" s="372"/>
      <c r="H310" s="389"/>
      <c r="I310" s="390" t="s">
        <v>1175</v>
      </c>
      <c r="J310" s="437"/>
      <c r="K310" s="458" t="s">
        <v>1425</v>
      </c>
      <c r="L310" s="458"/>
      <c r="M310" s="458"/>
      <c r="N310" s="458"/>
      <c r="O310" s="472" t="s">
        <v>1171</v>
      </c>
      <c r="P310" s="372"/>
      <c r="Q310" s="372"/>
      <c r="R310" s="372"/>
      <c r="S310" s="372"/>
    </row>
    <row r="311" spans="1:19" x14ac:dyDescent="0.2">
      <c r="A311" s="378"/>
      <c r="B311" s="368"/>
      <c r="C311" s="368"/>
      <c r="D311" s="395" t="s">
        <v>1171</v>
      </c>
      <c r="G311" s="372"/>
      <c r="H311" s="389"/>
      <c r="I311" s="390" t="s">
        <v>901</v>
      </c>
      <c r="J311" s="437"/>
      <c r="K311" s="458" t="s">
        <v>1426</v>
      </c>
      <c r="L311" s="458"/>
      <c r="M311" s="458"/>
      <c r="N311" s="458"/>
      <c r="O311" s="472" t="s">
        <v>1171</v>
      </c>
      <c r="P311" s="372"/>
      <c r="Q311" s="372"/>
      <c r="R311" s="372"/>
      <c r="S311" s="372"/>
    </row>
    <row r="312" spans="1:19" ht="15.75" thickBot="1" x14ac:dyDescent="0.25">
      <c r="A312" s="378"/>
      <c r="B312" s="368"/>
      <c r="C312" s="368"/>
      <c r="D312" s="395" t="s">
        <v>1171</v>
      </c>
      <c r="G312" s="372"/>
      <c r="H312" s="409"/>
      <c r="I312" s="421" t="s">
        <v>1180</v>
      </c>
      <c r="J312" s="424"/>
      <c r="K312" s="460" t="s">
        <v>1427</v>
      </c>
      <c r="L312" s="460"/>
      <c r="M312" s="460"/>
      <c r="N312" s="460"/>
      <c r="O312" s="498" t="s">
        <v>1171</v>
      </c>
      <c r="P312" s="372"/>
      <c r="Q312" s="372"/>
      <c r="R312" s="372"/>
      <c r="S312" s="372"/>
    </row>
    <row r="313" spans="1:19" ht="15.75" thickTop="1" x14ac:dyDescent="0.2">
      <c r="A313" s="378">
        <v>40</v>
      </c>
      <c r="B313" s="368" t="s">
        <v>1428</v>
      </c>
      <c r="C313" s="368" t="s">
        <v>1324</v>
      </c>
      <c r="D313" s="395"/>
      <c r="G313" s="372"/>
      <c r="H313" s="416">
        <v>40</v>
      </c>
      <c r="I313" s="418"/>
      <c r="J313" s="429"/>
      <c r="K313" s="486" t="s">
        <v>1324</v>
      </c>
      <c r="L313" s="429"/>
      <c r="M313" s="429"/>
      <c r="N313" s="429"/>
      <c r="O313" s="440"/>
      <c r="P313" s="372"/>
      <c r="Q313" s="387">
        <f>H313</f>
        <v>40</v>
      </c>
      <c r="R313" s="377" t="str">
        <f>CONCATENATE("II-",TEXT(Q313,"0000"))</f>
        <v>II-0040</v>
      </c>
      <c r="S313" s="388" t="str">
        <f>K313</f>
        <v>FRESADO</v>
      </c>
    </row>
    <row r="314" spans="1:19" ht="15.75" thickBot="1" x14ac:dyDescent="0.25">
      <c r="A314" s="378"/>
      <c r="B314" s="368"/>
      <c r="C314" s="368"/>
      <c r="D314" s="395" t="s">
        <v>1254</v>
      </c>
      <c r="G314" s="372"/>
      <c r="H314" s="473"/>
      <c r="I314" s="474" t="s">
        <v>1060</v>
      </c>
      <c r="J314" s="475"/>
      <c r="K314" s="476" t="s">
        <v>1429</v>
      </c>
      <c r="L314" s="475"/>
      <c r="M314" s="475"/>
      <c r="N314" s="475"/>
      <c r="O314" s="462" t="s">
        <v>1254</v>
      </c>
      <c r="P314" s="372"/>
      <c r="Q314" s="372"/>
      <c r="R314" s="372"/>
      <c r="S314" s="372"/>
    </row>
    <row r="315" spans="1:19" ht="15.75" thickTop="1" x14ac:dyDescent="0.2">
      <c r="A315" s="378">
        <v>41</v>
      </c>
      <c r="B315" s="368" t="s">
        <v>1430</v>
      </c>
      <c r="C315" s="368" t="s">
        <v>1431</v>
      </c>
      <c r="D315" s="395"/>
      <c r="G315" s="372"/>
      <c r="H315" s="467">
        <v>41</v>
      </c>
      <c r="I315" s="417"/>
      <c r="J315" s="477"/>
      <c r="K315" s="478" t="s">
        <v>1431</v>
      </c>
      <c r="L315" s="478"/>
      <c r="M315" s="477"/>
      <c r="N315" s="477"/>
      <c r="O315" s="419"/>
      <c r="P315" s="372"/>
      <c r="Q315" s="387">
        <f>H315</f>
        <v>41</v>
      </c>
      <c r="R315" s="377" t="str">
        <f>CONCATENATE("II-",TEXT(Q315,"0000"))</f>
        <v>II-0041</v>
      </c>
      <c r="S315" s="388" t="str">
        <f>K315</f>
        <v>GAVIONES (PIEDRA EMBOLSADA)</v>
      </c>
    </row>
    <row r="316" spans="1:19" x14ac:dyDescent="0.2">
      <c r="A316" s="378"/>
      <c r="B316" s="368"/>
      <c r="C316" s="368"/>
      <c r="D316" s="395"/>
      <c r="G316" s="372"/>
      <c r="H316" s="473"/>
      <c r="I316" s="390" t="s">
        <v>1060</v>
      </c>
      <c r="J316" s="396"/>
      <c r="K316" s="399" t="s">
        <v>1340</v>
      </c>
      <c r="L316" s="398"/>
      <c r="M316" s="398"/>
      <c r="N316" s="398"/>
      <c r="O316" s="431"/>
      <c r="P316" s="372"/>
      <c r="Q316" s="372"/>
      <c r="R316" s="372"/>
      <c r="S316" s="372"/>
    </row>
    <row r="317" spans="1:19" x14ac:dyDescent="0.2">
      <c r="A317" s="378"/>
      <c r="B317" s="368"/>
      <c r="C317" s="368"/>
      <c r="D317" s="395" t="s">
        <v>1171</v>
      </c>
      <c r="G317" s="372"/>
      <c r="H317" s="473"/>
      <c r="I317" s="396"/>
      <c r="J317" s="397">
        <v>1</v>
      </c>
      <c r="K317" s="398"/>
      <c r="L317" s="399" t="s">
        <v>1432</v>
      </c>
      <c r="M317" s="398"/>
      <c r="N317" s="398"/>
      <c r="O317" s="431" t="s">
        <v>1171</v>
      </c>
      <c r="P317" s="372"/>
      <c r="Q317" s="372"/>
      <c r="R317" s="372"/>
      <c r="S317" s="372"/>
    </row>
    <row r="318" spans="1:19" x14ac:dyDescent="0.2">
      <c r="A318" s="378"/>
      <c r="B318" s="368"/>
      <c r="C318" s="368"/>
      <c r="D318" s="395" t="s">
        <v>1171</v>
      </c>
      <c r="G318" s="372"/>
      <c r="H318" s="473"/>
      <c r="I318" s="449"/>
      <c r="J318" s="403">
        <v>2</v>
      </c>
      <c r="K318" s="404"/>
      <c r="L318" s="405" t="s">
        <v>1433</v>
      </c>
      <c r="M318" s="404"/>
      <c r="N318" s="404"/>
      <c r="O318" s="450" t="s">
        <v>1171</v>
      </c>
      <c r="P318" s="372"/>
      <c r="Q318" s="372"/>
      <c r="R318" s="372"/>
      <c r="S318" s="372"/>
    </row>
    <row r="319" spans="1:19" x14ac:dyDescent="0.2">
      <c r="A319" s="378"/>
      <c r="B319" s="368"/>
      <c r="C319" s="368"/>
      <c r="D319" s="395"/>
      <c r="G319" s="372"/>
      <c r="H319" s="473"/>
      <c r="I319" s="403" t="s">
        <v>1087</v>
      </c>
      <c r="J319" s="396"/>
      <c r="K319" s="399" t="s">
        <v>1339</v>
      </c>
      <c r="L319" s="398"/>
      <c r="M319" s="398"/>
      <c r="N319" s="398"/>
      <c r="O319" s="431"/>
      <c r="P319" s="372"/>
      <c r="Q319" s="372"/>
      <c r="R319" s="372"/>
      <c r="S319" s="372"/>
    </row>
    <row r="320" spans="1:19" x14ac:dyDescent="0.2">
      <c r="A320" s="378"/>
      <c r="B320" s="368"/>
      <c r="C320" s="368"/>
      <c r="D320" s="395" t="s">
        <v>1171</v>
      </c>
      <c r="G320" s="372"/>
      <c r="H320" s="473"/>
      <c r="I320" s="396"/>
      <c r="J320" s="397">
        <v>1</v>
      </c>
      <c r="K320" s="398"/>
      <c r="L320" s="399" t="s">
        <v>1432</v>
      </c>
      <c r="M320" s="398"/>
      <c r="N320" s="398"/>
      <c r="O320" s="431" t="s">
        <v>1171</v>
      </c>
      <c r="P320" s="372"/>
      <c r="Q320" s="372"/>
      <c r="R320" s="372"/>
      <c r="S320" s="372"/>
    </row>
    <row r="321" spans="1:19" x14ac:dyDescent="0.2">
      <c r="A321" s="378"/>
      <c r="B321" s="368"/>
      <c r="C321" s="368"/>
      <c r="D321" s="395" t="s">
        <v>1171</v>
      </c>
      <c r="G321" s="372"/>
      <c r="H321" s="473"/>
      <c r="I321" s="408"/>
      <c r="J321" s="403">
        <v>2</v>
      </c>
      <c r="K321" s="404"/>
      <c r="L321" s="405" t="s">
        <v>1433</v>
      </c>
      <c r="M321" s="404"/>
      <c r="N321" s="404"/>
      <c r="O321" s="450" t="s">
        <v>1171</v>
      </c>
      <c r="P321" s="372"/>
      <c r="Q321" s="372"/>
      <c r="R321" s="372"/>
      <c r="S321" s="372"/>
    </row>
    <row r="322" spans="1:19" x14ac:dyDescent="0.2">
      <c r="A322" s="378"/>
      <c r="B322" s="368"/>
      <c r="C322" s="368"/>
      <c r="D322" s="395" t="s">
        <v>1171</v>
      </c>
      <c r="G322" s="398"/>
      <c r="H322" s="473"/>
      <c r="I322" s="491" t="s">
        <v>1097</v>
      </c>
      <c r="J322" s="522"/>
      <c r="K322" s="504" t="s">
        <v>1129</v>
      </c>
      <c r="L322" s="504"/>
      <c r="M322" s="522"/>
      <c r="N322" s="522"/>
      <c r="O322" s="457" t="s">
        <v>1171</v>
      </c>
      <c r="P322" s="398"/>
      <c r="Q322" s="398"/>
      <c r="R322" s="398"/>
      <c r="S322" s="398"/>
    </row>
    <row r="323" spans="1:19" ht="15.75" thickBot="1" x14ac:dyDescent="0.25">
      <c r="A323" s="378"/>
      <c r="B323" s="368"/>
      <c r="C323" s="368"/>
      <c r="D323" s="395" t="s">
        <v>1171</v>
      </c>
      <c r="G323" s="372"/>
      <c r="H323" s="473"/>
      <c r="I323" s="487" t="s">
        <v>1123</v>
      </c>
      <c r="J323" s="475"/>
      <c r="K323" s="476" t="s">
        <v>1177</v>
      </c>
      <c r="L323" s="476"/>
      <c r="M323" s="475"/>
      <c r="N323" s="475"/>
      <c r="O323" s="462" t="s">
        <v>1171</v>
      </c>
      <c r="P323" s="372"/>
      <c r="Q323" s="372"/>
      <c r="R323" s="372"/>
      <c r="S323" s="372"/>
    </row>
    <row r="324" spans="1:19" ht="16.5" thickTop="1" thickBot="1" x14ac:dyDescent="0.25">
      <c r="A324" s="378">
        <v>42</v>
      </c>
      <c r="B324" s="368" t="s">
        <v>1434</v>
      </c>
      <c r="C324" s="368" t="s">
        <v>1435</v>
      </c>
      <c r="D324" s="395" t="s">
        <v>5</v>
      </c>
      <c r="G324" s="398"/>
      <c r="H324" s="513">
        <v>42</v>
      </c>
      <c r="I324" s="514"/>
      <c r="J324" s="515"/>
      <c r="K324" s="516" t="s">
        <v>1435</v>
      </c>
      <c r="L324" s="516"/>
      <c r="M324" s="515"/>
      <c r="N324" s="515"/>
      <c r="O324" s="517" t="s">
        <v>5</v>
      </c>
      <c r="P324" s="398"/>
      <c r="Q324" s="387">
        <f t="shared" ref="Q324:Q325" si="45">H324</f>
        <v>42</v>
      </c>
      <c r="R324" s="377" t="str">
        <f t="shared" ref="R324:R325" si="46">CONCATENATE("II-",TEXT(Q324,"0000"))</f>
        <v>II-0042</v>
      </c>
      <c r="S324" s="388" t="str">
        <f t="shared" ref="S324:S325" si="47">K324</f>
        <v>GUARDAGANADO</v>
      </c>
    </row>
    <row r="325" spans="1:19" ht="15.75" thickTop="1" x14ac:dyDescent="0.2">
      <c r="A325" s="378">
        <v>43</v>
      </c>
      <c r="B325" s="368" t="s">
        <v>1436</v>
      </c>
      <c r="C325" s="368" t="s">
        <v>1437</v>
      </c>
      <c r="D325" s="395"/>
      <c r="G325" s="372"/>
      <c r="H325" s="416">
        <v>43</v>
      </c>
      <c r="I325" s="418"/>
      <c r="J325" s="429"/>
      <c r="K325" s="486" t="s">
        <v>1437</v>
      </c>
      <c r="L325" s="429"/>
      <c r="M325" s="429"/>
      <c r="N325" s="429"/>
      <c r="O325" s="440"/>
      <c r="P325" s="372"/>
      <c r="Q325" s="387">
        <f t="shared" si="45"/>
        <v>43</v>
      </c>
      <c r="R325" s="377" t="str">
        <f t="shared" si="46"/>
        <v>II-0043</v>
      </c>
      <c r="S325" s="388" t="str">
        <f t="shared" si="47"/>
        <v>HORMIGON CEMENTO PORTLAND EXCLUIDA LA ARAMDURA</v>
      </c>
    </row>
    <row r="326" spans="1:19" x14ac:dyDescent="0.2">
      <c r="A326" s="378"/>
      <c r="B326" s="368"/>
      <c r="C326" s="368"/>
      <c r="D326" s="395"/>
      <c r="G326" s="372"/>
      <c r="H326" s="389"/>
      <c r="I326" s="390" t="s">
        <v>1060</v>
      </c>
      <c r="J326" s="396"/>
      <c r="K326" s="399" t="s">
        <v>1438</v>
      </c>
      <c r="L326" s="398"/>
      <c r="M326" s="398"/>
      <c r="N326" s="398"/>
      <c r="O326" s="431"/>
      <c r="P326" s="372"/>
      <c r="Q326" s="372"/>
      <c r="R326" s="372"/>
      <c r="S326" s="372"/>
    </row>
    <row r="327" spans="1:19" x14ac:dyDescent="0.2">
      <c r="A327" s="378"/>
      <c r="B327" s="368"/>
      <c r="C327" s="368"/>
      <c r="D327" s="395" t="s">
        <v>1171</v>
      </c>
      <c r="G327" s="372"/>
      <c r="H327" s="389"/>
      <c r="I327" s="396"/>
      <c r="J327" s="397">
        <v>1</v>
      </c>
      <c r="K327" s="398"/>
      <c r="L327" s="399" t="s">
        <v>1439</v>
      </c>
      <c r="M327" s="398"/>
      <c r="N327" s="398"/>
      <c r="O327" s="431" t="s">
        <v>1171</v>
      </c>
      <c r="P327" s="372"/>
      <c r="Q327" s="372"/>
      <c r="R327" s="372"/>
      <c r="S327" s="372"/>
    </row>
    <row r="328" spans="1:19" x14ac:dyDescent="0.2">
      <c r="A328" s="378"/>
      <c r="B328" s="368"/>
      <c r="C328" s="368"/>
      <c r="D328" s="395" t="s">
        <v>1171</v>
      </c>
      <c r="G328" s="372"/>
      <c r="H328" s="389"/>
      <c r="I328" s="396"/>
      <c r="J328" s="397">
        <v>2</v>
      </c>
      <c r="K328" s="398"/>
      <c r="L328" s="399" t="s">
        <v>1269</v>
      </c>
      <c r="M328" s="398"/>
      <c r="N328" s="398"/>
      <c r="O328" s="431" t="s">
        <v>1171</v>
      </c>
      <c r="P328" s="372"/>
      <c r="Q328" s="372"/>
      <c r="R328" s="372"/>
      <c r="S328" s="372"/>
    </row>
    <row r="329" spans="1:19" x14ac:dyDescent="0.2">
      <c r="A329" s="378"/>
      <c r="B329" s="368"/>
      <c r="C329" s="368"/>
      <c r="D329" s="395" t="s">
        <v>1171</v>
      </c>
      <c r="G329" s="372"/>
      <c r="H329" s="389"/>
      <c r="I329" s="396"/>
      <c r="J329" s="397">
        <v>3</v>
      </c>
      <c r="K329" s="398"/>
      <c r="L329" s="399" t="s">
        <v>1440</v>
      </c>
      <c r="M329" s="398"/>
      <c r="N329" s="398"/>
      <c r="O329" s="431" t="s">
        <v>1171</v>
      </c>
      <c r="P329" s="372"/>
      <c r="Q329" s="372"/>
      <c r="R329" s="372"/>
      <c r="S329" s="372"/>
    </row>
    <row r="330" spans="1:19" x14ac:dyDescent="0.2">
      <c r="A330" s="378"/>
      <c r="B330" s="368"/>
      <c r="C330" s="368"/>
      <c r="D330" s="395" t="s">
        <v>1171</v>
      </c>
      <c r="G330" s="372"/>
      <c r="H330" s="389"/>
      <c r="I330" s="396"/>
      <c r="J330" s="397">
        <v>4</v>
      </c>
      <c r="K330" s="398"/>
      <c r="L330" s="399" t="s">
        <v>1420</v>
      </c>
      <c r="M330" s="398"/>
      <c r="N330" s="398"/>
      <c r="O330" s="431" t="s">
        <v>1171</v>
      </c>
      <c r="P330" s="372"/>
      <c r="Q330" s="372"/>
      <c r="R330" s="372"/>
      <c r="S330" s="372"/>
    </row>
    <row r="331" spans="1:19" x14ac:dyDescent="0.2">
      <c r="A331" s="378"/>
      <c r="B331" s="368"/>
      <c r="C331" s="368"/>
      <c r="D331" s="395" t="s">
        <v>1171</v>
      </c>
      <c r="G331" s="372"/>
      <c r="H331" s="389"/>
      <c r="I331" s="408"/>
      <c r="J331" s="403">
        <v>5</v>
      </c>
      <c r="K331" s="404"/>
      <c r="L331" s="405" t="s">
        <v>1441</v>
      </c>
      <c r="M331" s="404"/>
      <c r="N331" s="404"/>
      <c r="O331" s="450" t="s">
        <v>1171</v>
      </c>
      <c r="P331" s="372"/>
      <c r="Q331" s="372"/>
      <c r="R331" s="372"/>
      <c r="S331" s="372"/>
    </row>
    <row r="332" spans="1:19" x14ac:dyDescent="0.2">
      <c r="A332" s="378"/>
      <c r="B332" s="368"/>
      <c r="C332" s="368"/>
      <c r="D332" s="395"/>
      <c r="G332" s="372"/>
      <c r="H332" s="389"/>
      <c r="I332" s="390" t="s">
        <v>1087</v>
      </c>
      <c r="J332" s="396"/>
      <c r="K332" s="399" t="s">
        <v>1442</v>
      </c>
      <c r="L332" s="398"/>
      <c r="M332" s="398"/>
      <c r="N332" s="398"/>
      <c r="O332" s="431"/>
      <c r="P332" s="372"/>
      <c r="Q332" s="372"/>
      <c r="R332" s="372"/>
      <c r="S332" s="372"/>
    </row>
    <row r="333" spans="1:19" x14ac:dyDescent="0.2">
      <c r="A333" s="378"/>
      <c r="B333" s="368"/>
      <c r="C333" s="368"/>
      <c r="D333" s="395" t="s">
        <v>1171</v>
      </c>
      <c r="G333" s="372"/>
      <c r="H333" s="389"/>
      <c r="I333" s="396"/>
      <c r="J333" s="397">
        <v>1</v>
      </c>
      <c r="K333" s="398"/>
      <c r="L333" s="399" t="s">
        <v>1269</v>
      </c>
      <c r="M333" s="398"/>
      <c r="N333" s="398"/>
      <c r="O333" s="431" t="s">
        <v>1171</v>
      </c>
      <c r="P333" s="372"/>
      <c r="Q333" s="372"/>
      <c r="R333" s="372"/>
      <c r="S333" s="372"/>
    </row>
    <row r="334" spans="1:19" x14ac:dyDescent="0.2">
      <c r="A334" s="378"/>
      <c r="B334" s="368"/>
      <c r="C334" s="368"/>
      <c r="D334" s="395" t="s">
        <v>1171</v>
      </c>
      <c r="G334" s="372"/>
      <c r="H334" s="389"/>
      <c r="I334" s="396"/>
      <c r="J334" s="397">
        <v>2</v>
      </c>
      <c r="K334" s="398"/>
      <c r="L334" s="399" t="s">
        <v>1443</v>
      </c>
      <c r="M334" s="398"/>
      <c r="N334" s="398"/>
      <c r="O334" s="431" t="s">
        <v>1171</v>
      </c>
      <c r="P334" s="372"/>
      <c r="Q334" s="372"/>
      <c r="R334" s="372"/>
      <c r="S334" s="372"/>
    </row>
    <row r="335" spans="1:19" x14ac:dyDescent="0.2">
      <c r="A335" s="378"/>
      <c r="B335" s="368"/>
      <c r="C335" s="368"/>
      <c r="D335" s="395" t="s">
        <v>1171</v>
      </c>
      <c r="G335" s="372"/>
      <c r="H335" s="389"/>
      <c r="I335" s="396"/>
      <c r="J335" s="397">
        <v>3</v>
      </c>
      <c r="K335" s="398"/>
      <c r="L335" s="399" t="s">
        <v>1444</v>
      </c>
      <c r="M335" s="398"/>
      <c r="N335" s="398"/>
      <c r="O335" s="431" t="s">
        <v>1171</v>
      </c>
      <c r="P335" s="372"/>
      <c r="Q335" s="372"/>
      <c r="R335" s="372"/>
      <c r="S335" s="372"/>
    </row>
    <row r="336" spans="1:19" x14ac:dyDescent="0.2">
      <c r="A336" s="378"/>
      <c r="B336" s="368"/>
      <c r="C336" s="368"/>
      <c r="D336" s="395" t="s">
        <v>1171</v>
      </c>
      <c r="G336" s="372"/>
      <c r="H336" s="389"/>
      <c r="I336" s="396"/>
      <c r="J336" s="397">
        <v>4</v>
      </c>
      <c r="K336" s="398"/>
      <c r="L336" s="399" t="s">
        <v>1445</v>
      </c>
      <c r="M336" s="398"/>
      <c r="N336" s="398"/>
      <c r="O336" s="431" t="s">
        <v>1171</v>
      </c>
      <c r="P336" s="372"/>
      <c r="Q336" s="372"/>
      <c r="R336" s="372"/>
      <c r="S336" s="372"/>
    </row>
    <row r="337" spans="1:19" x14ac:dyDescent="0.2">
      <c r="A337" s="378"/>
      <c r="B337" s="368"/>
      <c r="C337" s="368"/>
      <c r="D337" s="395" t="s">
        <v>1171</v>
      </c>
      <c r="G337" s="372"/>
      <c r="H337" s="389"/>
      <c r="I337" s="396"/>
      <c r="J337" s="397">
        <v>5</v>
      </c>
      <c r="K337" s="398"/>
      <c r="L337" s="399" t="s">
        <v>1446</v>
      </c>
      <c r="M337" s="398"/>
      <c r="N337" s="398"/>
      <c r="O337" s="431" t="s">
        <v>1171</v>
      </c>
      <c r="P337" s="372"/>
      <c r="Q337" s="372"/>
      <c r="R337" s="372"/>
      <c r="S337" s="372"/>
    </row>
    <row r="338" spans="1:19" x14ac:dyDescent="0.2">
      <c r="A338" s="378"/>
      <c r="B338" s="368"/>
      <c r="C338" s="368"/>
      <c r="D338" s="395" t="s">
        <v>1171</v>
      </c>
      <c r="G338" s="372"/>
      <c r="H338" s="389"/>
      <c r="I338" s="449"/>
      <c r="J338" s="396">
        <v>6</v>
      </c>
      <c r="K338" s="399"/>
      <c r="L338" s="398" t="s">
        <v>1441</v>
      </c>
      <c r="M338" s="398"/>
      <c r="N338" s="398"/>
      <c r="O338" s="431" t="s">
        <v>1171</v>
      </c>
      <c r="P338" s="372"/>
      <c r="Q338" s="372"/>
      <c r="R338" s="372"/>
      <c r="S338" s="372"/>
    </row>
    <row r="339" spans="1:19" x14ac:dyDescent="0.2">
      <c r="A339" s="378"/>
      <c r="B339" s="368"/>
      <c r="C339" s="368"/>
      <c r="D339" s="395"/>
      <c r="G339" s="372"/>
      <c r="H339" s="389"/>
      <c r="I339" s="403" t="s">
        <v>1097</v>
      </c>
      <c r="J339" s="396"/>
      <c r="K339" s="399" t="s">
        <v>1447</v>
      </c>
      <c r="L339" s="398"/>
      <c r="M339" s="398"/>
      <c r="N339" s="398"/>
      <c r="O339" s="431"/>
      <c r="P339" s="372"/>
      <c r="Q339" s="372"/>
      <c r="R339" s="372"/>
      <c r="S339" s="372"/>
    </row>
    <row r="340" spans="1:19" x14ac:dyDescent="0.2">
      <c r="A340" s="378"/>
      <c r="B340" s="368"/>
      <c r="C340" s="368"/>
      <c r="D340" s="395" t="s">
        <v>1171</v>
      </c>
      <c r="G340" s="372"/>
      <c r="H340" s="389"/>
      <c r="I340" s="396"/>
      <c r="J340" s="397">
        <v>1</v>
      </c>
      <c r="K340" s="398"/>
      <c r="L340" s="399" t="s">
        <v>1448</v>
      </c>
      <c r="M340" s="398"/>
      <c r="N340" s="398"/>
      <c r="O340" s="431" t="s">
        <v>1171</v>
      </c>
      <c r="P340" s="372"/>
      <c r="Q340" s="372"/>
      <c r="R340" s="372"/>
      <c r="S340" s="372"/>
    </row>
    <row r="341" spans="1:19" x14ac:dyDescent="0.2">
      <c r="A341" s="378"/>
      <c r="B341" s="368"/>
      <c r="C341" s="368"/>
      <c r="D341" s="395" t="s">
        <v>1171</v>
      </c>
      <c r="G341" s="372"/>
      <c r="H341" s="389"/>
      <c r="I341" s="396"/>
      <c r="J341" s="397">
        <v>2</v>
      </c>
      <c r="K341" s="398"/>
      <c r="L341" s="399" t="s">
        <v>1269</v>
      </c>
      <c r="M341" s="398"/>
      <c r="N341" s="398"/>
      <c r="O341" s="431" t="s">
        <v>1171</v>
      </c>
      <c r="P341" s="372"/>
      <c r="Q341" s="372"/>
      <c r="R341" s="372"/>
      <c r="S341" s="372"/>
    </row>
    <row r="342" spans="1:19" x14ac:dyDescent="0.2">
      <c r="A342" s="378"/>
      <c r="B342" s="368"/>
      <c r="C342" s="368"/>
      <c r="D342" s="395" t="s">
        <v>1171</v>
      </c>
      <c r="G342" s="372"/>
      <c r="H342" s="389"/>
      <c r="I342" s="396"/>
      <c r="J342" s="397">
        <v>3</v>
      </c>
      <c r="K342" s="398"/>
      <c r="L342" s="399" t="s">
        <v>1449</v>
      </c>
      <c r="M342" s="398"/>
      <c r="N342" s="398"/>
      <c r="O342" s="431" t="s">
        <v>1171</v>
      </c>
      <c r="P342" s="372"/>
      <c r="Q342" s="372"/>
      <c r="R342" s="372"/>
      <c r="S342" s="372"/>
    </row>
    <row r="343" spans="1:19" x14ac:dyDescent="0.2">
      <c r="A343" s="378"/>
      <c r="B343" s="368"/>
      <c r="C343" s="368"/>
      <c r="D343" s="395" t="s">
        <v>1171</v>
      </c>
      <c r="G343" s="372"/>
      <c r="H343" s="389"/>
      <c r="I343" s="396"/>
      <c r="J343" s="397">
        <v>4</v>
      </c>
      <c r="K343" s="398"/>
      <c r="L343" s="399" t="s">
        <v>1443</v>
      </c>
      <c r="M343" s="398"/>
      <c r="N343" s="398"/>
      <c r="O343" s="431" t="s">
        <v>1171</v>
      </c>
      <c r="P343" s="372"/>
      <c r="Q343" s="372"/>
      <c r="R343" s="372"/>
      <c r="S343" s="372"/>
    </row>
    <row r="344" spans="1:19" x14ac:dyDescent="0.2">
      <c r="A344" s="378"/>
      <c r="B344" s="368"/>
      <c r="C344" s="368"/>
      <c r="D344" s="395" t="s">
        <v>1171</v>
      </c>
      <c r="G344" s="372"/>
      <c r="H344" s="389"/>
      <c r="I344" s="396"/>
      <c r="J344" s="397">
        <v>5</v>
      </c>
      <c r="K344" s="398"/>
      <c r="L344" s="399" t="s">
        <v>1380</v>
      </c>
      <c r="M344" s="398"/>
      <c r="N344" s="398"/>
      <c r="O344" s="431" t="s">
        <v>1171</v>
      </c>
      <c r="P344" s="372"/>
      <c r="Q344" s="372"/>
      <c r="R344" s="372"/>
      <c r="S344" s="372"/>
    </row>
    <row r="345" spans="1:19" x14ac:dyDescent="0.2">
      <c r="A345" s="378"/>
      <c r="B345" s="368"/>
      <c r="C345" s="368"/>
      <c r="D345" s="395" t="s">
        <v>1171</v>
      </c>
      <c r="G345" s="372"/>
      <c r="H345" s="389"/>
      <c r="I345" s="396"/>
      <c r="J345" s="397">
        <v>6</v>
      </c>
      <c r="K345" s="398"/>
      <c r="L345" s="399" t="s">
        <v>1445</v>
      </c>
      <c r="M345" s="398"/>
      <c r="N345" s="398"/>
      <c r="O345" s="431" t="s">
        <v>1171</v>
      </c>
      <c r="P345" s="372"/>
      <c r="Q345" s="372"/>
      <c r="R345" s="372"/>
      <c r="S345" s="372"/>
    </row>
    <row r="346" spans="1:19" x14ac:dyDescent="0.2">
      <c r="A346" s="378"/>
      <c r="B346" s="368"/>
      <c r="C346" s="368"/>
      <c r="D346" s="395" t="s">
        <v>1171</v>
      </c>
      <c r="G346" s="372"/>
      <c r="H346" s="389"/>
      <c r="I346" s="396"/>
      <c r="J346" s="397">
        <v>7</v>
      </c>
      <c r="K346" s="398"/>
      <c r="L346" s="399" t="s">
        <v>1446</v>
      </c>
      <c r="M346" s="398"/>
      <c r="N346" s="398"/>
      <c r="O346" s="431" t="s">
        <v>1171</v>
      </c>
      <c r="P346" s="372"/>
      <c r="Q346" s="372"/>
      <c r="R346" s="372"/>
      <c r="S346" s="372"/>
    </row>
    <row r="347" spans="1:19" x14ac:dyDescent="0.2">
      <c r="A347" s="378"/>
      <c r="B347" s="368"/>
      <c r="C347" s="368"/>
      <c r="D347" s="395" t="s">
        <v>1171</v>
      </c>
      <c r="G347" s="372"/>
      <c r="H347" s="389"/>
      <c r="I347" s="449"/>
      <c r="J347" s="403">
        <v>8</v>
      </c>
      <c r="K347" s="404"/>
      <c r="L347" s="405" t="s">
        <v>1441</v>
      </c>
      <c r="M347" s="404"/>
      <c r="N347" s="404"/>
      <c r="O347" s="450" t="s">
        <v>1171</v>
      </c>
      <c r="P347" s="372"/>
      <c r="Q347" s="372"/>
      <c r="R347" s="372"/>
      <c r="S347" s="372"/>
    </row>
    <row r="348" spans="1:19" x14ac:dyDescent="0.2">
      <c r="A348" s="378"/>
      <c r="B348" s="368"/>
      <c r="C348" s="368"/>
      <c r="D348" s="395"/>
      <c r="G348" s="372"/>
      <c r="H348" s="389"/>
      <c r="I348" s="403" t="s">
        <v>1123</v>
      </c>
      <c r="J348" s="396"/>
      <c r="K348" s="399" t="s">
        <v>1450</v>
      </c>
      <c r="L348" s="398"/>
      <c r="M348" s="398"/>
      <c r="N348" s="398"/>
      <c r="O348" s="431"/>
      <c r="P348" s="372"/>
      <c r="Q348" s="372"/>
      <c r="R348" s="372"/>
      <c r="S348" s="372"/>
    </row>
    <row r="349" spans="1:19" x14ac:dyDescent="0.2">
      <c r="A349" s="378"/>
      <c r="B349" s="368"/>
      <c r="C349" s="368"/>
      <c r="D349" s="395" t="s">
        <v>1171</v>
      </c>
      <c r="G349" s="372"/>
      <c r="H349" s="389"/>
      <c r="I349" s="396"/>
      <c r="J349" s="397">
        <v>1</v>
      </c>
      <c r="K349" s="398"/>
      <c r="L349" s="399" t="s">
        <v>1448</v>
      </c>
      <c r="M349" s="398"/>
      <c r="N349" s="398"/>
      <c r="O349" s="431" t="s">
        <v>1171</v>
      </c>
      <c r="P349" s="372"/>
      <c r="Q349" s="372"/>
      <c r="R349" s="372"/>
      <c r="S349" s="372"/>
    </row>
    <row r="350" spans="1:19" x14ac:dyDescent="0.2">
      <c r="A350" s="378"/>
      <c r="B350" s="368"/>
      <c r="C350" s="368"/>
      <c r="D350" s="395" t="s">
        <v>1171</v>
      </c>
      <c r="G350" s="372"/>
      <c r="H350" s="389"/>
      <c r="I350" s="396"/>
      <c r="J350" s="397">
        <v>2</v>
      </c>
      <c r="K350" s="398"/>
      <c r="L350" s="399" t="s">
        <v>1269</v>
      </c>
      <c r="M350" s="398"/>
      <c r="N350" s="398"/>
      <c r="O350" s="431" t="s">
        <v>1171</v>
      </c>
      <c r="P350" s="372"/>
      <c r="Q350" s="372"/>
      <c r="R350" s="372"/>
      <c r="S350" s="372"/>
    </row>
    <row r="351" spans="1:19" x14ac:dyDescent="0.2">
      <c r="A351" s="378"/>
      <c r="B351" s="368"/>
      <c r="C351" s="368"/>
      <c r="D351" s="395" t="s">
        <v>1171</v>
      </c>
      <c r="G351" s="372"/>
      <c r="H351" s="389"/>
      <c r="I351" s="396"/>
      <c r="J351" s="397">
        <v>3</v>
      </c>
      <c r="K351" s="398"/>
      <c r="L351" s="399" t="s">
        <v>1451</v>
      </c>
      <c r="M351" s="398"/>
      <c r="N351" s="398"/>
      <c r="O351" s="431" t="s">
        <v>1171</v>
      </c>
      <c r="P351" s="372"/>
      <c r="Q351" s="372"/>
      <c r="R351" s="372"/>
      <c r="S351" s="372"/>
    </row>
    <row r="352" spans="1:19" x14ac:dyDescent="0.2">
      <c r="A352" s="378"/>
      <c r="B352" s="368"/>
      <c r="C352" s="368"/>
      <c r="D352" s="395" t="s">
        <v>1171</v>
      </c>
      <c r="G352" s="372"/>
      <c r="H352" s="389"/>
      <c r="I352" s="396"/>
      <c r="J352" s="397">
        <v>4</v>
      </c>
      <c r="K352" s="398"/>
      <c r="L352" s="399" t="s">
        <v>1449</v>
      </c>
      <c r="M352" s="398"/>
      <c r="N352" s="398"/>
      <c r="O352" s="431" t="s">
        <v>1171</v>
      </c>
      <c r="P352" s="372"/>
      <c r="Q352" s="372"/>
      <c r="R352" s="372"/>
      <c r="S352" s="372"/>
    </row>
    <row r="353" spans="1:19" x14ac:dyDescent="0.2">
      <c r="A353" s="378"/>
      <c r="B353" s="368"/>
      <c r="C353" s="368"/>
      <c r="D353" s="395" t="s">
        <v>1171</v>
      </c>
      <c r="G353" s="372"/>
      <c r="H353" s="389"/>
      <c r="I353" s="396"/>
      <c r="J353" s="397">
        <v>5</v>
      </c>
      <c r="K353" s="398"/>
      <c r="L353" s="399" t="s">
        <v>1380</v>
      </c>
      <c r="M353" s="398"/>
      <c r="N353" s="398"/>
      <c r="O353" s="431" t="s">
        <v>1171</v>
      </c>
      <c r="P353" s="372"/>
      <c r="Q353" s="372"/>
      <c r="R353" s="372"/>
      <c r="S353" s="372"/>
    </row>
    <row r="354" spans="1:19" x14ac:dyDescent="0.2">
      <c r="A354" s="378"/>
      <c r="B354" s="368"/>
      <c r="C354" s="368"/>
      <c r="D354" s="395" t="s">
        <v>1171</v>
      </c>
      <c r="G354" s="372"/>
      <c r="H354" s="389"/>
      <c r="I354" s="396"/>
      <c r="J354" s="397">
        <v>6</v>
      </c>
      <c r="K354" s="398"/>
      <c r="L354" s="399" t="s">
        <v>1452</v>
      </c>
      <c r="M354" s="398"/>
      <c r="N354" s="398"/>
      <c r="O354" s="431" t="s">
        <v>1171</v>
      </c>
      <c r="P354" s="372"/>
      <c r="Q354" s="372"/>
      <c r="R354" s="372"/>
      <c r="S354" s="372"/>
    </row>
    <row r="355" spans="1:19" x14ac:dyDescent="0.2">
      <c r="A355" s="378"/>
      <c r="B355" s="368"/>
      <c r="C355" s="368"/>
      <c r="D355" s="395" t="s">
        <v>1171</v>
      </c>
      <c r="G355" s="372"/>
      <c r="H355" s="389"/>
      <c r="I355" s="396"/>
      <c r="J355" s="397">
        <v>7</v>
      </c>
      <c r="K355" s="398"/>
      <c r="L355" s="399" t="s">
        <v>1453</v>
      </c>
      <c r="M355" s="398"/>
      <c r="N355" s="398"/>
      <c r="O355" s="431" t="s">
        <v>1171</v>
      </c>
      <c r="P355" s="372"/>
      <c r="Q355" s="372"/>
      <c r="R355" s="372"/>
      <c r="S355" s="372"/>
    </row>
    <row r="356" spans="1:19" x14ac:dyDescent="0.2">
      <c r="A356" s="378"/>
      <c r="B356" s="368"/>
      <c r="C356" s="368"/>
      <c r="D356" s="395" t="s">
        <v>1171</v>
      </c>
      <c r="G356" s="372"/>
      <c r="H356" s="389"/>
      <c r="I356" s="396"/>
      <c r="J356" s="397">
        <v>8</v>
      </c>
      <c r="K356" s="398"/>
      <c r="L356" s="399" t="s">
        <v>1454</v>
      </c>
      <c r="M356" s="398"/>
      <c r="N356" s="398"/>
      <c r="O356" s="431" t="s">
        <v>1171</v>
      </c>
      <c r="P356" s="372"/>
      <c r="Q356" s="372"/>
      <c r="R356" s="372"/>
      <c r="S356" s="372"/>
    </row>
    <row r="357" spans="1:19" x14ac:dyDescent="0.2">
      <c r="A357" s="378"/>
      <c r="B357" s="368"/>
      <c r="C357" s="368"/>
      <c r="D357" s="395" t="s">
        <v>1171</v>
      </c>
      <c r="G357" s="372"/>
      <c r="H357" s="389"/>
      <c r="I357" s="408"/>
      <c r="J357" s="403">
        <v>9</v>
      </c>
      <c r="K357" s="404"/>
      <c r="L357" s="405" t="s">
        <v>1441</v>
      </c>
      <c r="M357" s="404"/>
      <c r="N357" s="404"/>
      <c r="O357" s="450" t="s">
        <v>1171</v>
      </c>
      <c r="P357" s="372"/>
      <c r="Q357" s="372"/>
      <c r="R357" s="372"/>
      <c r="S357" s="372"/>
    </row>
    <row r="358" spans="1:19" x14ac:dyDescent="0.2">
      <c r="A358" s="378"/>
      <c r="B358" s="368"/>
      <c r="C358" s="368"/>
      <c r="D358" s="395"/>
      <c r="G358" s="372"/>
      <c r="H358" s="389"/>
      <c r="I358" s="403" t="s">
        <v>1165</v>
      </c>
      <c r="J358" s="396"/>
      <c r="K358" s="399" t="s">
        <v>1455</v>
      </c>
      <c r="L358" s="398"/>
      <c r="M358" s="398"/>
      <c r="N358" s="398"/>
      <c r="O358" s="431"/>
      <c r="P358" s="372"/>
      <c r="Q358" s="372"/>
      <c r="R358" s="372"/>
      <c r="S358" s="372"/>
    </row>
    <row r="359" spans="1:19" x14ac:dyDescent="0.2">
      <c r="A359" s="378"/>
      <c r="B359" s="368"/>
      <c r="C359" s="368"/>
      <c r="D359" s="395" t="s">
        <v>1171</v>
      </c>
      <c r="G359" s="372"/>
      <c r="H359" s="389"/>
      <c r="I359" s="396"/>
      <c r="J359" s="397">
        <v>1</v>
      </c>
      <c r="K359" s="398"/>
      <c r="L359" s="399" t="s">
        <v>1269</v>
      </c>
      <c r="M359" s="398"/>
      <c r="N359" s="398"/>
      <c r="O359" s="431" t="s">
        <v>1171</v>
      </c>
      <c r="P359" s="372"/>
      <c r="Q359" s="372"/>
      <c r="R359" s="372"/>
      <c r="S359" s="372"/>
    </row>
    <row r="360" spans="1:19" x14ac:dyDescent="0.2">
      <c r="A360" s="378"/>
      <c r="B360" s="368"/>
      <c r="C360" s="368"/>
      <c r="D360" s="395" t="s">
        <v>1171</v>
      </c>
      <c r="G360" s="372"/>
      <c r="H360" s="389"/>
      <c r="I360" s="396"/>
      <c r="J360" s="397">
        <v>2</v>
      </c>
      <c r="K360" s="398"/>
      <c r="L360" s="399" t="s">
        <v>1456</v>
      </c>
      <c r="M360" s="398"/>
      <c r="N360" s="398"/>
      <c r="O360" s="431" t="s">
        <v>1171</v>
      </c>
      <c r="P360" s="372"/>
      <c r="Q360" s="372"/>
      <c r="R360" s="372"/>
      <c r="S360" s="372"/>
    </row>
    <row r="361" spans="1:19" x14ac:dyDescent="0.2">
      <c r="A361" s="378"/>
      <c r="B361" s="368"/>
      <c r="C361" s="368"/>
      <c r="D361" s="395" t="s">
        <v>1171</v>
      </c>
      <c r="G361" s="372"/>
      <c r="H361" s="389"/>
      <c r="I361" s="396"/>
      <c r="J361" s="397">
        <v>3</v>
      </c>
      <c r="K361" s="398"/>
      <c r="L361" s="399" t="s">
        <v>1457</v>
      </c>
      <c r="M361" s="398"/>
      <c r="N361" s="398"/>
      <c r="O361" s="431" t="s">
        <v>1171</v>
      </c>
      <c r="P361" s="372"/>
      <c r="Q361" s="372"/>
      <c r="R361" s="372"/>
      <c r="S361" s="372"/>
    </row>
    <row r="362" spans="1:19" x14ac:dyDescent="0.2">
      <c r="A362" s="378"/>
      <c r="B362" s="368"/>
      <c r="C362" s="368"/>
      <c r="D362" s="395" t="s">
        <v>1171</v>
      </c>
      <c r="G362" s="372"/>
      <c r="H362" s="389"/>
      <c r="I362" s="396"/>
      <c r="J362" s="397">
        <v>4</v>
      </c>
      <c r="K362" s="398"/>
      <c r="L362" s="399" t="s">
        <v>1458</v>
      </c>
      <c r="M362" s="398"/>
      <c r="N362" s="398"/>
      <c r="O362" s="431" t="s">
        <v>1171</v>
      </c>
      <c r="P362" s="372"/>
      <c r="Q362" s="372"/>
      <c r="R362" s="372"/>
      <c r="S362" s="372"/>
    </row>
    <row r="363" spans="1:19" x14ac:dyDescent="0.2">
      <c r="A363" s="378"/>
      <c r="B363" s="368"/>
      <c r="C363" s="368"/>
      <c r="D363" s="395" t="s">
        <v>1171</v>
      </c>
      <c r="G363" s="372"/>
      <c r="H363" s="389"/>
      <c r="I363" s="396"/>
      <c r="J363" s="397">
        <v>5</v>
      </c>
      <c r="K363" s="398"/>
      <c r="L363" s="399" t="s">
        <v>1322</v>
      </c>
      <c r="M363" s="398"/>
      <c r="N363" s="398"/>
      <c r="O363" s="431" t="s">
        <v>1171</v>
      </c>
      <c r="P363" s="372"/>
      <c r="Q363" s="372"/>
      <c r="R363" s="372"/>
      <c r="S363" s="372"/>
    </row>
    <row r="364" spans="1:19" x14ac:dyDescent="0.2">
      <c r="A364" s="378"/>
      <c r="B364" s="368"/>
      <c r="C364" s="368"/>
      <c r="D364" s="395" t="s">
        <v>1171</v>
      </c>
      <c r="G364" s="372"/>
      <c r="H364" s="389"/>
      <c r="I364" s="396"/>
      <c r="J364" s="397">
        <v>6</v>
      </c>
      <c r="K364" s="398"/>
      <c r="L364" s="399" t="s">
        <v>1459</v>
      </c>
      <c r="M364" s="398"/>
      <c r="N364" s="398"/>
      <c r="O364" s="431" t="s">
        <v>1171</v>
      </c>
      <c r="P364" s="372"/>
      <c r="Q364" s="372"/>
      <c r="R364" s="372"/>
      <c r="S364" s="372"/>
    </row>
    <row r="365" spans="1:19" x14ac:dyDescent="0.2">
      <c r="A365" s="378"/>
      <c r="B365" s="368"/>
      <c r="C365" s="368"/>
      <c r="D365" s="395" t="s">
        <v>1171</v>
      </c>
      <c r="G365" s="372"/>
      <c r="H365" s="389"/>
      <c r="I365" s="396"/>
      <c r="J365" s="397">
        <v>7</v>
      </c>
      <c r="K365" s="398"/>
      <c r="L365" s="399" t="s">
        <v>1460</v>
      </c>
      <c r="M365" s="398"/>
      <c r="N365" s="398"/>
      <c r="O365" s="431" t="s">
        <v>1171</v>
      </c>
      <c r="P365" s="372"/>
      <c r="Q365" s="372"/>
      <c r="R365" s="372"/>
      <c r="S365" s="372"/>
    </row>
    <row r="366" spans="1:19" x14ac:dyDescent="0.2">
      <c r="A366" s="378"/>
      <c r="B366" s="368"/>
      <c r="C366" s="368"/>
      <c r="D366" s="395" t="s">
        <v>1171</v>
      </c>
      <c r="G366" s="372"/>
      <c r="H366" s="389"/>
      <c r="I366" s="408"/>
      <c r="J366" s="403">
        <v>8</v>
      </c>
      <c r="K366" s="404"/>
      <c r="L366" s="405" t="s">
        <v>1452</v>
      </c>
      <c r="M366" s="404"/>
      <c r="N366" s="404"/>
      <c r="O366" s="450" t="s">
        <v>1171</v>
      </c>
      <c r="P366" s="372"/>
      <c r="Q366" s="372"/>
      <c r="R366" s="372"/>
      <c r="S366" s="372"/>
    </row>
    <row r="367" spans="1:19" x14ac:dyDescent="0.2">
      <c r="A367" s="378"/>
      <c r="B367" s="368"/>
      <c r="C367" s="368"/>
      <c r="D367" s="395"/>
      <c r="G367" s="451"/>
      <c r="H367" s="389"/>
      <c r="I367" s="403" t="s">
        <v>1168</v>
      </c>
      <c r="J367" s="396"/>
      <c r="K367" s="399" t="s">
        <v>1455</v>
      </c>
      <c r="L367" s="398"/>
      <c r="M367" s="398"/>
      <c r="N367" s="398"/>
      <c r="O367" s="431"/>
      <c r="P367" s="451"/>
      <c r="Q367" s="451"/>
      <c r="R367" s="451"/>
      <c r="S367" s="451"/>
    </row>
    <row r="368" spans="1:19" x14ac:dyDescent="0.2">
      <c r="A368" s="378"/>
      <c r="B368" s="368"/>
      <c r="C368" s="368"/>
      <c r="D368" s="395" t="s">
        <v>1171</v>
      </c>
      <c r="G368" s="372"/>
      <c r="H368" s="389"/>
      <c r="I368" s="396"/>
      <c r="J368" s="397">
        <v>9</v>
      </c>
      <c r="K368" s="398"/>
      <c r="L368" s="399" t="s">
        <v>1444</v>
      </c>
      <c r="M368" s="398"/>
      <c r="N368" s="398"/>
      <c r="O368" s="431" t="s">
        <v>1171</v>
      </c>
      <c r="P368" s="372"/>
      <c r="Q368" s="372"/>
      <c r="R368" s="372"/>
      <c r="S368" s="372"/>
    </row>
    <row r="369" spans="1:19" x14ac:dyDescent="0.2">
      <c r="A369" s="378"/>
      <c r="B369" s="368"/>
      <c r="C369" s="368"/>
      <c r="D369" s="395" t="s">
        <v>1171</v>
      </c>
      <c r="G369" s="372"/>
      <c r="H369" s="389"/>
      <c r="I369" s="396"/>
      <c r="J369" s="397">
        <v>10</v>
      </c>
      <c r="K369" s="398"/>
      <c r="L369" s="399" t="s">
        <v>1461</v>
      </c>
      <c r="M369" s="398"/>
      <c r="N369" s="398"/>
      <c r="O369" s="431" t="s">
        <v>1171</v>
      </c>
      <c r="P369" s="372"/>
      <c r="Q369" s="372"/>
      <c r="R369" s="372"/>
      <c r="S369" s="372"/>
    </row>
    <row r="370" spans="1:19" x14ac:dyDescent="0.2">
      <c r="A370" s="378"/>
      <c r="B370" s="368"/>
      <c r="C370" s="368"/>
      <c r="D370" s="395" t="s">
        <v>1171</v>
      </c>
      <c r="G370" s="372"/>
      <c r="H370" s="389"/>
      <c r="I370" s="396"/>
      <c r="J370" s="397">
        <v>11</v>
      </c>
      <c r="K370" s="398"/>
      <c r="L370" s="399" t="s">
        <v>1453</v>
      </c>
      <c r="M370" s="398"/>
      <c r="N370" s="398"/>
      <c r="O370" s="431" t="s">
        <v>1171</v>
      </c>
      <c r="P370" s="372"/>
      <c r="Q370" s="372"/>
      <c r="R370" s="372"/>
      <c r="S370" s="372"/>
    </row>
    <row r="371" spans="1:19" x14ac:dyDescent="0.2">
      <c r="A371" s="378"/>
      <c r="B371" s="368"/>
      <c r="C371" s="368"/>
      <c r="D371" s="395" t="s">
        <v>1171</v>
      </c>
      <c r="G371" s="372"/>
      <c r="H371" s="389"/>
      <c r="I371" s="396"/>
      <c r="J371" s="397">
        <v>12</v>
      </c>
      <c r="K371" s="398"/>
      <c r="L371" s="399" t="s">
        <v>1462</v>
      </c>
      <c r="M371" s="398"/>
      <c r="N371" s="398"/>
      <c r="O371" s="431" t="s">
        <v>1171</v>
      </c>
      <c r="P371" s="372"/>
      <c r="Q371" s="372"/>
      <c r="R371" s="372"/>
      <c r="S371" s="372"/>
    </row>
    <row r="372" spans="1:19" x14ac:dyDescent="0.2">
      <c r="A372" s="378"/>
      <c r="B372" s="368"/>
      <c r="C372" s="368"/>
      <c r="D372" s="395" t="s">
        <v>1171</v>
      </c>
      <c r="G372" s="372"/>
      <c r="H372" s="389"/>
      <c r="I372" s="396"/>
      <c r="J372" s="397">
        <v>13</v>
      </c>
      <c r="K372" s="398"/>
      <c r="L372" s="399" t="s">
        <v>1454</v>
      </c>
      <c r="M372" s="398"/>
      <c r="N372" s="398"/>
      <c r="O372" s="431" t="s">
        <v>1171</v>
      </c>
      <c r="P372" s="372"/>
      <c r="Q372" s="372"/>
      <c r="R372" s="372"/>
      <c r="S372" s="372"/>
    </row>
    <row r="373" spans="1:19" x14ac:dyDescent="0.2">
      <c r="A373" s="378"/>
      <c r="B373" s="368"/>
      <c r="C373" s="368"/>
      <c r="D373" s="395" t="s">
        <v>1171</v>
      </c>
      <c r="G373" s="372"/>
      <c r="H373" s="389"/>
      <c r="I373" s="408"/>
      <c r="J373" s="403">
        <v>14</v>
      </c>
      <c r="K373" s="404"/>
      <c r="L373" s="405" t="s">
        <v>1463</v>
      </c>
      <c r="M373" s="404"/>
      <c r="N373" s="404"/>
      <c r="O373" s="450" t="s">
        <v>1171</v>
      </c>
      <c r="P373" s="372"/>
      <c r="Q373" s="372"/>
      <c r="R373" s="372"/>
      <c r="S373" s="372"/>
    </row>
    <row r="374" spans="1:19" x14ac:dyDescent="0.2">
      <c r="A374" s="378"/>
      <c r="B374" s="368"/>
      <c r="C374" s="368"/>
      <c r="D374" s="395"/>
      <c r="G374" s="372"/>
      <c r="H374" s="389"/>
      <c r="I374" s="403" t="s">
        <v>1172</v>
      </c>
      <c r="J374" s="396"/>
      <c r="K374" s="399" t="s">
        <v>1464</v>
      </c>
      <c r="L374" s="398"/>
      <c r="M374" s="398"/>
      <c r="N374" s="398"/>
      <c r="O374" s="431"/>
      <c r="P374" s="372"/>
      <c r="Q374" s="372"/>
      <c r="R374" s="372"/>
      <c r="S374" s="372"/>
    </row>
    <row r="375" spans="1:19" x14ac:dyDescent="0.2">
      <c r="A375" s="378"/>
      <c r="B375" s="368"/>
      <c r="C375" s="368"/>
      <c r="D375" s="395" t="s">
        <v>1171</v>
      </c>
      <c r="G375" s="372"/>
      <c r="H375" s="389"/>
      <c r="I375" s="396"/>
      <c r="J375" s="397">
        <v>1</v>
      </c>
      <c r="K375" s="398"/>
      <c r="L375" s="399" t="s">
        <v>1269</v>
      </c>
      <c r="M375" s="398"/>
      <c r="N375" s="398"/>
      <c r="O375" s="431" t="s">
        <v>1171</v>
      </c>
      <c r="P375" s="372"/>
      <c r="Q375" s="372"/>
      <c r="R375" s="372"/>
      <c r="S375" s="372"/>
    </row>
    <row r="376" spans="1:19" x14ac:dyDescent="0.2">
      <c r="A376" s="378"/>
      <c r="B376" s="368"/>
      <c r="C376" s="368"/>
      <c r="D376" s="395" t="s">
        <v>1171</v>
      </c>
      <c r="G376" s="372"/>
      <c r="H376" s="389"/>
      <c r="I376" s="396"/>
      <c r="J376" s="397">
        <v>2</v>
      </c>
      <c r="K376" s="398"/>
      <c r="L376" s="399" t="s">
        <v>1456</v>
      </c>
      <c r="M376" s="398"/>
      <c r="N376" s="398"/>
      <c r="O376" s="431" t="s">
        <v>1171</v>
      </c>
      <c r="P376" s="372"/>
      <c r="Q376" s="372"/>
      <c r="R376" s="372"/>
      <c r="S376" s="372"/>
    </row>
    <row r="377" spans="1:19" x14ac:dyDescent="0.2">
      <c r="A377" s="378"/>
      <c r="B377" s="368"/>
      <c r="C377" s="368"/>
      <c r="D377" s="395" t="s">
        <v>1171</v>
      </c>
      <c r="G377" s="372"/>
      <c r="H377" s="389"/>
      <c r="I377" s="396"/>
      <c r="J377" s="397">
        <v>3</v>
      </c>
      <c r="K377" s="398"/>
      <c r="L377" s="399" t="s">
        <v>1457</v>
      </c>
      <c r="M377" s="398"/>
      <c r="N377" s="398"/>
      <c r="O377" s="431" t="s">
        <v>1171</v>
      </c>
      <c r="P377" s="372"/>
      <c r="Q377" s="372"/>
      <c r="R377" s="372"/>
      <c r="S377" s="372"/>
    </row>
    <row r="378" spans="1:19" x14ac:dyDescent="0.2">
      <c r="A378" s="378"/>
      <c r="B378" s="368"/>
      <c r="C378" s="368"/>
      <c r="D378" s="395" t="s">
        <v>1171</v>
      </c>
      <c r="G378" s="372"/>
      <c r="H378" s="389"/>
      <c r="I378" s="396"/>
      <c r="J378" s="397">
        <v>4</v>
      </c>
      <c r="K378" s="398"/>
      <c r="L378" s="399" t="s">
        <v>1458</v>
      </c>
      <c r="M378" s="398"/>
      <c r="N378" s="398"/>
      <c r="O378" s="431" t="s">
        <v>1171</v>
      </c>
      <c r="P378" s="372"/>
      <c r="Q378" s="372"/>
      <c r="R378" s="372"/>
      <c r="S378" s="372"/>
    </row>
    <row r="379" spans="1:19" x14ac:dyDescent="0.2">
      <c r="A379" s="378"/>
      <c r="B379" s="368"/>
      <c r="C379" s="368"/>
      <c r="D379" s="395" t="s">
        <v>1171</v>
      </c>
      <c r="G379" s="372"/>
      <c r="H379" s="389"/>
      <c r="I379" s="396"/>
      <c r="J379" s="397">
        <v>5</v>
      </c>
      <c r="K379" s="398"/>
      <c r="L379" s="399" t="s">
        <v>1322</v>
      </c>
      <c r="M379" s="398"/>
      <c r="N379" s="398"/>
      <c r="O379" s="431" t="s">
        <v>1171</v>
      </c>
      <c r="P379" s="372"/>
      <c r="Q379" s="372"/>
      <c r="R379" s="372"/>
      <c r="S379" s="372"/>
    </row>
    <row r="380" spans="1:19" x14ac:dyDescent="0.2">
      <c r="A380" s="378"/>
      <c r="B380" s="368"/>
      <c r="C380" s="368"/>
      <c r="D380" s="395" t="s">
        <v>1171</v>
      </c>
      <c r="G380" s="372"/>
      <c r="H380" s="389"/>
      <c r="I380" s="396"/>
      <c r="J380" s="397">
        <v>6</v>
      </c>
      <c r="K380" s="398"/>
      <c r="L380" s="399" t="s">
        <v>1459</v>
      </c>
      <c r="M380" s="398"/>
      <c r="N380" s="398"/>
      <c r="O380" s="431" t="s">
        <v>1171</v>
      </c>
      <c r="P380" s="372"/>
      <c r="Q380" s="372"/>
      <c r="R380" s="372"/>
      <c r="S380" s="372"/>
    </row>
    <row r="381" spans="1:19" x14ac:dyDescent="0.2">
      <c r="A381" s="378"/>
      <c r="B381" s="368"/>
      <c r="C381" s="368"/>
      <c r="D381" s="395" t="s">
        <v>1171</v>
      </c>
      <c r="G381" s="372"/>
      <c r="H381" s="389"/>
      <c r="I381" s="396"/>
      <c r="J381" s="397">
        <v>7</v>
      </c>
      <c r="K381" s="398"/>
      <c r="L381" s="399" t="s">
        <v>1465</v>
      </c>
      <c r="M381" s="398"/>
      <c r="N381" s="398"/>
      <c r="O381" s="431" t="s">
        <v>1171</v>
      </c>
      <c r="P381" s="372"/>
      <c r="Q381" s="372"/>
      <c r="R381" s="372"/>
      <c r="S381" s="372"/>
    </row>
    <row r="382" spans="1:19" x14ac:dyDescent="0.2">
      <c r="A382" s="378"/>
      <c r="B382" s="368"/>
      <c r="C382" s="368"/>
      <c r="D382" s="395" t="s">
        <v>1171</v>
      </c>
      <c r="G382" s="372"/>
      <c r="H382" s="389"/>
      <c r="I382" s="396"/>
      <c r="J382" s="397">
        <v>8</v>
      </c>
      <c r="K382" s="398"/>
      <c r="L382" s="399" t="s">
        <v>1452</v>
      </c>
      <c r="M382" s="398"/>
      <c r="N382" s="398"/>
      <c r="O382" s="431" t="s">
        <v>1171</v>
      </c>
      <c r="P382" s="372"/>
      <c r="Q382" s="372"/>
      <c r="R382" s="372"/>
      <c r="S382" s="372"/>
    </row>
    <row r="383" spans="1:19" ht="15.75" thickBot="1" x14ac:dyDescent="0.25">
      <c r="A383" s="378"/>
      <c r="B383" s="368"/>
      <c r="C383" s="368"/>
      <c r="D383" s="395" t="s">
        <v>1171</v>
      </c>
      <c r="G383" s="372"/>
      <c r="H383" s="442"/>
      <c r="I383" s="443"/>
      <c r="J383" s="444">
        <v>9</v>
      </c>
      <c r="K383" s="445"/>
      <c r="L383" s="446" t="s">
        <v>1444</v>
      </c>
      <c r="M383" s="445"/>
      <c r="N383" s="445"/>
      <c r="O383" s="500" t="s">
        <v>1171</v>
      </c>
      <c r="P383" s="372"/>
      <c r="Q383" s="372"/>
      <c r="R383" s="372"/>
      <c r="S383" s="372"/>
    </row>
    <row r="384" spans="1:19" x14ac:dyDescent="0.2">
      <c r="A384" s="378"/>
      <c r="B384" s="368"/>
      <c r="C384" s="368"/>
      <c r="D384" s="395"/>
      <c r="G384" s="398"/>
      <c r="H384" s="448"/>
      <c r="I384" s="396"/>
      <c r="J384" s="396"/>
      <c r="K384" s="398"/>
      <c r="L384" s="399"/>
      <c r="M384" s="398"/>
      <c r="N384" s="398"/>
      <c r="O384" s="506"/>
      <c r="P384" s="398"/>
      <c r="Q384" s="398"/>
      <c r="R384" s="398"/>
      <c r="S384" s="398"/>
    </row>
    <row r="385" spans="1:19" x14ac:dyDescent="0.2">
      <c r="A385" s="378"/>
      <c r="B385" s="368"/>
      <c r="C385" s="368"/>
      <c r="D385" s="395"/>
      <c r="G385" s="398"/>
      <c r="H385" s="448"/>
      <c r="I385" s="396"/>
      <c r="J385" s="396"/>
      <c r="K385" s="398"/>
      <c r="L385" s="399"/>
      <c r="M385" s="398"/>
      <c r="N385" s="398"/>
      <c r="O385" s="506"/>
      <c r="P385" s="398"/>
      <c r="Q385" s="398"/>
      <c r="R385" s="398"/>
      <c r="S385" s="398"/>
    </row>
    <row r="386" spans="1:19" x14ac:dyDescent="0.2">
      <c r="A386" s="378">
        <v>43</v>
      </c>
      <c r="B386" s="368" t="s">
        <v>1436</v>
      </c>
      <c r="C386" s="368" t="s">
        <v>1437</v>
      </c>
      <c r="D386" s="395"/>
      <c r="G386" s="372"/>
      <c r="H386" s="416">
        <v>43</v>
      </c>
      <c r="I386" s="418"/>
      <c r="J386" s="429"/>
      <c r="K386" s="486" t="s">
        <v>1437</v>
      </c>
      <c r="L386" s="429"/>
      <c r="M386" s="429"/>
      <c r="N386" s="429"/>
      <c r="O386" s="440"/>
      <c r="P386" s="372"/>
      <c r="Q386" s="387">
        <f>H386</f>
        <v>43</v>
      </c>
      <c r="R386" s="377" t="str">
        <f>CONCATENATE("II-",TEXT(Q386,"0000"))</f>
        <v>II-0043</v>
      </c>
      <c r="S386" s="388" t="str">
        <f>K386</f>
        <v>HORMIGON CEMENTO PORTLAND EXCLUIDA LA ARAMDURA</v>
      </c>
    </row>
    <row r="387" spans="1:19" x14ac:dyDescent="0.2">
      <c r="A387" s="378"/>
      <c r="B387" s="368"/>
      <c r="C387" s="368"/>
      <c r="D387" s="395"/>
      <c r="G387" s="451"/>
      <c r="H387" s="473"/>
      <c r="I387" s="403" t="s">
        <v>1172</v>
      </c>
      <c r="J387" s="396"/>
      <c r="K387" s="399" t="s">
        <v>1464</v>
      </c>
      <c r="L387" s="475"/>
      <c r="M387" s="475"/>
      <c r="N387" s="475"/>
      <c r="O387" s="462"/>
      <c r="P387" s="451"/>
      <c r="Q387" s="451"/>
      <c r="R387" s="451"/>
      <c r="S387" s="451"/>
    </row>
    <row r="388" spans="1:19" x14ac:dyDescent="0.2">
      <c r="A388" s="378"/>
      <c r="B388" s="368"/>
      <c r="C388" s="368"/>
      <c r="D388" s="395" t="s">
        <v>1171</v>
      </c>
      <c r="G388" s="372"/>
      <c r="H388" s="389"/>
      <c r="I388" s="396"/>
      <c r="J388" s="397">
        <v>10</v>
      </c>
      <c r="K388" s="398"/>
      <c r="L388" s="399" t="s">
        <v>1461</v>
      </c>
      <c r="M388" s="398"/>
      <c r="N388" s="398"/>
      <c r="O388" s="431" t="s">
        <v>1171</v>
      </c>
      <c r="P388" s="372"/>
      <c r="Q388" s="372"/>
      <c r="R388" s="372"/>
      <c r="S388" s="372"/>
    </row>
    <row r="389" spans="1:19" x14ac:dyDescent="0.2">
      <c r="A389" s="378"/>
      <c r="B389" s="368"/>
      <c r="C389" s="368"/>
      <c r="D389" s="395" t="s">
        <v>1171</v>
      </c>
      <c r="G389" s="372"/>
      <c r="H389" s="389"/>
      <c r="I389" s="396"/>
      <c r="J389" s="397">
        <v>11</v>
      </c>
      <c r="K389" s="398"/>
      <c r="L389" s="399" t="s">
        <v>1453</v>
      </c>
      <c r="M389" s="398"/>
      <c r="N389" s="398"/>
      <c r="O389" s="431" t="s">
        <v>1171</v>
      </c>
      <c r="P389" s="372"/>
      <c r="Q389" s="372"/>
      <c r="R389" s="372"/>
      <c r="S389" s="372"/>
    </row>
    <row r="390" spans="1:19" x14ac:dyDescent="0.2">
      <c r="A390" s="378"/>
      <c r="B390" s="368"/>
      <c r="C390" s="368"/>
      <c r="D390" s="395" t="s">
        <v>1171</v>
      </c>
      <c r="G390" s="372"/>
      <c r="H390" s="389"/>
      <c r="I390" s="396"/>
      <c r="J390" s="397">
        <v>12</v>
      </c>
      <c r="K390" s="398"/>
      <c r="L390" s="399" t="s">
        <v>1462</v>
      </c>
      <c r="M390" s="398"/>
      <c r="N390" s="398"/>
      <c r="O390" s="431" t="s">
        <v>1171</v>
      </c>
      <c r="P390" s="372"/>
      <c r="Q390" s="372"/>
      <c r="R390" s="372"/>
      <c r="S390" s="372"/>
    </row>
    <row r="391" spans="1:19" x14ac:dyDescent="0.2">
      <c r="A391" s="378"/>
      <c r="B391" s="368"/>
      <c r="C391" s="368"/>
      <c r="D391" s="395" t="s">
        <v>1171</v>
      </c>
      <c r="G391" s="372"/>
      <c r="H391" s="389"/>
      <c r="I391" s="396"/>
      <c r="J391" s="397">
        <v>13</v>
      </c>
      <c r="K391" s="398"/>
      <c r="L391" s="399" t="s">
        <v>1454</v>
      </c>
      <c r="M391" s="398"/>
      <c r="N391" s="398"/>
      <c r="O391" s="431" t="s">
        <v>1171</v>
      </c>
      <c r="P391" s="372"/>
      <c r="Q391" s="372"/>
      <c r="R391" s="372"/>
      <c r="S391" s="372"/>
    </row>
    <row r="392" spans="1:19" x14ac:dyDescent="0.2">
      <c r="A392" s="378"/>
      <c r="B392" s="368"/>
      <c r="C392" s="368"/>
      <c r="D392" s="395" t="s">
        <v>1171</v>
      </c>
      <c r="G392" s="372"/>
      <c r="H392" s="389"/>
      <c r="I392" s="408"/>
      <c r="J392" s="403">
        <v>14</v>
      </c>
      <c r="K392" s="404"/>
      <c r="L392" s="405" t="s">
        <v>1463</v>
      </c>
      <c r="M392" s="404"/>
      <c r="N392" s="404"/>
      <c r="O392" s="450" t="s">
        <v>1171</v>
      </c>
      <c r="P392" s="372"/>
      <c r="Q392" s="372"/>
      <c r="R392" s="372"/>
      <c r="S392" s="372"/>
    </row>
    <row r="393" spans="1:19" x14ac:dyDescent="0.2">
      <c r="A393" s="378"/>
      <c r="B393" s="368"/>
      <c r="C393" s="368"/>
      <c r="D393" s="395"/>
      <c r="G393" s="372"/>
      <c r="H393" s="389"/>
      <c r="I393" s="403" t="s">
        <v>1175</v>
      </c>
      <c r="J393" s="396"/>
      <c r="K393" s="399" t="s">
        <v>1466</v>
      </c>
      <c r="L393" s="398"/>
      <c r="M393" s="398"/>
      <c r="N393" s="398"/>
      <c r="O393" s="431"/>
      <c r="P393" s="372"/>
      <c r="Q393" s="372"/>
      <c r="R393" s="372"/>
      <c r="S393" s="372"/>
    </row>
    <row r="394" spans="1:19" x14ac:dyDescent="0.2">
      <c r="A394" s="378"/>
      <c r="B394" s="368"/>
      <c r="C394" s="368"/>
      <c r="D394" s="395" t="s">
        <v>1171</v>
      </c>
      <c r="G394" s="372"/>
      <c r="H394" s="389"/>
      <c r="I394" s="396"/>
      <c r="J394" s="397">
        <v>1</v>
      </c>
      <c r="K394" s="398"/>
      <c r="L394" s="399" t="s">
        <v>1457</v>
      </c>
      <c r="M394" s="398"/>
      <c r="N394" s="398"/>
      <c r="O394" s="431" t="s">
        <v>1171</v>
      </c>
      <c r="P394" s="372"/>
      <c r="Q394" s="372"/>
      <c r="R394" s="372"/>
      <c r="S394" s="372"/>
    </row>
    <row r="395" spans="1:19" x14ac:dyDescent="0.2">
      <c r="A395" s="378"/>
      <c r="B395" s="368"/>
      <c r="C395" s="368"/>
      <c r="D395" s="395" t="s">
        <v>1171</v>
      </c>
      <c r="G395" s="372"/>
      <c r="H395" s="389"/>
      <c r="I395" s="396"/>
      <c r="J395" s="397">
        <v>2</v>
      </c>
      <c r="K395" s="398"/>
      <c r="L395" s="399" t="s">
        <v>1458</v>
      </c>
      <c r="M395" s="398"/>
      <c r="N395" s="398"/>
      <c r="O395" s="431" t="s">
        <v>1171</v>
      </c>
      <c r="P395" s="372"/>
      <c r="Q395" s="372"/>
      <c r="R395" s="372"/>
      <c r="S395" s="372"/>
    </row>
    <row r="396" spans="1:19" x14ac:dyDescent="0.2">
      <c r="A396" s="378"/>
      <c r="B396" s="368"/>
      <c r="C396" s="368"/>
      <c r="D396" s="395" t="s">
        <v>1171</v>
      </c>
      <c r="G396" s="372"/>
      <c r="H396" s="389"/>
      <c r="I396" s="396"/>
      <c r="J396" s="397">
        <v>3</v>
      </c>
      <c r="K396" s="398"/>
      <c r="L396" s="399" t="s">
        <v>1322</v>
      </c>
      <c r="M396" s="398"/>
      <c r="N396" s="398"/>
      <c r="O396" s="431" t="s">
        <v>1171</v>
      </c>
      <c r="P396" s="372"/>
      <c r="Q396" s="372"/>
      <c r="R396" s="372"/>
      <c r="S396" s="372"/>
    </row>
    <row r="397" spans="1:19" x14ac:dyDescent="0.2">
      <c r="A397" s="378"/>
      <c r="B397" s="368"/>
      <c r="C397" s="368"/>
      <c r="D397" s="395" t="s">
        <v>1171</v>
      </c>
      <c r="G397" s="372"/>
      <c r="H397" s="389"/>
      <c r="I397" s="396"/>
      <c r="J397" s="397">
        <v>4</v>
      </c>
      <c r="K397" s="398"/>
      <c r="L397" s="399" t="s">
        <v>1459</v>
      </c>
      <c r="M397" s="398"/>
      <c r="N397" s="398"/>
      <c r="O397" s="431" t="s">
        <v>1171</v>
      </c>
      <c r="P397" s="372"/>
      <c r="Q397" s="372"/>
      <c r="R397" s="372"/>
      <c r="S397" s="372"/>
    </row>
    <row r="398" spans="1:19" x14ac:dyDescent="0.2">
      <c r="A398" s="378"/>
      <c r="B398" s="368"/>
      <c r="C398" s="368"/>
      <c r="D398" s="395" t="s">
        <v>1171</v>
      </c>
      <c r="G398" s="372"/>
      <c r="H398" s="389"/>
      <c r="I398" s="396"/>
      <c r="J398" s="397">
        <v>5</v>
      </c>
      <c r="K398" s="398"/>
      <c r="L398" s="399" t="s">
        <v>1465</v>
      </c>
      <c r="M398" s="398"/>
      <c r="N398" s="398"/>
      <c r="O398" s="431" t="s">
        <v>1171</v>
      </c>
      <c r="P398" s="372"/>
      <c r="Q398" s="372"/>
      <c r="R398" s="372"/>
      <c r="S398" s="372"/>
    </row>
    <row r="399" spans="1:19" x14ac:dyDescent="0.2">
      <c r="A399" s="378"/>
      <c r="B399" s="368"/>
      <c r="C399" s="368"/>
      <c r="D399" s="395" t="s">
        <v>1171</v>
      </c>
      <c r="G399" s="372"/>
      <c r="H399" s="389"/>
      <c r="I399" s="396"/>
      <c r="J399" s="397">
        <v>6</v>
      </c>
      <c r="K399" s="398"/>
      <c r="L399" s="399" t="s">
        <v>1444</v>
      </c>
      <c r="M399" s="398"/>
      <c r="N399" s="398"/>
      <c r="O399" s="431" t="s">
        <v>1171</v>
      </c>
      <c r="P399" s="372"/>
      <c r="Q399" s="372"/>
      <c r="R399" s="372"/>
      <c r="S399" s="372"/>
    </row>
    <row r="400" spans="1:19" x14ac:dyDescent="0.2">
      <c r="A400" s="378"/>
      <c r="B400" s="368"/>
      <c r="C400" s="368"/>
      <c r="D400" s="395" t="s">
        <v>1171</v>
      </c>
      <c r="G400" s="372"/>
      <c r="H400" s="389"/>
      <c r="I400" s="396"/>
      <c r="J400" s="397">
        <v>7</v>
      </c>
      <c r="K400" s="398"/>
      <c r="L400" s="399" t="s">
        <v>1461</v>
      </c>
      <c r="M400" s="398"/>
      <c r="N400" s="398"/>
      <c r="O400" s="431" t="s">
        <v>1171</v>
      </c>
      <c r="P400" s="372"/>
      <c r="Q400" s="372"/>
      <c r="R400" s="372"/>
      <c r="S400" s="372"/>
    </row>
    <row r="401" spans="1:19" x14ac:dyDescent="0.2">
      <c r="A401" s="378"/>
      <c r="B401" s="368"/>
      <c r="C401" s="368"/>
      <c r="D401" s="395" t="s">
        <v>1171</v>
      </c>
      <c r="G401" s="372"/>
      <c r="H401" s="389"/>
      <c r="I401" s="396"/>
      <c r="J401" s="397">
        <v>8</v>
      </c>
      <c r="K401" s="398"/>
      <c r="L401" s="399" t="s">
        <v>1453</v>
      </c>
      <c r="M401" s="398"/>
      <c r="N401" s="398"/>
      <c r="O401" s="431" t="s">
        <v>1171</v>
      </c>
      <c r="P401" s="372"/>
      <c r="Q401" s="372"/>
      <c r="R401" s="372"/>
      <c r="S401" s="372"/>
    </row>
    <row r="402" spans="1:19" x14ac:dyDescent="0.2">
      <c r="A402" s="378"/>
      <c r="B402" s="368"/>
      <c r="C402" s="368"/>
      <c r="D402" s="395" t="s">
        <v>1171</v>
      </c>
      <c r="G402" s="372"/>
      <c r="H402" s="389"/>
      <c r="I402" s="396"/>
      <c r="J402" s="397">
        <v>9</v>
      </c>
      <c r="K402" s="398"/>
      <c r="L402" s="399" t="s">
        <v>1462</v>
      </c>
      <c r="M402" s="398"/>
      <c r="N402" s="398"/>
      <c r="O402" s="431" t="s">
        <v>1171</v>
      </c>
      <c r="P402" s="372"/>
      <c r="Q402" s="372"/>
      <c r="R402" s="372"/>
      <c r="S402" s="372"/>
    </row>
    <row r="403" spans="1:19" ht="15.75" thickBot="1" x14ac:dyDescent="0.25">
      <c r="A403" s="378"/>
      <c r="B403" s="368"/>
      <c r="C403" s="368"/>
      <c r="D403" s="395" t="s">
        <v>1171</v>
      </c>
      <c r="G403" s="372"/>
      <c r="H403" s="409"/>
      <c r="I403" s="410"/>
      <c r="J403" s="411">
        <v>10</v>
      </c>
      <c r="K403" s="412"/>
      <c r="L403" s="413" t="s">
        <v>1463</v>
      </c>
      <c r="M403" s="412"/>
      <c r="N403" s="412"/>
      <c r="O403" s="497" t="s">
        <v>1171</v>
      </c>
      <c r="P403" s="372"/>
      <c r="Q403" s="372"/>
      <c r="R403" s="372"/>
      <c r="S403" s="372"/>
    </row>
    <row r="404" spans="1:19" ht="15.75" thickTop="1" x14ac:dyDescent="0.2">
      <c r="A404" s="378">
        <v>44</v>
      </c>
      <c r="B404" s="368" t="s">
        <v>1467</v>
      </c>
      <c r="C404" s="368" t="s">
        <v>1468</v>
      </c>
      <c r="D404" s="395"/>
      <c r="G404" s="372"/>
      <c r="H404" s="416">
        <v>44</v>
      </c>
      <c r="I404" s="418"/>
      <c r="J404" s="429"/>
      <c r="K404" s="486" t="s">
        <v>1468</v>
      </c>
      <c r="L404" s="429"/>
      <c r="M404" s="429"/>
      <c r="N404" s="429"/>
      <c r="O404" s="440"/>
      <c r="P404" s="372"/>
      <c r="Q404" s="387">
        <f>H404</f>
        <v>44</v>
      </c>
      <c r="R404" s="377" t="str">
        <f>CONCATENATE("II-",TEXT(Q404,"0000"))</f>
        <v>II-0044</v>
      </c>
      <c r="S404" s="388" t="str">
        <f>K404</f>
        <v>HORMIGON  ARS EXCLUIDA LA ARAMDURA</v>
      </c>
    </row>
    <row r="405" spans="1:19" x14ac:dyDescent="0.2">
      <c r="A405" s="378"/>
      <c r="B405" s="368"/>
      <c r="C405" s="368"/>
      <c r="D405" s="395"/>
      <c r="G405" s="372"/>
      <c r="H405" s="389"/>
      <c r="I405" s="403" t="s">
        <v>1060</v>
      </c>
      <c r="J405" s="396"/>
      <c r="K405" s="399" t="s">
        <v>1438</v>
      </c>
      <c r="L405" s="398"/>
      <c r="M405" s="398"/>
      <c r="N405" s="398"/>
      <c r="O405" s="431"/>
      <c r="P405" s="372"/>
      <c r="Q405" s="372"/>
      <c r="R405" s="372"/>
      <c r="S405" s="372"/>
    </row>
    <row r="406" spans="1:19" x14ac:dyDescent="0.2">
      <c r="A406" s="378"/>
      <c r="B406" s="368"/>
      <c r="C406" s="368"/>
      <c r="D406" s="395" t="s">
        <v>1171</v>
      </c>
      <c r="G406" s="372"/>
      <c r="H406" s="389"/>
      <c r="I406" s="396"/>
      <c r="J406" s="397">
        <v>1</v>
      </c>
      <c r="K406" s="398"/>
      <c r="L406" s="399" t="s">
        <v>1269</v>
      </c>
      <c r="M406" s="398"/>
      <c r="N406" s="398"/>
      <c r="O406" s="431" t="s">
        <v>1171</v>
      </c>
      <c r="P406" s="372"/>
      <c r="Q406" s="372"/>
      <c r="R406" s="372"/>
      <c r="S406" s="372"/>
    </row>
    <row r="407" spans="1:19" x14ac:dyDescent="0.2">
      <c r="A407" s="378"/>
      <c r="B407" s="368"/>
      <c r="C407" s="368"/>
      <c r="D407" s="395" t="s">
        <v>1171</v>
      </c>
      <c r="G407" s="372"/>
      <c r="H407" s="389"/>
      <c r="I407" s="396"/>
      <c r="J407" s="397">
        <v>2</v>
      </c>
      <c r="K407" s="398"/>
      <c r="L407" s="399" t="s">
        <v>1440</v>
      </c>
      <c r="M407" s="398"/>
      <c r="N407" s="398"/>
      <c r="O407" s="431" t="s">
        <v>1171</v>
      </c>
      <c r="P407" s="372"/>
      <c r="Q407" s="372"/>
      <c r="R407" s="372"/>
      <c r="S407" s="372"/>
    </row>
    <row r="408" spans="1:19" x14ac:dyDescent="0.2">
      <c r="A408" s="378"/>
      <c r="B408" s="368"/>
      <c r="C408" s="368"/>
      <c r="D408" s="395" t="s">
        <v>1171</v>
      </c>
      <c r="G408" s="372"/>
      <c r="H408" s="389"/>
      <c r="I408" s="396"/>
      <c r="J408" s="397">
        <v>3</v>
      </c>
      <c r="K408" s="398"/>
      <c r="L408" s="399" t="s">
        <v>1469</v>
      </c>
      <c r="M408" s="398"/>
      <c r="N408" s="398"/>
      <c r="O408" s="431" t="s">
        <v>1171</v>
      </c>
      <c r="P408" s="372"/>
      <c r="Q408" s="372"/>
      <c r="R408" s="372"/>
      <c r="S408" s="372"/>
    </row>
    <row r="409" spans="1:19" x14ac:dyDescent="0.2">
      <c r="A409" s="378"/>
      <c r="B409" s="368"/>
      <c r="C409" s="368"/>
      <c r="D409" s="395" t="s">
        <v>1171</v>
      </c>
      <c r="G409" s="372"/>
      <c r="H409" s="389"/>
      <c r="I409" s="396"/>
      <c r="J409" s="397">
        <v>4</v>
      </c>
      <c r="K409" s="398"/>
      <c r="L409" s="399" t="s">
        <v>1420</v>
      </c>
      <c r="M409" s="398"/>
      <c r="N409" s="398"/>
      <c r="O409" s="431" t="s">
        <v>1171</v>
      </c>
      <c r="P409" s="372"/>
      <c r="Q409" s="372"/>
      <c r="R409" s="372"/>
      <c r="S409" s="372"/>
    </row>
    <row r="410" spans="1:19" x14ac:dyDescent="0.2">
      <c r="A410" s="378"/>
      <c r="B410" s="368"/>
      <c r="C410" s="368"/>
      <c r="D410" s="395" t="s">
        <v>1171</v>
      </c>
      <c r="G410" s="372"/>
      <c r="H410" s="389"/>
      <c r="I410" s="408"/>
      <c r="J410" s="403">
        <v>5</v>
      </c>
      <c r="K410" s="404"/>
      <c r="L410" s="405" t="s">
        <v>1441</v>
      </c>
      <c r="M410" s="404"/>
      <c r="N410" s="404"/>
      <c r="O410" s="450" t="s">
        <v>1171</v>
      </c>
      <c r="P410" s="372"/>
      <c r="Q410" s="372"/>
      <c r="R410" s="372"/>
      <c r="S410" s="372"/>
    </row>
    <row r="411" spans="1:19" x14ac:dyDescent="0.2">
      <c r="A411" s="378"/>
      <c r="B411" s="368"/>
      <c r="C411" s="368"/>
      <c r="D411" s="395"/>
      <c r="G411" s="372"/>
      <c r="H411" s="389"/>
      <c r="I411" s="403" t="s">
        <v>1087</v>
      </c>
      <c r="J411" s="396"/>
      <c r="K411" s="399" t="s">
        <v>1442</v>
      </c>
      <c r="L411" s="398"/>
      <c r="M411" s="398"/>
      <c r="N411" s="398"/>
      <c r="O411" s="431"/>
      <c r="P411" s="372"/>
      <c r="Q411" s="372"/>
      <c r="R411" s="372"/>
      <c r="S411" s="372"/>
    </row>
    <row r="412" spans="1:19" x14ac:dyDescent="0.2">
      <c r="A412" s="378"/>
      <c r="B412" s="368"/>
      <c r="C412" s="368"/>
      <c r="D412" s="395" t="s">
        <v>1171</v>
      </c>
      <c r="G412" s="372"/>
      <c r="H412" s="389"/>
      <c r="I412" s="396"/>
      <c r="J412" s="397">
        <v>1</v>
      </c>
      <c r="K412" s="398"/>
      <c r="L412" s="399" t="s">
        <v>1269</v>
      </c>
      <c r="M412" s="398"/>
      <c r="N412" s="398"/>
      <c r="O412" s="431" t="s">
        <v>1171</v>
      </c>
      <c r="P412" s="372"/>
      <c r="Q412" s="372"/>
      <c r="R412" s="372"/>
      <c r="S412" s="372"/>
    </row>
    <row r="413" spans="1:19" x14ac:dyDescent="0.2">
      <c r="A413" s="378"/>
      <c r="B413" s="368"/>
      <c r="C413" s="368"/>
      <c r="D413" s="395" t="s">
        <v>1171</v>
      </c>
      <c r="G413" s="372"/>
      <c r="H413" s="389"/>
      <c r="I413" s="396"/>
      <c r="J413" s="397">
        <v>2</v>
      </c>
      <c r="K413" s="398"/>
      <c r="L413" s="399" t="s">
        <v>1443</v>
      </c>
      <c r="M413" s="398"/>
      <c r="N413" s="398"/>
      <c r="O413" s="431" t="s">
        <v>1171</v>
      </c>
      <c r="P413" s="372"/>
      <c r="Q413" s="372"/>
      <c r="R413" s="372"/>
      <c r="S413" s="372"/>
    </row>
    <row r="414" spans="1:19" x14ac:dyDescent="0.2">
      <c r="A414" s="378"/>
      <c r="B414" s="368"/>
      <c r="C414" s="368"/>
      <c r="D414" s="395" t="s">
        <v>1171</v>
      </c>
      <c r="G414" s="372"/>
      <c r="H414" s="389"/>
      <c r="I414" s="396"/>
      <c r="J414" s="397">
        <v>3</v>
      </c>
      <c r="K414" s="398"/>
      <c r="L414" s="399" t="s">
        <v>1444</v>
      </c>
      <c r="M414" s="398"/>
      <c r="N414" s="398"/>
      <c r="O414" s="431" t="s">
        <v>1171</v>
      </c>
      <c r="P414" s="372"/>
      <c r="Q414" s="372"/>
      <c r="R414" s="372"/>
      <c r="S414" s="372"/>
    </row>
    <row r="415" spans="1:19" x14ac:dyDescent="0.2">
      <c r="A415" s="378"/>
      <c r="B415" s="368"/>
      <c r="C415" s="368"/>
      <c r="D415" s="395" t="s">
        <v>1171</v>
      </c>
      <c r="G415" s="372"/>
      <c r="H415" s="389"/>
      <c r="I415" s="523"/>
      <c r="J415" s="397">
        <v>4</v>
      </c>
      <c r="K415" s="398"/>
      <c r="L415" s="399" t="s">
        <v>1445</v>
      </c>
      <c r="M415" s="398"/>
      <c r="N415" s="398"/>
      <c r="O415" s="431" t="s">
        <v>1171</v>
      </c>
      <c r="P415" s="372"/>
      <c r="Q415" s="372"/>
      <c r="R415" s="372"/>
      <c r="S415" s="372"/>
    </row>
    <row r="416" spans="1:19" x14ac:dyDescent="0.2">
      <c r="A416" s="378"/>
      <c r="B416" s="368"/>
      <c r="C416" s="368"/>
      <c r="D416" s="395" t="s">
        <v>1171</v>
      </c>
      <c r="G416" s="372"/>
      <c r="H416" s="389"/>
      <c r="I416" s="396"/>
      <c r="J416" s="397">
        <v>5</v>
      </c>
      <c r="K416" s="398"/>
      <c r="L416" s="399" t="s">
        <v>1446</v>
      </c>
      <c r="M416" s="398"/>
      <c r="N416" s="398"/>
      <c r="O416" s="431" t="s">
        <v>1171</v>
      </c>
      <c r="P416" s="372"/>
      <c r="Q416" s="372"/>
      <c r="R416" s="372"/>
      <c r="S416" s="372"/>
    </row>
    <row r="417" spans="1:19" x14ac:dyDescent="0.2">
      <c r="A417" s="378"/>
      <c r="B417" s="368"/>
      <c r="C417" s="368"/>
      <c r="D417" s="395" t="s">
        <v>1171</v>
      </c>
      <c r="G417" s="372"/>
      <c r="H417" s="389"/>
      <c r="I417" s="408"/>
      <c r="J417" s="403">
        <v>6</v>
      </c>
      <c r="K417" s="404"/>
      <c r="L417" s="405" t="s">
        <v>1441</v>
      </c>
      <c r="M417" s="404"/>
      <c r="N417" s="404"/>
      <c r="O417" s="450" t="s">
        <v>1171</v>
      </c>
      <c r="P417" s="372"/>
      <c r="Q417" s="372"/>
      <c r="R417" s="372"/>
      <c r="S417" s="372"/>
    </row>
    <row r="418" spans="1:19" x14ac:dyDescent="0.2">
      <c r="A418" s="378"/>
      <c r="B418" s="368"/>
      <c r="C418" s="368"/>
      <c r="D418" s="395"/>
      <c r="G418" s="372"/>
      <c r="H418" s="389"/>
      <c r="I418" s="403" t="s">
        <v>1097</v>
      </c>
      <c r="J418" s="396"/>
      <c r="K418" s="399" t="s">
        <v>1447</v>
      </c>
      <c r="L418" s="398"/>
      <c r="M418" s="398"/>
      <c r="N418" s="398"/>
      <c r="O418" s="431"/>
      <c r="P418" s="372"/>
      <c r="Q418" s="372"/>
      <c r="R418" s="372"/>
      <c r="S418" s="372"/>
    </row>
    <row r="419" spans="1:19" x14ac:dyDescent="0.2">
      <c r="A419" s="378"/>
      <c r="B419" s="368"/>
      <c r="C419" s="368"/>
      <c r="D419" s="395" t="s">
        <v>1171</v>
      </c>
      <c r="G419" s="372"/>
      <c r="H419" s="389"/>
      <c r="I419" s="396"/>
      <c r="J419" s="397">
        <v>1</v>
      </c>
      <c r="K419" s="398"/>
      <c r="L419" s="399" t="s">
        <v>1448</v>
      </c>
      <c r="M419" s="398"/>
      <c r="N419" s="398"/>
      <c r="O419" s="431" t="s">
        <v>1171</v>
      </c>
      <c r="P419" s="372"/>
      <c r="Q419" s="372"/>
      <c r="R419" s="372"/>
      <c r="S419" s="372"/>
    </row>
    <row r="420" spans="1:19" x14ac:dyDescent="0.2">
      <c r="A420" s="378"/>
      <c r="B420" s="368"/>
      <c r="C420" s="368"/>
      <c r="D420" s="395" t="s">
        <v>1171</v>
      </c>
      <c r="G420" s="372"/>
      <c r="H420" s="389"/>
      <c r="I420" s="396"/>
      <c r="J420" s="397">
        <v>2</v>
      </c>
      <c r="K420" s="398"/>
      <c r="L420" s="399" t="s">
        <v>1269</v>
      </c>
      <c r="M420" s="398"/>
      <c r="N420" s="398"/>
      <c r="O420" s="431" t="s">
        <v>1171</v>
      </c>
      <c r="P420" s="372"/>
      <c r="Q420" s="372"/>
      <c r="R420" s="372"/>
      <c r="S420" s="372"/>
    </row>
    <row r="421" spans="1:19" x14ac:dyDescent="0.2">
      <c r="A421" s="378"/>
      <c r="B421" s="368"/>
      <c r="C421" s="368"/>
      <c r="D421" s="395" t="s">
        <v>1171</v>
      </c>
      <c r="G421" s="372"/>
      <c r="H421" s="389"/>
      <c r="I421" s="396"/>
      <c r="J421" s="397">
        <v>3</v>
      </c>
      <c r="K421" s="398"/>
      <c r="L421" s="399" t="s">
        <v>1449</v>
      </c>
      <c r="M421" s="398"/>
      <c r="N421" s="398"/>
      <c r="O421" s="431" t="s">
        <v>1171</v>
      </c>
      <c r="P421" s="372"/>
      <c r="Q421" s="372"/>
      <c r="R421" s="372"/>
      <c r="S421" s="372"/>
    </row>
    <row r="422" spans="1:19" x14ac:dyDescent="0.2">
      <c r="A422" s="378"/>
      <c r="B422" s="368"/>
      <c r="C422" s="368"/>
      <c r="D422" s="395" t="s">
        <v>1171</v>
      </c>
      <c r="G422" s="372"/>
      <c r="H422" s="389"/>
      <c r="I422" s="396"/>
      <c r="J422" s="397">
        <v>4</v>
      </c>
      <c r="K422" s="398"/>
      <c r="L422" s="399" t="s">
        <v>1380</v>
      </c>
      <c r="M422" s="398"/>
      <c r="N422" s="398"/>
      <c r="O422" s="431" t="s">
        <v>1171</v>
      </c>
      <c r="P422" s="372"/>
      <c r="Q422" s="372"/>
      <c r="R422" s="372"/>
      <c r="S422" s="372"/>
    </row>
    <row r="423" spans="1:19" x14ac:dyDescent="0.2">
      <c r="A423" s="378"/>
      <c r="B423" s="368"/>
      <c r="C423" s="368"/>
      <c r="D423" s="395" t="s">
        <v>1171</v>
      </c>
      <c r="G423" s="372"/>
      <c r="H423" s="389"/>
      <c r="I423" s="408"/>
      <c r="J423" s="403">
        <v>5</v>
      </c>
      <c r="K423" s="404"/>
      <c r="L423" s="405" t="s">
        <v>1441</v>
      </c>
      <c r="M423" s="404"/>
      <c r="N423" s="404"/>
      <c r="O423" s="450" t="s">
        <v>1171</v>
      </c>
      <c r="P423" s="372"/>
      <c r="Q423" s="372"/>
      <c r="R423" s="372"/>
      <c r="S423" s="372"/>
    </row>
    <row r="424" spans="1:19" x14ac:dyDescent="0.2">
      <c r="A424" s="378"/>
      <c r="B424" s="368"/>
      <c r="C424" s="368"/>
      <c r="D424" s="395"/>
      <c r="G424" s="372"/>
      <c r="H424" s="389"/>
      <c r="I424" s="403" t="s">
        <v>1123</v>
      </c>
      <c r="J424" s="396"/>
      <c r="K424" s="399" t="s">
        <v>1450</v>
      </c>
      <c r="L424" s="398"/>
      <c r="M424" s="398"/>
      <c r="N424" s="398"/>
      <c r="O424" s="431"/>
      <c r="P424" s="372"/>
      <c r="Q424" s="372"/>
      <c r="R424" s="372"/>
      <c r="S424" s="372"/>
    </row>
    <row r="425" spans="1:19" x14ac:dyDescent="0.2">
      <c r="A425" s="378"/>
      <c r="B425" s="368"/>
      <c r="C425" s="368"/>
      <c r="D425" s="395" t="s">
        <v>1171</v>
      </c>
      <c r="G425" s="372"/>
      <c r="H425" s="389"/>
      <c r="I425" s="396"/>
      <c r="J425" s="397">
        <v>1</v>
      </c>
      <c r="K425" s="398"/>
      <c r="L425" s="399" t="s">
        <v>1448</v>
      </c>
      <c r="M425" s="398"/>
      <c r="N425" s="398"/>
      <c r="O425" s="431" t="s">
        <v>1171</v>
      </c>
      <c r="P425" s="372"/>
      <c r="Q425" s="372"/>
      <c r="R425" s="372"/>
      <c r="S425" s="372"/>
    </row>
    <row r="426" spans="1:19" x14ac:dyDescent="0.2">
      <c r="A426" s="378"/>
      <c r="B426" s="368"/>
      <c r="C426" s="368"/>
      <c r="D426" s="395" t="s">
        <v>1171</v>
      </c>
      <c r="G426" s="372"/>
      <c r="H426" s="389"/>
      <c r="I426" s="396"/>
      <c r="J426" s="397">
        <v>2</v>
      </c>
      <c r="K426" s="398"/>
      <c r="L426" s="399" t="s">
        <v>1269</v>
      </c>
      <c r="M426" s="398"/>
      <c r="N426" s="398"/>
      <c r="O426" s="431" t="s">
        <v>1171</v>
      </c>
      <c r="P426" s="372"/>
      <c r="Q426" s="372"/>
      <c r="R426" s="372"/>
      <c r="S426" s="372"/>
    </row>
    <row r="427" spans="1:19" x14ac:dyDescent="0.2">
      <c r="A427" s="378"/>
      <c r="B427" s="368"/>
      <c r="C427" s="368"/>
      <c r="D427" s="395" t="s">
        <v>1171</v>
      </c>
      <c r="G427" s="372"/>
      <c r="H427" s="389"/>
      <c r="I427" s="396"/>
      <c r="J427" s="397">
        <v>3</v>
      </c>
      <c r="K427" s="398"/>
      <c r="L427" s="399" t="s">
        <v>1451</v>
      </c>
      <c r="M427" s="398"/>
      <c r="N427" s="398"/>
      <c r="O427" s="431" t="s">
        <v>1171</v>
      </c>
      <c r="P427" s="372"/>
      <c r="Q427" s="372"/>
      <c r="R427" s="372"/>
      <c r="S427" s="372"/>
    </row>
    <row r="428" spans="1:19" x14ac:dyDescent="0.2">
      <c r="A428" s="378"/>
      <c r="B428" s="368"/>
      <c r="C428" s="368"/>
      <c r="D428" s="395" t="s">
        <v>1171</v>
      </c>
      <c r="G428" s="372"/>
      <c r="H428" s="389"/>
      <c r="I428" s="396"/>
      <c r="J428" s="397">
        <v>4</v>
      </c>
      <c r="K428" s="398"/>
      <c r="L428" s="399" t="s">
        <v>1449</v>
      </c>
      <c r="M428" s="398"/>
      <c r="N428" s="398"/>
      <c r="O428" s="431" t="s">
        <v>1171</v>
      </c>
      <c r="P428" s="372"/>
      <c r="Q428" s="372"/>
      <c r="R428" s="372"/>
      <c r="S428" s="372"/>
    </row>
    <row r="429" spans="1:19" x14ac:dyDescent="0.2">
      <c r="A429" s="378"/>
      <c r="B429" s="368"/>
      <c r="C429" s="368"/>
      <c r="D429" s="395" t="s">
        <v>1171</v>
      </c>
      <c r="G429" s="372"/>
      <c r="H429" s="389"/>
      <c r="I429" s="396"/>
      <c r="J429" s="397">
        <v>5</v>
      </c>
      <c r="K429" s="398"/>
      <c r="L429" s="399" t="s">
        <v>1380</v>
      </c>
      <c r="M429" s="398"/>
      <c r="N429" s="398"/>
      <c r="O429" s="431" t="s">
        <v>1171</v>
      </c>
      <c r="P429" s="372"/>
      <c r="Q429" s="372"/>
      <c r="R429" s="372"/>
      <c r="S429" s="372"/>
    </row>
    <row r="430" spans="1:19" x14ac:dyDescent="0.2">
      <c r="A430" s="378"/>
      <c r="B430" s="368"/>
      <c r="C430" s="368"/>
      <c r="D430" s="395" t="s">
        <v>1171</v>
      </c>
      <c r="G430" s="372"/>
      <c r="H430" s="389"/>
      <c r="I430" s="396"/>
      <c r="J430" s="397">
        <v>6</v>
      </c>
      <c r="K430" s="398"/>
      <c r="L430" s="399" t="s">
        <v>1452</v>
      </c>
      <c r="M430" s="398"/>
      <c r="N430" s="398"/>
      <c r="O430" s="431" t="s">
        <v>1171</v>
      </c>
      <c r="P430" s="372"/>
      <c r="Q430" s="372"/>
      <c r="R430" s="372"/>
      <c r="S430" s="372"/>
    </row>
    <row r="431" spans="1:19" ht="15.75" thickBot="1" x14ac:dyDescent="0.25">
      <c r="A431" s="378"/>
      <c r="B431" s="368"/>
      <c r="C431" s="368"/>
      <c r="D431" s="395" t="s">
        <v>1171</v>
      </c>
      <c r="G431" s="372"/>
      <c r="H431" s="442"/>
      <c r="I431" s="443"/>
      <c r="J431" s="444">
        <v>7</v>
      </c>
      <c r="K431" s="445"/>
      <c r="L431" s="446" t="s">
        <v>1453</v>
      </c>
      <c r="M431" s="445"/>
      <c r="N431" s="445"/>
      <c r="O431" s="500" t="s">
        <v>1171</v>
      </c>
      <c r="P431" s="372"/>
      <c r="Q431" s="372"/>
      <c r="R431" s="372"/>
      <c r="S431" s="372"/>
    </row>
    <row r="432" spans="1:19" x14ac:dyDescent="0.2">
      <c r="A432" s="378"/>
      <c r="B432" s="368"/>
      <c r="C432" s="368"/>
      <c r="D432" s="395"/>
      <c r="G432" s="398"/>
      <c r="H432" s="448"/>
      <c r="I432" s="396"/>
      <c r="J432" s="396"/>
      <c r="K432" s="398"/>
      <c r="L432" s="399"/>
      <c r="M432" s="398"/>
      <c r="N432" s="398"/>
      <c r="O432" s="506"/>
      <c r="P432" s="398"/>
      <c r="Q432" s="398"/>
      <c r="R432" s="398"/>
      <c r="S432" s="398"/>
    </row>
    <row r="433" spans="1:19" x14ac:dyDescent="0.2">
      <c r="A433" s="378"/>
      <c r="B433" s="368"/>
      <c r="C433" s="368"/>
      <c r="D433" s="395"/>
      <c r="G433" s="398"/>
      <c r="H433" s="448"/>
      <c r="I433" s="396"/>
      <c r="J433" s="396"/>
      <c r="K433" s="398"/>
      <c r="L433" s="399"/>
      <c r="M433" s="398"/>
      <c r="N433" s="398"/>
      <c r="O433" s="506"/>
      <c r="P433" s="398"/>
      <c r="Q433" s="398"/>
      <c r="R433" s="398"/>
      <c r="S433" s="398"/>
    </row>
    <row r="434" spans="1:19" x14ac:dyDescent="0.2">
      <c r="A434" s="378">
        <v>44</v>
      </c>
      <c r="B434" s="368" t="s">
        <v>1467</v>
      </c>
      <c r="C434" s="368" t="s">
        <v>1468</v>
      </c>
      <c r="D434" s="395"/>
      <c r="G434" s="372"/>
      <c r="H434" s="416">
        <v>44</v>
      </c>
      <c r="I434" s="418"/>
      <c r="J434" s="429"/>
      <c r="K434" s="486" t="s">
        <v>1468</v>
      </c>
      <c r="L434" s="429"/>
      <c r="M434" s="429"/>
      <c r="N434" s="429"/>
      <c r="O434" s="440"/>
      <c r="P434" s="372"/>
      <c r="Q434" s="387">
        <f>H434</f>
        <v>44</v>
      </c>
      <c r="R434" s="377" t="str">
        <f>CONCATENATE("II-",TEXT(Q434,"0000"))</f>
        <v>II-0044</v>
      </c>
      <c r="S434" s="388" t="str">
        <f>K434</f>
        <v>HORMIGON  ARS EXCLUIDA LA ARAMDURA</v>
      </c>
    </row>
    <row r="435" spans="1:19" x14ac:dyDescent="0.2">
      <c r="A435" s="378"/>
      <c r="B435" s="368"/>
      <c r="C435" s="368"/>
      <c r="D435" s="395"/>
      <c r="G435" s="398"/>
      <c r="H435" s="389"/>
      <c r="I435" s="403" t="s">
        <v>1123</v>
      </c>
      <c r="J435" s="396"/>
      <c r="K435" s="399" t="s">
        <v>1450</v>
      </c>
      <c r="L435" s="399"/>
      <c r="M435" s="398"/>
      <c r="N435" s="398"/>
      <c r="O435" s="506"/>
      <c r="P435" s="398"/>
      <c r="Q435" s="398"/>
      <c r="R435" s="398"/>
      <c r="S435" s="398"/>
    </row>
    <row r="436" spans="1:19" x14ac:dyDescent="0.2">
      <c r="A436" s="378"/>
      <c r="B436" s="368"/>
      <c r="C436" s="368"/>
      <c r="D436" s="395" t="s">
        <v>1171</v>
      </c>
      <c r="G436" s="372"/>
      <c r="H436" s="389"/>
      <c r="I436" s="396"/>
      <c r="J436" s="397">
        <v>8</v>
      </c>
      <c r="K436" s="398"/>
      <c r="L436" s="399" t="s">
        <v>1454</v>
      </c>
      <c r="M436" s="398"/>
      <c r="N436" s="398"/>
      <c r="O436" s="431" t="s">
        <v>1171</v>
      </c>
      <c r="P436" s="372"/>
      <c r="Q436" s="372"/>
      <c r="R436" s="372"/>
      <c r="S436" s="372"/>
    </row>
    <row r="437" spans="1:19" x14ac:dyDescent="0.2">
      <c r="A437" s="378"/>
      <c r="B437" s="368"/>
      <c r="C437" s="368"/>
      <c r="D437" s="395" t="s">
        <v>1171</v>
      </c>
      <c r="G437" s="372"/>
      <c r="H437" s="389"/>
      <c r="I437" s="408"/>
      <c r="J437" s="403">
        <v>9</v>
      </c>
      <c r="K437" s="404"/>
      <c r="L437" s="405" t="s">
        <v>1441</v>
      </c>
      <c r="M437" s="404"/>
      <c r="N437" s="404"/>
      <c r="O437" s="450" t="s">
        <v>1171</v>
      </c>
      <c r="P437" s="372"/>
      <c r="Q437" s="372"/>
      <c r="R437" s="372"/>
      <c r="S437" s="372"/>
    </row>
    <row r="438" spans="1:19" x14ac:dyDescent="0.2">
      <c r="A438" s="378"/>
      <c r="B438" s="368"/>
      <c r="C438" s="368"/>
      <c r="D438" s="395"/>
      <c r="G438" s="372"/>
      <c r="H438" s="389"/>
      <c r="I438" s="403" t="s">
        <v>1165</v>
      </c>
      <c r="J438" s="396"/>
      <c r="K438" s="399" t="s">
        <v>1455</v>
      </c>
      <c r="L438" s="398"/>
      <c r="M438" s="398"/>
      <c r="N438" s="398"/>
      <c r="O438" s="431"/>
      <c r="P438" s="372"/>
      <c r="Q438" s="372"/>
      <c r="R438" s="372"/>
      <c r="S438" s="372"/>
    </row>
    <row r="439" spans="1:19" x14ac:dyDescent="0.2">
      <c r="A439" s="378"/>
      <c r="B439" s="368"/>
      <c r="C439" s="368"/>
      <c r="D439" s="395" t="s">
        <v>1171</v>
      </c>
      <c r="G439" s="372"/>
      <c r="H439" s="389"/>
      <c r="I439" s="396"/>
      <c r="J439" s="397">
        <v>1</v>
      </c>
      <c r="K439" s="398"/>
      <c r="L439" s="399" t="s">
        <v>1269</v>
      </c>
      <c r="M439" s="398"/>
      <c r="N439" s="398"/>
      <c r="O439" s="431" t="s">
        <v>1171</v>
      </c>
      <c r="P439" s="372"/>
      <c r="Q439" s="372"/>
      <c r="R439" s="372"/>
      <c r="S439" s="372"/>
    </row>
    <row r="440" spans="1:19" x14ac:dyDescent="0.2">
      <c r="A440" s="378"/>
      <c r="B440" s="368"/>
      <c r="C440" s="368"/>
      <c r="D440" s="395" t="s">
        <v>1171</v>
      </c>
      <c r="G440" s="372"/>
      <c r="H440" s="389"/>
      <c r="I440" s="396"/>
      <c r="J440" s="397">
        <v>2</v>
      </c>
      <c r="K440" s="398"/>
      <c r="L440" s="399" t="s">
        <v>1456</v>
      </c>
      <c r="M440" s="398"/>
      <c r="N440" s="398"/>
      <c r="O440" s="431" t="s">
        <v>1171</v>
      </c>
      <c r="P440" s="372"/>
      <c r="Q440" s="372"/>
      <c r="R440" s="372"/>
      <c r="S440" s="372"/>
    </row>
    <row r="441" spans="1:19" x14ac:dyDescent="0.2">
      <c r="A441" s="378"/>
      <c r="B441" s="368"/>
      <c r="C441" s="368"/>
      <c r="D441" s="395" t="s">
        <v>1171</v>
      </c>
      <c r="G441" s="372"/>
      <c r="H441" s="389"/>
      <c r="I441" s="396"/>
      <c r="J441" s="397">
        <v>3</v>
      </c>
      <c r="K441" s="398"/>
      <c r="L441" s="399" t="s">
        <v>1457</v>
      </c>
      <c r="M441" s="398"/>
      <c r="N441" s="398"/>
      <c r="O441" s="431" t="s">
        <v>1171</v>
      </c>
      <c r="P441" s="372"/>
      <c r="Q441" s="372"/>
      <c r="R441" s="372"/>
      <c r="S441" s="372"/>
    </row>
    <row r="442" spans="1:19" x14ac:dyDescent="0.2">
      <c r="A442" s="378"/>
      <c r="B442" s="368"/>
      <c r="C442" s="368"/>
      <c r="D442" s="395" t="s">
        <v>1171</v>
      </c>
      <c r="G442" s="372"/>
      <c r="H442" s="389"/>
      <c r="I442" s="396"/>
      <c r="J442" s="397">
        <v>4</v>
      </c>
      <c r="K442" s="398"/>
      <c r="L442" s="399" t="s">
        <v>1458</v>
      </c>
      <c r="M442" s="398"/>
      <c r="N442" s="398"/>
      <c r="O442" s="431" t="s">
        <v>1171</v>
      </c>
      <c r="P442" s="372"/>
      <c r="Q442" s="372"/>
      <c r="R442" s="372"/>
      <c r="S442" s="372"/>
    </row>
    <row r="443" spans="1:19" x14ac:dyDescent="0.2">
      <c r="A443" s="378"/>
      <c r="B443" s="368"/>
      <c r="C443" s="368"/>
      <c r="D443" s="395" t="s">
        <v>1171</v>
      </c>
      <c r="G443" s="372"/>
      <c r="H443" s="389"/>
      <c r="I443" s="396"/>
      <c r="J443" s="397">
        <v>5</v>
      </c>
      <c r="K443" s="398"/>
      <c r="L443" s="399" t="s">
        <v>1322</v>
      </c>
      <c r="M443" s="398"/>
      <c r="N443" s="398"/>
      <c r="O443" s="431" t="s">
        <v>1171</v>
      </c>
      <c r="P443" s="372"/>
      <c r="Q443" s="372"/>
      <c r="R443" s="372"/>
      <c r="S443" s="372"/>
    </row>
    <row r="444" spans="1:19" x14ac:dyDescent="0.2">
      <c r="A444" s="378"/>
      <c r="B444" s="368"/>
      <c r="C444" s="368"/>
      <c r="D444" s="395" t="s">
        <v>1171</v>
      </c>
      <c r="G444" s="372"/>
      <c r="H444" s="389"/>
      <c r="I444" s="396"/>
      <c r="J444" s="397">
        <v>6</v>
      </c>
      <c r="K444" s="398"/>
      <c r="L444" s="399" t="s">
        <v>1459</v>
      </c>
      <c r="M444" s="398"/>
      <c r="N444" s="398"/>
      <c r="O444" s="431" t="s">
        <v>1171</v>
      </c>
      <c r="P444" s="372"/>
      <c r="Q444" s="372"/>
      <c r="R444" s="372"/>
      <c r="S444" s="372"/>
    </row>
    <row r="445" spans="1:19" x14ac:dyDescent="0.2">
      <c r="A445" s="378"/>
      <c r="B445" s="368"/>
      <c r="C445" s="368"/>
      <c r="D445" s="395" t="s">
        <v>1171</v>
      </c>
      <c r="G445" s="372"/>
      <c r="H445" s="389"/>
      <c r="I445" s="396"/>
      <c r="J445" s="397">
        <v>7</v>
      </c>
      <c r="K445" s="398"/>
      <c r="L445" s="399" t="s">
        <v>1460</v>
      </c>
      <c r="M445" s="398"/>
      <c r="N445" s="398"/>
      <c r="O445" s="431" t="s">
        <v>1171</v>
      </c>
      <c r="P445" s="372"/>
      <c r="Q445" s="372"/>
      <c r="R445" s="372"/>
      <c r="S445" s="372"/>
    </row>
    <row r="446" spans="1:19" x14ac:dyDescent="0.2">
      <c r="A446" s="378"/>
      <c r="B446" s="368"/>
      <c r="C446" s="368"/>
      <c r="D446" s="395" t="s">
        <v>1171</v>
      </c>
      <c r="G446" s="372"/>
      <c r="H446" s="389"/>
      <c r="I446" s="396"/>
      <c r="J446" s="397">
        <v>8</v>
      </c>
      <c r="K446" s="398"/>
      <c r="L446" s="399" t="s">
        <v>1452</v>
      </c>
      <c r="M446" s="398"/>
      <c r="N446" s="398"/>
      <c r="O446" s="431" t="s">
        <v>1171</v>
      </c>
      <c r="P446" s="372"/>
      <c r="Q446" s="372"/>
      <c r="R446" s="372"/>
      <c r="S446" s="372"/>
    </row>
    <row r="447" spans="1:19" x14ac:dyDescent="0.2">
      <c r="A447" s="378"/>
      <c r="B447" s="368"/>
      <c r="C447" s="368"/>
      <c r="D447" s="395" t="s">
        <v>1171</v>
      </c>
      <c r="G447" s="372"/>
      <c r="H447" s="389"/>
      <c r="I447" s="396"/>
      <c r="J447" s="397">
        <v>9</v>
      </c>
      <c r="K447" s="398"/>
      <c r="L447" s="399" t="s">
        <v>1444</v>
      </c>
      <c r="M447" s="398"/>
      <c r="N447" s="398"/>
      <c r="O447" s="431" t="s">
        <v>1171</v>
      </c>
      <c r="P447" s="372"/>
      <c r="Q447" s="372"/>
      <c r="R447" s="372"/>
      <c r="S447" s="372"/>
    </row>
    <row r="448" spans="1:19" x14ac:dyDescent="0.2">
      <c r="A448" s="378"/>
      <c r="B448" s="368"/>
      <c r="C448" s="368"/>
      <c r="D448" s="395" t="s">
        <v>1171</v>
      </c>
      <c r="G448" s="372"/>
      <c r="H448" s="389"/>
      <c r="I448" s="396"/>
      <c r="J448" s="397">
        <v>10</v>
      </c>
      <c r="K448" s="398"/>
      <c r="L448" s="399" t="s">
        <v>1461</v>
      </c>
      <c r="M448" s="398"/>
      <c r="N448" s="398"/>
      <c r="O448" s="431" t="s">
        <v>1171</v>
      </c>
      <c r="P448" s="372"/>
      <c r="Q448" s="372"/>
      <c r="R448" s="372"/>
      <c r="S448" s="372"/>
    </row>
    <row r="449" spans="1:19" x14ac:dyDescent="0.2">
      <c r="A449" s="378"/>
      <c r="B449" s="368"/>
      <c r="C449" s="368"/>
      <c r="D449" s="395" t="s">
        <v>1171</v>
      </c>
      <c r="G449" s="372"/>
      <c r="H449" s="389"/>
      <c r="I449" s="396"/>
      <c r="J449" s="397">
        <v>11</v>
      </c>
      <c r="K449" s="398"/>
      <c r="L449" s="399" t="s">
        <v>1453</v>
      </c>
      <c r="M449" s="398"/>
      <c r="N449" s="398"/>
      <c r="O449" s="431" t="s">
        <v>1171</v>
      </c>
      <c r="P449" s="372"/>
      <c r="Q449" s="372"/>
      <c r="R449" s="372"/>
      <c r="S449" s="372"/>
    </row>
    <row r="450" spans="1:19" x14ac:dyDescent="0.2">
      <c r="A450" s="378"/>
      <c r="B450" s="368"/>
      <c r="C450" s="368"/>
      <c r="D450" s="395" t="s">
        <v>1171</v>
      </c>
      <c r="G450" s="372"/>
      <c r="H450" s="389"/>
      <c r="I450" s="396"/>
      <c r="J450" s="397">
        <v>12</v>
      </c>
      <c r="K450" s="398"/>
      <c r="L450" s="399" t="s">
        <v>1462</v>
      </c>
      <c r="M450" s="398"/>
      <c r="N450" s="398"/>
      <c r="O450" s="431" t="s">
        <v>1171</v>
      </c>
      <c r="P450" s="372"/>
      <c r="Q450" s="372"/>
      <c r="R450" s="372"/>
      <c r="S450" s="372"/>
    </row>
    <row r="451" spans="1:19" x14ac:dyDescent="0.2">
      <c r="A451" s="378"/>
      <c r="B451" s="368"/>
      <c r="C451" s="368"/>
      <c r="D451" s="395" t="s">
        <v>1171</v>
      </c>
      <c r="G451" s="372"/>
      <c r="H451" s="389"/>
      <c r="I451" s="396"/>
      <c r="J451" s="397">
        <v>13</v>
      </c>
      <c r="K451" s="398"/>
      <c r="L451" s="399" t="s">
        <v>1454</v>
      </c>
      <c r="M451" s="398"/>
      <c r="N451" s="398"/>
      <c r="O451" s="431" t="s">
        <v>1171</v>
      </c>
      <c r="P451" s="372"/>
      <c r="Q451" s="372"/>
      <c r="R451" s="372"/>
      <c r="S451" s="372"/>
    </row>
    <row r="452" spans="1:19" x14ac:dyDescent="0.2">
      <c r="A452" s="378"/>
      <c r="B452" s="368"/>
      <c r="C452" s="368"/>
      <c r="D452" s="395" t="s">
        <v>1171</v>
      </c>
      <c r="G452" s="372"/>
      <c r="H452" s="389"/>
      <c r="I452" s="408"/>
      <c r="J452" s="403">
        <v>14</v>
      </c>
      <c r="K452" s="404"/>
      <c r="L452" s="405" t="s">
        <v>1463</v>
      </c>
      <c r="M452" s="404"/>
      <c r="N452" s="404"/>
      <c r="O452" s="450" t="s">
        <v>1171</v>
      </c>
      <c r="P452" s="372"/>
      <c r="Q452" s="372"/>
      <c r="R452" s="372"/>
      <c r="S452" s="372"/>
    </row>
    <row r="453" spans="1:19" x14ac:dyDescent="0.2">
      <c r="A453" s="378"/>
      <c r="B453" s="368"/>
      <c r="C453" s="368"/>
      <c r="D453" s="395"/>
      <c r="G453" s="372"/>
      <c r="H453" s="389"/>
      <c r="I453" s="403" t="s">
        <v>1168</v>
      </c>
      <c r="J453" s="396"/>
      <c r="K453" s="399" t="s">
        <v>1464</v>
      </c>
      <c r="L453" s="398"/>
      <c r="M453" s="398"/>
      <c r="N453" s="398"/>
      <c r="O453" s="431"/>
      <c r="P453" s="372"/>
      <c r="Q453" s="372"/>
      <c r="R453" s="372"/>
      <c r="S453" s="372"/>
    </row>
    <row r="454" spans="1:19" x14ac:dyDescent="0.2">
      <c r="A454" s="378"/>
      <c r="B454" s="368"/>
      <c r="C454" s="368"/>
      <c r="D454" s="395" t="s">
        <v>1171</v>
      </c>
      <c r="G454" s="372"/>
      <c r="H454" s="389"/>
      <c r="I454" s="396"/>
      <c r="J454" s="397">
        <v>1</v>
      </c>
      <c r="K454" s="398"/>
      <c r="L454" s="399" t="s">
        <v>1269</v>
      </c>
      <c r="M454" s="398"/>
      <c r="N454" s="398"/>
      <c r="O454" s="431" t="s">
        <v>1171</v>
      </c>
      <c r="P454" s="372"/>
      <c r="Q454" s="372"/>
      <c r="R454" s="372"/>
      <c r="S454" s="372"/>
    </row>
    <row r="455" spans="1:19" x14ac:dyDescent="0.2">
      <c r="A455" s="378"/>
      <c r="B455" s="368"/>
      <c r="C455" s="368"/>
      <c r="D455" s="395" t="s">
        <v>1171</v>
      </c>
      <c r="G455" s="372"/>
      <c r="H455" s="389"/>
      <c r="I455" s="396"/>
      <c r="J455" s="397">
        <v>2</v>
      </c>
      <c r="K455" s="398"/>
      <c r="L455" s="399" t="s">
        <v>1456</v>
      </c>
      <c r="M455" s="398"/>
      <c r="N455" s="398"/>
      <c r="O455" s="431" t="s">
        <v>1171</v>
      </c>
      <c r="P455" s="372"/>
      <c r="Q455" s="372"/>
      <c r="R455" s="372"/>
      <c r="S455" s="372"/>
    </row>
    <row r="456" spans="1:19" x14ac:dyDescent="0.2">
      <c r="A456" s="378"/>
      <c r="B456" s="368"/>
      <c r="C456" s="368"/>
      <c r="D456" s="395" t="s">
        <v>1171</v>
      </c>
      <c r="G456" s="372"/>
      <c r="H456" s="389"/>
      <c r="I456" s="396"/>
      <c r="J456" s="397">
        <v>3</v>
      </c>
      <c r="K456" s="398"/>
      <c r="L456" s="399" t="s">
        <v>1457</v>
      </c>
      <c r="M456" s="398"/>
      <c r="N456" s="398"/>
      <c r="O456" s="431" t="s">
        <v>1171</v>
      </c>
      <c r="P456" s="372"/>
      <c r="Q456" s="372"/>
      <c r="R456" s="372"/>
      <c r="S456" s="372"/>
    </row>
    <row r="457" spans="1:19" x14ac:dyDescent="0.2">
      <c r="A457" s="378"/>
      <c r="B457" s="368"/>
      <c r="C457" s="368"/>
      <c r="D457" s="395" t="s">
        <v>1171</v>
      </c>
      <c r="G457" s="372"/>
      <c r="H457" s="389"/>
      <c r="I457" s="396"/>
      <c r="J457" s="397">
        <v>4</v>
      </c>
      <c r="K457" s="398"/>
      <c r="L457" s="399" t="s">
        <v>1458</v>
      </c>
      <c r="M457" s="398"/>
      <c r="N457" s="398"/>
      <c r="O457" s="431" t="s">
        <v>1171</v>
      </c>
      <c r="P457" s="372"/>
      <c r="Q457" s="372"/>
      <c r="R457" s="372"/>
      <c r="S457" s="372"/>
    </row>
    <row r="458" spans="1:19" x14ac:dyDescent="0.2">
      <c r="A458" s="378"/>
      <c r="B458" s="368"/>
      <c r="C458" s="368"/>
      <c r="D458" s="395" t="s">
        <v>1171</v>
      </c>
      <c r="G458" s="372"/>
      <c r="H458" s="389"/>
      <c r="I458" s="396"/>
      <c r="J458" s="397">
        <v>5</v>
      </c>
      <c r="K458" s="398"/>
      <c r="L458" s="399" t="s">
        <v>1322</v>
      </c>
      <c r="M458" s="398"/>
      <c r="N458" s="398"/>
      <c r="O458" s="431" t="s">
        <v>1171</v>
      </c>
      <c r="P458" s="372"/>
      <c r="Q458" s="372"/>
      <c r="R458" s="372"/>
      <c r="S458" s="372"/>
    </row>
    <row r="459" spans="1:19" x14ac:dyDescent="0.2">
      <c r="A459" s="378"/>
      <c r="B459" s="368"/>
      <c r="C459" s="368"/>
      <c r="D459" s="395" t="s">
        <v>1171</v>
      </c>
      <c r="G459" s="372"/>
      <c r="H459" s="389"/>
      <c r="I459" s="396"/>
      <c r="J459" s="397">
        <v>6</v>
      </c>
      <c r="K459" s="398"/>
      <c r="L459" s="399" t="s">
        <v>1470</v>
      </c>
      <c r="M459" s="398"/>
      <c r="N459" s="398"/>
      <c r="O459" s="431" t="s">
        <v>1171</v>
      </c>
      <c r="P459" s="372"/>
      <c r="Q459" s="372"/>
      <c r="R459" s="372"/>
      <c r="S459" s="372"/>
    </row>
    <row r="460" spans="1:19" x14ac:dyDescent="0.2">
      <c r="A460" s="378"/>
      <c r="B460" s="368"/>
      <c r="C460" s="368"/>
      <c r="D460" s="395" t="s">
        <v>1171</v>
      </c>
      <c r="G460" s="372"/>
      <c r="H460" s="389"/>
      <c r="I460" s="396"/>
      <c r="J460" s="397">
        <v>7</v>
      </c>
      <c r="K460" s="398"/>
      <c r="L460" s="399" t="s">
        <v>1459</v>
      </c>
      <c r="M460" s="398"/>
      <c r="N460" s="398"/>
      <c r="O460" s="431" t="s">
        <v>1171</v>
      </c>
      <c r="P460" s="451"/>
      <c r="Q460" s="451"/>
      <c r="R460" s="451"/>
      <c r="S460" s="451"/>
    </row>
    <row r="461" spans="1:19" x14ac:dyDescent="0.2">
      <c r="A461" s="378"/>
      <c r="B461" s="368"/>
      <c r="C461" s="368"/>
      <c r="D461" s="395" t="s">
        <v>1171</v>
      </c>
      <c r="G461" s="372"/>
      <c r="H461" s="389"/>
      <c r="I461" s="396"/>
      <c r="J461" s="397">
        <v>8</v>
      </c>
      <c r="K461" s="398"/>
      <c r="L461" s="399" t="s">
        <v>1460</v>
      </c>
      <c r="M461" s="398"/>
      <c r="N461" s="398"/>
      <c r="O461" s="431" t="s">
        <v>1171</v>
      </c>
      <c r="P461" s="372"/>
      <c r="Q461" s="372"/>
      <c r="R461" s="372"/>
      <c r="S461" s="372"/>
    </row>
    <row r="462" spans="1:19" x14ac:dyDescent="0.2">
      <c r="A462" s="378"/>
      <c r="B462" s="368"/>
      <c r="C462" s="368"/>
      <c r="D462" s="395" t="s">
        <v>1171</v>
      </c>
      <c r="G462" s="372"/>
      <c r="H462" s="389"/>
      <c r="I462" s="396"/>
      <c r="J462" s="397">
        <v>9</v>
      </c>
      <c r="K462" s="398"/>
      <c r="L462" s="399" t="s">
        <v>1452</v>
      </c>
      <c r="M462" s="398"/>
      <c r="N462" s="398"/>
      <c r="O462" s="431" t="s">
        <v>1171</v>
      </c>
      <c r="P462" s="372"/>
      <c r="Q462" s="372"/>
      <c r="R462" s="372"/>
      <c r="S462" s="372"/>
    </row>
    <row r="463" spans="1:19" x14ac:dyDescent="0.2">
      <c r="A463" s="378"/>
      <c r="B463" s="368"/>
      <c r="C463" s="368"/>
      <c r="D463" s="395" t="s">
        <v>1171</v>
      </c>
      <c r="G463" s="372"/>
      <c r="H463" s="389"/>
      <c r="I463" s="396"/>
      <c r="J463" s="397">
        <v>10</v>
      </c>
      <c r="K463" s="398"/>
      <c r="L463" s="399" t="s">
        <v>1444</v>
      </c>
      <c r="M463" s="398"/>
      <c r="N463" s="398"/>
      <c r="O463" s="431" t="s">
        <v>1171</v>
      </c>
      <c r="P463" s="372"/>
      <c r="Q463" s="372"/>
      <c r="R463" s="372"/>
      <c r="S463" s="372"/>
    </row>
    <row r="464" spans="1:19" x14ac:dyDescent="0.2">
      <c r="A464" s="378"/>
      <c r="B464" s="368"/>
      <c r="C464" s="368"/>
      <c r="D464" s="395" t="s">
        <v>1171</v>
      </c>
      <c r="G464" s="372"/>
      <c r="H464" s="389"/>
      <c r="I464" s="396"/>
      <c r="J464" s="397">
        <v>11</v>
      </c>
      <c r="K464" s="398"/>
      <c r="L464" s="399" t="s">
        <v>1461</v>
      </c>
      <c r="M464" s="398"/>
      <c r="N464" s="398"/>
      <c r="O464" s="431" t="s">
        <v>1171</v>
      </c>
      <c r="P464" s="372"/>
      <c r="Q464" s="372"/>
      <c r="R464" s="372"/>
      <c r="S464" s="372"/>
    </row>
    <row r="465" spans="1:19" x14ac:dyDescent="0.2">
      <c r="A465" s="378"/>
      <c r="B465" s="368"/>
      <c r="C465" s="368"/>
      <c r="D465" s="395" t="s">
        <v>1171</v>
      </c>
      <c r="G465" s="372"/>
      <c r="H465" s="389"/>
      <c r="I465" s="396"/>
      <c r="J465" s="397">
        <v>12</v>
      </c>
      <c r="K465" s="398"/>
      <c r="L465" s="399" t="s">
        <v>1453</v>
      </c>
      <c r="M465" s="398"/>
      <c r="N465" s="398"/>
      <c r="O465" s="431" t="s">
        <v>1171</v>
      </c>
      <c r="P465" s="372"/>
      <c r="Q465" s="372"/>
      <c r="R465" s="372"/>
      <c r="S465" s="372"/>
    </row>
    <row r="466" spans="1:19" x14ac:dyDescent="0.2">
      <c r="A466" s="378"/>
      <c r="B466" s="368"/>
      <c r="C466" s="368"/>
      <c r="D466" s="395" t="s">
        <v>1171</v>
      </c>
      <c r="G466" s="398"/>
      <c r="H466" s="389"/>
      <c r="I466" s="396"/>
      <c r="J466" s="397">
        <v>13</v>
      </c>
      <c r="K466" s="399"/>
      <c r="L466" s="399" t="s">
        <v>1462</v>
      </c>
      <c r="M466" s="398"/>
      <c r="N466" s="398"/>
      <c r="O466" s="431" t="s">
        <v>1171</v>
      </c>
      <c r="P466" s="398"/>
      <c r="Q466" s="398"/>
      <c r="R466" s="398"/>
      <c r="S466" s="398"/>
    </row>
    <row r="467" spans="1:19" x14ac:dyDescent="0.2">
      <c r="A467" s="378"/>
      <c r="B467" s="368"/>
      <c r="C467" s="368"/>
      <c r="D467" s="395" t="s">
        <v>1171</v>
      </c>
      <c r="G467" s="372"/>
      <c r="H467" s="389"/>
      <c r="I467" s="396"/>
      <c r="J467" s="397">
        <v>14</v>
      </c>
      <c r="K467" s="398"/>
      <c r="L467" s="399" t="s">
        <v>1454</v>
      </c>
      <c r="M467" s="398"/>
      <c r="N467" s="398"/>
      <c r="O467" s="431" t="s">
        <v>1171</v>
      </c>
      <c r="P467" s="372"/>
      <c r="Q467" s="372"/>
      <c r="R467" s="372"/>
      <c r="S467" s="372"/>
    </row>
    <row r="468" spans="1:19" x14ac:dyDescent="0.2">
      <c r="A468" s="378"/>
      <c r="B468" s="368"/>
      <c r="C468" s="368"/>
      <c r="D468" s="395" t="s">
        <v>1171</v>
      </c>
      <c r="G468" s="372"/>
      <c r="H468" s="389"/>
      <c r="I468" s="396"/>
      <c r="J468" s="397">
        <v>15</v>
      </c>
      <c r="K468" s="398"/>
      <c r="L468" s="399" t="s">
        <v>1446</v>
      </c>
      <c r="M468" s="398"/>
      <c r="N468" s="398"/>
      <c r="O468" s="431" t="s">
        <v>1171</v>
      </c>
      <c r="P468" s="372"/>
      <c r="Q468" s="372"/>
      <c r="R468" s="372"/>
      <c r="S468" s="372"/>
    </row>
    <row r="469" spans="1:19" x14ac:dyDescent="0.2">
      <c r="A469" s="378"/>
      <c r="B469" s="368"/>
      <c r="C469" s="368"/>
      <c r="D469" s="395" t="s">
        <v>1171</v>
      </c>
      <c r="G469" s="372"/>
      <c r="H469" s="389"/>
      <c r="I469" s="396"/>
      <c r="J469" s="397">
        <v>16</v>
      </c>
      <c r="K469" s="398"/>
      <c r="L469" s="399" t="s">
        <v>1463</v>
      </c>
      <c r="M469" s="398"/>
      <c r="N469" s="398"/>
      <c r="O469" s="431" t="s">
        <v>1171</v>
      </c>
      <c r="P469" s="372"/>
      <c r="Q469" s="372"/>
      <c r="R469" s="372"/>
      <c r="S469" s="372"/>
    </row>
    <row r="470" spans="1:19" x14ac:dyDescent="0.2">
      <c r="A470" s="378"/>
      <c r="B470" s="368"/>
      <c r="C470" s="368"/>
      <c r="D470" s="395"/>
      <c r="G470" s="372"/>
      <c r="H470" s="389"/>
      <c r="I470" s="390" t="s">
        <v>1172</v>
      </c>
      <c r="J470" s="391"/>
      <c r="K470" s="407" t="s">
        <v>1466</v>
      </c>
      <c r="L470" s="393"/>
      <c r="M470" s="393"/>
      <c r="N470" s="393"/>
      <c r="O470" s="441"/>
      <c r="P470" s="372"/>
      <c r="Q470" s="372"/>
      <c r="R470" s="372"/>
      <c r="S470" s="372"/>
    </row>
    <row r="471" spans="1:19" x14ac:dyDescent="0.2">
      <c r="A471" s="378"/>
      <c r="B471" s="368"/>
      <c r="C471" s="368"/>
      <c r="D471" s="395" t="s">
        <v>1171</v>
      </c>
      <c r="G471" s="372"/>
      <c r="H471" s="389"/>
      <c r="I471" s="396"/>
      <c r="J471" s="397">
        <v>1</v>
      </c>
      <c r="K471" s="398"/>
      <c r="L471" s="399" t="s">
        <v>1457</v>
      </c>
      <c r="M471" s="398"/>
      <c r="N471" s="398"/>
      <c r="O471" s="431" t="s">
        <v>1171</v>
      </c>
      <c r="P471" s="372"/>
      <c r="Q471" s="372"/>
      <c r="R471" s="372"/>
      <c r="S471" s="372"/>
    </row>
    <row r="472" spans="1:19" x14ac:dyDescent="0.2">
      <c r="A472" s="378"/>
      <c r="B472" s="368"/>
      <c r="C472" s="368"/>
      <c r="D472" s="395" t="s">
        <v>1171</v>
      </c>
      <c r="G472" s="372"/>
      <c r="H472" s="389"/>
      <c r="I472" s="396"/>
      <c r="J472" s="397">
        <v>2</v>
      </c>
      <c r="K472" s="398"/>
      <c r="L472" s="399" t="s">
        <v>1458</v>
      </c>
      <c r="M472" s="398"/>
      <c r="N472" s="398"/>
      <c r="O472" s="431" t="s">
        <v>1171</v>
      </c>
      <c r="P472" s="372"/>
      <c r="Q472" s="372"/>
      <c r="R472" s="372"/>
      <c r="S472" s="372"/>
    </row>
    <row r="473" spans="1:19" x14ac:dyDescent="0.2">
      <c r="A473" s="378"/>
      <c r="B473" s="368"/>
      <c r="C473" s="368"/>
      <c r="D473" s="395" t="s">
        <v>1171</v>
      </c>
      <c r="G473" s="372"/>
      <c r="H473" s="389"/>
      <c r="I473" s="396"/>
      <c r="J473" s="397">
        <v>3</v>
      </c>
      <c r="K473" s="398"/>
      <c r="L473" s="399" t="s">
        <v>1322</v>
      </c>
      <c r="M473" s="398"/>
      <c r="N473" s="398"/>
      <c r="O473" s="431" t="s">
        <v>1171</v>
      </c>
      <c r="P473" s="372"/>
      <c r="Q473" s="372"/>
      <c r="R473" s="372"/>
      <c r="S473" s="372"/>
    </row>
    <row r="474" spans="1:19" x14ac:dyDescent="0.2">
      <c r="A474" s="378"/>
      <c r="B474" s="368"/>
      <c r="C474" s="368"/>
      <c r="D474" s="395" t="s">
        <v>1171</v>
      </c>
      <c r="G474" s="372"/>
      <c r="H474" s="389"/>
      <c r="I474" s="396"/>
      <c r="J474" s="397">
        <v>4</v>
      </c>
      <c r="K474" s="398"/>
      <c r="L474" s="399" t="s">
        <v>1459</v>
      </c>
      <c r="M474" s="398"/>
      <c r="N474" s="398"/>
      <c r="O474" s="431" t="s">
        <v>1171</v>
      </c>
      <c r="P474" s="372"/>
      <c r="Q474" s="372"/>
      <c r="R474" s="372"/>
      <c r="S474" s="372"/>
    </row>
    <row r="475" spans="1:19" x14ac:dyDescent="0.2">
      <c r="A475" s="378"/>
      <c r="B475" s="368"/>
      <c r="C475" s="368"/>
      <c r="D475" s="395" t="s">
        <v>1171</v>
      </c>
      <c r="G475" s="372"/>
      <c r="H475" s="389"/>
      <c r="I475" s="396"/>
      <c r="J475" s="397">
        <v>5</v>
      </c>
      <c r="K475" s="398"/>
      <c r="L475" s="399" t="s">
        <v>1460</v>
      </c>
      <c r="M475" s="398"/>
      <c r="N475" s="398"/>
      <c r="O475" s="431" t="s">
        <v>1171</v>
      </c>
      <c r="P475" s="372"/>
      <c r="Q475" s="372"/>
      <c r="R475" s="372"/>
      <c r="S475" s="372"/>
    </row>
    <row r="476" spans="1:19" x14ac:dyDescent="0.2">
      <c r="A476" s="378"/>
      <c r="B476" s="368"/>
      <c r="C476" s="368"/>
      <c r="D476" s="395" t="s">
        <v>1171</v>
      </c>
      <c r="G476" s="372"/>
      <c r="H476" s="389"/>
      <c r="I476" s="396"/>
      <c r="J476" s="397">
        <v>6</v>
      </c>
      <c r="K476" s="398"/>
      <c r="L476" s="399" t="s">
        <v>1444</v>
      </c>
      <c r="M476" s="398"/>
      <c r="N476" s="398"/>
      <c r="O476" s="431" t="s">
        <v>1171</v>
      </c>
      <c r="P476" s="372"/>
      <c r="Q476" s="372"/>
      <c r="R476" s="372"/>
      <c r="S476" s="372"/>
    </row>
    <row r="477" spans="1:19" x14ac:dyDescent="0.2">
      <c r="A477" s="378"/>
      <c r="B477" s="368"/>
      <c r="C477" s="368"/>
      <c r="D477" s="395" t="s">
        <v>1171</v>
      </c>
      <c r="G477" s="372"/>
      <c r="H477" s="389"/>
      <c r="I477" s="396"/>
      <c r="J477" s="397">
        <v>7</v>
      </c>
      <c r="K477" s="398"/>
      <c r="L477" s="399" t="s">
        <v>1461</v>
      </c>
      <c r="M477" s="398"/>
      <c r="N477" s="398"/>
      <c r="O477" s="431" t="s">
        <v>1171</v>
      </c>
      <c r="P477" s="372"/>
      <c r="Q477" s="372"/>
      <c r="R477" s="372"/>
      <c r="S477" s="372"/>
    </row>
    <row r="478" spans="1:19" x14ac:dyDescent="0.2">
      <c r="A478" s="378"/>
      <c r="B478" s="368"/>
      <c r="C478" s="368"/>
      <c r="D478" s="395" t="s">
        <v>1171</v>
      </c>
      <c r="G478" s="372"/>
      <c r="H478" s="389"/>
      <c r="I478" s="396"/>
      <c r="J478" s="397">
        <v>8</v>
      </c>
      <c r="K478" s="398"/>
      <c r="L478" s="399" t="s">
        <v>1453</v>
      </c>
      <c r="M478" s="398"/>
      <c r="N478" s="398"/>
      <c r="O478" s="431" t="s">
        <v>1171</v>
      </c>
      <c r="P478" s="372"/>
      <c r="Q478" s="372"/>
      <c r="R478" s="372"/>
      <c r="S478" s="372"/>
    </row>
    <row r="479" spans="1:19" x14ac:dyDescent="0.2">
      <c r="A479" s="378"/>
      <c r="B479" s="368"/>
      <c r="C479" s="368"/>
      <c r="D479" s="395" t="s">
        <v>1171</v>
      </c>
      <c r="G479" s="372"/>
      <c r="H479" s="389"/>
      <c r="I479" s="396"/>
      <c r="J479" s="397">
        <v>9</v>
      </c>
      <c r="K479" s="398"/>
      <c r="L479" s="399" t="s">
        <v>1462</v>
      </c>
      <c r="M479" s="398"/>
      <c r="N479" s="398"/>
      <c r="O479" s="431" t="s">
        <v>1171</v>
      </c>
      <c r="P479" s="372"/>
      <c r="Q479" s="372"/>
      <c r="R479" s="372"/>
      <c r="S479" s="372"/>
    </row>
    <row r="480" spans="1:19" ht="15.75" thickBot="1" x14ac:dyDescent="0.25">
      <c r="A480" s="378"/>
      <c r="B480" s="368"/>
      <c r="C480" s="368"/>
      <c r="D480" s="395" t="s">
        <v>1171</v>
      </c>
      <c r="G480" s="372"/>
      <c r="H480" s="442"/>
      <c r="I480" s="443"/>
      <c r="J480" s="444">
        <v>10</v>
      </c>
      <c r="K480" s="445"/>
      <c r="L480" s="446" t="s">
        <v>1463</v>
      </c>
      <c r="M480" s="445"/>
      <c r="N480" s="445"/>
      <c r="O480" s="500" t="s">
        <v>1171</v>
      </c>
      <c r="P480" s="372"/>
      <c r="Q480" s="372"/>
      <c r="R480" s="372"/>
      <c r="S480" s="372"/>
    </row>
    <row r="481" spans="1:19" x14ac:dyDescent="0.2">
      <c r="A481" s="378"/>
      <c r="B481" s="368"/>
      <c r="C481" s="368"/>
      <c r="D481" s="395"/>
      <c r="G481" s="398"/>
      <c r="H481" s="448"/>
      <c r="I481" s="396"/>
      <c r="J481" s="396"/>
      <c r="K481" s="398"/>
      <c r="L481" s="399"/>
      <c r="M481" s="398"/>
      <c r="N481" s="398"/>
      <c r="O481" s="506"/>
      <c r="P481" s="398"/>
      <c r="Q481" s="398"/>
      <c r="R481" s="398"/>
      <c r="S481" s="398"/>
    </row>
    <row r="482" spans="1:19" x14ac:dyDescent="0.2">
      <c r="A482" s="378">
        <v>45</v>
      </c>
      <c r="B482" s="368" t="s">
        <v>1471</v>
      </c>
      <c r="C482" s="368" t="s">
        <v>1472</v>
      </c>
      <c r="D482" s="395"/>
      <c r="G482" s="372"/>
      <c r="H482" s="416">
        <v>45</v>
      </c>
      <c r="I482" s="418"/>
      <c r="J482" s="429"/>
      <c r="K482" s="486" t="s">
        <v>1472</v>
      </c>
      <c r="L482" s="429"/>
      <c r="M482" s="429"/>
      <c r="N482" s="429"/>
      <c r="O482" s="440"/>
      <c r="P482" s="372"/>
      <c r="Q482" s="387">
        <f>H482</f>
        <v>45</v>
      </c>
      <c r="R482" s="377" t="str">
        <f>CONCATENATE("II-",TEXT(Q482,"0000"))</f>
        <v>II-0045</v>
      </c>
      <c r="S482" s="388" t="str">
        <f>K482</f>
        <v>HORMIGON  PUZOLANICO EXCLUIDA LA ARAMDURA</v>
      </c>
    </row>
    <row r="483" spans="1:19" x14ac:dyDescent="0.2">
      <c r="A483" s="378"/>
      <c r="B483" s="368"/>
      <c r="C483" s="368"/>
      <c r="D483" s="395"/>
      <c r="G483" s="372"/>
      <c r="H483" s="389"/>
      <c r="I483" s="390" t="s">
        <v>1060</v>
      </c>
      <c r="J483" s="391"/>
      <c r="K483" s="407" t="s">
        <v>1438</v>
      </c>
      <c r="L483" s="393"/>
      <c r="M483" s="393"/>
      <c r="N483" s="393"/>
      <c r="O483" s="441"/>
      <c r="P483" s="372"/>
      <c r="Q483" s="372"/>
      <c r="R483" s="372"/>
      <c r="S483" s="372"/>
    </row>
    <row r="484" spans="1:19" x14ac:dyDescent="0.2">
      <c r="A484" s="378"/>
      <c r="B484" s="368"/>
      <c r="C484" s="368"/>
      <c r="D484" s="395" t="s">
        <v>1171</v>
      </c>
      <c r="G484" s="372"/>
      <c r="H484" s="389"/>
      <c r="I484" s="396"/>
      <c r="J484" s="397">
        <v>1</v>
      </c>
      <c r="K484" s="398"/>
      <c r="L484" s="399" t="s">
        <v>1443</v>
      </c>
      <c r="M484" s="398"/>
      <c r="N484" s="398"/>
      <c r="O484" s="431" t="s">
        <v>1171</v>
      </c>
      <c r="P484" s="372"/>
      <c r="Q484" s="372"/>
      <c r="R484" s="372"/>
      <c r="S484" s="372"/>
    </row>
    <row r="485" spans="1:19" x14ac:dyDescent="0.2">
      <c r="A485" s="378"/>
      <c r="B485" s="368"/>
      <c r="C485" s="368"/>
      <c r="D485" s="395" t="s">
        <v>1171</v>
      </c>
      <c r="G485" s="372"/>
      <c r="H485" s="389"/>
      <c r="I485" s="396"/>
      <c r="J485" s="397">
        <v>2</v>
      </c>
      <c r="K485" s="398"/>
      <c r="L485" s="399" t="s">
        <v>1445</v>
      </c>
      <c r="M485" s="398"/>
      <c r="N485" s="398"/>
      <c r="O485" s="431" t="s">
        <v>1171</v>
      </c>
      <c r="P485" s="372"/>
      <c r="Q485" s="372"/>
      <c r="R485" s="372"/>
      <c r="S485" s="372"/>
    </row>
    <row r="486" spans="1:19" x14ac:dyDescent="0.2">
      <c r="A486" s="378"/>
      <c r="B486" s="368"/>
      <c r="C486" s="368"/>
      <c r="D486" s="395"/>
      <c r="G486" s="372"/>
      <c r="H486" s="389"/>
      <c r="I486" s="390" t="s">
        <v>1087</v>
      </c>
      <c r="J486" s="391"/>
      <c r="K486" s="407" t="s">
        <v>1442</v>
      </c>
      <c r="L486" s="393"/>
      <c r="M486" s="393"/>
      <c r="N486" s="393"/>
      <c r="O486" s="441"/>
      <c r="P486" s="372"/>
      <c r="Q486" s="372"/>
      <c r="R486" s="372"/>
      <c r="S486" s="372"/>
    </row>
    <row r="487" spans="1:19" x14ac:dyDescent="0.2">
      <c r="A487" s="378"/>
      <c r="B487" s="368"/>
      <c r="C487" s="368"/>
      <c r="D487" s="395" t="s">
        <v>1171</v>
      </c>
      <c r="G487" s="372"/>
      <c r="H487" s="389"/>
      <c r="I487" s="396"/>
      <c r="J487" s="397">
        <v>1</v>
      </c>
      <c r="K487" s="398"/>
      <c r="L487" s="399" t="s">
        <v>1443</v>
      </c>
      <c r="M487" s="398"/>
      <c r="N487" s="398"/>
      <c r="O487" s="431" t="s">
        <v>1171</v>
      </c>
      <c r="P487" s="372"/>
      <c r="Q487" s="372"/>
      <c r="R487" s="372"/>
      <c r="S487" s="372"/>
    </row>
    <row r="488" spans="1:19" x14ac:dyDescent="0.2">
      <c r="A488" s="378"/>
      <c r="B488" s="368"/>
      <c r="C488" s="368"/>
      <c r="D488" s="395" t="s">
        <v>1171</v>
      </c>
      <c r="G488" s="372"/>
      <c r="H488" s="389"/>
      <c r="I488" s="396"/>
      <c r="J488" s="397">
        <v>2</v>
      </c>
      <c r="K488" s="398"/>
      <c r="L488" s="399" t="s">
        <v>1445</v>
      </c>
      <c r="M488" s="398"/>
      <c r="N488" s="398"/>
      <c r="O488" s="431" t="s">
        <v>1171</v>
      </c>
      <c r="P488" s="372"/>
      <c r="Q488" s="372"/>
      <c r="R488" s="372"/>
      <c r="S488" s="372"/>
    </row>
    <row r="489" spans="1:19" x14ac:dyDescent="0.2">
      <c r="A489" s="378"/>
      <c r="B489" s="368"/>
      <c r="C489" s="368"/>
      <c r="D489" s="395" t="s">
        <v>1171</v>
      </c>
      <c r="G489" s="372"/>
      <c r="H489" s="389"/>
      <c r="I489" s="396"/>
      <c r="J489" s="397">
        <v>3</v>
      </c>
      <c r="K489" s="398"/>
      <c r="L489" s="399" t="s">
        <v>1454</v>
      </c>
      <c r="M489" s="398"/>
      <c r="N489" s="398"/>
      <c r="O489" s="431" t="s">
        <v>1171</v>
      </c>
      <c r="P489" s="372"/>
      <c r="Q489" s="372"/>
      <c r="R489" s="372"/>
      <c r="S489" s="372"/>
    </row>
    <row r="490" spans="1:19" x14ac:dyDescent="0.2">
      <c r="A490" s="378"/>
      <c r="B490" s="368"/>
      <c r="C490" s="368"/>
      <c r="D490" s="395"/>
      <c r="G490" s="372"/>
      <c r="H490" s="389"/>
      <c r="I490" s="390" t="s">
        <v>1097</v>
      </c>
      <c r="J490" s="391"/>
      <c r="K490" s="407" t="s">
        <v>1447</v>
      </c>
      <c r="L490" s="393"/>
      <c r="M490" s="393"/>
      <c r="N490" s="393"/>
      <c r="O490" s="441"/>
      <c r="P490" s="372"/>
      <c r="Q490" s="372"/>
      <c r="R490" s="372"/>
      <c r="S490" s="372"/>
    </row>
    <row r="491" spans="1:19" x14ac:dyDescent="0.2">
      <c r="A491" s="378"/>
      <c r="B491" s="368"/>
      <c r="C491" s="368"/>
      <c r="D491" s="395" t="s">
        <v>1171</v>
      </c>
      <c r="G491" s="372"/>
      <c r="H491" s="389"/>
      <c r="I491" s="396"/>
      <c r="J491" s="397">
        <v>1</v>
      </c>
      <c r="K491" s="398"/>
      <c r="L491" s="399" t="s">
        <v>1443</v>
      </c>
      <c r="M491" s="398"/>
      <c r="N491" s="398"/>
      <c r="O491" s="431" t="s">
        <v>1171</v>
      </c>
      <c r="P491" s="372"/>
      <c r="Q491" s="372"/>
      <c r="R491" s="372"/>
      <c r="S491" s="372"/>
    </row>
    <row r="492" spans="1:19" x14ac:dyDescent="0.2">
      <c r="A492" s="378"/>
      <c r="B492" s="368"/>
      <c r="C492" s="368"/>
      <c r="D492" s="395" t="s">
        <v>1171</v>
      </c>
      <c r="G492" s="372"/>
      <c r="H492" s="389"/>
      <c r="I492" s="396"/>
      <c r="J492" s="397">
        <v>2</v>
      </c>
      <c r="K492" s="398"/>
      <c r="L492" s="399" t="s">
        <v>1380</v>
      </c>
      <c r="M492" s="398"/>
      <c r="N492" s="398"/>
      <c r="O492" s="431" t="s">
        <v>1171</v>
      </c>
      <c r="P492" s="372"/>
      <c r="Q492" s="372"/>
      <c r="R492" s="372"/>
      <c r="S492" s="372"/>
    </row>
    <row r="493" spans="1:19" x14ac:dyDescent="0.2">
      <c r="A493" s="378"/>
      <c r="B493" s="368"/>
      <c r="C493" s="368"/>
      <c r="D493" s="395" t="s">
        <v>1171</v>
      </c>
      <c r="G493" s="372"/>
      <c r="H493" s="389"/>
      <c r="I493" s="396"/>
      <c r="J493" s="397">
        <v>3</v>
      </c>
      <c r="K493" s="398"/>
      <c r="L493" s="399" t="s">
        <v>1445</v>
      </c>
      <c r="M493" s="398"/>
      <c r="N493" s="398"/>
      <c r="O493" s="431" t="s">
        <v>1171</v>
      </c>
      <c r="P493" s="372"/>
      <c r="Q493" s="372"/>
      <c r="R493" s="372"/>
      <c r="S493" s="372"/>
    </row>
    <row r="494" spans="1:19" x14ac:dyDescent="0.2">
      <c r="A494" s="378"/>
      <c r="B494" s="368"/>
      <c r="C494" s="368"/>
      <c r="D494" s="395" t="s">
        <v>1171</v>
      </c>
      <c r="G494" s="372"/>
      <c r="H494" s="389"/>
      <c r="I494" s="396"/>
      <c r="J494" s="397">
        <v>4</v>
      </c>
      <c r="K494" s="398"/>
      <c r="L494" s="399" t="s">
        <v>1454</v>
      </c>
      <c r="M494" s="398"/>
      <c r="N494" s="398"/>
      <c r="O494" s="431" t="s">
        <v>1171</v>
      </c>
      <c r="P494" s="372"/>
      <c r="Q494" s="372"/>
      <c r="R494" s="372"/>
      <c r="S494" s="372"/>
    </row>
    <row r="495" spans="1:19" x14ac:dyDescent="0.2">
      <c r="A495" s="378"/>
      <c r="B495" s="368"/>
      <c r="C495" s="368"/>
      <c r="D495" s="395" t="s">
        <v>1171</v>
      </c>
      <c r="G495" s="372"/>
      <c r="H495" s="389"/>
      <c r="I495" s="396"/>
      <c r="J495" s="397">
        <v>5</v>
      </c>
      <c r="K495" s="398"/>
      <c r="L495" s="399" t="s">
        <v>1446</v>
      </c>
      <c r="M495" s="398"/>
      <c r="N495" s="398"/>
      <c r="O495" s="431" t="s">
        <v>1171</v>
      </c>
      <c r="P495" s="372"/>
      <c r="Q495" s="372"/>
      <c r="R495" s="372"/>
      <c r="S495" s="372"/>
    </row>
    <row r="496" spans="1:19" x14ac:dyDescent="0.2">
      <c r="A496" s="378"/>
      <c r="B496" s="368"/>
      <c r="C496" s="368"/>
      <c r="D496" s="395"/>
      <c r="G496" s="372"/>
      <c r="H496" s="389"/>
      <c r="I496" s="390" t="s">
        <v>1123</v>
      </c>
      <c r="J496" s="391"/>
      <c r="K496" s="407" t="s">
        <v>1450</v>
      </c>
      <c r="L496" s="393"/>
      <c r="M496" s="393"/>
      <c r="N496" s="393"/>
      <c r="O496" s="441"/>
      <c r="P496" s="372"/>
      <c r="Q496" s="372"/>
      <c r="R496" s="372"/>
      <c r="S496" s="372"/>
    </row>
    <row r="497" spans="1:19" x14ac:dyDescent="0.2">
      <c r="A497" s="378"/>
      <c r="B497" s="368"/>
      <c r="C497" s="368"/>
      <c r="D497" s="395" t="s">
        <v>1171</v>
      </c>
      <c r="G497" s="372"/>
      <c r="H497" s="389"/>
      <c r="I497" s="396"/>
      <c r="J497" s="397">
        <v>1</v>
      </c>
      <c r="K497" s="398"/>
      <c r="L497" s="399" t="s">
        <v>1448</v>
      </c>
      <c r="M497" s="398"/>
      <c r="N497" s="398"/>
      <c r="O497" s="431" t="s">
        <v>1171</v>
      </c>
      <c r="P497" s="372"/>
      <c r="Q497" s="372"/>
      <c r="R497" s="372"/>
      <c r="S497" s="372"/>
    </row>
    <row r="498" spans="1:19" x14ac:dyDescent="0.2">
      <c r="A498" s="378"/>
      <c r="B498" s="368"/>
      <c r="C498" s="368"/>
      <c r="D498" s="395" t="s">
        <v>1171</v>
      </c>
      <c r="G498" s="372"/>
      <c r="H498" s="389"/>
      <c r="I498" s="396"/>
      <c r="J498" s="397">
        <v>2</v>
      </c>
      <c r="K498" s="398"/>
      <c r="L498" s="399" t="s">
        <v>1269</v>
      </c>
      <c r="M498" s="398"/>
      <c r="N498" s="398"/>
      <c r="O498" s="431" t="s">
        <v>1171</v>
      </c>
      <c r="P498" s="372"/>
      <c r="Q498" s="372"/>
      <c r="R498" s="372"/>
      <c r="S498" s="372"/>
    </row>
    <row r="499" spans="1:19" x14ac:dyDescent="0.2">
      <c r="A499" s="378"/>
      <c r="B499" s="368"/>
      <c r="C499" s="368"/>
      <c r="D499" s="395" t="s">
        <v>1171</v>
      </c>
      <c r="G499" s="372"/>
      <c r="H499" s="389"/>
      <c r="I499" s="396"/>
      <c r="J499" s="397">
        <v>3</v>
      </c>
      <c r="K499" s="398"/>
      <c r="L499" s="399" t="s">
        <v>1443</v>
      </c>
      <c r="M499" s="398"/>
      <c r="N499" s="398"/>
      <c r="O499" s="431" t="s">
        <v>1171</v>
      </c>
      <c r="P499" s="372"/>
      <c r="Q499" s="372"/>
      <c r="R499" s="372"/>
      <c r="S499" s="372"/>
    </row>
    <row r="500" spans="1:19" x14ac:dyDescent="0.2">
      <c r="A500" s="378"/>
      <c r="B500" s="368"/>
      <c r="C500" s="368"/>
      <c r="D500" s="395" t="s">
        <v>1171</v>
      </c>
      <c r="G500" s="372"/>
      <c r="H500" s="389"/>
      <c r="I500" s="396"/>
      <c r="J500" s="397">
        <v>4</v>
      </c>
      <c r="K500" s="398"/>
      <c r="L500" s="399" t="s">
        <v>1380</v>
      </c>
      <c r="M500" s="398"/>
      <c r="N500" s="398"/>
      <c r="O500" s="431" t="s">
        <v>1171</v>
      </c>
      <c r="P500" s="372"/>
      <c r="Q500" s="372"/>
      <c r="R500" s="372"/>
      <c r="S500" s="372"/>
    </row>
    <row r="501" spans="1:19" x14ac:dyDescent="0.2">
      <c r="A501" s="378"/>
      <c r="B501" s="368"/>
      <c r="C501" s="368"/>
      <c r="D501" s="395" t="s">
        <v>1171</v>
      </c>
      <c r="G501" s="372"/>
      <c r="H501" s="389"/>
      <c r="I501" s="396"/>
      <c r="J501" s="397">
        <v>5</v>
      </c>
      <c r="K501" s="398"/>
      <c r="L501" s="399" t="s">
        <v>1445</v>
      </c>
      <c r="M501" s="398"/>
      <c r="N501" s="398"/>
      <c r="O501" s="431" t="s">
        <v>1171</v>
      </c>
      <c r="P501" s="372"/>
      <c r="Q501" s="372"/>
      <c r="R501" s="372"/>
      <c r="S501" s="372"/>
    </row>
    <row r="502" spans="1:19" x14ac:dyDescent="0.2">
      <c r="A502" s="378"/>
      <c r="B502" s="368"/>
      <c r="C502" s="368"/>
      <c r="D502" s="395" t="s">
        <v>1171</v>
      </c>
      <c r="G502" s="372"/>
      <c r="H502" s="389"/>
      <c r="I502" s="396"/>
      <c r="J502" s="397">
        <v>6</v>
      </c>
      <c r="K502" s="398"/>
      <c r="L502" s="399" t="s">
        <v>1454</v>
      </c>
      <c r="M502" s="398"/>
      <c r="N502" s="398"/>
      <c r="O502" s="431" t="s">
        <v>1171</v>
      </c>
      <c r="P502" s="372"/>
      <c r="Q502" s="372"/>
      <c r="R502" s="372"/>
      <c r="S502" s="372"/>
    </row>
    <row r="503" spans="1:19" x14ac:dyDescent="0.2">
      <c r="A503" s="378"/>
      <c r="B503" s="368"/>
      <c r="C503" s="368"/>
      <c r="D503" s="395" t="s">
        <v>1171</v>
      </c>
      <c r="G503" s="372"/>
      <c r="H503" s="389"/>
      <c r="I503" s="396"/>
      <c r="J503" s="397">
        <v>7</v>
      </c>
      <c r="K503" s="398"/>
      <c r="L503" s="399" t="s">
        <v>1446</v>
      </c>
      <c r="M503" s="398"/>
      <c r="N503" s="398"/>
      <c r="O503" s="431" t="s">
        <v>1171</v>
      </c>
      <c r="P503" s="372"/>
      <c r="Q503" s="372"/>
      <c r="R503" s="372"/>
      <c r="S503" s="372"/>
    </row>
    <row r="504" spans="1:19" x14ac:dyDescent="0.2">
      <c r="A504" s="378"/>
      <c r="B504" s="368"/>
      <c r="C504" s="368"/>
      <c r="D504" s="395"/>
      <c r="G504" s="372"/>
      <c r="H504" s="389"/>
      <c r="I504" s="390" t="s">
        <v>1165</v>
      </c>
      <c r="J504" s="391"/>
      <c r="K504" s="407" t="s">
        <v>1455</v>
      </c>
      <c r="L504" s="393"/>
      <c r="M504" s="393"/>
      <c r="N504" s="393"/>
      <c r="O504" s="441"/>
      <c r="P504" s="372"/>
      <c r="Q504" s="372"/>
      <c r="R504" s="372"/>
      <c r="S504" s="372"/>
    </row>
    <row r="505" spans="1:19" x14ac:dyDescent="0.2">
      <c r="A505" s="378"/>
      <c r="B505" s="368"/>
      <c r="C505" s="368"/>
      <c r="D505" s="395" t="s">
        <v>1171</v>
      </c>
      <c r="G505" s="372"/>
      <c r="H505" s="389"/>
      <c r="I505" s="396"/>
      <c r="J505" s="397">
        <v>1</v>
      </c>
      <c r="K505" s="398"/>
      <c r="L505" s="399" t="s">
        <v>1448</v>
      </c>
      <c r="M505" s="398"/>
      <c r="N505" s="398"/>
      <c r="O505" s="431" t="s">
        <v>1171</v>
      </c>
      <c r="P505" s="372"/>
      <c r="Q505" s="372"/>
      <c r="R505" s="372"/>
      <c r="S505" s="372"/>
    </row>
    <row r="506" spans="1:19" x14ac:dyDescent="0.2">
      <c r="A506" s="378"/>
      <c r="B506" s="368"/>
      <c r="C506" s="368"/>
      <c r="D506" s="395" t="s">
        <v>1171</v>
      </c>
      <c r="G506" s="372"/>
      <c r="H506" s="389"/>
      <c r="I506" s="396"/>
      <c r="J506" s="397">
        <v>2</v>
      </c>
      <c r="K506" s="398"/>
      <c r="L506" s="399" t="s">
        <v>1269</v>
      </c>
      <c r="M506" s="398"/>
      <c r="N506" s="398"/>
      <c r="O506" s="431" t="s">
        <v>1171</v>
      </c>
      <c r="P506" s="372"/>
      <c r="Q506" s="372"/>
      <c r="R506" s="372"/>
      <c r="S506" s="372"/>
    </row>
    <row r="507" spans="1:19" x14ac:dyDescent="0.2">
      <c r="A507" s="378"/>
      <c r="B507" s="368"/>
      <c r="C507" s="368"/>
      <c r="D507" s="395" t="s">
        <v>1171</v>
      </c>
      <c r="G507" s="372"/>
      <c r="H507" s="389"/>
      <c r="I507" s="396"/>
      <c r="J507" s="397">
        <v>3</v>
      </c>
      <c r="K507" s="398"/>
      <c r="L507" s="399" t="s">
        <v>1458</v>
      </c>
      <c r="M507" s="398"/>
      <c r="N507" s="398"/>
      <c r="O507" s="431" t="s">
        <v>1171</v>
      </c>
      <c r="P507" s="372"/>
      <c r="Q507" s="372"/>
      <c r="R507" s="372"/>
      <c r="S507" s="372"/>
    </row>
    <row r="508" spans="1:19" x14ac:dyDescent="0.2">
      <c r="A508" s="378"/>
      <c r="B508" s="368"/>
      <c r="C508" s="368"/>
      <c r="D508" s="395" t="s">
        <v>1171</v>
      </c>
      <c r="G508" s="372"/>
      <c r="H508" s="389"/>
      <c r="I508" s="396"/>
      <c r="J508" s="397">
        <v>4</v>
      </c>
      <c r="K508" s="398"/>
      <c r="L508" s="399" t="s">
        <v>1443</v>
      </c>
      <c r="M508" s="398"/>
      <c r="N508" s="398"/>
      <c r="O508" s="431" t="s">
        <v>1171</v>
      </c>
      <c r="P508" s="372"/>
      <c r="Q508" s="372"/>
      <c r="R508" s="372"/>
      <c r="S508" s="372"/>
    </row>
    <row r="509" spans="1:19" x14ac:dyDescent="0.2">
      <c r="A509" s="378"/>
      <c r="B509" s="368"/>
      <c r="C509" s="368"/>
      <c r="D509" s="395" t="s">
        <v>1171</v>
      </c>
      <c r="G509" s="372"/>
      <c r="H509" s="389"/>
      <c r="I509" s="396"/>
      <c r="J509" s="397">
        <v>5</v>
      </c>
      <c r="K509" s="398"/>
      <c r="L509" s="399" t="s">
        <v>1380</v>
      </c>
      <c r="M509" s="398"/>
      <c r="N509" s="398"/>
      <c r="O509" s="431" t="s">
        <v>1171</v>
      </c>
      <c r="P509" s="372"/>
      <c r="Q509" s="372"/>
      <c r="R509" s="372"/>
      <c r="S509" s="372"/>
    </row>
    <row r="510" spans="1:19" x14ac:dyDescent="0.2">
      <c r="A510" s="378"/>
      <c r="B510" s="368"/>
      <c r="C510" s="368"/>
      <c r="D510" s="395" t="s">
        <v>1171</v>
      </c>
      <c r="G510" s="372"/>
      <c r="H510" s="389"/>
      <c r="I510" s="396"/>
      <c r="J510" s="397">
        <v>6</v>
      </c>
      <c r="K510" s="398"/>
      <c r="L510" s="399" t="s">
        <v>1462</v>
      </c>
      <c r="M510" s="398"/>
      <c r="N510" s="398"/>
      <c r="O510" s="431" t="s">
        <v>1171</v>
      </c>
      <c r="P510" s="372"/>
      <c r="Q510" s="372"/>
      <c r="R510" s="372"/>
      <c r="S510" s="372"/>
    </row>
    <row r="511" spans="1:19" x14ac:dyDescent="0.2">
      <c r="A511" s="378"/>
      <c r="B511" s="368"/>
      <c r="C511" s="368"/>
      <c r="D511" s="395" t="s">
        <v>1171</v>
      </c>
      <c r="G511" s="372"/>
      <c r="H511" s="389"/>
      <c r="I511" s="396"/>
      <c r="J511" s="397">
        <v>7</v>
      </c>
      <c r="K511" s="398"/>
      <c r="L511" s="399" t="s">
        <v>1454</v>
      </c>
      <c r="M511" s="398"/>
      <c r="N511" s="398"/>
      <c r="O511" s="431" t="s">
        <v>1171</v>
      </c>
      <c r="P511" s="372"/>
      <c r="Q511" s="372"/>
      <c r="R511" s="372"/>
      <c r="S511" s="372"/>
    </row>
    <row r="512" spans="1:19" x14ac:dyDescent="0.2">
      <c r="A512" s="378"/>
      <c r="B512" s="368"/>
      <c r="C512" s="368"/>
      <c r="D512" s="395" t="s">
        <v>1171</v>
      </c>
      <c r="G512" s="398"/>
      <c r="H512" s="389"/>
      <c r="I512" s="396"/>
      <c r="J512" s="397">
        <v>8</v>
      </c>
      <c r="K512" s="398"/>
      <c r="L512" s="405" t="s">
        <v>1473</v>
      </c>
      <c r="M512" s="404"/>
      <c r="N512" s="404"/>
      <c r="O512" s="450" t="s">
        <v>1171</v>
      </c>
      <c r="P512" s="372"/>
      <c r="Q512" s="372"/>
      <c r="R512" s="372"/>
      <c r="S512" s="372"/>
    </row>
    <row r="513" spans="1:19" x14ac:dyDescent="0.2">
      <c r="A513" s="378"/>
      <c r="B513" s="368"/>
      <c r="C513" s="368"/>
      <c r="D513" s="395"/>
      <c r="G513" s="372"/>
      <c r="H513" s="389"/>
      <c r="I513" s="390" t="s">
        <v>1168</v>
      </c>
      <c r="J513" s="391"/>
      <c r="K513" s="407" t="s">
        <v>1464</v>
      </c>
      <c r="L513" s="393"/>
      <c r="M513" s="393"/>
      <c r="N513" s="393"/>
      <c r="O513" s="441"/>
      <c r="P513" s="372"/>
      <c r="Q513" s="372"/>
      <c r="R513" s="372"/>
      <c r="S513" s="372"/>
    </row>
    <row r="514" spans="1:19" x14ac:dyDescent="0.2">
      <c r="A514" s="378"/>
      <c r="B514" s="368"/>
      <c r="C514" s="368"/>
      <c r="D514" s="395" t="s">
        <v>1171</v>
      </c>
      <c r="G514" s="372"/>
      <c r="H514" s="389"/>
      <c r="I514" s="396"/>
      <c r="J514" s="397">
        <v>1</v>
      </c>
      <c r="K514" s="398"/>
      <c r="L514" s="399" t="s">
        <v>1448</v>
      </c>
      <c r="M514" s="398"/>
      <c r="N514" s="398"/>
      <c r="O514" s="431" t="s">
        <v>1171</v>
      </c>
      <c r="P514" s="372"/>
      <c r="Q514" s="372"/>
      <c r="R514" s="372"/>
      <c r="S514" s="372"/>
    </row>
    <row r="515" spans="1:19" x14ac:dyDescent="0.2">
      <c r="A515" s="378"/>
      <c r="B515" s="368"/>
      <c r="C515" s="368"/>
      <c r="D515" s="395" t="s">
        <v>1171</v>
      </c>
      <c r="G515" s="372"/>
      <c r="H515" s="389"/>
      <c r="I515" s="396"/>
      <c r="J515" s="397">
        <v>2</v>
      </c>
      <c r="K515" s="398"/>
      <c r="L515" s="399" t="s">
        <v>1269</v>
      </c>
      <c r="M515" s="398"/>
      <c r="N515" s="398"/>
      <c r="O515" s="431" t="s">
        <v>1171</v>
      </c>
      <c r="P515" s="372"/>
      <c r="Q515" s="372"/>
      <c r="R515" s="372"/>
      <c r="S515" s="372"/>
    </row>
    <row r="516" spans="1:19" x14ac:dyDescent="0.2">
      <c r="A516" s="378"/>
      <c r="B516" s="368"/>
      <c r="C516" s="368"/>
      <c r="D516" s="395" t="s">
        <v>1171</v>
      </c>
      <c r="G516" s="372"/>
      <c r="H516" s="389"/>
      <c r="I516" s="396"/>
      <c r="J516" s="397">
        <v>3</v>
      </c>
      <c r="K516" s="398"/>
      <c r="L516" s="399" t="s">
        <v>1458</v>
      </c>
      <c r="M516" s="398"/>
      <c r="N516" s="398"/>
      <c r="O516" s="431" t="s">
        <v>1171</v>
      </c>
      <c r="P516" s="372"/>
      <c r="Q516" s="372"/>
      <c r="R516" s="372"/>
      <c r="S516" s="372"/>
    </row>
    <row r="517" spans="1:19" x14ac:dyDescent="0.2">
      <c r="A517" s="378"/>
      <c r="B517" s="368"/>
      <c r="C517" s="368"/>
      <c r="D517" s="395" t="s">
        <v>1171</v>
      </c>
      <c r="G517" s="372"/>
      <c r="H517" s="389"/>
      <c r="I517" s="396"/>
      <c r="J517" s="397">
        <v>4</v>
      </c>
      <c r="K517" s="398"/>
      <c r="L517" s="399" t="s">
        <v>1462</v>
      </c>
      <c r="M517" s="398"/>
      <c r="N517" s="398"/>
      <c r="O517" s="431" t="s">
        <v>1171</v>
      </c>
      <c r="P517" s="372"/>
      <c r="Q517" s="372"/>
      <c r="R517" s="372"/>
      <c r="S517" s="372"/>
    </row>
    <row r="518" spans="1:19" x14ac:dyDescent="0.2">
      <c r="A518" s="378"/>
      <c r="B518" s="368"/>
      <c r="C518" s="368"/>
      <c r="D518" s="395" t="s">
        <v>1171</v>
      </c>
      <c r="G518" s="372"/>
      <c r="H518" s="389"/>
      <c r="I518" s="396"/>
      <c r="J518" s="397">
        <v>5</v>
      </c>
      <c r="K518" s="398"/>
      <c r="L518" s="399" t="s">
        <v>1454</v>
      </c>
      <c r="M518" s="398"/>
      <c r="N518" s="398"/>
      <c r="O518" s="431" t="s">
        <v>1171</v>
      </c>
      <c r="P518" s="372"/>
      <c r="Q518" s="372"/>
      <c r="R518" s="372"/>
      <c r="S518" s="372"/>
    </row>
    <row r="519" spans="1:19" ht="15.75" thickBot="1" x14ac:dyDescent="0.25">
      <c r="A519" s="378"/>
      <c r="B519" s="368"/>
      <c r="C519" s="368"/>
      <c r="D519" s="395" t="s">
        <v>1171</v>
      </c>
      <c r="G519" s="372"/>
      <c r="H519" s="409"/>
      <c r="I519" s="410"/>
      <c r="J519" s="411">
        <v>6</v>
      </c>
      <c r="K519" s="412"/>
      <c r="L519" s="413" t="s">
        <v>1446</v>
      </c>
      <c r="M519" s="412"/>
      <c r="N519" s="412"/>
      <c r="O519" s="497" t="s">
        <v>1171</v>
      </c>
      <c r="P519" s="372"/>
      <c r="Q519" s="372"/>
      <c r="R519" s="372"/>
      <c r="S519" s="372"/>
    </row>
    <row r="520" spans="1:19" ht="15.75" thickTop="1" x14ac:dyDescent="0.2">
      <c r="A520" s="378">
        <v>46</v>
      </c>
      <c r="B520" s="368" t="s">
        <v>1474</v>
      </c>
      <c r="C520" s="368" t="s">
        <v>1475</v>
      </c>
      <c r="D520" s="395"/>
      <c r="G520" s="372"/>
      <c r="H520" s="416">
        <v>46</v>
      </c>
      <c r="I520" s="418"/>
      <c r="J520" s="429"/>
      <c r="K520" s="486" t="s">
        <v>1475</v>
      </c>
      <c r="L520" s="429"/>
      <c r="M520" s="429"/>
      <c r="N520" s="429"/>
      <c r="O520" s="440"/>
      <c r="P520" s="372"/>
      <c r="Q520" s="387">
        <f>H520</f>
        <v>46</v>
      </c>
      <c r="R520" s="377" t="str">
        <f>CONCATENATE("II-",TEXT(Q520,"0000"))</f>
        <v>II-0046</v>
      </c>
      <c r="S520" s="388" t="str">
        <f>K520</f>
        <v>IMPERMEABILIZACION</v>
      </c>
    </row>
    <row r="521" spans="1:19" x14ac:dyDescent="0.2">
      <c r="A521" s="378"/>
      <c r="B521" s="368"/>
      <c r="C521" s="368"/>
      <c r="D521" s="395" t="s">
        <v>1254</v>
      </c>
      <c r="G521" s="372"/>
      <c r="H521" s="389"/>
      <c r="I521" s="390" t="s">
        <v>1060</v>
      </c>
      <c r="J521" s="398"/>
      <c r="K521" s="399" t="s">
        <v>1476</v>
      </c>
      <c r="L521" s="398"/>
      <c r="M521" s="398"/>
      <c r="N521" s="398"/>
      <c r="O521" s="431" t="s">
        <v>1254</v>
      </c>
      <c r="P521" s="372"/>
      <c r="Q521" s="372"/>
      <c r="R521" s="372"/>
      <c r="S521" s="372"/>
    </row>
    <row r="522" spans="1:19" x14ac:dyDescent="0.2">
      <c r="A522" s="378"/>
      <c r="B522" s="368"/>
      <c r="C522" s="368"/>
      <c r="D522" s="395"/>
      <c r="G522" s="372"/>
      <c r="H522" s="389"/>
      <c r="I522" s="390" t="s">
        <v>1087</v>
      </c>
      <c r="J522" s="391"/>
      <c r="K522" s="407" t="s">
        <v>1477</v>
      </c>
      <c r="L522" s="393"/>
      <c r="M522" s="393"/>
      <c r="N522" s="393"/>
      <c r="O522" s="441"/>
      <c r="P522" s="372"/>
      <c r="Q522" s="372"/>
      <c r="R522" s="372"/>
      <c r="S522" s="372"/>
    </row>
    <row r="523" spans="1:19" x14ac:dyDescent="0.2">
      <c r="A523" s="378"/>
      <c r="B523" s="368"/>
      <c r="C523" s="368"/>
      <c r="D523" s="395" t="s">
        <v>1254</v>
      </c>
      <c r="G523" s="372"/>
      <c r="H523" s="389"/>
      <c r="I523" s="396"/>
      <c r="J523" s="397">
        <v>1</v>
      </c>
      <c r="K523" s="398"/>
      <c r="L523" s="399" t="s">
        <v>1478</v>
      </c>
      <c r="M523" s="398"/>
      <c r="N523" s="398"/>
      <c r="O523" s="431" t="s">
        <v>1254</v>
      </c>
      <c r="P523" s="372"/>
      <c r="Q523" s="372"/>
      <c r="R523" s="372"/>
      <c r="S523" s="372"/>
    </row>
    <row r="524" spans="1:19" ht="15.75" thickBot="1" x14ac:dyDescent="0.25">
      <c r="A524" s="378"/>
      <c r="B524" s="368"/>
      <c r="C524" s="368"/>
      <c r="D524" s="395" t="s">
        <v>1254</v>
      </c>
      <c r="G524" s="372"/>
      <c r="H524" s="409"/>
      <c r="I524" s="410"/>
      <c r="J524" s="411">
        <v>2</v>
      </c>
      <c r="K524" s="412"/>
      <c r="L524" s="413" t="s">
        <v>1479</v>
      </c>
      <c r="M524" s="412"/>
      <c r="N524" s="412"/>
      <c r="O524" s="497" t="s">
        <v>1254</v>
      </c>
      <c r="P524" s="372"/>
      <c r="Q524" s="372"/>
      <c r="R524" s="372"/>
      <c r="S524" s="372"/>
    </row>
    <row r="525" spans="1:19" ht="15.75" thickTop="1" x14ac:dyDescent="0.2">
      <c r="A525" s="378">
        <v>47</v>
      </c>
      <c r="B525" s="368" t="s">
        <v>1480</v>
      </c>
      <c r="C525" s="368" t="s">
        <v>1481</v>
      </c>
      <c r="D525" s="395"/>
      <c r="G525" s="372"/>
      <c r="H525" s="416">
        <v>47</v>
      </c>
      <c r="I525" s="418"/>
      <c r="J525" s="429"/>
      <c r="K525" s="486" t="s">
        <v>1481</v>
      </c>
      <c r="L525" s="429"/>
      <c r="M525" s="429"/>
      <c r="N525" s="429"/>
      <c r="O525" s="440"/>
      <c r="P525" s="372"/>
      <c r="Q525" s="387">
        <f>H525</f>
        <v>47</v>
      </c>
      <c r="R525" s="377" t="str">
        <f>CONCATENATE("II-",TEXT(Q525,"0000"))</f>
        <v>II-0047</v>
      </c>
      <c r="S525" s="388" t="str">
        <f>K525</f>
        <v>IMPRIMACIÒN CON MATERIAL BITUMINOSO</v>
      </c>
    </row>
    <row r="526" spans="1:19" x14ac:dyDescent="0.2">
      <c r="A526" s="378"/>
      <c r="B526" s="368"/>
      <c r="C526" s="368"/>
      <c r="D526" s="395" t="s">
        <v>1254</v>
      </c>
      <c r="G526" s="372"/>
      <c r="H526" s="389"/>
      <c r="I526" s="390" t="s">
        <v>1060</v>
      </c>
      <c r="J526" s="437"/>
      <c r="K526" s="458" t="s">
        <v>1478</v>
      </c>
      <c r="L526" s="458"/>
      <c r="M526" s="458"/>
      <c r="N526" s="437"/>
      <c r="O526" s="472" t="s">
        <v>1254</v>
      </c>
      <c r="P526" s="372"/>
      <c r="Q526" s="372"/>
      <c r="R526" s="372"/>
      <c r="S526" s="372"/>
    </row>
    <row r="527" spans="1:19" ht="15.75" thickBot="1" x14ac:dyDescent="0.25">
      <c r="A527" s="378"/>
      <c r="B527" s="368"/>
      <c r="C527" s="368"/>
      <c r="D527" s="395" t="s">
        <v>1254</v>
      </c>
      <c r="G527" s="372"/>
      <c r="H527" s="442"/>
      <c r="I527" s="444" t="s">
        <v>1087</v>
      </c>
      <c r="J527" s="445"/>
      <c r="K527" s="446" t="s">
        <v>1479</v>
      </c>
      <c r="L527" s="446"/>
      <c r="M527" s="446"/>
      <c r="N527" s="445"/>
      <c r="O527" s="500" t="s">
        <v>1254</v>
      </c>
      <c r="P527" s="372"/>
      <c r="Q527" s="372"/>
      <c r="R527" s="372"/>
      <c r="S527" s="372"/>
    </row>
    <row r="528" spans="1:19" x14ac:dyDescent="0.2">
      <c r="A528" s="378"/>
      <c r="B528" s="368"/>
      <c r="C528" s="368"/>
      <c r="D528" s="395"/>
      <c r="G528" s="372"/>
      <c r="H528" s="448"/>
      <c r="I528" s="396"/>
      <c r="J528" s="398"/>
      <c r="K528" s="399"/>
      <c r="L528" s="399"/>
      <c r="M528" s="399"/>
      <c r="N528" s="398"/>
      <c r="O528" s="506"/>
      <c r="P528" s="372"/>
      <c r="Q528" s="372"/>
      <c r="R528" s="372"/>
      <c r="S528" s="372"/>
    </row>
    <row r="529" spans="1:19" x14ac:dyDescent="0.2">
      <c r="A529" s="378"/>
      <c r="B529" s="368"/>
      <c r="C529" s="368"/>
      <c r="D529" s="395"/>
      <c r="G529" s="398"/>
      <c r="H529" s="448"/>
      <c r="I529" s="396"/>
      <c r="J529" s="398"/>
      <c r="K529" s="399"/>
      <c r="L529" s="399"/>
      <c r="M529" s="399"/>
      <c r="N529" s="398"/>
      <c r="O529" s="506"/>
      <c r="P529" s="398"/>
      <c r="Q529" s="398"/>
      <c r="R529" s="398"/>
      <c r="S529" s="398"/>
    </row>
    <row r="530" spans="1:19" x14ac:dyDescent="0.2">
      <c r="A530" s="378">
        <v>48</v>
      </c>
      <c r="B530" s="368" t="s">
        <v>1482</v>
      </c>
      <c r="C530" s="368" t="s">
        <v>1483</v>
      </c>
      <c r="D530" s="395"/>
      <c r="G530" s="372"/>
      <c r="H530" s="416">
        <v>48</v>
      </c>
      <c r="I530" s="418"/>
      <c r="J530" s="429"/>
      <c r="K530" s="486" t="s">
        <v>1483</v>
      </c>
      <c r="L530" s="429"/>
      <c r="M530" s="429"/>
      <c r="N530" s="429"/>
      <c r="O530" s="440"/>
      <c r="P530" s="372"/>
      <c r="Q530" s="387">
        <f>H530</f>
        <v>48</v>
      </c>
      <c r="R530" s="377" t="str">
        <f>CONCATENATE("II-",TEXT(Q530,"0000"))</f>
        <v>II-0048</v>
      </c>
      <c r="S530" s="388" t="str">
        <f>K530</f>
        <v>LIMPIEZA</v>
      </c>
    </row>
    <row r="531" spans="1:19" x14ac:dyDescent="0.2">
      <c r="A531" s="378"/>
      <c r="B531" s="368"/>
      <c r="C531" s="368"/>
      <c r="D531" s="395" t="s">
        <v>1484</v>
      </c>
      <c r="G531" s="372"/>
      <c r="H531" s="389"/>
      <c r="I531" s="524" t="s">
        <v>1060</v>
      </c>
      <c r="J531" s="398"/>
      <c r="K531" s="399" t="s">
        <v>1485</v>
      </c>
      <c r="L531" s="399"/>
      <c r="M531" s="399"/>
      <c r="N531" s="398"/>
      <c r="O531" s="431" t="s">
        <v>1484</v>
      </c>
      <c r="P531" s="372"/>
      <c r="Q531" s="372"/>
      <c r="R531" s="372"/>
      <c r="S531" s="372"/>
    </row>
    <row r="532" spans="1:19" x14ac:dyDescent="0.2">
      <c r="A532" s="378"/>
      <c r="B532" s="368"/>
      <c r="C532" s="368"/>
      <c r="D532" s="395" t="s">
        <v>1171</v>
      </c>
      <c r="G532" s="372"/>
      <c r="H532" s="389"/>
      <c r="I532" s="390" t="s">
        <v>1087</v>
      </c>
      <c r="J532" s="437"/>
      <c r="K532" s="458" t="s">
        <v>1486</v>
      </c>
      <c r="L532" s="458"/>
      <c r="M532" s="458"/>
      <c r="N532" s="437"/>
      <c r="O532" s="472" t="s">
        <v>1171</v>
      </c>
      <c r="P532" s="372"/>
      <c r="Q532" s="372"/>
      <c r="R532" s="372"/>
      <c r="S532" s="372"/>
    </row>
    <row r="533" spans="1:19" x14ac:dyDescent="0.2">
      <c r="A533" s="378"/>
      <c r="B533" s="368"/>
      <c r="C533" s="368"/>
      <c r="D533" s="395" t="s">
        <v>1171</v>
      </c>
      <c r="G533" s="372"/>
      <c r="H533" s="389"/>
      <c r="I533" s="397" t="s">
        <v>1097</v>
      </c>
      <c r="J533" s="398"/>
      <c r="K533" s="399" t="s">
        <v>1487</v>
      </c>
      <c r="L533" s="399"/>
      <c r="M533" s="399"/>
      <c r="N533" s="398"/>
      <c r="O533" s="431" t="s">
        <v>1171</v>
      </c>
      <c r="P533" s="372"/>
      <c r="Q533" s="372"/>
      <c r="R533" s="372"/>
      <c r="S533" s="372"/>
    </row>
    <row r="534" spans="1:19" x14ac:dyDescent="0.2">
      <c r="A534" s="378"/>
      <c r="B534" s="368"/>
      <c r="C534" s="368"/>
      <c r="D534" s="395" t="s">
        <v>1171</v>
      </c>
      <c r="G534" s="372"/>
      <c r="H534" s="389"/>
      <c r="I534" s="524" t="s">
        <v>1123</v>
      </c>
      <c r="J534" s="393"/>
      <c r="K534" s="407" t="s">
        <v>1488</v>
      </c>
      <c r="L534" s="407"/>
      <c r="M534" s="407"/>
      <c r="N534" s="393"/>
      <c r="O534" s="441" t="s">
        <v>1171</v>
      </c>
      <c r="P534" s="372"/>
      <c r="Q534" s="372"/>
      <c r="R534" s="372"/>
      <c r="S534" s="372"/>
    </row>
    <row r="535" spans="1:19" x14ac:dyDescent="0.2">
      <c r="A535" s="378"/>
      <c r="B535" s="368"/>
      <c r="C535" s="368"/>
      <c r="D535" s="395" t="s">
        <v>1171</v>
      </c>
      <c r="G535" s="372"/>
      <c r="H535" s="389"/>
      <c r="I535" s="390" t="s">
        <v>1165</v>
      </c>
      <c r="J535" s="437"/>
      <c r="K535" s="458" t="s">
        <v>1489</v>
      </c>
      <c r="L535" s="458"/>
      <c r="M535" s="458"/>
      <c r="N535" s="437"/>
      <c r="O535" s="472" t="s">
        <v>1171</v>
      </c>
      <c r="P535" s="372"/>
      <c r="Q535" s="372"/>
      <c r="R535" s="372"/>
      <c r="S535" s="372"/>
    </row>
    <row r="536" spans="1:19" x14ac:dyDescent="0.2">
      <c r="A536" s="378"/>
      <c r="B536" s="368"/>
      <c r="C536" s="368"/>
      <c r="D536" s="395" t="s">
        <v>1288</v>
      </c>
      <c r="G536" s="372"/>
      <c r="H536" s="389"/>
      <c r="I536" s="397" t="s">
        <v>1168</v>
      </c>
      <c r="J536" s="398"/>
      <c r="K536" s="399" t="s">
        <v>1490</v>
      </c>
      <c r="L536" s="399"/>
      <c r="M536" s="399"/>
      <c r="N536" s="398"/>
      <c r="O536" s="431" t="s">
        <v>1288</v>
      </c>
      <c r="P536" s="372"/>
      <c r="Q536" s="372"/>
      <c r="R536" s="372"/>
      <c r="S536" s="372"/>
    </row>
    <row r="537" spans="1:19" x14ac:dyDescent="0.2">
      <c r="A537" s="378"/>
      <c r="B537" s="368"/>
      <c r="C537" s="368"/>
      <c r="D537" s="395" t="s">
        <v>1031</v>
      </c>
      <c r="G537" s="372"/>
      <c r="H537" s="389"/>
      <c r="I537" s="390" t="s">
        <v>1172</v>
      </c>
      <c r="J537" s="437"/>
      <c r="K537" s="458" t="s">
        <v>1491</v>
      </c>
      <c r="L537" s="458"/>
      <c r="M537" s="458"/>
      <c r="N537" s="437"/>
      <c r="O537" s="472" t="s">
        <v>1031</v>
      </c>
      <c r="P537" s="372"/>
      <c r="Q537" s="372"/>
      <c r="R537" s="372"/>
      <c r="S537" s="372"/>
    </row>
    <row r="538" spans="1:19" ht="15.75" thickBot="1" x14ac:dyDescent="0.25">
      <c r="A538" s="378"/>
      <c r="B538" s="368"/>
      <c r="C538" s="368"/>
      <c r="D538" s="395" t="s">
        <v>1031</v>
      </c>
      <c r="G538" s="372"/>
      <c r="H538" s="409"/>
      <c r="I538" s="411" t="s">
        <v>1175</v>
      </c>
      <c r="J538" s="412"/>
      <c r="K538" s="413" t="s">
        <v>1492</v>
      </c>
      <c r="L538" s="413"/>
      <c r="M538" s="413"/>
      <c r="N538" s="412"/>
      <c r="O538" s="497" t="s">
        <v>1031</v>
      </c>
      <c r="P538" s="372"/>
      <c r="Q538" s="372"/>
      <c r="R538" s="372"/>
      <c r="S538" s="372"/>
    </row>
    <row r="539" spans="1:19" ht="15.75" thickTop="1" x14ac:dyDescent="0.2">
      <c r="A539" s="378">
        <v>49</v>
      </c>
      <c r="B539" s="368" t="s">
        <v>1493</v>
      </c>
      <c r="C539" s="368" t="s">
        <v>1494</v>
      </c>
      <c r="D539" s="395"/>
      <c r="G539" s="372"/>
      <c r="H539" s="416">
        <v>49</v>
      </c>
      <c r="I539" s="418"/>
      <c r="J539" s="429"/>
      <c r="K539" s="486" t="s">
        <v>1494</v>
      </c>
      <c r="L539" s="429"/>
      <c r="M539" s="429"/>
      <c r="N539" s="429"/>
      <c r="O539" s="440"/>
      <c r="P539" s="372"/>
      <c r="Q539" s="387">
        <f>H539</f>
        <v>49</v>
      </c>
      <c r="R539" s="377" t="str">
        <f>CONCATENATE("II-",TEXT(Q539,"0000"))</f>
        <v>II-0049</v>
      </c>
      <c r="S539" s="388" t="str">
        <f>K539</f>
        <v>LOSA DE HORMIGON</v>
      </c>
    </row>
    <row r="540" spans="1:19" ht="15.75" thickBot="1" x14ac:dyDescent="0.25">
      <c r="A540" s="378"/>
      <c r="B540" s="368"/>
      <c r="C540" s="368"/>
      <c r="D540" s="395" t="s">
        <v>1254</v>
      </c>
      <c r="G540" s="372"/>
      <c r="H540" s="420"/>
      <c r="I540" s="421" t="s">
        <v>1060</v>
      </c>
      <c r="J540" s="422"/>
      <c r="K540" s="460" t="s">
        <v>1174</v>
      </c>
      <c r="L540" s="424"/>
      <c r="M540" s="424"/>
      <c r="N540" s="424"/>
      <c r="O540" s="498" t="s">
        <v>1254</v>
      </c>
      <c r="P540" s="372"/>
      <c r="Q540" s="372"/>
      <c r="R540" s="372"/>
      <c r="S540" s="372"/>
    </row>
    <row r="541" spans="1:19" ht="15.75" thickTop="1" x14ac:dyDescent="0.2">
      <c r="A541" s="378">
        <v>50</v>
      </c>
      <c r="B541" s="368" t="s">
        <v>1495</v>
      </c>
      <c r="C541" s="368" t="s">
        <v>1496</v>
      </c>
      <c r="D541" s="395"/>
      <c r="G541" s="372"/>
      <c r="H541" s="416">
        <v>50</v>
      </c>
      <c r="I541" s="418"/>
      <c r="J541" s="429"/>
      <c r="K541" s="486" t="s">
        <v>1496</v>
      </c>
      <c r="L541" s="429"/>
      <c r="M541" s="429"/>
      <c r="N541" s="429"/>
      <c r="O541" s="440"/>
      <c r="P541" s="372"/>
      <c r="Q541" s="387">
        <f>H541</f>
        <v>50</v>
      </c>
      <c r="R541" s="377" t="str">
        <f>CONCATENATE("II-",TEXT(Q541,"0000"))</f>
        <v>II-0050</v>
      </c>
      <c r="S541" s="388" t="str">
        <f>K541</f>
        <v>LOSETAS DE HORMIGON</v>
      </c>
    </row>
    <row r="542" spans="1:19" x14ac:dyDescent="0.2">
      <c r="A542" s="378"/>
      <c r="B542" s="368"/>
      <c r="C542" s="368"/>
      <c r="D542" s="395"/>
      <c r="G542" s="372"/>
      <c r="H542" s="389"/>
      <c r="I542" s="390" t="s">
        <v>1060</v>
      </c>
      <c r="J542" s="391"/>
      <c r="K542" s="407" t="s">
        <v>1497</v>
      </c>
      <c r="L542" s="393"/>
      <c r="M542" s="393"/>
      <c r="N542" s="393"/>
      <c r="O542" s="441"/>
      <c r="P542" s="372"/>
      <c r="Q542" s="372"/>
      <c r="R542" s="372"/>
      <c r="S542" s="372"/>
    </row>
    <row r="543" spans="1:19" x14ac:dyDescent="0.2">
      <c r="A543" s="378"/>
      <c r="B543" s="368"/>
      <c r="C543" s="368"/>
      <c r="D543" s="395" t="s">
        <v>1254</v>
      </c>
      <c r="G543" s="372"/>
      <c r="H543" s="389"/>
      <c r="I543" s="396"/>
      <c r="J543" s="397">
        <v>1</v>
      </c>
      <c r="K543" s="398"/>
      <c r="L543" s="399" t="s">
        <v>1498</v>
      </c>
      <c r="M543" s="398"/>
      <c r="N543" s="398"/>
      <c r="O543" s="431" t="s">
        <v>1254</v>
      </c>
      <c r="P543" s="372"/>
      <c r="Q543" s="372"/>
      <c r="R543" s="372"/>
      <c r="S543" s="372"/>
    </row>
    <row r="544" spans="1:19" x14ac:dyDescent="0.2">
      <c r="A544" s="378"/>
      <c r="B544" s="368"/>
      <c r="C544" s="368"/>
      <c r="D544" s="395" t="s">
        <v>1254</v>
      </c>
      <c r="G544" s="372"/>
      <c r="H544" s="389"/>
      <c r="I544" s="396"/>
      <c r="J544" s="397">
        <v>2</v>
      </c>
      <c r="K544" s="398"/>
      <c r="L544" s="399" t="s">
        <v>1360</v>
      </c>
      <c r="M544" s="398"/>
      <c r="N544" s="398"/>
      <c r="O544" s="431" t="s">
        <v>1254</v>
      </c>
      <c r="P544" s="372"/>
      <c r="Q544" s="372"/>
      <c r="R544" s="372"/>
      <c r="S544" s="372"/>
    </row>
    <row r="545" spans="1:19" x14ac:dyDescent="0.2">
      <c r="A545" s="378"/>
      <c r="B545" s="368"/>
      <c r="C545" s="368"/>
      <c r="D545" s="395" t="s">
        <v>1254</v>
      </c>
      <c r="G545" s="372"/>
      <c r="H545" s="389"/>
      <c r="I545" s="396"/>
      <c r="J545" s="397">
        <v>3</v>
      </c>
      <c r="K545" s="398"/>
      <c r="L545" s="399" t="s">
        <v>1380</v>
      </c>
      <c r="M545" s="398"/>
      <c r="N545" s="398"/>
      <c r="O545" s="431" t="s">
        <v>1254</v>
      </c>
      <c r="P545" s="372"/>
      <c r="Q545" s="372"/>
      <c r="R545" s="372"/>
      <c r="S545" s="372"/>
    </row>
    <row r="546" spans="1:19" x14ac:dyDescent="0.2">
      <c r="A546" s="378"/>
      <c r="B546" s="368"/>
      <c r="C546" s="368"/>
      <c r="D546" s="395" t="s">
        <v>1254</v>
      </c>
      <c r="G546" s="372"/>
      <c r="H546" s="389"/>
      <c r="I546" s="396"/>
      <c r="J546" s="397">
        <v>4</v>
      </c>
      <c r="K546" s="398"/>
      <c r="L546" s="399" t="s">
        <v>1499</v>
      </c>
      <c r="M546" s="398"/>
      <c r="N546" s="398"/>
      <c r="O546" s="431" t="s">
        <v>1254</v>
      </c>
      <c r="P546" s="372"/>
      <c r="Q546" s="372"/>
      <c r="R546" s="372"/>
      <c r="S546" s="372"/>
    </row>
    <row r="547" spans="1:19" x14ac:dyDescent="0.2">
      <c r="A547" s="378"/>
      <c r="B547" s="368"/>
      <c r="C547" s="368"/>
      <c r="D547" s="395" t="s">
        <v>1254</v>
      </c>
      <c r="G547" s="372"/>
      <c r="H547" s="389"/>
      <c r="I547" s="396"/>
      <c r="J547" s="397">
        <v>5</v>
      </c>
      <c r="K547" s="398"/>
      <c r="L547" s="399" t="s">
        <v>1500</v>
      </c>
      <c r="M547" s="398"/>
      <c r="N547" s="398"/>
      <c r="O547" s="431" t="s">
        <v>1254</v>
      </c>
      <c r="P547" s="372"/>
      <c r="Q547" s="372"/>
      <c r="R547" s="372"/>
      <c r="S547" s="372"/>
    </row>
    <row r="548" spans="1:19" x14ac:dyDescent="0.2">
      <c r="A548" s="378"/>
      <c r="B548" s="368"/>
      <c r="C548" s="368"/>
      <c r="D548" s="395" t="s">
        <v>1254</v>
      </c>
      <c r="G548" s="372"/>
      <c r="H548" s="389"/>
      <c r="I548" s="390" t="s">
        <v>1087</v>
      </c>
      <c r="J548" s="525"/>
      <c r="K548" s="458" t="s">
        <v>1129</v>
      </c>
      <c r="L548" s="458"/>
      <c r="M548" s="437"/>
      <c r="N548" s="437"/>
      <c r="O548" s="472" t="s">
        <v>1254</v>
      </c>
      <c r="P548" s="372"/>
      <c r="Q548" s="372"/>
      <c r="R548" s="372"/>
      <c r="S548" s="372"/>
    </row>
    <row r="549" spans="1:19" ht="15.75" thickBot="1" x14ac:dyDescent="0.25">
      <c r="A549" s="378"/>
      <c r="B549" s="368"/>
      <c r="C549" s="368"/>
      <c r="D549" s="395" t="s">
        <v>1254</v>
      </c>
      <c r="G549" s="372"/>
      <c r="H549" s="389"/>
      <c r="I549" s="411" t="s">
        <v>1097</v>
      </c>
      <c r="J549" s="396"/>
      <c r="K549" s="399" t="s">
        <v>1235</v>
      </c>
      <c r="L549" s="399"/>
      <c r="M549" s="398"/>
      <c r="N549" s="398"/>
      <c r="O549" s="431" t="s">
        <v>1254</v>
      </c>
      <c r="P549" s="372"/>
      <c r="Q549" s="372"/>
      <c r="R549" s="372"/>
      <c r="S549" s="372"/>
    </row>
    <row r="550" spans="1:19" ht="16.5" thickTop="1" thickBot="1" x14ac:dyDescent="0.25">
      <c r="A550" s="378">
        <v>51</v>
      </c>
      <c r="B550" s="368" t="s">
        <v>1501</v>
      </c>
      <c r="C550" s="368" t="s">
        <v>1502</v>
      </c>
      <c r="D550" s="395" t="s">
        <v>1254</v>
      </c>
      <c r="G550" s="372"/>
      <c r="H550" s="467">
        <v>51</v>
      </c>
      <c r="I550" s="417"/>
      <c r="J550" s="477"/>
      <c r="K550" s="478" t="s">
        <v>1502</v>
      </c>
      <c r="L550" s="477"/>
      <c r="M550" s="477"/>
      <c r="N550" s="477"/>
      <c r="O550" s="419" t="s">
        <v>1254</v>
      </c>
      <c r="P550" s="372"/>
      <c r="Q550" s="387">
        <f t="shared" ref="Q550:Q551" si="48">H550</f>
        <v>51</v>
      </c>
      <c r="R550" s="377" t="str">
        <f t="shared" ref="R550:R551" si="49">CONCATENATE("II-",TEXT(Q550,"0000"))</f>
        <v>II-0051</v>
      </c>
      <c r="S550" s="388" t="str">
        <f t="shared" ref="S550:S551" si="50">K550</f>
        <v>MAMPOSTERIA DE PIEDRA</v>
      </c>
    </row>
    <row r="551" spans="1:19" ht="16.5" thickTop="1" thickBot="1" x14ac:dyDescent="0.25">
      <c r="A551" s="378">
        <v>52</v>
      </c>
      <c r="B551" s="368" t="s">
        <v>1503</v>
      </c>
      <c r="C551" s="368" t="s">
        <v>1504</v>
      </c>
      <c r="D551" s="395"/>
      <c r="G551" s="372"/>
      <c r="H551" s="467">
        <v>52</v>
      </c>
      <c r="I551" s="417"/>
      <c r="J551" s="477"/>
      <c r="K551" s="478" t="s">
        <v>1504</v>
      </c>
      <c r="L551" s="477"/>
      <c r="M551" s="477"/>
      <c r="N551" s="477"/>
      <c r="O551" s="419"/>
      <c r="P551" s="372"/>
      <c r="Q551" s="387">
        <f t="shared" si="48"/>
        <v>52</v>
      </c>
      <c r="R551" s="377" t="str">
        <f t="shared" si="49"/>
        <v>II-0052</v>
      </c>
      <c r="S551" s="388" t="str">
        <f t="shared" si="50"/>
        <v>MANTENIMIENTO INVERNAL</v>
      </c>
    </row>
    <row r="552" spans="1:19" ht="15.75" thickTop="1" x14ac:dyDescent="0.2">
      <c r="A552" s="378"/>
      <c r="B552" s="368"/>
      <c r="C552" s="368"/>
      <c r="D552" s="395" t="s">
        <v>1031</v>
      </c>
      <c r="G552" s="451"/>
      <c r="H552" s="526"/>
      <c r="I552" s="527" t="s">
        <v>1060</v>
      </c>
      <c r="J552" s="528"/>
      <c r="K552" s="529" t="s">
        <v>1505</v>
      </c>
      <c r="L552" s="528"/>
      <c r="M552" s="528"/>
      <c r="N552" s="528"/>
      <c r="O552" s="530" t="s">
        <v>1031</v>
      </c>
      <c r="P552" s="451"/>
      <c r="Q552" s="451"/>
      <c r="R552" s="451"/>
      <c r="S552" s="451"/>
    </row>
    <row r="553" spans="1:19" ht="15.75" thickBot="1" x14ac:dyDescent="0.25">
      <c r="A553" s="378"/>
      <c r="B553" s="368"/>
      <c r="C553" s="368"/>
      <c r="D553" s="395" t="s">
        <v>1506</v>
      </c>
      <c r="G553" s="451"/>
      <c r="H553" s="531"/>
      <c r="I553" s="491" t="s">
        <v>1087</v>
      </c>
      <c r="J553" s="490"/>
      <c r="K553" s="489" t="s">
        <v>1507</v>
      </c>
      <c r="L553" s="490"/>
      <c r="M553" s="490"/>
      <c r="N553" s="490"/>
      <c r="O553" s="456" t="s">
        <v>1506</v>
      </c>
      <c r="P553" s="451"/>
      <c r="Q553" s="451"/>
      <c r="R553" s="451"/>
      <c r="S553" s="451"/>
    </row>
    <row r="554" spans="1:19" ht="15.75" thickTop="1" x14ac:dyDescent="0.2">
      <c r="A554" s="378">
        <v>53</v>
      </c>
      <c r="B554" s="368" t="s">
        <v>1508</v>
      </c>
      <c r="C554" s="368" t="s">
        <v>1509</v>
      </c>
      <c r="D554" s="395"/>
      <c r="G554" s="372"/>
      <c r="H554" s="467">
        <v>53</v>
      </c>
      <c r="I554" s="417"/>
      <c r="J554" s="477"/>
      <c r="K554" s="532" t="s">
        <v>1509</v>
      </c>
      <c r="L554" s="477"/>
      <c r="M554" s="477"/>
      <c r="N554" s="477"/>
      <c r="O554" s="419"/>
      <c r="P554" s="372"/>
      <c r="Q554" s="387">
        <f>H554</f>
        <v>53</v>
      </c>
      <c r="R554" s="377" t="str">
        <f>CONCATENATE("II-",TEXT(Q554,"0000"))</f>
        <v>II-0053</v>
      </c>
      <c r="S554" s="388" t="str">
        <f>K554</f>
        <v>MEMBRANA PVC</v>
      </c>
    </row>
    <row r="555" spans="1:19" x14ac:dyDescent="0.2">
      <c r="A555" s="378"/>
      <c r="B555" s="368"/>
      <c r="C555" s="368"/>
      <c r="D555" s="395" t="s">
        <v>1254</v>
      </c>
      <c r="G555" s="372"/>
      <c r="H555" s="389"/>
      <c r="I555" s="524" t="s">
        <v>1060</v>
      </c>
      <c r="J555" s="398"/>
      <c r="K555" s="504" t="s">
        <v>1510</v>
      </c>
      <c r="L555" s="398"/>
      <c r="M555" s="398"/>
      <c r="N555" s="398"/>
      <c r="O555" s="431" t="s">
        <v>1254</v>
      </c>
      <c r="P555" s="372"/>
      <c r="Q555" s="372"/>
      <c r="R555" s="372"/>
      <c r="S555" s="372"/>
    </row>
    <row r="556" spans="1:19" x14ac:dyDescent="0.2">
      <c r="A556" s="378"/>
      <c r="B556" s="368"/>
      <c r="C556" s="368"/>
      <c r="D556" s="395" t="s">
        <v>1254</v>
      </c>
      <c r="G556" s="372"/>
      <c r="H556" s="389"/>
      <c r="I556" s="390" t="s">
        <v>1087</v>
      </c>
      <c r="J556" s="525"/>
      <c r="K556" s="399" t="s">
        <v>1511</v>
      </c>
      <c r="L556" s="458"/>
      <c r="M556" s="437"/>
      <c r="N556" s="437"/>
      <c r="O556" s="472" t="s">
        <v>1254</v>
      </c>
      <c r="P556" s="372"/>
      <c r="Q556" s="372"/>
      <c r="R556" s="372"/>
      <c r="S556" s="372"/>
    </row>
    <row r="557" spans="1:19" x14ac:dyDescent="0.2">
      <c r="A557" s="378"/>
      <c r="B557" s="368"/>
      <c r="C557" s="368"/>
      <c r="D557" s="395" t="s">
        <v>1254</v>
      </c>
      <c r="G557" s="372"/>
      <c r="H557" s="389"/>
      <c r="I557" s="390" t="s">
        <v>1097</v>
      </c>
      <c r="J557" s="525"/>
      <c r="K557" s="458" t="s">
        <v>1179</v>
      </c>
      <c r="L557" s="458"/>
      <c r="M557" s="458"/>
      <c r="N557" s="437"/>
      <c r="O557" s="472" t="s">
        <v>1254</v>
      </c>
      <c r="P557" s="372"/>
      <c r="Q557" s="372"/>
      <c r="R557" s="372"/>
      <c r="S557" s="372"/>
    </row>
    <row r="558" spans="1:19" ht="15.75" thickBot="1" x14ac:dyDescent="0.25">
      <c r="A558" s="378"/>
      <c r="B558" s="368"/>
      <c r="C558" s="368"/>
      <c r="D558" s="395" t="s">
        <v>1254</v>
      </c>
      <c r="G558" s="372"/>
      <c r="H558" s="389"/>
      <c r="I558" s="411" t="s">
        <v>1123</v>
      </c>
      <c r="J558" s="396"/>
      <c r="K558" s="460" t="s">
        <v>1177</v>
      </c>
      <c r="L558" s="399"/>
      <c r="M558" s="399"/>
      <c r="N558" s="398"/>
      <c r="O558" s="431" t="s">
        <v>1254</v>
      </c>
      <c r="P558" s="372"/>
      <c r="Q558" s="372"/>
      <c r="R558" s="372"/>
      <c r="S558" s="372"/>
    </row>
    <row r="559" spans="1:19" ht="15.75" thickTop="1" x14ac:dyDescent="0.2">
      <c r="A559" s="378">
        <v>54</v>
      </c>
      <c r="B559" s="368" t="s">
        <v>1512</v>
      </c>
      <c r="C559" s="368" t="s">
        <v>1513</v>
      </c>
      <c r="D559" s="395"/>
      <c r="G559" s="372"/>
      <c r="H559" s="467">
        <v>54</v>
      </c>
      <c r="I559" s="417"/>
      <c r="J559" s="477"/>
      <c r="K559" s="486" t="s">
        <v>1513</v>
      </c>
      <c r="L559" s="477"/>
      <c r="M559" s="477"/>
      <c r="N559" s="477"/>
      <c r="O559" s="419"/>
      <c r="P559" s="372"/>
      <c r="Q559" s="387">
        <f>H559</f>
        <v>54</v>
      </c>
      <c r="R559" s="377" t="str">
        <f>CONCATENATE("II-",TEXT(Q559,"0000"))</f>
        <v>II-0054</v>
      </c>
      <c r="S559" s="388" t="str">
        <f>K559</f>
        <v>MOVILIDAD PARA EL PERSONAL AUXILIAR DE SUPERVISION</v>
      </c>
    </row>
    <row r="560" spans="1:19" x14ac:dyDescent="0.2">
      <c r="A560" s="378">
        <v>1</v>
      </c>
      <c r="B560" s="379" t="str">
        <f>CONCATENATE($B$559,".",TEXT(A560,"0000"))</f>
        <v>II-0054.0001</v>
      </c>
      <c r="C560" s="368" t="str">
        <f>K560</f>
        <v xml:space="preserve">CUOTA FIJA </v>
      </c>
      <c r="D560" s="395" t="s">
        <v>1514</v>
      </c>
      <c r="G560" s="372"/>
      <c r="H560" s="389"/>
      <c r="I560" s="390" t="s">
        <v>1060</v>
      </c>
      <c r="J560" s="437"/>
      <c r="K560" s="458" t="s">
        <v>1515</v>
      </c>
      <c r="L560" s="458"/>
      <c r="M560" s="458"/>
      <c r="N560" s="437"/>
      <c r="O560" s="472" t="s">
        <v>1514</v>
      </c>
      <c r="P560" s="372"/>
      <c r="Q560" s="372"/>
      <c r="R560" s="372"/>
      <c r="S560" s="372"/>
    </row>
    <row r="561" spans="1:19" ht="15.75" thickBot="1" x14ac:dyDescent="0.25">
      <c r="A561" s="378">
        <v>2</v>
      </c>
      <c r="B561" s="379" t="str">
        <f>CONCATENATE($B$559,".",TEXT(A561,"0000"))</f>
        <v>II-0054.0002</v>
      </c>
      <c r="C561" s="368" t="str">
        <f>K561</f>
        <v>ADICIONAL POR KM</v>
      </c>
      <c r="D561" s="395" t="s">
        <v>1516</v>
      </c>
      <c r="G561" s="372"/>
      <c r="H561" s="409"/>
      <c r="I561" s="411" t="s">
        <v>1087</v>
      </c>
      <c r="J561" s="412"/>
      <c r="K561" s="413" t="s">
        <v>1517</v>
      </c>
      <c r="L561" s="413"/>
      <c r="M561" s="413"/>
      <c r="N561" s="412"/>
      <c r="O561" s="497" t="s">
        <v>1516</v>
      </c>
      <c r="P561" s="372"/>
      <c r="Q561" s="372"/>
      <c r="R561" s="372"/>
      <c r="S561" s="372"/>
    </row>
    <row r="562" spans="1:19" ht="16.5" thickTop="1" thickBot="1" x14ac:dyDescent="0.25">
      <c r="A562" s="378">
        <v>55</v>
      </c>
      <c r="B562" s="368" t="s">
        <v>1518</v>
      </c>
      <c r="C562" s="368" t="s">
        <v>1519</v>
      </c>
      <c r="D562" s="395" t="s">
        <v>5</v>
      </c>
      <c r="G562" s="372"/>
      <c r="H562" s="416">
        <v>55</v>
      </c>
      <c r="I562" s="418"/>
      <c r="J562" s="429"/>
      <c r="K562" s="486" t="s">
        <v>1519</v>
      </c>
      <c r="L562" s="429"/>
      <c r="M562" s="429"/>
      <c r="N562" s="429"/>
      <c r="O562" s="440" t="s">
        <v>5</v>
      </c>
      <c r="P562" s="372"/>
      <c r="Q562" s="387">
        <f t="shared" ref="Q562:Q563" si="51">H562</f>
        <v>55</v>
      </c>
      <c r="R562" s="377" t="str">
        <f t="shared" ref="R562:R563" si="52">CONCATENATE("II-",TEXT(Q562,"0000"))</f>
        <v>II-0055</v>
      </c>
      <c r="S562" s="388" t="str">
        <f t="shared" ref="S562:S563" si="53">K562</f>
        <v>MOVILIZACION DE OBRA</v>
      </c>
    </row>
    <row r="563" spans="1:19" ht="15.75" thickTop="1" x14ac:dyDescent="0.2">
      <c r="A563" s="378">
        <v>56</v>
      </c>
      <c r="B563" s="368" t="s">
        <v>1520</v>
      </c>
      <c r="C563" s="368" t="s">
        <v>1521</v>
      </c>
      <c r="D563" s="395"/>
      <c r="G563" s="372"/>
      <c r="H563" s="467">
        <v>56</v>
      </c>
      <c r="I563" s="417"/>
      <c r="J563" s="477"/>
      <c r="K563" s="478" t="s">
        <v>1521</v>
      </c>
      <c r="L563" s="477"/>
      <c r="M563" s="477"/>
      <c r="N563" s="477"/>
      <c r="O563" s="419"/>
      <c r="P563" s="372"/>
      <c r="Q563" s="387">
        <f t="shared" si="51"/>
        <v>56</v>
      </c>
      <c r="R563" s="377" t="str">
        <f t="shared" si="52"/>
        <v>II-0056</v>
      </c>
      <c r="S563" s="388" t="str">
        <f t="shared" si="53"/>
        <v xml:space="preserve">PASARELA </v>
      </c>
    </row>
    <row r="564" spans="1:19" x14ac:dyDescent="0.2">
      <c r="A564" s="378"/>
      <c r="B564" s="368"/>
      <c r="C564" s="368"/>
      <c r="D564" s="395" t="s">
        <v>1030</v>
      </c>
      <c r="G564" s="372"/>
      <c r="H564" s="389"/>
      <c r="I564" s="524" t="s">
        <v>1060</v>
      </c>
      <c r="J564" s="398"/>
      <c r="K564" s="399" t="s">
        <v>1284</v>
      </c>
      <c r="L564" s="398"/>
      <c r="M564" s="398"/>
      <c r="N564" s="398"/>
      <c r="O564" s="431" t="s">
        <v>1030</v>
      </c>
      <c r="P564" s="372"/>
      <c r="Q564" s="372"/>
      <c r="R564" s="372"/>
      <c r="S564" s="372"/>
    </row>
    <row r="565" spans="1:19" x14ac:dyDescent="0.2">
      <c r="A565" s="378"/>
      <c r="B565" s="368"/>
      <c r="C565" s="368"/>
      <c r="D565" s="395"/>
      <c r="G565" s="372"/>
      <c r="H565" s="389"/>
      <c r="I565" s="390" t="s">
        <v>1087</v>
      </c>
      <c r="J565" s="393"/>
      <c r="K565" s="407" t="s">
        <v>1285</v>
      </c>
      <c r="L565" s="393"/>
      <c r="M565" s="393"/>
      <c r="N565" s="393"/>
      <c r="O565" s="441"/>
      <c r="P565" s="372"/>
      <c r="Q565" s="372"/>
      <c r="R565" s="372"/>
      <c r="S565" s="372"/>
    </row>
    <row r="566" spans="1:19" x14ac:dyDescent="0.2">
      <c r="A566" s="378"/>
      <c r="B566" s="368"/>
      <c r="C566" s="368"/>
      <c r="D566" s="395" t="s">
        <v>1296</v>
      </c>
      <c r="G566" s="372"/>
      <c r="H566" s="389"/>
      <c r="I566" s="396"/>
      <c r="J566" s="397">
        <v>1</v>
      </c>
      <c r="K566" s="398"/>
      <c r="L566" s="399" t="s">
        <v>1522</v>
      </c>
      <c r="M566" s="398"/>
      <c r="N566" s="398"/>
      <c r="O566" s="431" t="s">
        <v>1296</v>
      </c>
      <c r="P566" s="372"/>
      <c r="Q566" s="372"/>
      <c r="R566" s="372"/>
      <c r="S566" s="372"/>
    </row>
    <row r="567" spans="1:19" x14ac:dyDescent="0.2">
      <c r="A567" s="378"/>
      <c r="B567" s="368"/>
      <c r="C567" s="368"/>
      <c r="D567" s="395" t="s">
        <v>1296</v>
      </c>
      <c r="G567" s="372"/>
      <c r="H567" s="389"/>
      <c r="I567" s="396"/>
      <c r="J567" s="397">
        <v>2</v>
      </c>
      <c r="K567" s="398"/>
      <c r="L567" s="399" t="s">
        <v>1523</v>
      </c>
      <c r="M567" s="398"/>
      <c r="N567" s="398"/>
      <c r="O567" s="431" t="s">
        <v>1296</v>
      </c>
      <c r="P567" s="372"/>
      <c r="Q567" s="372"/>
      <c r="R567" s="372"/>
      <c r="S567" s="372"/>
    </row>
    <row r="568" spans="1:19" x14ac:dyDescent="0.2">
      <c r="A568" s="378"/>
      <c r="B568" s="368"/>
      <c r="C568" s="368"/>
      <c r="D568" s="395" t="s">
        <v>1030</v>
      </c>
      <c r="G568" s="372"/>
      <c r="H568" s="389"/>
      <c r="I568" s="408"/>
      <c r="J568" s="403">
        <v>3</v>
      </c>
      <c r="K568" s="404"/>
      <c r="L568" s="405" t="s">
        <v>1524</v>
      </c>
      <c r="M568" s="404"/>
      <c r="N568" s="404"/>
      <c r="O568" s="450" t="s">
        <v>1030</v>
      </c>
      <c r="P568" s="372"/>
      <c r="Q568" s="372"/>
      <c r="R568" s="372"/>
      <c r="S568" s="372"/>
    </row>
    <row r="569" spans="1:19" ht="15.75" thickBot="1" x14ac:dyDescent="0.25">
      <c r="A569" s="378"/>
      <c r="B569" s="368"/>
      <c r="C569" s="368"/>
      <c r="D569" s="395" t="s">
        <v>1030</v>
      </c>
      <c r="G569" s="372"/>
      <c r="H569" s="389"/>
      <c r="I569" s="411" t="s">
        <v>1097</v>
      </c>
      <c r="J569" s="398"/>
      <c r="K569" s="399" t="s">
        <v>1525</v>
      </c>
      <c r="L569" s="398"/>
      <c r="M569" s="398"/>
      <c r="N569" s="398"/>
      <c r="O569" s="431" t="s">
        <v>1030</v>
      </c>
      <c r="P569" s="372"/>
      <c r="Q569" s="372"/>
      <c r="R569" s="372"/>
      <c r="S569" s="372"/>
    </row>
    <row r="570" spans="1:19" ht="15.75" thickTop="1" x14ac:dyDescent="0.2">
      <c r="A570" s="378">
        <v>57</v>
      </c>
      <c r="B570" s="368" t="s">
        <v>1526</v>
      </c>
      <c r="C570" s="368" t="s">
        <v>1527</v>
      </c>
      <c r="D570" s="395"/>
      <c r="G570" s="372"/>
      <c r="H570" s="467">
        <v>57</v>
      </c>
      <c r="I570" s="417"/>
      <c r="J570" s="477"/>
      <c r="K570" s="478" t="s">
        <v>1527</v>
      </c>
      <c r="L570" s="477"/>
      <c r="M570" s="477"/>
      <c r="N570" s="477"/>
      <c r="O570" s="419"/>
      <c r="P570" s="372"/>
      <c r="Q570" s="387">
        <f>H570</f>
        <v>57</v>
      </c>
      <c r="R570" s="377" t="str">
        <f>CONCATENATE("II-",TEXT(Q570,"0000"))</f>
        <v>II-0057</v>
      </c>
      <c r="S570" s="388" t="str">
        <f>K570</f>
        <v>PASO A NIVEL</v>
      </c>
    </row>
    <row r="571" spans="1:19" ht="15.75" thickBot="1" x14ac:dyDescent="0.25">
      <c r="A571" s="378"/>
      <c r="B571" s="368"/>
      <c r="C571" s="368"/>
      <c r="D571" s="395" t="s">
        <v>5</v>
      </c>
      <c r="G571" s="372"/>
      <c r="H571" s="420"/>
      <c r="I571" s="422" t="s">
        <v>1060</v>
      </c>
      <c r="J571" s="424"/>
      <c r="K571" s="460" t="s">
        <v>1528</v>
      </c>
      <c r="L571" s="460"/>
      <c r="M571" s="460"/>
      <c r="N571" s="460"/>
      <c r="O571" s="498" t="s">
        <v>5</v>
      </c>
      <c r="P571" s="372"/>
      <c r="Q571" s="372"/>
      <c r="R571" s="372"/>
      <c r="S571" s="372"/>
    </row>
    <row r="572" spans="1:19" ht="15.75" thickTop="1" x14ac:dyDescent="0.2">
      <c r="A572" s="378">
        <v>58</v>
      </c>
      <c r="B572" s="368" t="s">
        <v>1529</v>
      </c>
      <c r="C572" s="368" t="s">
        <v>1530</v>
      </c>
      <c r="D572" s="395"/>
      <c r="G572" s="372"/>
      <c r="H572" s="467">
        <v>58</v>
      </c>
      <c r="I572" s="417"/>
      <c r="J572" s="477"/>
      <c r="K572" s="478" t="s">
        <v>1530</v>
      </c>
      <c r="L572" s="478"/>
      <c r="M572" s="478"/>
      <c r="N572" s="478"/>
      <c r="O572" s="419"/>
      <c r="P572" s="372"/>
      <c r="Q572" s="387">
        <f>H572</f>
        <v>58</v>
      </c>
      <c r="R572" s="377" t="str">
        <f>CONCATENATE("II-",TEXT(Q572,"0000"))</f>
        <v>II-0058</v>
      </c>
      <c r="S572" s="388" t="str">
        <f>K572</f>
        <v>PAVIMENTO DE HORMIGON</v>
      </c>
    </row>
    <row r="573" spans="1:19" x14ac:dyDescent="0.2">
      <c r="A573" s="378"/>
      <c r="B573" s="368"/>
      <c r="C573" s="368"/>
      <c r="D573" s="395" t="s">
        <v>1254</v>
      </c>
      <c r="G573" s="372"/>
      <c r="H573" s="389"/>
      <c r="I573" s="524" t="s">
        <v>1060</v>
      </c>
      <c r="J573" s="398"/>
      <c r="K573" s="399" t="s">
        <v>1531</v>
      </c>
      <c r="L573" s="399"/>
      <c r="M573" s="399"/>
      <c r="N573" s="399"/>
      <c r="O573" s="431" t="s">
        <v>1254</v>
      </c>
      <c r="P573" s="372"/>
      <c r="Q573" s="372"/>
      <c r="R573" s="372"/>
      <c r="S573" s="372"/>
    </row>
    <row r="574" spans="1:19" x14ac:dyDescent="0.2">
      <c r="A574" s="378"/>
      <c r="B574" s="368"/>
      <c r="C574" s="368"/>
      <c r="D574" s="395" t="s">
        <v>1254</v>
      </c>
      <c r="G574" s="372"/>
      <c r="H574" s="389"/>
      <c r="I574" s="390" t="s">
        <v>1087</v>
      </c>
      <c r="J574" s="437"/>
      <c r="K574" s="458" t="s">
        <v>1530</v>
      </c>
      <c r="L574" s="458"/>
      <c r="M574" s="458"/>
      <c r="N574" s="458"/>
      <c r="O574" s="472" t="s">
        <v>1254</v>
      </c>
      <c r="P574" s="372"/>
      <c r="Q574" s="372"/>
      <c r="R574" s="372"/>
      <c r="S574" s="372"/>
    </row>
    <row r="575" spans="1:19" x14ac:dyDescent="0.2">
      <c r="A575" s="378"/>
      <c r="B575" s="368"/>
      <c r="C575" s="368"/>
      <c r="D575" s="395" t="s">
        <v>1254</v>
      </c>
      <c r="G575" s="372"/>
      <c r="H575" s="389"/>
      <c r="I575" s="403" t="s">
        <v>1097</v>
      </c>
      <c r="J575" s="404"/>
      <c r="K575" s="458" t="s">
        <v>1532</v>
      </c>
      <c r="L575" s="405"/>
      <c r="M575" s="405"/>
      <c r="N575" s="405"/>
      <c r="O575" s="450" t="s">
        <v>1254</v>
      </c>
      <c r="P575" s="372"/>
      <c r="Q575" s="372"/>
      <c r="R575" s="372"/>
      <c r="S575" s="372"/>
    </row>
    <row r="576" spans="1:19" x14ac:dyDescent="0.2">
      <c r="A576" s="378"/>
      <c r="B576" s="368"/>
      <c r="C576" s="368"/>
      <c r="D576" s="395" t="s">
        <v>1254</v>
      </c>
      <c r="G576" s="372"/>
      <c r="H576" s="389"/>
      <c r="I576" s="397" t="s">
        <v>1123</v>
      </c>
      <c r="J576" s="398"/>
      <c r="K576" s="407" t="s">
        <v>1174</v>
      </c>
      <c r="L576" s="399"/>
      <c r="M576" s="399"/>
      <c r="N576" s="399"/>
      <c r="O576" s="431" t="s">
        <v>1254</v>
      </c>
      <c r="P576" s="372"/>
      <c r="Q576" s="372"/>
      <c r="R576" s="372"/>
      <c r="S576" s="372"/>
    </row>
    <row r="577" spans="1:19" ht="15.75" thickBot="1" x14ac:dyDescent="0.25">
      <c r="A577" s="378">
        <v>59</v>
      </c>
      <c r="B577" s="368" t="s">
        <v>1533</v>
      </c>
      <c r="C577" s="368" t="s">
        <v>1534</v>
      </c>
      <c r="D577" s="395" t="s">
        <v>1171</v>
      </c>
      <c r="G577" s="372"/>
      <c r="H577" s="508">
        <v>59</v>
      </c>
      <c r="I577" s="509"/>
      <c r="J577" s="510"/>
      <c r="K577" s="533" t="s">
        <v>1534</v>
      </c>
      <c r="L577" s="510"/>
      <c r="M577" s="510"/>
      <c r="N577" s="510"/>
      <c r="O577" s="512" t="s">
        <v>1171</v>
      </c>
      <c r="P577" s="372"/>
      <c r="Q577" s="387">
        <f t="shared" ref="Q577:Q578" si="54">H577</f>
        <v>59</v>
      </c>
      <c r="R577" s="377" t="str">
        <f t="shared" ref="R577:R578" si="55">CONCATENATE("II-",TEXT(Q577,"0000"))</f>
        <v>II-0059</v>
      </c>
      <c r="S577" s="388" t="str">
        <f t="shared" ref="S577:S578" si="56">K577</f>
        <v>PEDRAPLEN</v>
      </c>
    </row>
    <row r="578" spans="1:19" ht="15.75" thickTop="1" x14ac:dyDescent="0.2">
      <c r="A578" s="378">
        <v>60</v>
      </c>
      <c r="B578" s="368" t="s">
        <v>1535</v>
      </c>
      <c r="C578" s="368" t="s">
        <v>1536</v>
      </c>
      <c r="D578" s="395"/>
      <c r="G578" s="372"/>
      <c r="H578" s="416">
        <v>60</v>
      </c>
      <c r="I578" s="418"/>
      <c r="J578" s="429"/>
      <c r="K578" s="486" t="s">
        <v>1536</v>
      </c>
      <c r="L578" s="429"/>
      <c r="M578" s="429"/>
      <c r="N578" s="429"/>
      <c r="O578" s="440"/>
      <c r="P578" s="372"/>
      <c r="Q578" s="387">
        <f t="shared" si="54"/>
        <v>60</v>
      </c>
      <c r="R578" s="377" t="str">
        <f t="shared" si="55"/>
        <v>II-0060</v>
      </c>
      <c r="S578" s="388" t="str">
        <f t="shared" si="56"/>
        <v>PERFILADO</v>
      </c>
    </row>
    <row r="579" spans="1:19" x14ac:dyDescent="0.2">
      <c r="A579" s="378"/>
      <c r="B579" s="368"/>
      <c r="C579" s="368"/>
      <c r="D579" s="395" t="s">
        <v>1254</v>
      </c>
      <c r="G579" s="372"/>
      <c r="H579" s="389"/>
      <c r="I579" s="524" t="s">
        <v>1060</v>
      </c>
      <c r="J579" s="398"/>
      <c r="K579" s="399" t="s">
        <v>1537</v>
      </c>
      <c r="L579" s="398"/>
      <c r="M579" s="398"/>
      <c r="N579" s="398"/>
      <c r="O579" s="431" t="s">
        <v>1254</v>
      </c>
      <c r="P579" s="372"/>
      <c r="Q579" s="372"/>
      <c r="R579" s="372"/>
      <c r="S579" s="372"/>
    </row>
    <row r="580" spans="1:19" x14ac:dyDescent="0.2">
      <c r="A580" s="378"/>
      <c r="B580" s="368"/>
      <c r="C580" s="368"/>
      <c r="D580" s="395" t="s">
        <v>1254</v>
      </c>
      <c r="G580" s="372"/>
      <c r="H580" s="389"/>
      <c r="I580" s="390" t="s">
        <v>1087</v>
      </c>
      <c r="J580" s="437"/>
      <c r="K580" s="458" t="s">
        <v>1380</v>
      </c>
      <c r="L580" s="437"/>
      <c r="M580" s="437"/>
      <c r="N580" s="437"/>
      <c r="O580" s="472" t="s">
        <v>1254</v>
      </c>
      <c r="P580" s="372"/>
      <c r="Q580" s="372"/>
      <c r="R580" s="372"/>
      <c r="S580" s="372"/>
    </row>
    <row r="581" spans="1:19" ht="15.75" thickBot="1" x14ac:dyDescent="0.25">
      <c r="A581" s="378"/>
      <c r="B581" s="368"/>
      <c r="C581" s="368"/>
      <c r="D581" s="395" t="s">
        <v>1254</v>
      </c>
      <c r="G581" s="372"/>
      <c r="H581" s="389"/>
      <c r="I581" s="411" t="s">
        <v>1097</v>
      </c>
      <c r="J581" s="398"/>
      <c r="K581" s="399" t="s">
        <v>1499</v>
      </c>
      <c r="L581" s="398"/>
      <c r="M581" s="398"/>
      <c r="N581" s="398"/>
      <c r="O581" s="431" t="s">
        <v>1254</v>
      </c>
      <c r="P581" s="372"/>
      <c r="Q581" s="372"/>
      <c r="R581" s="372"/>
      <c r="S581" s="372"/>
    </row>
    <row r="582" spans="1:19" ht="16.5" thickTop="1" thickBot="1" x14ac:dyDescent="0.25">
      <c r="A582" s="378">
        <v>61</v>
      </c>
      <c r="B582" s="368" t="s">
        <v>1538</v>
      </c>
      <c r="C582" s="368" t="s">
        <v>1539</v>
      </c>
      <c r="D582" s="395" t="s">
        <v>1254</v>
      </c>
      <c r="G582" s="372"/>
      <c r="H582" s="513">
        <v>61</v>
      </c>
      <c r="I582" s="514"/>
      <c r="J582" s="515"/>
      <c r="K582" s="516" t="s">
        <v>1539</v>
      </c>
      <c r="L582" s="515"/>
      <c r="M582" s="515"/>
      <c r="N582" s="515"/>
      <c r="O582" s="517" t="s">
        <v>1254</v>
      </c>
      <c r="P582" s="372"/>
      <c r="Q582" s="387">
        <f t="shared" ref="Q582:Q583" si="57">H582</f>
        <v>61</v>
      </c>
      <c r="R582" s="377" t="str">
        <f t="shared" ref="R582:R583" si="58">CONCATENATE("II-",TEXT(Q582,"0000"))</f>
        <v>II-0061</v>
      </c>
      <c r="S582" s="388" t="str">
        <f t="shared" ref="S582:S583" si="59">K582</f>
        <v>PIEDRA COLOCADA</v>
      </c>
    </row>
    <row r="583" spans="1:19" ht="15.75" thickTop="1" x14ac:dyDescent="0.2">
      <c r="A583" s="378">
        <v>62</v>
      </c>
      <c r="B583" s="368" t="s">
        <v>1540</v>
      </c>
      <c r="C583" s="368" t="s">
        <v>1541</v>
      </c>
      <c r="D583" s="395"/>
      <c r="G583" s="372"/>
      <c r="H583" s="416">
        <v>62</v>
      </c>
      <c r="I583" s="418"/>
      <c r="J583" s="429"/>
      <c r="K583" s="486" t="s">
        <v>1541</v>
      </c>
      <c r="L583" s="429"/>
      <c r="M583" s="429"/>
      <c r="N583" s="429"/>
      <c r="O583" s="440"/>
      <c r="P583" s="372"/>
      <c r="Q583" s="387">
        <f t="shared" si="57"/>
        <v>62</v>
      </c>
      <c r="R583" s="377" t="str">
        <f t="shared" si="58"/>
        <v>II-0062</v>
      </c>
      <c r="S583" s="388" t="str">
        <f t="shared" si="59"/>
        <v>PRADERIZACION</v>
      </c>
    </row>
    <row r="584" spans="1:19" x14ac:dyDescent="0.2">
      <c r="A584" s="378"/>
      <c r="B584" s="368"/>
      <c r="C584" s="368"/>
      <c r="D584" s="395" t="s">
        <v>1254</v>
      </c>
      <c r="G584" s="372"/>
      <c r="H584" s="389"/>
      <c r="I584" s="524" t="s">
        <v>1060</v>
      </c>
      <c r="J584" s="398"/>
      <c r="K584" s="399" t="s">
        <v>1542</v>
      </c>
      <c r="L584" s="398"/>
      <c r="M584" s="398"/>
      <c r="N584" s="398"/>
      <c r="O584" s="431" t="s">
        <v>1254</v>
      </c>
      <c r="P584" s="372"/>
      <c r="Q584" s="372"/>
      <c r="R584" s="372"/>
      <c r="S584" s="372"/>
    </row>
    <row r="585" spans="1:19" x14ac:dyDescent="0.2">
      <c r="A585" s="378"/>
      <c r="B585" s="368"/>
      <c r="C585" s="368"/>
      <c r="D585" s="395" t="s">
        <v>1254</v>
      </c>
      <c r="G585" s="372"/>
      <c r="H585" s="389"/>
      <c r="I585" s="390" t="s">
        <v>1087</v>
      </c>
      <c r="J585" s="437"/>
      <c r="K585" s="458" t="s">
        <v>1543</v>
      </c>
      <c r="L585" s="437"/>
      <c r="M585" s="437"/>
      <c r="N585" s="437"/>
      <c r="O585" s="472" t="s">
        <v>1254</v>
      </c>
      <c r="P585" s="372"/>
      <c r="Q585" s="372"/>
      <c r="R585" s="372"/>
      <c r="S585" s="372"/>
    </row>
    <row r="586" spans="1:19" ht="15.75" thickBot="1" x14ac:dyDescent="0.25">
      <c r="A586" s="378"/>
      <c r="B586" s="368"/>
      <c r="C586" s="368"/>
      <c r="D586" s="395" t="s">
        <v>1544</v>
      </c>
      <c r="G586" s="372"/>
      <c r="H586" s="389"/>
      <c r="I586" s="411" t="s">
        <v>1097</v>
      </c>
      <c r="J586" s="398"/>
      <c r="K586" s="399" t="s">
        <v>1545</v>
      </c>
      <c r="L586" s="398"/>
      <c r="M586" s="398"/>
      <c r="N586" s="398"/>
      <c r="O586" s="431" t="s">
        <v>1544</v>
      </c>
      <c r="P586" s="372"/>
      <c r="Q586" s="372"/>
      <c r="R586" s="372"/>
      <c r="S586" s="372"/>
    </row>
    <row r="587" spans="1:19" ht="15.75" thickTop="1" x14ac:dyDescent="0.2">
      <c r="A587" s="378">
        <v>63</v>
      </c>
      <c r="B587" s="368" t="s">
        <v>1546</v>
      </c>
      <c r="C587" s="368" t="s">
        <v>1547</v>
      </c>
      <c r="D587" s="395"/>
      <c r="G587" s="372"/>
      <c r="H587" s="467">
        <v>63</v>
      </c>
      <c r="I587" s="417"/>
      <c r="J587" s="477"/>
      <c r="K587" s="478" t="s">
        <v>1547</v>
      </c>
      <c r="L587" s="477"/>
      <c r="M587" s="477"/>
      <c r="N587" s="477"/>
      <c r="O587" s="419"/>
      <c r="P587" s="372"/>
      <c r="Q587" s="387">
        <f>H587</f>
        <v>63</v>
      </c>
      <c r="R587" s="377" t="str">
        <f>CONCATENATE("II-",TEXT(Q587,"0000"))</f>
        <v>II-0063</v>
      </c>
      <c r="S587" s="388" t="str">
        <f>K587</f>
        <v>PRETILES</v>
      </c>
    </row>
    <row r="588" spans="1:19" x14ac:dyDescent="0.2">
      <c r="A588" s="378"/>
      <c r="B588" s="368"/>
      <c r="C588" s="368"/>
      <c r="D588" s="395" t="s">
        <v>1288</v>
      </c>
      <c r="G588" s="372"/>
      <c r="H588" s="389"/>
      <c r="I588" s="390" t="s">
        <v>1060</v>
      </c>
      <c r="J588" s="437"/>
      <c r="K588" s="534" t="s">
        <v>1548</v>
      </c>
      <c r="L588" s="535"/>
      <c r="M588" s="535"/>
      <c r="N588" s="437"/>
      <c r="O588" s="472" t="s">
        <v>1288</v>
      </c>
      <c r="P588" s="372"/>
      <c r="Q588" s="372"/>
      <c r="R588" s="372"/>
      <c r="S588" s="372"/>
    </row>
    <row r="589" spans="1:19" ht="15.75" thickBot="1" x14ac:dyDescent="0.25">
      <c r="A589" s="378"/>
      <c r="B589" s="368"/>
      <c r="C589" s="368"/>
      <c r="D589" s="395" t="s">
        <v>1288</v>
      </c>
      <c r="G589" s="372"/>
      <c r="H589" s="409"/>
      <c r="I589" s="411" t="s">
        <v>1087</v>
      </c>
      <c r="J589" s="412"/>
      <c r="K589" s="536" t="s">
        <v>1549</v>
      </c>
      <c r="L589" s="537"/>
      <c r="M589" s="537"/>
      <c r="N589" s="412"/>
      <c r="O589" s="497" t="s">
        <v>1288</v>
      </c>
      <c r="P589" s="372"/>
      <c r="Q589" s="372"/>
      <c r="R589" s="372"/>
      <c r="S589" s="372"/>
    </row>
    <row r="590" spans="1:19" ht="15.75" thickTop="1" x14ac:dyDescent="0.2">
      <c r="A590" s="378">
        <v>64</v>
      </c>
      <c r="B590" s="368" t="s">
        <v>1550</v>
      </c>
      <c r="C590" s="368" t="s">
        <v>1551</v>
      </c>
      <c r="D590" s="395"/>
      <c r="G590" s="372"/>
      <c r="H590" s="416">
        <v>64</v>
      </c>
      <c r="I590" s="418"/>
      <c r="J590" s="429"/>
      <c r="K590" s="486" t="s">
        <v>1551</v>
      </c>
      <c r="L590" s="429"/>
      <c r="M590" s="429"/>
      <c r="N590" s="429"/>
      <c r="O590" s="440"/>
      <c r="P590" s="372"/>
      <c r="Q590" s="387">
        <f>H590</f>
        <v>64</v>
      </c>
      <c r="R590" s="377" t="str">
        <f>CONCATENATE("II-",TEXT(Q590,"0000"))</f>
        <v>II-0064</v>
      </c>
      <c r="S590" s="388" t="str">
        <f>K590</f>
        <v>PROTECCION DE DUCTOS</v>
      </c>
    </row>
    <row r="591" spans="1:19" ht="15.75" thickBot="1" x14ac:dyDescent="0.25">
      <c r="A591" s="378"/>
      <c r="B591" s="368"/>
      <c r="C591" s="368"/>
      <c r="D591" s="395" t="s">
        <v>1296</v>
      </c>
      <c r="G591" s="372"/>
      <c r="H591" s="389"/>
      <c r="I591" s="421" t="s">
        <v>1060</v>
      </c>
      <c r="J591" s="398"/>
      <c r="K591" s="399" t="s">
        <v>1552</v>
      </c>
      <c r="L591" s="399"/>
      <c r="M591" s="399"/>
      <c r="N591" s="398"/>
      <c r="O591" s="431" t="s">
        <v>1296</v>
      </c>
      <c r="P591" s="372"/>
      <c r="Q591" s="372"/>
      <c r="R591" s="372"/>
      <c r="S591" s="372"/>
    </row>
    <row r="592" spans="1:19" ht="15.75" thickTop="1" x14ac:dyDescent="0.2">
      <c r="A592" s="378">
        <v>65</v>
      </c>
      <c r="B592" s="368" t="s">
        <v>1553</v>
      </c>
      <c r="C592" s="368" t="s">
        <v>1554</v>
      </c>
      <c r="D592" s="395"/>
      <c r="G592" s="372"/>
      <c r="H592" s="467">
        <v>65</v>
      </c>
      <c r="I592" s="417"/>
      <c r="J592" s="477"/>
      <c r="K592" s="478" t="s">
        <v>1554</v>
      </c>
      <c r="L592" s="477"/>
      <c r="M592" s="477"/>
      <c r="N592" s="477"/>
      <c r="O592" s="419"/>
      <c r="P592" s="372"/>
      <c r="Q592" s="387">
        <f>H592</f>
        <v>65</v>
      </c>
      <c r="R592" s="377" t="str">
        <f>CONCATENATE("II-",TEXT(Q592,"0000"))</f>
        <v>II-0065</v>
      </c>
      <c r="S592" s="388" t="str">
        <f>K592</f>
        <v xml:space="preserve">PUENTE </v>
      </c>
    </row>
    <row r="593" spans="1:19" x14ac:dyDescent="0.2">
      <c r="A593" s="378"/>
      <c r="B593" s="368"/>
      <c r="C593" s="368"/>
      <c r="D593" s="395" t="s">
        <v>1171</v>
      </c>
      <c r="G593" s="372"/>
      <c r="H593" s="538"/>
      <c r="I593" s="524" t="s">
        <v>1060</v>
      </c>
      <c r="J593" s="398"/>
      <c r="K593" s="399" t="s">
        <v>1555</v>
      </c>
      <c r="L593" s="399"/>
      <c r="M593" s="399"/>
      <c r="N593" s="398"/>
      <c r="O593" s="431" t="s">
        <v>1171</v>
      </c>
      <c r="P593" s="372"/>
      <c r="Q593" s="372"/>
      <c r="R593" s="372"/>
      <c r="S593" s="372"/>
    </row>
    <row r="594" spans="1:19" x14ac:dyDescent="0.2">
      <c r="A594" s="378"/>
      <c r="B594" s="368"/>
      <c r="C594" s="368"/>
      <c r="D594" s="395" t="s">
        <v>1171</v>
      </c>
      <c r="G594" s="372"/>
      <c r="H594" s="538"/>
      <c r="I594" s="390" t="s">
        <v>1087</v>
      </c>
      <c r="J594" s="437"/>
      <c r="K594" s="458" t="s">
        <v>1170</v>
      </c>
      <c r="L594" s="458"/>
      <c r="M594" s="458"/>
      <c r="N594" s="437"/>
      <c r="O594" s="472" t="s">
        <v>1171</v>
      </c>
      <c r="P594" s="372"/>
      <c r="Q594" s="372"/>
      <c r="R594" s="372"/>
      <c r="S594" s="372"/>
    </row>
    <row r="595" spans="1:19" x14ac:dyDescent="0.2">
      <c r="A595" s="378"/>
      <c r="B595" s="368"/>
      <c r="C595" s="368"/>
      <c r="D595" s="395" t="s">
        <v>1064</v>
      </c>
      <c r="G595" s="372"/>
      <c r="H595" s="538"/>
      <c r="I595" s="390" t="s">
        <v>1097</v>
      </c>
      <c r="J595" s="437"/>
      <c r="K595" s="458" t="s">
        <v>1174</v>
      </c>
      <c r="L595" s="458"/>
      <c r="M595" s="458"/>
      <c r="N595" s="437"/>
      <c r="O595" s="472" t="s">
        <v>1064</v>
      </c>
      <c r="P595" s="372"/>
      <c r="Q595" s="372"/>
      <c r="R595" s="372"/>
      <c r="S595" s="372"/>
    </row>
    <row r="596" spans="1:19" x14ac:dyDescent="0.2">
      <c r="A596" s="378"/>
      <c r="B596" s="368"/>
      <c r="C596" s="368"/>
      <c r="D596" s="395"/>
      <c r="G596" s="372"/>
      <c r="H596" s="538"/>
      <c r="I596" s="390" t="s">
        <v>1123</v>
      </c>
      <c r="J596" s="393"/>
      <c r="K596" s="399" t="s">
        <v>1556</v>
      </c>
      <c r="L596" s="399"/>
      <c r="M596" s="399"/>
      <c r="N596" s="398"/>
      <c r="O596" s="431"/>
      <c r="P596" s="372"/>
      <c r="Q596" s="372"/>
      <c r="R596" s="372"/>
      <c r="S596" s="372"/>
    </row>
    <row r="597" spans="1:19" x14ac:dyDescent="0.2">
      <c r="A597" s="378"/>
      <c r="B597" s="368"/>
      <c r="C597" s="368"/>
      <c r="D597" s="395" t="s">
        <v>1254</v>
      </c>
      <c r="G597" s="372"/>
      <c r="H597" s="538"/>
      <c r="I597" s="396"/>
      <c r="J597" s="539">
        <v>1</v>
      </c>
      <c r="K597" s="399"/>
      <c r="L597" s="399" t="s">
        <v>1164</v>
      </c>
      <c r="M597" s="399"/>
      <c r="N597" s="398"/>
      <c r="O597" s="431" t="s">
        <v>1254</v>
      </c>
      <c r="P597" s="372"/>
      <c r="Q597" s="372"/>
      <c r="R597" s="372"/>
      <c r="S597" s="372"/>
    </row>
    <row r="598" spans="1:19" ht="15.75" thickBot="1" x14ac:dyDescent="0.25">
      <c r="A598" s="378"/>
      <c r="B598" s="368"/>
      <c r="C598" s="368"/>
      <c r="D598" s="395" t="s">
        <v>1557</v>
      </c>
      <c r="G598" s="372"/>
      <c r="H598" s="540"/>
      <c r="I598" s="410"/>
      <c r="J598" s="541">
        <v>2</v>
      </c>
      <c r="K598" s="413"/>
      <c r="L598" s="413" t="s">
        <v>1558</v>
      </c>
      <c r="M598" s="413"/>
      <c r="N598" s="412"/>
      <c r="O598" s="497" t="s">
        <v>1557</v>
      </c>
      <c r="P598" s="372"/>
      <c r="Q598" s="372"/>
      <c r="R598" s="372"/>
      <c r="S598" s="372"/>
    </row>
    <row r="599" spans="1:19" ht="15.75" thickTop="1" x14ac:dyDescent="0.2">
      <c r="A599" s="378">
        <v>66</v>
      </c>
      <c r="B599" s="368" t="s">
        <v>1559</v>
      </c>
      <c r="C599" s="368" t="s">
        <v>1560</v>
      </c>
      <c r="D599" s="395"/>
      <c r="G599" s="372"/>
      <c r="H599" s="416">
        <v>66</v>
      </c>
      <c r="I599" s="418"/>
      <c r="J599" s="429"/>
      <c r="K599" s="486" t="s">
        <v>1560</v>
      </c>
      <c r="L599" s="429"/>
      <c r="M599" s="429"/>
      <c r="N599" s="429"/>
      <c r="O599" s="440"/>
      <c r="P599" s="372"/>
      <c r="Q599" s="387">
        <f>H599</f>
        <v>66</v>
      </c>
      <c r="R599" s="377" t="str">
        <f>CONCATENATE("II-",TEXT(Q599,"0000"))</f>
        <v>II-0066</v>
      </c>
      <c r="S599" s="388" t="str">
        <f>K599</f>
        <v>PUENTE BAYLEY / FM</v>
      </c>
    </row>
    <row r="600" spans="1:19" x14ac:dyDescent="0.2">
      <c r="A600" s="378"/>
      <c r="B600" s="368"/>
      <c r="C600" s="368"/>
      <c r="D600" s="395" t="s">
        <v>1296</v>
      </c>
      <c r="G600" s="372"/>
      <c r="H600" s="389"/>
      <c r="I600" s="524" t="s">
        <v>1060</v>
      </c>
      <c r="J600" s="398"/>
      <c r="K600" s="399" t="s">
        <v>1561</v>
      </c>
      <c r="L600" s="398"/>
      <c r="M600" s="398"/>
      <c r="N600" s="398"/>
      <c r="O600" s="431" t="s">
        <v>1296</v>
      </c>
      <c r="P600" s="372"/>
      <c r="Q600" s="372"/>
      <c r="R600" s="372"/>
      <c r="S600" s="372"/>
    </row>
    <row r="601" spans="1:19" x14ac:dyDescent="0.2">
      <c r="A601" s="378"/>
      <c r="B601" s="368"/>
      <c r="C601" s="368"/>
      <c r="D601" s="395" t="s">
        <v>1296</v>
      </c>
      <c r="G601" s="372"/>
      <c r="H601" s="389"/>
      <c r="I601" s="390" t="s">
        <v>1087</v>
      </c>
      <c r="J601" s="437"/>
      <c r="K601" s="458" t="s">
        <v>1562</v>
      </c>
      <c r="L601" s="437"/>
      <c r="M601" s="437"/>
      <c r="N601" s="437"/>
      <c r="O601" s="472" t="s">
        <v>1296</v>
      </c>
      <c r="P601" s="372"/>
      <c r="Q601" s="372"/>
      <c r="R601" s="372"/>
      <c r="S601" s="372"/>
    </row>
    <row r="602" spans="1:19" x14ac:dyDescent="0.2">
      <c r="A602" s="378"/>
      <c r="B602" s="368"/>
      <c r="C602" s="368"/>
      <c r="D602" s="395" t="s">
        <v>1296</v>
      </c>
      <c r="G602" s="372"/>
      <c r="H602" s="389"/>
      <c r="I602" s="390" t="s">
        <v>1097</v>
      </c>
      <c r="J602" s="398"/>
      <c r="K602" s="458" t="s">
        <v>1174</v>
      </c>
      <c r="L602" s="437"/>
      <c r="M602" s="437"/>
      <c r="N602" s="437"/>
      <c r="O602" s="472" t="s">
        <v>1296</v>
      </c>
      <c r="P602" s="372"/>
      <c r="Q602" s="372"/>
      <c r="R602" s="372"/>
      <c r="S602" s="372"/>
    </row>
    <row r="603" spans="1:19" x14ac:dyDescent="0.2">
      <c r="A603" s="378"/>
      <c r="B603" s="368"/>
      <c r="C603" s="368"/>
      <c r="D603" s="395"/>
      <c r="G603" s="372"/>
      <c r="H603" s="389"/>
      <c r="I603" s="403" t="s">
        <v>1123</v>
      </c>
      <c r="J603" s="393"/>
      <c r="K603" s="399" t="s">
        <v>1556</v>
      </c>
      <c r="L603" s="399"/>
      <c r="M603" s="399"/>
      <c r="N603" s="398"/>
      <c r="O603" s="431"/>
      <c r="P603" s="372"/>
      <c r="Q603" s="372"/>
      <c r="R603" s="372"/>
      <c r="S603" s="372"/>
    </row>
    <row r="604" spans="1:19" ht="15.75" thickBot="1" x14ac:dyDescent="0.25">
      <c r="A604" s="378"/>
      <c r="B604" s="368"/>
      <c r="C604" s="368"/>
      <c r="D604" s="395" t="s">
        <v>1030</v>
      </c>
      <c r="G604" s="372"/>
      <c r="H604" s="389"/>
      <c r="I604" s="396"/>
      <c r="J604" s="539">
        <v>1</v>
      </c>
      <c r="K604" s="399"/>
      <c r="L604" s="399" t="s">
        <v>1164</v>
      </c>
      <c r="M604" s="399"/>
      <c r="N604" s="398"/>
      <c r="O604" s="431" t="s">
        <v>1030</v>
      </c>
      <c r="P604" s="372"/>
      <c r="Q604" s="372"/>
      <c r="R604" s="372"/>
      <c r="S604" s="372"/>
    </row>
    <row r="605" spans="1:19" ht="15.75" thickTop="1" x14ac:dyDescent="0.2">
      <c r="A605" s="378">
        <v>67</v>
      </c>
      <c r="B605" s="368" t="s">
        <v>1563</v>
      </c>
      <c r="C605" s="368" t="s">
        <v>1564</v>
      </c>
      <c r="D605" s="395"/>
      <c r="G605" s="372"/>
      <c r="H605" s="467">
        <v>67</v>
      </c>
      <c r="I605" s="417"/>
      <c r="J605" s="477"/>
      <c r="K605" s="478" t="s">
        <v>1564</v>
      </c>
      <c r="L605" s="477"/>
      <c r="M605" s="477"/>
      <c r="N605" s="477"/>
      <c r="O605" s="419"/>
      <c r="P605" s="372"/>
      <c r="Q605" s="387">
        <f>H605</f>
        <v>67</v>
      </c>
      <c r="R605" s="377" t="str">
        <f>CONCATENATE("II-",TEXT(Q605,"0000"))</f>
        <v>II-0067</v>
      </c>
      <c r="S605" s="388" t="str">
        <f>K605</f>
        <v>PUENTE CANAL</v>
      </c>
    </row>
    <row r="606" spans="1:19" ht="15.75" thickBot="1" x14ac:dyDescent="0.25">
      <c r="A606" s="378"/>
      <c r="B606" s="368"/>
      <c r="C606" s="368"/>
      <c r="D606" s="395" t="s">
        <v>1296</v>
      </c>
      <c r="G606" s="372"/>
      <c r="H606" s="420"/>
      <c r="I606" s="421" t="s">
        <v>1060</v>
      </c>
      <c r="J606" s="424"/>
      <c r="K606" s="460" t="s">
        <v>1565</v>
      </c>
      <c r="L606" s="424"/>
      <c r="M606" s="424"/>
      <c r="N606" s="424"/>
      <c r="O606" s="498" t="s">
        <v>1296</v>
      </c>
      <c r="P606" s="372"/>
      <c r="Q606" s="372"/>
      <c r="R606" s="372"/>
      <c r="S606" s="372"/>
    </row>
    <row r="607" spans="1:19" ht="15.75" thickTop="1" x14ac:dyDescent="0.2">
      <c r="A607" s="378">
        <v>68</v>
      </c>
      <c r="B607" s="368" t="s">
        <v>1566</v>
      </c>
      <c r="C607" s="368" t="s">
        <v>1567</v>
      </c>
      <c r="D607" s="395"/>
      <c r="G607" s="372"/>
      <c r="H607" s="416">
        <v>68</v>
      </c>
      <c r="I607" s="418"/>
      <c r="J607" s="429"/>
      <c r="K607" s="486" t="s">
        <v>1567</v>
      </c>
      <c r="L607" s="429"/>
      <c r="M607" s="429"/>
      <c r="N607" s="429"/>
      <c r="O607" s="440"/>
      <c r="P607" s="372"/>
      <c r="Q607" s="387">
        <f>H607</f>
        <v>68</v>
      </c>
      <c r="R607" s="377" t="str">
        <f>CONCATENATE("II-",TEXT(Q607,"0000"))</f>
        <v>II-0068</v>
      </c>
      <c r="S607" s="388" t="str">
        <f>K607</f>
        <v>REACONDICIONAMIENTO</v>
      </c>
    </row>
    <row r="608" spans="1:19" x14ac:dyDescent="0.2">
      <c r="A608" s="378"/>
      <c r="B608" s="368"/>
      <c r="C608" s="368"/>
      <c r="D608" s="395" t="s">
        <v>1296</v>
      </c>
      <c r="G608" s="372"/>
      <c r="H608" s="389"/>
      <c r="I608" s="524" t="s">
        <v>1060</v>
      </c>
      <c r="J608" s="398"/>
      <c r="K608" s="399" t="s">
        <v>1113</v>
      </c>
      <c r="L608" s="398"/>
      <c r="M608" s="398"/>
      <c r="N608" s="398"/>
      <c r="O608" s="431" t="s">
        <v>1296</v>
      </c>
      <c r="P608" s="372"/>
      <c r="Q608" s="372"/>
      <c r="R608" s="372"/>
      <c r="S608" s="372"/>
    </row>
    <row r="609" spans="1:19" x14ac:dyDescent="0.2">
      <c r="A609" s="378"/>
      <c r="B609" s="368"/>
      <c r="C609" s="368"/>
      <c r="D609" s="395" t="s">
        <v>1171</v>
      </c>
      <c r="G609" s="372"/>
      <c r="H609" s="389"/>
      <c r="I609" s="390" t="s">
        <v>1087</v>
      </c>
      <c r="J609" s="437"/>
      <c r="K609" s="458" t="s">
        <v>1568</v>
      </c>
      <c r="L609" s="437"/>
      <c r="M609" s="437"/>
      <c r="N609" s="437"/>
      <c r="O609" s="472" t="s">
        <v>1171</v>
      </c>
      <c r="P609" s="372"/>
      <c r="Q609" s="372"/>
      <c r="R609" s="372"/>
      <c r="S609" s="372"/>
    </row>
    <row r="610" spans="1:19" ht="15.75" thickBot="1" x14ac:dyDescent="0.25">
      <c r="A610" s="378"/>
      <c r="B610" s="368"/>
      <c r="C610" s="368"/>
      <c r="D610" s="395" t="s">
        <v>1296</v>
      </c>
      <c r="G610" s="372"/>
      <c r="H610" s="389"/>
      <c r="I610" s="411" t="s">
        <v>1097</v>
      </c>
      <c r="J610" s="398"/>
      <c r="K610" s="476" t="s">
        <v>1569</v>
      </c>
      <c r="L610" s="398"/>
      <c r="M610" s="398"/>
      <c r="N610" s="398"/>
      <c r="O610" s="431" t="s">
        <v>1296</v>
      </c>
      <c r="P610" s="372"/>
      <c r="Q610" s="372"/>
      <c r="R610" s="372"/>
      <c r="S610" s="372"/>
    </row>
    <row r="611" spans="1:19" ht="15.75" thickTop="1" x14ac:dyDescent="0.2">
      <c r="A611" s="378">
        <v>69</v>
      </c>
      <c r="B611" s="368" t="s">
        <v>1570</v>
      </c>
      <c r="C611" s="368" t="s">
        <v>1571</v>
      </c>
      <c r="D611" s="395"/>
      <c r="G611" s="372"/>
      <c r="H611" s="467">
        <v>69</v>
      </c>
      <c r="I611" s="417"/>
      <c r="J611" s="477"/>
      <c r="K611" s="478" t="s">
        <v>1571</v>
      </c>
      <c r="L611" s="477"/>
      <c r="M611" s="477"/>
      <c r="N611" s="477"/>
      <c r="O611" s="419"/>
      <c r="P611" s="372"/>
      <c r="Q611" s="387">
        <f>H611</f>
        <v>69</v>
      </c>
      <c r="R611" s="377" t="str">
        <f>CONCATENATE("II-",TEXT(Q611,"0000"))</f>
        <v>II-0069</v>
      </c>
      <c r="S611" s="388" t="str">
        <f>K611</f>
        <v>RECICLADO DE PAVIMENTO</v>
      </c>
    </row>
    <row r="612" spans="1:19" x14ac:dyDescent="0.2">
      <c r="A612" s="378"/>
      <c r="B612" s="368"/>
      <c r="C612" s="368"/>
      <c r="D612" s="395" t="s">
        <v>1171</v>
      </c>
      <c r="G612" s="475"/>
      <c r="H612" s="542"/>
      <c r="I612" s="403" t="s">
        <v>1060</v>
      </c>
      <c r="J612" s="437"/>
      <c r="K612" s="458" t="s">
        <v>1572</v>
      </c>
      <c r="L612" s="458"/>
      <c r="M612" s="458"/>
      <c r="N612" s="437"/>
      <c r="O612" s="472" t="s">
        <v>1171</v>
      </c>
      <c r="P612" s="475"/>
      <c r="Q612" s="475"/>
      <c r="R612" s="475"/>
      <c r="S612" s="475"/>
    </row>
    <row r="613" spans="1:19" x14ac:dyDescent="0.2">
      <c r="A613" s="378"/>
      <c r="B613" s="368"/>
      <c r="C613" s="368"/>
      <c r="D613" s="395"/>
      <c r="G613" s="475"/>
      <c r="H613" s="542"/>
      <c r="I613" s="390" t="s">
        <v>1087</v>
      </c>
      <c r="J613" s="396"/>
      <c r="K613" s="399" t="s">
        <v>1573</v>
      </c>
      <c r="L613" s="399"/>
      <c r="M613" s="399"/>
      <c r="N613" s="398"/>
      <c r="O613" s="431"/>
      <c r="P613" s="475"/>
      <c r="Q613" s="475"/>
      <c r="R613" s="475"/>
      <c r="S613" s="475"/>
    </row>
    <row r="614" spans="1:19" x14ac:dyDescent="0.2">
      <c r="A614" s="378"/>
      <c r="B614" s="368"/>
      <c r="C614" s="368"/>
      <c r="D614" s="395" t="s">
        <v>1171</v>
      </c>
      <c r="G614" s="475"/>
      <c r="H614" s="542"/>
      <c r="I614" s="395"/>
      <c r="J614" s="397">
        <v>1</v>
      </c>
      <c r="K614" s="399"/>
      <c r="L614" s="399" t="s">
        <v>1574</v>
      </c>
      <c r="M614" s="398"/>
      <c r="N614" s="398"/>
      <c r="O614" s="431" t="s">
        <v>1171</v>
      </c>
      <c r="P614" s="475"/>
      <c r="Q614" s="475"/>
      <c r="R614" s="475"/>
      <c r="S614" s="475"/>
    </row>
    <row r="615" spans="1:19" ht="15.75" thickBot="1" x14ac:dyDescent="0.25">
      <c r="A615" s="378"/>
      <c r="B615" s="368"/>
      <c r="C615" s="368"/>
      <c r="D615" s="395" t="s">
        <v>1171</v>
      </c>
      <c r="G615" s="475"/>
      <c r="H615" s="543"/>
      <c r="I615" s="493"/>
      <c r="J615" s="411">
        <v>2</v>
      </c>
      <c r="K615" s="413"/>
      <c r="L615" s="413" t="s">
        <v>1575</v>
      </c>
      <c r="M615" s="412"/>
      <c r="N615" s="412"/>
      <c r="O615" s="497" t="s">
        <v>1171</v>
      </c>
      <c r="P615" s="475"/>
      <c r="Q615" s="475"/>
      <c r="R615" s="475"/>
      <c r="S615" s="475"/>
    </row>
    <row r="616" spans="1:19" ht="16.5" thickTop="1" thickBot="1" x14ac:dyDescent="0.25">
      <c r="A616" s="378">
        <v>70</v>
      </c>
      <c r="B616" s="368" t="s">
        <v>1576</v>
      </c>
      <c r="C616" s="368" t="s">
        <v>1577</v>
      </c>
      <c r="D616" s="395" t="s">
        <v>1254</v>
      </c>
      <c r="G616" s="372"/>
      <c r="H616" s="416">
        <v>70</v>
      </c>
      <c r="I616" s="418"/>
      <c r="J616" s="429"/>
      <c r="K616" s="486" t="s">
        <v>1577</v>
      </c>
      <c r="L616" s="429"/>
      <c r="M616" s="429"/>
      <c r="N616" s="429"/>
      <c r="O616" s="440" t="s">
        <v>1254</v>
      </c>
      <c r="P616" s="372"/>
      <c r="Q616" s="387">
        <f t="shared" ref="Q616:Q617" si="60">H616</f>
        <v>70</v>
      </c>
      <c r="R616" s="377" t="str">
        <f t="shared" ref="R616:R617" si="61">CONCATENATE("II-",TEXT(Q616,"0000"))</f>
        <v>II-0070</v>
      </c>
      <c r="S616" s="388" t="str">
        <f t="shared" ref="S616:S617" si="62">K616</f>
        <v>RECLAMADO</v>
      </c>
    </row>
    <row r="617" spans="1:19" ht="15.75" thickTop="1" x14ac:dyDescent="0.2">
      <c r="A617" s="378">
        <v>71</v>
      </c>
      <c r="B617" s="368" t="s">
        <v>1578</v>
      </c>
      <c r="C617" s="368" t="s">
        <v>1579</v>
      </c>
      <c r="D617" s="395"/>
      <c r="G617" s="372"/>
      <c r="H617" s="467">
        <v>71</v>
      </c>
      <c r="I617" s="417"/>
      <c r="J617" s="477"/>
      <c r="K617" s="532" t="s">
        <v>1579</v>
      </c>
      <c r="L617" s="477"/>
      <c r="M617" s="477"/>
      <c r="N617" s="477"/>
      <c r="O617" s="419"/>
      <c r="P617" s="372"/>
      <c r="Q617" s="387">
        <f t="shared" si="60"/>
        <v>71</v>
      </c>
      <c r="R617" s="377" t="str">
        <f t="shared" si="61"/>
        <v>II-0071</v>
      </c>
      <c r="S617" s="388" t="str">
        <f t="shared" si="62"/>
        <v>RECUBRIMIENTO VEGETAL</v>
      </c>
    </row>
    <row r="618" spans="1:19" x14ac:dyDescent="0.2">
      <c r="A618" s="378"/>
      <c r="B618" s="368"/>
      <c r="C618" s="368"/>
      <c r="D618" s="395" t="s">
        <v>1254</v>
      </c>
      <c r="G618" s="372"/>
      <c r="H618" s="389"/>
      <c r="I618" s="390" t="s">
        <v>1060</v>
      </c>
      <c r="J618" s="437"/>
      <c r="K618" s="458" t="s">
        <v>1360</v>
      </c>
      <c r="L618" s="458"/>
      <c r="M618" s="458"/>
      <c r="N618" s="437"/>
      <c r="O618" s="472" t="s">
        <v>1254</v>
      </c>
      <c r="P618" s="372"/>
      <c r="Q618" s="372"/>
      <c r="R618" s="372"/>
      <c r="S618" s="372"/>
    </row>
    <row r="619" spans="1:19" ht="15.75" thickBot="1" x14ac:dyDescent="0.25">
      <c r="A619" s="378"/>
      <c r="B619" s="368"/>
      <c r="C619" s="368"/>
      <c r="D619" s="395" t="s">
        <v>1031</v>
      </c>
      <c r="G619" s="372"/>
      <c r="H619" s="389"/>
      <c r="I619" s="411" t="s">
        <v>1087</v>
      </c>
      <c r="J619" s="398"/>
      <c r="K619" s="413" t="s">
        <v>1362</v>
      </c>
      <c r="L619" s="399"/>
      <c r="M619" s="399"/>
      <c r="N619" s="398"/>
      <c r="O619" s="431" t="s">
        <v>1031</v>
      </c>
      <c r="P619" s="372"/>
      <c r="Q619" s="372"/>
      <c r="R619" s="372"/>
      <c r="S619" s="372"/>
    </row>
    <row r="620" spans="1:19" ht="16.5" thickTop="1" thickBot="1" x14ac:dyDescent="0.25">
      <c r="A620" s="378">
        <v>72</v>
      </c>
      <c r="B620" s="368" t="s">
        <v>1580</v>
      </c>
      <c r="C620" s="368" t="s">
        <v>1581</v>
      </c>
      <c r="D620" s="395" t="s">
        <v>5</v>
      </c>
      <c r="G620" s="372"/>
      <c r="H620" s="479">
        <v>72</v>
      </c>
      <c r="I620" s="480"/>
      <c r="J620" s="481"/>
      <c r="K620" s="482" t="s">
        <v>1581</v>
      </c>
      <c r="L620" s="481"/>
      <c r="M620" s="481"/>
      <c r="N620" s="481"/>
      <c r="O620" s="483" t="s">
        <v>5</v>
      </c>
      <c r="P620" s="372"/>
      <c r="Q620" s="387">
        <f>H620</f>
        <v>72</v>
      </c>
      <c r="R620" s="377" t="str">
        <f>CONCATENATE("II-",TEXT(Q620,"0000"))</f>
        <v>II-0072</v>
      </c>
      <c r="S620" s="388" t="str">
        <f>K620</f>
        <v>RESTITUCION DE GALIVO</v>
      </c>
    </row>
    <row r="621" spans="1:19" x14ac:dyDescent="0.2">
      <c r="A621" s="378"/>
      <c r="B621" s="368"/>
      <c r="C621" s="368"/>
      <c r="D621" s="395"/>
      <c r="G621" s="475"/>
      <c r="H621" s="484"/>
      <c r="I621" s="395"/>
      <c r="J621" s="475"/>
      <c r="K621" s="476"/>
      <c r="L621" s="475"/>
      <c r="M621" s="475"/>
      <c r="N621" s="475"/>
      <c r="O621" s="485"/>
      <c r="P621" s="475"/>
      <c r="Q621" s="475"/>
      <c r="R621" s="475"/>
      <c r="S621" s="475"/>
    </row>
    <row r="622" spans="1:19" x14ac:dyDescent="0.2">
      <c r="A622" s="378"/>
      <c r="B622" s="368"/>
      <c r="C622" s="368"/>
      <c r="D622" s="395"/>
      <c r="G622" s="475"/>
      <c r="H622" s="484"/>
      <c r="I622" s="395"/>
      <c r="J622" s="475"/>
      <c r="K622" s="476"/>
      <c r="L622" s="475"/>
      <c r="M622" s="475"/>
      <c r="N622" s="475"/>
      <c r="O622" s="485"/>
      <c r="P622" s="475"/>
      <c r="Q622" s="475"/>
      <c r="R622" s="475"/>
      <c r="S622" s="475"/>
    </row>
    <row r="623" spans="1:19" x14ac:dyDescent="0.2">
      <c r="A623" s="378"/>
      <c r="B623" s="368"/>
      <c r="C623" s="368"/>
      <c r="D623" s="395"/>
      <c r="G623" s="372"/>
      <c r="H623" s="416">
        <v>73</v>
      </c>
      <c r="I623" s="418"/>
      <c r="J623" s="429"/>
      <c r="K623" s="486" t="s">
        <v>1582</v>
      </c>
      <c r="L623" s="429"/>
      <c r="M623" s="429"/>
      <c r="N623" s="429"/>
      <c r="O623" s="440"/>
      <c r="P623" s="372"/>
      <c r="Q623" s="372"/>
      <c r="R623" s="372"/>
      <c r="S623" s="372"/>
    </row>
    <row r="624" spans="1:19" x14ac:dyDescent="0.2">
      <c r="A624" s="378"/>
      <c r="B624" s="368"/>
      <c r="C624" s="368"/>
      <c r="D624" s="395"/>
      <c r="G624" s="451"/>
      <c r="H624" s="542"/>
      <c r="I624" s="390" t="s">
        <v>1060</v>
      </c>
      <c r="J624" s="393"/>
      <c r="K624" s="399" t="s">
        <v>1537</v>
      </c>
      <c r="L624" s="399"/>
      <c r="M624" s="399"/>
      <c r="N624" s="398"/>
      <c r="O624" s="431"/>
      <c r="P624" s="451"/>
      <c r="Q624" s="451"/>
      <c r="R624" s="451"/>
      <c r="S624" s="451"/>
    </row>
    <row r="625" spans="1:19" x14ac:dyDescent="0.2">
      <c r="A625" s="378"/>
      <c r="B625" s="368"/>
      <c r="C625" s="368"/>
      <c r="D625" s="395" t="s">
        <v>1254</v>
      </c>
      <c r="G625" s="451"/>
      <c r="H625" s="542"/>
      <c r="I625" s="396"/>
      <c r="J625" s="397">
        <v>1</v>
      </c>
      <c r="K625" s="399"/>
      <c r="L625" s="399" t="s">
        <v>1365</v>
      </c>
      <c r="M625" s="399"/>
      <c r="N625" s="398"/>
      <c r="O625" s="431" t="s">
        <v>1254</v>
      </c>
      <c r="P625" s="451"/>
      <c r="Q625" s="451"/>
      <c r="R625" s="451"/>
      <c r="S625" s="451"/>
    </row>
    <row r="626" spans="1:19" x14ac:dyDescent="0.2">
      <c r="A626" s="378"/>
      <c r="B626" s="368"/>
      <c r="C626" s="368"/>
      <c r="D626" s="395" t="s">
        <v>1254</v>
      </c>
      <c r="G626" s="451"/>
      <c r="H626" s="542"/>
      <c r="I626" s="395"/>
      <c r="J626" s="397">
        <v>2</v>
      </c>
      <c r="K626" s="399"/>
      <c r="L626" s="399" t="s">
        <v>1583</v>
      </c>
      <c r="M626" s="398"/>
      <c r="N626" s="398"/>
      <c r="O626" s="431" t="s">
        <v>1254</v>
      </c>
      <c r="P626" s="451"/>
      <c r="Q626" s="451"/>
      <c r="R626" s="451"/>
      <c r="S626" s="451"/>
    </row>
    <row r="627" spans="1:19" x14ac:dyDescent="0.2">
      <c r="A627" s="378"/>
      <c r="B627" s="368"/>
      <c r="C627" s="368"/>
      <c r="D627" s="395" t="s">
        <v>1254</v>
      </c>
      <c r="G627" s="451"/>
      <c r="H627" s="542"/>
      <c r="I627" s="395"/>
      <c r="J627" s="397">
        <v>3</v>
      </c>
      <c r="K627" s="399"/>
      <c r="L627" s="399" t="s">
        <v>1584</v>
      </c>
      <c r="M627" s="398"/>
      <c r="N627" s="398"/>
      <c r="O627" s="431" t="s">
        <v>1254</v>
      </c>
      <c r="P627" s="451"/>
      <c r="Q627" s="451"/>
      <c r="R627" s="451"/>
      <c r="S627" s="451"/>
    </row>
    <row r="628" spans="1:19" x14ac:dyDescent="0.2">
      <c r="A628" s="378"/>
      <c r="B628" s="368"/>
      <c r="C628" s="368"/>
      <c r="D628" s="395" t="s">
        <v>1254</v>
      </c>
      <c r="G628" s="451"/>
      <c r="H628" s="542"/>
      <c r="I628" s="395"/>
      <c r="J628" s="487">
        <v>4</v>
      </c>
      <c r="K628" s="399"/>
      <c r="L628" s="399" t="s">
        <v>1585</v>
      </c>
      <c r="M628" s="398"/>
      <c r="N628" s="398"/>
      <c r="O628" s="431" t="s">
        <v>1254</v>
      </c>
      <c r="P628" s="451"/>
      <c r="Q628" s="451"/>
      <c r="R628" s="451"/>
      <c r="S628" s="451"/>
    </row>
    <row r="629" spans="1:19" x14ac:dyDescent="0.2">
      <c r="A629" s="378"/>
      <c r="B629" s="368"/>
      <c r="C629" s="368"/>
      <c r="D629" s="395" t="s">
        <v>1254</v>
      </c>
      <c r="G629" s="451"/>
      <c r="H629" s="542"/>
      <c r="I629" s="395"/>
      <c r="J629" s="487">
        <v>5</v>
      </c>
      <c r="K629" s="399"/>
      <c r="L629" s="399" t="s">
        <v>1586</v>
      </c>
      <c r="M629" s="398"/>
      <c r="N629" s="398"/>
      <c r="O629" s="431" t="s">
        <v>1254</v>
      </c>
      <c r="P629" s="451"/>
      <c r="Q629" s="451"/>
      <c r="R629" s="451"/>
      <c r="S629" s="451"/>
    </row>
    <row r="630" spans="1:19" x14ac:dyDescent="0.2">
      <c r="A630" s="378"/>
      <c r="B630" s="368"/>
      <c r="C630" s="368"/>
      <c r="D630" s="395" t="s">
        <v>1254</v>
      </c>
      <c r="G630" s="372"/>
      <c r="H630" s="538"/>
      <c r="I630" s="390" t="s">
        <v>1087</v>
      </c>
      <c r="J630" s="437"/>
      <c r="K630" s="458" t="s">
        <v>1359</v>
      </c>
      <c r="L630" s="437"/>
      <c r="M630" s="437"/>
      <c r="N630" s="437"/>
      <c r="O630" s="472" t="s">
        <v>1254</v>
      </c>
      <c r="P630" s="372"/>
      <c r="Q630" s="399"/>
      <c r="R630" s="372"/>
      <c r="S630" s="372"/>
    </row>
    <row r="631" spans="1:19" x14ac:dyDescent="0.2">
      <c r="A631" s="378"/>
      <c r="B631" s="368"/>
      <c r="C631" s="368"/>
      <c r="D631" s="395"/>
      <c r="G631" s="372"/>
      <c r="H631" s="538"/>
      <c r="I631" s="390" t="s">
        <v>1097</v>
      </c>
      <c r="J631" s="396"/>
      <c r="K631" s="399" t="s">
        <v>1380</v>
      </c>
      <c r="L631" s="399"/>
      <c r="M631" s="398"/>
      <c r="N631" s="398"/>
      <c r="O631" s="431"/>
      <c r="P631" s="372"/>
      <c r="Q631" s="372"/>
      <c r="R631" s="372"/>
      <c r="S631" s="372"/>
    </row>
    <row r="632" spans="1:19" x14ac:dyDescent="0.2">
      <c r="A632" s="378"/>
      <c r="B632" s="368"/>
      <c r="C632" s="368"/>
      <c r="D632" s="395" t="s">
        <v>1254</v>
      </c>
      <c r="G632" s="372"/>
      <c r="H632" s="538"/>
      <c r="I632" s="396"/>
      <c r="J632" s="397">
        <v>1</v>
      </c>
      <c r="K632" s="399"/>
      <c r="L632" s="399" t="s">
        <v>1365</v>
      </c>
      <c r="M632" s="398"/>
      <c r="N632" s="398"/>
      <c r="O632" s="431" t="s">
        <v>1254</v>
      </c>
      <c r="P632" s="372"/>
      <c r="Q632" s="372"/>
      <c r="R632" s="372"/>
      <c r="S632" s="372"/>
    </row>
    <row r="633" spans="1:19" x14ac:dyDescent="0.2">
      <c r="A633" s="378"/>
      <c r="B633" s="368"/>
      <c r="C633" s="368"/>
      <c r="D633" s="395" t="s">
        <v>1254</v>
      </c>
      <c r="G633" s="372"/>
      <c r="H633" s="538"/>
      <c r="I633" s="396"/>
      <c r="J633" s="397">
        <v>2</v>
      </c>
      <c r="K633" s="399"/>
      <c r="L633" s="399" t="s">
        <v>1583</v>
      </c>
      <c r="M633" s="398"/>
      <c r="N633" s="398"/>
      <c r="O633" s="431" t="s">
        <v>1254</v>
      </c>
      <c r="P633" s="372"/>
      <c r="Q633" s="372"/>
      <c r="R633" s="372"/>
      <c r="S633" s="372"/>
    </row>
    <row r="634" spans="1:19" x14ac:dyDescent="0.2">
      <c r="A634" s="378"/>
      <c r="B634" s="368"/>
      <c r="C634" s="368"/>
      <c r="D634" s="395" t="s">
        <v>1254</v>
      </c>
      <c r="G634" s="372"/>
      <c r="H634" s="538"/>
      <c r="I634" s="396"/>
      <c r="J634" s="397">
        <v>3</v>
      </c>
      <c r="K634" s="399"/>
      <c r="L634" s="399" t="s">
        <v>1584</v>
      </c>
      <c r="M634" s="398"/>
      <c r="N634" s="398"/>
      <c r="O634" s="431" t="s">
        <v>1254</v>
      </c>
      <c r="P634" s="372"/>
      <c r="Q634" s="372"/>
      <c r="R634" s="372"/>
      <c r="S634" s="372"/>
    </row>
    <row r="635" spans="1:19" x14ac:dyDescent="0.2">
      <c r="A635" s="378"/>
      <c r="B635" s="368"/>
      <c r="C635" s="368"/>
      <c r="D635" s="395" t="s">
        <v>1254</v>
      </c>
      <c r="G635" s="372"/>
      <c r="H635" s="538"/>
      <c r="I635" s="396"/>
      <c r="J635" s="487">
        <v>4</v>
      </c>
      <c r="K635" s="399"/>
      <c r="L635" s="399" t="s">
        <v>1585</v>
      </c>
      <c r="M635" s="398"/>
      <c r="N635" s="398"/>
      <c r="O635" s="431" t="s">
        <v>1254</v>
      </c>
      <c r="P635" s="372"/>
      <c r="Q635" s="372"/>
      <c r="R635" s="372"/>
      <c r="S635" s="372"/>
    </row>
    <row r="636" spans="1:19" x14ac:dyDescent="0.2">
      <c r="A636" s="378"/>
      <c r="B636" s="368"/>
      <c r="C636" s="368"/>
      <c r="D636" s="395" t="s">
        <v>1254</v>
      </c>
      <c r="G636" s="372"/>
      <c r="H636" s="538"/>
      <c r="I636" s="449"/>
      <c r="J636" s="488">
        <v>5</v>
      </c>
      <c r="K636" s="405"/>
      <c r="L636" s="405" t="s">
        <v>1586</v>
      </c>
      <c r="M636" s="404"/>
      <c r="N636" s="404"/>
      <c r="O636" s="450" t="s">
        <v>1254</v>
      </c>
      <c r="P636" s="372"/>
      <c r="Q636" s="372"/>
      <c r="R636" s="372"/>
      <c r="S636" s="372"/>
    </row>
    <row r="637" spans="1:19" ht="15.75" thickBot="1" x14ac:dyDescent="0.25">
      <c r="A637" s="378"/>
      <c r="B637" s="368"/>
      <c r="C637" s="368"/>
      <c r="D637" s="395" t="s">
        <v>1254</v>
      </c>
      <c r="G637" s="372"/>
      <c r="H637" s="538"/>
      <c r="I637" s="411" t="s">
        <v>1123</v>
      </c>
      <c r="J637" s="395"/>
      <c r="K637" s="399" t="s">
        <v>1362</v>
      </c>
      <c r="L637" s="399"/>
      <c r="M637" s="398"/>
      <c r="N637" s="398"/>
      <c r="O637" s="431" t="s">
        <v>1254</v>
      </c>
      <c r="P637" s="372"/>
      <c r="Q637" s="372"/>
      <c r="R637" s="372"/>
      <c r="S637" s="372"/>
    </row>
    <row r="638" spans="1:19" ht="15.75" thickTop="1" x14ac:dyDescent="0.2">
      <c r="A638" s="378">
        <v>74</v>
      </c>
      <c r="B638" s="368" t="s">
        <v>1587</v>
      </c>
      <c r="C638" s="368" t="s">
        <v>1588</v>
      </c>
      <c r="D638" s="395"/>
      <c r="G638" s="372"/>
      <c r="H638" s="467">
        <v>74</v>
      </c>
      <c r="I638" s="417"/>
      <c r="J638" s="477"/>
      <c r="K638" s="478" t="s">
        <v>1588</v>
      </c>
      <c r="L638" s="477"/>
      <c r="M638" s="477"/>
      <c r="N638" s="477"/>
      <c r="O638" s="419"/>
      <c r="P638" s="372"/>
      <c r="Q638" s="387">
        <f>H638</f>
        <v>74</v>
      </c>
      <c r="R638" s="377" t="str">
        <f>CONCATENATE("II-",TEXT(Q638,"0000"))</f>
        <v>II-0074</v>
      </c>
      <c r="S638" s="388" t="str">
        <f>K638</f>
        <v>RIEGO</v>
      </c>
    </row>
    <row r="639" spans="1:19" x14ac:dyDescent="0.2">
      <c r="A639" s="378"/>
      <c r="B639" s="368"/>
      <c r="C639" s="368"/>
      <c r="D639" s="395" t="s">
        <v>1254</v>
      </c>
      <c r="G639" s="372"/>
      <c r="H639" s="389"/>
      <c r="I639" s="390" t="s">
        <v>1060</v>
      </c>
      <c r="J639" s="437"/>
      <c r="K639" s="458" t="s">
        <v>1589</v>
      </c>
      <c r="L639" s="437"/>
      <c r="M639" s="437"/>
      <c r="N639" s="437"/>
      <c r="O639" s="472" t="s">
        <v>1254</v>
      </c>
      <c r="P639" s="372"/>
      <c r="Q639" s="372"/>
      <c r="R639" s="372"/>
      <c r="S639" s="372"/>
    </row>
    <row r="640" spans="1:19" ht="15.75" thickBot="1" x14ac:dyDescent="0.25">
      <c r="A640" s="378"/>
      <c r="B640" s="368"/>
      <c r="C640" s="368"/>
      <c r="D640" s="395" t="s">
        <v>1254</v>
      </c>
      <c r="G640" s="372"/>
      <c r="H640" s="409"/>
      <c r="I640" s="411" t="s">
        <v>1087</v>
      </c>
      <c r="J640" s="412"/>
      <c r="K640" s="413" t="s">
        <v>1590</v>
      </c>
      <c r="L640" s="412"/>
      <c r="M640" s="412"/>
      <c r="N640" s="412"/>
      <c r="O640" s="497" t="s">
        <v>1254</v>
      </c>
      <c r="P640" s="372"/>
      <c r="Q640" s="372"/>
      <c r="R640" s="372"/>
      <c r="S640" s="372"/>
    </row>
    <row r="641" spans="1:19" ht="15.75" thickTop="1" x14ac:dyDescent="0.2">
      <c r="A641" s="378">
        <v>75</v>
      </c>
      <c r="B641" s="368" t="s">
        <v>1591</v>
      </c>
      <c r="C641" s="368" t="s">
        <v>1592</v>
      </c>
      <c r="D641" s="395"/>
      <c r="G641" s="451"/>
      <c r="H641" s="416">
        <v>75</v>
      </c>
      <c r="I641" s="418"/>
      <c r="J641" s="429"/>
      <c r="K641" s="486" t="s">
        <v>1592</v>
      </c>
      <c r="L641" s="429"/>
      <c r="M641" s="429"/>
      <c r="N641" s="429"/>
      <c r="O641" s="440"/>
      <c r="P641" s="372"/>
      <c r="Q641" s="387">
        <f>H641</f>
        <v>75</v>
      </c>
      <c r="R641" s="377" t="str">
        <f>CONCATENATE("II-",TEXT(Q641,"0000"))</f>
        <v>II-0075</v>
      </c>
      <c r="S641" s="388" t="str">
        <f>K641</f>
        <v>SALTO</v>
      </c>
    </row>
    <row r="642" spans="1:19" x14ac:dyDescent="0.2">
      <c r="A642" s="378"/>
      <c r="B642" s="368"/>
      <c r="C642" s="368"/>
      <c r="D642" s="395" t="s">
        <v>1296</v>
      </c>
      <c r="G642" s="372"/>
      <c r="H642" s="389"/>
      <c r="I642" s="390" t="s">
        <v>1060</v>
      </c>
      <c r="J642" s="437"/>
      <c r="K642" s="458" t="s">
        <v>1593</v>
      </c>
      <c r="L642" s="437"/>
      <c r="M642" s="437"/>
      <c r="N642" s="437"/>
      <c r="O642" s="472" t="s">
        <v>1296</v>
      </c>
      <c r="P642" s="372"/>
      <c r="Q642" s="372"/>
      <c r="R642" s="372"/>
      <c r="S642" s="372"/>
    </row>
    <row r="643" spans="1:19" ht="15.75" thickBot="1" x14ac:dyDescent="0.25">
      <c r="A643" s="378"/>
      <c r="B643" s="368"/>
      <c r="C643" s="368"/>
      <c r="D643" s="395" t="s">
        <v>1296</v>
      </c>
      <c r="G643" s="372"/>
      <c r="H643" s="389"/>
      <c r="I643" s="411" t="s">
        <v>1087</v>
      </c>
      <c r="J643" s="398"/>
      <c r="K643" s="399" t="s">
        <v>1292</v>
      </c>
      <c r="L643" s="398"/>
      <c r="M643" s="398"/>
      <c r="N643" s="398"/>
      <c r="O643" s="431" t="s">
        <v>1296</v>
      </c>
      <c r="P643" s="372"/>
      <c r="Q643" s="372"/>
      <c r="R643" s="372"/>
      <c r="S643" s="372"/>
    </row>
    <row r="644" spans="1:19" ht="16.5" thickTop="1" thickBot="1" x14ac:dyDescent="0.25">
      <c r="A644" s="378">
        <v>76</v>
      </c>
      <c r="B644" s="368" t="s">
        <v>1594</v>
      </c>
      <c r="C644" s="368" t="s">
        <v>1595</v>
      </c>
      <c r="D644" s="395" t="s">
        <v>723</v>
      </c>
      <c r="G644" s="372"/>
      <c r="H644" s="467">
        <v>76</v>
      </c>
      <c r="I644" s="417"/>
      <c r="J644" s="477"/>
      <c r="K644" s="478" t="s">
        <v>1595</v>
      </c>
      <c r="L644" s="477"/>
      <c r="M644" s="477"/>
      <c r="N644" s="477"/>
      <c r="O644" s="419" t="s">
        <v>723</v>
      </c>
      <c r="P644" s="372"/>
      <c r="Q644" s="387">
        <f t="shared" ref="Q644:Q645" si="63">H644</f>
        <v>76</v>
      </c>
      <c r="R644" s="377" t="str">
        <f t="shared" ref="R644:R645" si="64">CONCATENATE("II-",TEXT(Q644,"0000"))</f>
        <v>II-0076</v>
      </c>
      <c r="S644" s="388" t="str">
        <f t="shared" ref="S644:S645" si="65">K644</f>
        <v>SELLADO DE FISURA</v>
      </c>
    </row>
    <row r="645" spans="1:19" ht="15.75" thickTop="1" x14ac:dyDescent="0.2">
      <c r="A645" s="378">
        <v>77</v>
      </c>
      <c r="B645" s="368" t="s">
        <v>1596</v>
      </c>
      <c r="C645" s="368" t="s">
        <v>1597</v>
      </c>
      <c r="D645" s="395"/>
      <c r="G645" s="372"/>
      <c r="H645" s="467">
        <v>77</v>
      </c>
      <c r="I645" s="417"/>
      <c r="J645" s="477"/>
      <c r="K645" s="478" t="s">
        <v>1597</v>
      </c>
      <c r="L645" s="477"/>
      <c r="M645" s="477"/>
      <c r="N645" s="477"/>
      <c r="O645" s="419"/>
      <c r="P645" s="372"/>
      <c r="Q645" s="387">
        <f t="shared" si="63"/>
        <v>77</v>
      </c>
      <c r="R645" s="377" t="str">
        <f t="shared" si="64"/>
        <v>II-0077</v>
      </c>
      <c r="S645" s="388" t="str">
        <f t="shared" si="65"/>
        <v>SIFON</v>
      </c>
    </row>
    <row r="646" spans="1:19" ht="15.75" thickBot="1" x14ac:dyDescent="0.25">
      <c r="A646" s="378"/>
      <c r="B646" s="368"/>
      <c r="C646" s="368"/>
      <c r="D646" s="395" t="s">
        <v>5</v>
      </c>
      <c r="G646" s="372"/>
      <c r="H646" s="389"/>
      <c r="I646" s="421" t="s">
        <v>1060</v>
      </c>
      <c r="J646" s="398"/>
      <c r="K646" s="399" t="s">
        <v>1598</v>
      </c>
      <c r="L646" s="398"/>
      <c r="M646" s="398"/>
      <c r="N646" s="398"/>
      <c r="O646" s="431" t="s">
        <v>5</v>
      </c>
      <c r="P646" s="372"/>
      <c r="Q646" s="372"/>
      <c r="R646" s="372"/>
      <c r="S646" s="372"/>
    </row>
    <row r="647" spans="1:19" ht="15.75" thickTop="1" x14ac:dyDescent="0.2">
      <c r="A647" s="378">
        <v>78</v>
      </c>
      <c r="B647" s="368" t="s">
        <v>1599</v>
      </c>
      <c r="C647" s="368" t="s">
        <v>1600</v>
      </c>
      <c r="D647" s="395"/>
      <c r="G647" s="451"/>
      <c r="H647" s="467">
        <v>78</v>
      </c>
      <c r="I647" s="417"/>
      <c r="J647" s="477"/>
      <c r="K647" s="478" t="s">
        <v>1600</v>
      </c>
      <c r="L647" s="477"/>
      <c r="M647" s="477"/>
      <c r="N647" s="477"/>
      <c r="O647" s="419"/>
      <c r="P647" s="372"/>
      <c r="Q647" s="387">
        <f>H647</f>
        <v>78</v>
      </c>
      <c r="R647" s="377" t="str">
        <f>CONCATENATE("II-",TEXT(Q647,"0000"))</f>
        <v>II-0078</v>
      </c>
      <c r="S647" s="388" t="str">
        <f>K647</f>
        <v>SUB BASE</v>
      </c>
    </row>
    <row r="648" spans="1:19" x14ac:dyDescent="0.2">
      <c r="A648" s="378"/>
      <c r="B648" s="368"/>
      <c r="C648" s="368"/>
      <c r="D648" s="395" t="s">
        <v>1171</v>
      </c>
      <c r="G648" s="451"/>
      <c r="H648" s="473"/>
      <c r="I648" s="544" t="s">
        <v>1060</v>
      </c>
      <c r="J648" s="475"/>
      <c r="K648" s="476" t="s">
        <v>1319</v>
      </c>
      <c r="L648" s="475"/>
      <c r="M648" s="475"/>
      <c r="N648" s="475"/>
      <c r="O648" s="462" t="s">
        <v>1171</v>
      </c>
      <c r="P648" s="451"/>
      <c r="Q648" s="451"/>
      <c r="R648" s="451"/>
      <c r="S648" s="451"/>
    </row>
    <row r="649" spans="1:19" x14ac:dyDescent="0.2">
      <c r="A649" s="378"/>
      <c r="B649" s="368"/>
      <c r="C649" s="368"/>
      <c r="D649" s="395" t="s">
        <v>1171</v>
      </c>
      <c r="G649" s="372"/>
      <c r="H649" s="389"/>
      <c r="I649" s="390" t="s">
        <v>1087</v>
      </c>
      <c r="J649" s="525"/>
      <c r="K649" s="458" t="s">
        <v>1429</v>
      </c>
      <c r="L649" s="458"/>
      <c r="M649" s="437"/>
      <c r="N649" s="437"/>
      <c r="O649" s="472" t="s">
        <v>1171</v>
      </c>
      <c r="P649" s="372"/>
      <c r="Q649" s="372"/>
      <c r="R649" s="372"/>
      <c r="S649" s="372"/>
    </row>
    <row r="650" spans="1:19" x14ac:dyDescent="0.2">
      <c r="A650" s="378"/>
      <c r="B650" s="368"/>
      <c r="C650" s="368"/>
      <c r="D650" s="395"/>
      <c r="G650" s="372"/>
      <c r="H650" s="389"/>
      <c r="I650" s="403" t="s">
        <v>1097</v>
      </c>
      <c r="J650" s="396"/>
      <c r="K650" s="399" t="s">
        <v>1316</v>
      </c>
      <c r="L650" s="399"/>
      <c r="M650" s="398"/>
      <c r="N650" s="398"/>
      <c r="O650" s="431"/>
      <c r="P650" s="372"/>
      <c r="Q650" s="372"/>
      <c r="R650" s="372"/>
      <c r="S650" s="372"/>
    </row>
    <row r="651" spans="1:19" x14ac:dyDescent="0.2">
      <c r="A651" s="378"/>
      <c r="B651" s="368"/>
      <c r="C651" s="368"/>
      <c r="D651" s="395" t="s">
        <v>1171</v>
      </c>
      <c r="G651" s="372"/>
      <c r="H651" s="389"/>
      <c r="I651" s="396"/>
      <c r="J651" s="397">
        <v>1</v>
      </c>
      <c r="K651" s="399"/>
      <c r="L651" s="399" t="s">
        <v>1601</v>
      </c>
      <c r="M651" s="398"/>
      <c r="N651" s="398"/>
      <c r="O651" s="431" t="s">
        <v>1171</v>
      </c>
      <c r="P651" s="372"/>
      <c r="Q651" s="372"/>
      <c r="R651" s="372"/>
      <c r="S651" s="372"/>
    </row>
    <row r="652" spans="1:19" x14ac:dyDescent="0.2">
      <c r="A652" s="378"/>
      <c r="B652" s="368"/>
      <c r="C652" s="368"/>
      <c r="D652" s="395" t="s">
        <v>1171</v>
      </c>
      <c r="G652" s="372"/>
      <c r="H652" s="389"/>
      <c r="I652" s="396"/>
      <c r="J652" s="397">
        <v>2</v>
      </c>
      <c r="K652" s="399"/>
      <c r="L652" s="399" t="s">
        <v>1602</v>
      </c>
      <c r="M652" s="398"/>
      <c r="N652" s="398"/>
      <c r="O652" s="431" t="s">
        <v>1171</v>
      </c>
      <c r="P652" s="372"/>
      <c r="Q652" s="372"/>
      <c r="R652" s="372"/>
      <c r="S652" s="372"/>
    </row>
    <row r="653" spans="1:19" x14ac:dyDescent="0.2">
      <c r="A653" s="378"/>
      <c r="B653" s="368"/>
      <c r="C653" s="368"/>
      <c r="D653" s="395" t="s">
        <v>1171</v>
      </c>
      <c r="G653" s="372"/>
      <c r="H653" s="389"/>
      <c r="I653" s="396"/>
      <c r="J653" s="403">
        <v>3</v>
      </c>
      <c r="K653" s="398"/>
      <c r="L653" s="399" t="s">
        <v>1316</v>
      </c>
      <c r="M653" s="398"/>
      <c r="N653" s="398"/>
      <c r="O653" s="431" t="s">
        <v>1171</v>
      </c>
      <c r="P653" s="372"/>
      <c r="Q653" s="372"/>
      <c r="R653" s="372"/>
      <c r="S653" s="372"/>
    </row>
    <row r="654" spans="1:19" x14ac:dyDescent="0.2">
      <c r="A654" s="378"/>
      <c r="B654" s="368"/>
      <c r="C654" s="368"/>
      <c r="D654" s="395" t="s">
        <v>1171</v>
      </c>
      <c r="G654" s="372"/>
      <c r="H654" s="389"/>
      <c r="I654" s="390" t="s">
        <v>1123</v>
      </c>
      <c r="J654" s="525"/>
      <c r="K654" s="458" t="s">
        <v>1255</v>
      </c>
      <c r="L654" s="458"/>
      <c r="M654" s="437"/>
      <c r="N654" s="437"/>
      <c r="O654" s="472" t="s">
        <v>1171</v>
      </c>
      <c r="P654" s="372"/>
      <c r="Q654" s="372"/>
      <c r="R654" s="372"/>
      <c r="S654" s="372"/>
    </row>
    <row r="655" spans="1:19" x14ac:dyDescent="0.2">
      <c r="A655" s="378"/>
      <c r="B655" s="368"/>
      <c r="C655" s="368"/>
      <c r="D655" s="395" t="s">
        <v>1171</v>
      </c>
      <c r="G655" s="372"/>
      <c r="H655" s="389"/>
      <c r="I655" s="397" t="s">
        <v>1165</v>
      </c>
      <c r="J655" s="396"/>
      <c r="K655" s="399" t="s">
        <v>1258</v>
      </c>
      <c r="L655" s="399"/>
      <c r="M655" s="398"/>
      <c r="N655" s="398"/>
      <c r="O655" s="431" t="s">
        <v>1171</v>
      </c>
      <c r="P655" s="372"/>
      <c r="Q655" s="372"/>
      <c r="R655" s="372"/>
      <c r="S655" s="372"/>
    </row>
    <row r="656" spans="1:19" x14ac:dyDescent="0.2">
      <c r="A656" s="378"/>
      <c r="B656" s="368"/>
      <c r="C656" s="368"/>
      <c r="D656" s="395" t="s">
        <v>1171</v>
      </c>
      <c r="G656" s="372"/>
      <c r="H656" s="389"/>
      <c r="I656" s="390" t="s">
        <v>1168</v>
      </c>
      <c r="J656" s="525"/>
      <c r="K656" s="504" t="s">
        <v>1320</v>
      </c>
      <c r="L656" s="458"/>
      <c r="M656" s="437"/>
      <c r="N656" s="437"/>
      <c r="O656" s="472" t="s">
        <v>1171</v>
      </c>
      <c r="P656" s="372"/>
      <c r="Q656" s="372"/>
      <c r="R656" s="372"/>
      <c r="S656" s="372"/>
    </row>
    <row r="657" spans="1:19" ht="15.75" thickBot="1" x14ac:dyDescent="0.25">
      <c r="A657" s="378"/>
      <c r="B657" s="368"/>
      <c r="C657" s="368"/>
      <c r="D657" s="395" t="s">
        <v>1171</v>
      </c>
      <c r="G657" s="372"/>
      <c r="H657" s="409"/>
      <c r="I657" s="411" t="s">
        <v>1172</v>
      </c>
      <c r="J657" s="410"/>
      <c r="K657" s="413" t="s">
        <v>1261</v>
      </c>
      <c r="L657" s="413"/>
      <c r="M657" s="412"/>
      <c r="N657" s="412"/>
      <c r="O657" s="497" t="s">
        <v>1171</v>
      </c>
      <c r="P657" s="372"/>
      <c r="Q657" s="372"/>
      <c r="R657" s="372"/>
      <c r="S657" s="372"/>
    </row>
    <row r="658" spans="1:19" ht="15.75" thickTop="1" x14ac:dyDescent="0.2">
      <c r="A658" s="378">
        <v>79</v>
      </c>
      <c r="B658" s="368" t="s">
        <v>1603</v>
      </c>
      <c r="C658" s="368" t="s">
        <v>1426</v>
      </c>
      <c r="D658" s="395"/>
      <c r="G658" s="372"/>
      <c r="H658" s="416">
        <v>79</v>
      </c>
      <c r="I658" s="418"/>
      <c r="J658" s="429"/>
      <c r="K658" s="470" t="s">
        <v>1426</v>
      </c>
      <c r="L658" s="429"/>
      <c r="M658" s="429"/>
      <c r="N658" s="429"/>
      <c r="O658" s="440"/>
      <c r="P658" s="372"/>
      <c r="Q658" s="387">
        <f>H658</f>
        <v>79</v>
      </c>
      <c r="R658" s="377" t="str">
        <f>CONCATENATE("II-",TEXT(Q658,"0000"))</f>
        <v>II-0079</v>
      </c>
      <c r="S658" s="388" t="str">
        <f>K658</f>
        <v>SUELO</v>
      </c>
    </row>
    <row r="659" spans="1:19" x14ac:dyDescent="0.2">
      <c r="A659" s="378"/>
      <c r="B659" s="368"/>
      <c r="C659" s="368"/>
      <c r="D659" s="395" t="s">
        <v>1171</v>
      </c>
      <c r="G659" s="372"/>
      <c r="H659" s="389"/>
      <c r="I659" s="524" t="s">
        <v>1060</v>
      </c>
      <c r="J659" s="398"/>
      <c r="K659" s="458" t="s">
        <v>1604</v>
      </c>
      <c r="L659" s="399"/>
      <c r="M659" s="399"/>
      <c r="N659" s="398"/>
      <c r="O659" s="431" t="s">
        <v>1171</v>
      </c>
      <c r="P659" s="372"/>
      <c r="Q659" s="372"/>
      <c r="R659" s="372"/>
      <c r="S659" s="372"/>
    </row>
    <row r="660" spans="1:19" x14ac:dyDescent="0.2">
      <c r="A660" s="378"/>
      <c r="B660" s="368"/>
      <c r="C660" s="368"/>
      <c r="D660" s="395" t="s">
        <v>1171</v>
      </c>
      <c r="G660" s="372"/>
      <c r="H660" s="389"/>
      <c r="I660" s="390" t="s">
        <v>1087</v>
      </c>
      <c r="J660" s="437"/>
      <c r="K660" s="399" t="s">
        <v>1605</v>
      </c>
      <c r="L660" s="458"/>
      <c r="M660" s="458"/>
      <c r="N660" s="437"/>
      <c r="O660" s="472" t="s">
        <v>1171</v>
      </c>
      <c r="P660" s="372"/>
      <c r="Q660" s="372"/>
      <c r="R660" s="372"/>
      <c r="S660" s="372"/>
    </row>
    <row r="661" spans="1:19" ht="15.75" thickBot="1" x14ac:dyDescent="0.25">
      <c r="A661" s="378"/>
      <c r="B661" s="368"/>
      <c r="C661" s="368"/>
      <c r="D661" s="395" t="s">
        <v>1171</v>
      </c>
      <c r="G661" s="372"/>
      <c r="H661" s="389"/>
      <c r="I661" s="411" t="s">
        <v>1097</v>
      </c>
      <c r="J661" s="398"/>
      <c r="K661" s="460" t="s">
        <v>1606</v>
      </c>
      <c r="L661" s="399"/>
      <c r="M661" s="399"/>
      <c r="N661" s="398"/>
      <c r="O661" s="431" t="s">
        <v>1171</v>
      </c>
      <c r="P661" s="372"/>
      <c r="Q661" s="372"/>
      <c r="R661" s="372"/>
      <c r="S661" s="372"/>
    </row>
    <row r="662" spans="1:19" ht="15.75" thickTop="1" x14ac:dyDescent="0.2">
      <c r="A662" s="378">
        <v>80</v>
      </c>
      <c r="B662" s="368" t="s">
        <v>1607</v>
      </c>
      <c r="C662" s="368" t="s">
        <v>1608</v>
      </c>
      <c r="D662" s="395"/>
      <c r="G662" s="372"/>
      <c r="H662" s="467">
        <v>80</v>
      </c>
      <c r="I662" s="417"/>
      <c r="J662" s="477"/>
      <c r="K662" s="486" t="s">
        <v>1608</v>
      </c>
      <c r="L662" s="477"/>
      <c r="M662" s="477"/>
      <c r="N662" s="477"/>
      <c r="O662" s="419"/>
      <c r="P662" s="372"/>
      <c r="Q662" s="387">
        <f>H662</f>
        <v>80</v>
      </c>
      <c r="R662" s="377" t="str">
        <f>CONCATENATE("II-",TEXT(Q662,"0000"))</f>
        <v>II-0080</v>
      </c>
      <c r="S662" s="388" t="str">
        <f>K662</f>
        <v>SUMIDEROS</v>
      </c>
    </row>
    <row r="663" spans="1:19" x14ac:dyDescent="0.2">
      <c r="A663" s="378"/>
      <c r="B663" s="368"/>
      <c r="C663" s="368"/>
      <c r="D663" s="395" t="s">
        <v>5</v>
      </c>
      <c r="G663" s="372"/>
      <c r="H663" s="389"/>
      <c r="I663" s="397" t="s">
        <v>1060</v>
      </c>
      <c r="J663" s="398"/>
      <c r="K663" s="399" t="s">
        <v>1609</v>
      </c>
      <c r="L663" s="399"/>
      <c r="M663" s="399"/>
      <c r="N663" s="398"/>
      <c r="O663" s="431" t="s">
        <v>5</v>
      </c>
      <c r="P663" s="372"/>
      <c r="Q663" s="372"/>
      <c r="R663" s="372"/>
      <c r="S663" s="372"/>
    </row>
    <row r="664" spans="1:19" x14ac:dyDescent="0.2">
      <c r="A664" s="378"/>
      <c r="B664" s="368"/>
      <c r="C664" s="368"/>
      <c r="D664" s="395" t="s">
        <v>5</v>
      </c>
      <c r="G664" s="372"/>
      <c r="H664" s="389"/>
      <c r="I664" s="390" t="s">
        <v>1087</v>
      </c>
      <c r="J664" s="437"/>
      <c r="K664" s="458" t="s">
        <v>1610</v>
      </c>
      <c r="L664" s="458"/>
      <c r="M664" s="458"/>
      <c r="N664" s="437"/>
      <c r="O664" s="472" t="s">
        <v>5</v>
      </c>
      <c r="P664" s="372"/>
      <c r="Q664" s="372"/>
      <c r="R664" s="372"/>
      <c r="S664" s="372"/>
    </row>
    <row r="665" spans="1:19" x14ac:dyDescent="0.2">
      <c r="A665" s="378"/>
      <c r="B665" s="368"/>
      <c r="C665" s="368"/>
      <c r="D665" s="395" t="s">
        <v>5</v>
      </c>
      <c r="G665" s="372"/>
      <c r="H665" s="389"/>
      <c r="I665" s="390" t="s">
        <v>1097</v>
      </c>
      <c r="J665" s="437"/>
      <c r="K665" s="458" t="s">
        <v>1611</v>
      </c>
      <c r="L665" s="458"/>
      <c r="M665" s="458"/>
      <c r="N665" s="437"/>
      <c r="O665" s="472" t="s">
        <v>5</v>
      </c>
      <c r="P665" s="372"/>
      <c r="Q665" s="372"/>
      <c r="R665" s="372"/>
      <c r="S665" s="372"/>
    </row>
    <row r="666" spans="1:19" ht="15.75" thickBot="1" x14ac:dyDescent="0.25">
      <c r="A666" s="378"/>
      <c r="B666" s="368"/>
      <c r="C666" s="368"/>
      <c r="D666" s="395" t="s">
        <v>5</v>
      </c>
      <c r="G666" s="372"/>
      <c r="H666" s="442"/>
      <c r="I666" s="444" t="s">
        <v>1123</v>
      </c>
      <c r="J666" s="445"/>
      <c r="K666" s="446" t="s">
        <v>1612</v>
      </c>
      <c r="L666" s="446"/>
      <c r="M666" s="446"/>
      <c r="N666" s="445"/>
      <c r="O666" s="500" t="s">
        <v>5</v>
      </c>
      <c r="P666" s="372"/>
      <c r="Q666" s="372"/>
      <c r="R666" s="372"/>
      <c r="S666" s="372"/>
    </row>
    <row r="667" spans="1:19" x14ac:dyDescent="0.2">
      <c r="A667" s="378"/>
      <c r="B667" s="368"/>
      <c r="C667" s="368"/>
      <c r="D667" s="395"/>
      <c r="G667" s="398"/>
      <c r="H667" s="448"/>
      <c r="I667" s="396"/>
      <c r="J667" s="398"/>
      <c r="K667" s="399"/>
      <c r="L667" s="399"/>
      <c r="M667" s="399"/>
      <c r="N667" s="398"/>
      <c r="O667" s="506"/>
      <c r="P667" s="398"/>
      <c r="Q667" s="398"/>
      <c r="R667" s="398"/>
      <c r="S667" s="398"/>
    </row>
    <row r="668" spans="1:19" x14ac:dyDescent="0.2">
      <c r="A668" s="378"/>
      <c r="B668" s="368"/>
      <c r="C668" s="368"/>
      <c r="D668" s="395"/>
      <c r="G668" s="398"/>
      <c r="H668" s="448"/>
      <c r="I668" s="396"/>
      <c r="J668" s="398"/>
      <c r="K668" s="399"/>
      <c r="L668" s="399"/>
      <c r="M668" s="399"/>
      <c r="N668" s="398"/>
      <c r="O668" s="506"/>
      <c r="P668" s="398"/>
      <c r="Q668" s="398"/>
      <c r="R668" s="398"/>
      <c r="S668" s="398"/>
    </row>
    <row r="669" spans="1:19" x14ac:dyDescent="0.2">
      <c r="A669" s="378"/>
      <c r="B669" s="368"/>
      <c r="C669" s="368"/>
      <c r="D669" s="395"/>
      <c r="G669" s="398"/>
      <c r="H669" s="448"/>
      <c r="I669" s="396"/>
      <c r="J669" s="398"/>
      <c r="K669" s="399"/>
      <c r="L669" s="399"/>
      <c r="M669" s="399"/>
      <c r="N669" s="398"/>
      <c r="O669" s="506"/>
      <c r="P669" s="398"/>
      <c r="Q669" s="398"/>
      <c r="R669" s="398"/>
      <c r="S669" s="398"/>
    </row>
    <row r="670" spans="1:19" x14ac:dyDescent="0.2">
      <c r="A670" s="378">
        <v>81</v>
      </c>
      <c r="B670" s="368" t="s">
        <v>1613</v>
      </c>
      <c r="C670" s="368" t="s">
        <v>1614</v>
      </c>
      <c r="D670" s="395"/>
      <c r="G670" s="545"/>
      <c r="H670" s="416">
        <v>81</v>
      </c>
      <c r="I670" s="418"/>
      <c r="J670" s="429"/>
      <c r="K670" s="486" t="s">
        <v>1614</v>
      </c>
      <c r="L670" s="429"/>
      <c r="M670" s="429"/>
      <c r="N670" s="429"/>
      <c r="O670" s="440"/>
      <c r="P670" s="372"/>
      <c r="Q670" s="387">
        <f>H670</f>
        <v>81</v>
      </c>
      <c r="R670" s="377" t="str">
        <f>CONCATENATE("II-",TEXT(Q670,"0000"))</f>
        <v>II-0081</v>
      </c>
      <c r="S670" s="388" t="str">
        <f>K670</f>
        <v>TERRAPLEN</v>
      </c>
    </row>
    <row r="671" spans="1:19" x14ac:dyDescent="0.2">
      <c r="A671" s="378"/>
      <c r="B671" s="368"/>
      <c r="C671" s="368"/>
      <c r="D671" s="395"/>
      <c r="G671" s="372"/>
      <c r="H671" s="389"/>
      <c r="I671" s="390" t="s">
        <v>1060</v>
      </c>
      <c r="J671" s="398"/>
      <c r="K671" s="399" t="s">
        <v>1615</v>
      </c>
      <c r="L671" s="398"/>
      <c r="M671" s="398"/>
      <c r="N671" s="398"/>
      <c r="O671" s="431"/>
      <c r="P671" s="372"/>
      <c r="Q671" s="372"/>
      <c r="R671" s="372"/>
      <c r="S671" s="372"/>
    </row>
    <row r="672" spans="1:19" x14ac:dyDescent="0.2">
      <c r="A672" s="378"/>
      <c r="B672" s="368"/>
      <c r="C672" s="368"/>
      <c r="D672" s="395" t="s">
        <v>1171</v>
      </c>
      <c r="G672" s="372"/>
      <c r="H672" s="389"/>
      <c r="I672" s="396"/>
      <c r="J672" s="397">
        <v>1</v>
      </c>
      <c r="K672" s="398"/>
      <c r="L672" s="399" t="s">
        <v>1616</v>
      </c>
      <c r="M672" s="398"/>
      <c r="N672" s="398"/>
      <c r="O672" s="431" t="s">
        <v>1171</v>
      </c>
      <c r="P672" s="372"/>
      <c r="Q672" s="372"/>
      <c r="R672" s="372"/>
      <c r="S672" s="372"/>
    </row>
    <row r="673" spans="1:19" x14ac:dyDescent="0.2">
      <c r="A673" s="378"/>
      <c r="B673" s="368"/>
      <c r="C673" s="368"/>
      <c r="D673" s="395" t="s">
        <v>1171</v>
      </c>
      <c r="G673" s="372"/>
      <c r="H673" s="389"/>
      <c r="I673" s="408"/>
      <c r="J673" s="403">
        <v>2</v>
      </c>
      <c r="K673" s="404"/>
      <c r="L673" s="405" t="s">
        <v>1617</v>
      </c>
      <c r="M673" s="404"/>
      <c r="N673" s="404"/>
      <c r="O673" s="450" t="s">
        <v>1171</v>
      </c>
      <c r="P673" s="372"/>
      <c r="Q673" s="372"/>
      <c r="R673" s="372"/>
      <c r="S673" s="372"/>
    </row>
    <row r="674" spans="1:19" x14ac:dyDescent="0.2">
      <c r="A674" s="378"/>
      <c r="B674" s="368"/>
      <c r="C674" s="368"/>
      <c r="D674" s="395"/>
      <c r="G674" s="372"/>
      <c r="H674" s="389"/>
      <c r="I674" s="390" t="s">
        <v>1087</v>
      </c>
      <c r="J674" s="398"/>
      <c r="K674" s="399" t="s">
        <v>1618</v>
      </c>
      <c r="L674" s="398"/>
      <c r="M674" s="398"/>
      <c r="N674" s="398"/>
      <c r="O674" s="431"/>
      <c r="P674" s="372"/>
      <c r="Q674" s="372"/>
      <c r="R674" s="372"/>
      <c r="S674" s="372"/>
    </row>
    <row r="675" spans="1:19" x14ac:dyDescent="0.2">
      <c r="A675" s="378"/>
      <c r="B675" s="368"/>
      <c r="C675" s="368"/>
      <c r="D675" s="395" t="s">
        <v>1171</v>
      </c>
      <c r="G675" s="372"/>
      <c r="H675" s="389"/>
      <c r="I675" s="396"/>
      <c r="J675" s="397">
        <v>1</v>
      </c>
      <c r="K675" s="398"/>
      <c r="L675" s="399" t="s">
        <v>1619</v>
      </c>
      <c r="M675" s="398"/>
      <c r="N675" s="398"/>
      <c r="O675" s="431" t="s">
        <v>1171</v>
      </c>
      <c r="P675" s="372"/>
      <c r="Q675" s="372"/>
      <c r="R675" s="372"/>
      <c r="S675" s="372"/>
    </row>
    <row r="676" spans="1:19" ht="15.75" thickBot="1" x14ac:dyDescent="0.25">
      <c r="A676" s="378"/>
      <c r="B676" s="368"/>
      <c r="C676" s="368"/>
      <c r="D676" s="395" t="s">
        <v>1171</v>
      </c>
      <c r="G676" s="372"/>
      <c r="H676" s="389"/>
      <c r="I676" s="396"/>
      <c r="J676" s="411">
        <v>2</v>
      </c>
      <c r="K676" s="398"/>
      <c r="L676" s="399" t="s">
        <v>1617</v>
      </c>
      <c r="M676" s="398"/>
      <c r="N676" s="398"/>
      <c r="O676" s="431" t="s">
        <v>1171</v>
      </c>
      <c r="P676" s="372"/>
      <c r="Q676" s="372"/>
      <c r="R676" s="372"/>
      <c r="S676" s="372"/>
    </row>
    <row r="677" spans="1:19" ht="16.5" thickTop="1" thickBot="1" x14ac:dyDescent="0.25">
      <c r="A677" s="378">
        <v>82</v>
      </c>
      <c r="B677" s="368" t="s">
        <v>1620</v>
      </c>
      <c r="C677" s="368" t="s">
        <v>1621</v>
      </c>
      <c r="D677" s="395" t="s">
        <v>1254</v>
      </c>
      <c r="G677" s="372"/>
      <c r="H677" s="513">
        <v>82</v>
      </c>
      <c r="I677" s="514"/>
      <c r="J677" s="515"/>
      <c r="K677" s="516" t="s">
        <v>1621</v>
      </c>
      <c r="L677" s="515"/>
      <c r="M677" s="515"/>
      <c r="N677" s="515"/>
      <c r="O677" s="517" t="s">
        <v>1254</v>
      </c>
      <c r="P677" s="372"/>
      <c r="Q677" s="387">
        <f t="shared" ref="Q677:Q678" si="66">H677</f>
        <v>82</v>
      </c>
      <c r="R677" s="377" t="str">
        <f t="shared" ref="R677:R678" si="67">CONCATENATE("II-",TEXT(Q677,"0000"))</f>
        <v>II-0082</v>
      </c>
      <c r="S677" s="388" t="str">
        <f t="shared" ref="S677:S678" si="68">K677</f>
        <v>TEXTURIZADO (SUPERFICIE DE RODAMIENTO)</v>
      </c>
    </row>
    <row r="678" spans="1:19" ht="15.75" thickTop="1" x14ac:dyDescent="0.2">
      <c r="A678" s="378">
        <v>83</v>
      </c>
      <c r="B678" s="368" t="s">
        <v>1622</v>
      </c>
      <c r="C678" s="368" t="s">
        <v>1623</v>
      </c>
      <c r="D678" s="395"/>
      <c r="G678" s="372"/>
      <c r="H678" s="416">
        <v>83</v>
      </c>
      <c r="I678" s="418"/>
      <c r="J678" s="418"/>
      <c r="K678" s="428" t="s">
        <v>1623</v>
      </c>
      <c r="L678" s="429"/>
      <c r="M678" s="429"/>
      <c r="N678" s="429"/>
      <c r="O678" s="440"/>
      <c r="P678" s="372"/>
      <c r="Q678" s="387">
        <f t="shared" si="66"/>
        <v>83</v>
      </c>
      <c r="R678" s="377" t="str">
        <f t="shared" si="67"/>
        <v>II-0083</v>
      </c>
      <c r="S678" s="388" t="str">
        <f t="shared" si="68"/>
        <v>TRABAJOS NO ESPECIFICADOS O DE EMERGENCIA</v>
      </c>
    </row>
    <row r="679" spans="1:19" x14ac:dyDescent="0.2">
      <c r="A679" s="378"/>
      <c r="B679" s="368"/>
      <c r="C679" s="368"/>
      <c r="D679" s="395" t="s">
        <v>921</v>
      </c>
      <c r="G679" s="372"/>
      <c r="H679" s="389"/>
      <c r="I679" s="524" t="s">
        <v>1060</v>
      </c>
      <c r="J679" s="396"/>
      <c r="K679" s="546" t="s">
        <v>1624</v>
      </c>
      <c r="L679" s="398"/>
      <c r="M679" s="398"/>
      <c r="N679" s="398"/>
      <c r="O679" s="431" t="s">
        <v>921</v>
      </c>
      <c r="P679" s="372"/>
      <c r="Q679" s="372"/>
      <c r="R679" s="372"/>
      <c r="S679" s="372"/>
    </row>
    <row r="680" spans="1:19" x14ac:dyDescent="0.2">
      <c r="A680" s="378"/>
      <c r="B680" s="368"/>
      <c r="C680" s="368"/>
      <c r="D680" s="395" t="s">
        <v>921</v>
      </c>
      <c r="G680" s="372"/>
      <c r="H680" s="389"/>
      <c r="I680" s="390" t="s">
        <v>1087</v>
      </c>
      <c r="J680" s="525"/>
      <c r="K680" s="458" t="s">
        <v>1625</v>
      </c>
      <c r="L680" s="458"/>
      <c r="M680" s="437"/>
      <c r="N680" s="437"/>
      <c r="O680" s="472" t="s">
        <v>921</v>
      </c>
      <c r="P680" s="372"/>
      <c r="Q680" s="372"/>
      <c r="R680" s="372"/>
      <c r="S680" s="372"/>
    </row>
    <row r="681" spans="1:19" x14ac:dyDescent="0.2">
      <c r="A681" s="378"/>
      <c r="B681" s="368"/>
      <c r="C681" s="368"/>
      <c r="D681" s="395" t="s">
        <v>921</v>
      </c>
      <c r="G681" s="372"/>
      <c r="H681" s="389"/>
      <c r="I681" s="397" t="s">
        <v>1097</v>
      </c>
      <c r="J681" s="396"/>
      <c r="K681" s="546" t="s">
        <v>1626</v>
      </c>
      <c r="L681" s="399"/>
      <c r="M681" s="398"/>
      <c r="N681" s="398"/>
      <c r="O681" s="431" t="s">
        <v>921</v>
      </c>
      <c r="P681" s="372"/>
      <c r="Q681" s="372"/>
      <c r="R681" s="372"/>
      <c r="S681" s="372"/>
    </row>
    <row r="682" spans="1:19" x14ac:dyDescent="0.2">
      <c r="A682" s="378"/>
      <c r="B682" s="368"/>
      <c r="C682" s="368"/>
      <c r="D682" s="395" t="s">
        <v>921</v>
      </c>
      <c r="G682" s="372"/>
      <c r="H682" s="389"/>
      <c r="I682" s="390" t="s">
        <v>1123</v>
      </c>
      <c r="J682" s="525"/>
      <c r="K682" s="547" t="s">
        <v>1627</v>
      </c>
      <c r="L682" s="458"/>
      <c r="M682" s="437"/>
      <c r="N682" s="437"/>
      <c r="O682" s="472" t="s">
        <v>921</v>
      </c>
      <c r="P682" s="372"/>
      <c r="Q682" s="372"/>
      <c r="R682" s="372"/>
      <c r="S682" s="372"/>
    </row>
    <row r="683" spans="1:19" x14ac:dyDescent="0.2">
      <c r="A683" s="378"/>
      <c r="B683" s="368"/>
      <c r="C683" s="368"/>
      <c r="D683" s="395" t="s">
        <v>921</v>
      </c>
      <c r="G683" s="372"/>
      <c r="H683" s="389"/>
      <c r="I683" s="397" t="s">
        <v>1165</v>
      </c>
      <c r="J683" s="396"/>
      <c r="K683" s="546" t="s">
        <v>1628</v>
      </c>
      <c r="L683" s="476"/>
      <c r="M683" s="398"/>
      <c r="N683" s="398"/>
      <c r="O683" s="431" t="s">
        <v>921</v>
      </c>
      <c r="P683" s="372"/>
      <c r="Q683" s="372"/>
      <c r="R683" s="372"/>
      <c r="S683" s="372"/>
    </row>
    <row r="684" spans="1:19" ht="15.75" thickBot="1" x14ac:dyDescent="0.25">
      <c r="A684" s="378"/>
      <c r="B684" s="368"/>
      <c r="C684" s="368"/>
      <c r="D684" s="395" t="s">
        <v>921</v>
      </c>
      <c r="G684" s="372"/>
      <c r="H684" s="409"/>
      <c r="I684" s="421" t="s">
        <v>1168</v>
      </c>
      <c r="J684" s="422"/>
      <c r="K684" s="548" t="s">
        <v>1629</v>
      </c>
      <c r="L684" s="549"/>
      <c r="M684" s="424"/>
      <c r="N684" s="424"/>
      <c r="O684" s="498" t="s">
        <v>921</v>
      </c>
      <c r="P684" s="372"/>
      <c r="Q684" s="372"/>
      <c r="R684" s="372"/>
      <c r="S684" s="372"/>
    </row>
    <row r="685" spans="1:19" ht="15.75" thickTop="1" x14ac:dyDescent="0.2">
      <c r="A685" s="378">
        <v>84</v>
      </c>
      <c r="B685" s="368" t="s">
        <v>1630</v>
      </c>
      <c r="C685" s="368" t="s">
        <v>1631</v>
      </c>
      <c r="D685" s="395"/>
      <c r="G685" s="372"/>
      <c r="H685" s="416">
        <v>84</v>
      </c>
      <c r="I685" s="418"/>
      <c r="J685" s="429"/>
      <c r="K685" s="486" t="s">
        <v>1631</v>
      </c>
      <c r="L685" s="429"/>
      <c r="M685" s="429"/>
      <c r="N685" s="429"/>
      <c r="O685" s="440"/>
      <c r="P685" s="372"/>
      <c r="Q685" s="387">
        <f>H685</f>
        <v>84</v>
      </c>
      <c r="R685" s="377" t="str">
        <f>CONCATENATE("II-",TEXT(Q685,"0000"))</f>
        <v>II-0084</v>
      </c>
      <c r="S685" s="388" t="str">
        <f>K685</f>
        <v xml:space="preserve">TRANSPORTE </v>
      </c>
    </row>
    <row r="686" spans="1:19" x14ac:dyDescent="0.2">
      <c r="A686" s="378"/>
      <c r="B686" s="368"/>
      <c r="C686" s="368"/>
      <c r="D686" s="395" t="s">
        <v>1632</v>
      </c>
      <c r="G686" s="372"/>
      <c r="H686" s="389"/>
      <c r="I686" s="390" t="s">
        <v>1060</v>
      </c>
      <c r="J686" s="525"/>
      <c r="K686" s="458" t="s">
        <v>1425</v>
      </c>
      <c r="L686" s="437"/>
      <c r="M686" s="437"/>
      <c r="N686" s="437"/>
      <c r="O686" s="472" t="s">
        <v>1632</v>
      </c>
      <c r="P686" s="372"/>
      <c r="Q686" s="372"/>
      <c r="R686" s="372"/>
      <c r="S686" s="372"/>
    </row>
    <row r="687" spans="1:19" ht="15.75" thickBot="1" x14ac:dyDescent="0.25">
      <c r="A687" s="378"/>
      <c r="B687" s="368"/>
      <c r="C687" s="368"/>
      <c r="D687" s="395" t="s">
        <v>1633</v>
      </c>
      <c r="G687" s="372"/>
      <c r="H687" s="389"/>
      <c r="I687" s="411" t="s">
        <v>1087</v>
      </c>
      <c r="J687" s="396"/>
      <c r="K687" s="399" t="s">
        <v>1426</v>
      </c>
      <c r="L687" s="398"/>
      <c r="M687" s="398"/>
      <c r="N687" s="398"/>
      <c r="O687" s="431" t="s">
        <v>1633</v>
      </c>
      <c r="P687" s="372"/>
      <c r="Q687" s="372"/>
      <c r="R687" s="372"/>
      <c r="S687" s="372"/>
    </row>
    <row r="688" spans="1:19" ht="15.75" thickTop="1" x14ac:dyDescent="0.2">
      <c r="A688" s="378">
        <v>85</v>
      </c>
      <c r="B688" s="368" t="s">
        <v>1634</v>
      </c>
      <c r="C688" s="368" t="s">
        <v>1635</v>
      </c>
      <c r="D688" s="395"/>
      <c r="G688" s="372"/>
      <c r="H688" s="467">
        <v>85</v>
      </c>
      <c r="I688" s="417"/>
      <c r="J688" s="477"/>
      <c r="K688" s="478" t="s">
        <v>1635</v>
      </c>
      <c r="L688" s="477"/>
      <c r="M688" s="477"/>
      <c r="N688" s="477"/>
      <c r="O688" s="419"/>
      <c r="P688" s="372"/>
      <c r="Q688" s="387">
        <f>H688</f>
        <v>85</v>
      </c>
      <c r="R688" s="377" t="str">
        <f>CONCATENATE("II-",TEXT(Q688,"0000"))</f>
        <v>II-0085</v>
      </c>
      <c r="S688" s="388" t="str">
        <f>K688</f>
        <v>TRANQUERA</v>
      </c>
    </row>
    <row r="689" spans="1:19" x14ac:dyDescent="0.2">
      <c r="A689" s="378">
        <v>1</v>
      </c>
      <c r="B689" s="379" t="str">
        <f>CONCATENATE($B$688,".",TEXT(A689,"0000"))</f>
        <v>II-0085.0001</v>
      </c>
      <c r="C689" s="368" t="s">
        <v>1636</v>
      </c>
      <c r="D689" s="395" t="s">
        <v>1288</v>
      </c>
      <c r="G689" s="372"/>
      <c r="H689" s="389"/>
      <c r="I689" s="390" t="s">
        <v>1060</v>
      </c>
      <c r="J689" s="437"/>
      <c r="K689" s="458" t="s">
        <v>1637</v>
      </c>
      <c r="L689" s="458"/>
      <c r="M689" s="458"/>
      <c r="N689" s="458"/>
      <c r="O689" s="472" t="s">
        <v>1288</v>
      </c>
      <c r="P689" s="372"/>
      <c r="Q689" s="372"/>
      <c r="R689" s="372"/>
      <c r="S689" s="372"/>
    </row>
    <row r="690" spans="1:19" ht="15.75" thickBot="1" x14ac:dyDescent="0.25">
      <c r="A690" s="378">
        <v>2</v>
      </c>
      <c r="B690" s="379" t="str">
        <f>CONCATENATE($B$688,".",TEXT(A690,"0000"))</f>
        <v>II-0085.0002</v>
      </c>
      <c r="C690" s="368" t="s">
        <v>1638</v>
      </c>
      <c r="D690" s="395" t="s">
        <v>1288</v>
      </c>
      <c r="G690" s="372"/>
      <c r="H690" s="409"/>
      <c r="I690" s="411" t="s">
        <v>1087</v>
      </c>
      <c r="J690" s="412"/>
      <c r="K690" s="413" t="s">
        <v>1639</v>
      </c>
      <c r="L690" s="413"/>
      <c r="M690" s="413"/>
      <c r="N690" s="413"/>
      <c r="O690" s="497" t="s">
        <v>1288</v>
      </c>
      <c r="P690" s="372"/>
      <c r="Q690" s="372"/>
      <c r="R690" s="372"/>
      <c r="S690" s="372"/>
    </row>
    <row r="691" spans="1:19" ht="15.75" thickTop="1" x14ac:dyDescent="0.2">
      <c r="A691" s="378">
        <v>86</v>
      </c>
      <c r="B691" s="368" t="s">
        <v>1640</v>
      </c>
      <c r="C691" s="368" t="s">
        <v>1641</v>
      </c>
      <c r="D691" s="395"/>
      <c r="G691" s="372"/>
      <c r="H691" s="467">
        <v>86</v>
      </c>
      <c r="I691" s="417"/>
      <c r="J691" s="477"/>
      <c r="K691" s="478" t="s">
        <v>1641</v>
      </c>
      <c r="L691" s="477"/>
      <c r="M691" s="477"/>
      <c r="N691" s="477"/>
      <c r="O691" s="419"/>
      <c r="P691" s="372"/>
      <c r="Q691" s="387">
        <f>H691</f>
        <v>86</v>
      </c>
      <c r="R691" s="377" t="str">
        <f>CONCATENATE("II-",TEXT(Q691,"0000"))</f>
        <v>II-0086</v>
      </c>
      <c r="S691" s="388" t="str">
        <f>K691</f>
        <v>TRATAMIENTO BITUMINOSO</v>
      </c>
    </row>
    <row r="692" spans="1:19" x14ac:dyDescent="0.2">
      <c r="A692" s="378"/>
      <c r="B692" s="368"/>
      <c r="C692" s="368"/>
      <c r="D692" s="395" t="s">
        <v>1254</v>
      </c>
      <c r="G692" s="372"/>
      <c r="H692" s="389"/>
      <c r="I692" s="390" t="s">
        <v>1060</v>
      </c>
      <c r="J692" s="437"/>
      <c r="K692" s="458" t="s">
        <v>1642</v>
      </c>
      <c r="L692" s="437"/>
      <c r="M692" s="437"/>
      <c r="N692" s="437"/>
      <c r="O692" s="472" t="s">
        <v>1254</v>
      </c>
      <c r="P692" s="372"/>
      <c r="Q692" s="372"/>
      <c r="R692" s="372"/>
      <c r="S692" s="372"/>
    </row>
    <row r="693" spans="1:19" x14ac:dyDescent="0.2">
      <c r="A693" s="378"/>
      <c r="B693" s="368"/>
      <c r="C693" s="368"/>
      <c r="D693" s="395" t="s">
        <v>1254</v>
      </c>
      <c r="G693" s="372"/>
      <c r="H693" s="389"/>
      <c r="I693" s="397" t="s">
        <v>1087</v>
      </c>
      <c r="J693" s="398"/>
      <c r="K693" s="399" t="s">
        <v>1643</v>
      </c>
      <c r="L693" s="398"/>
      <c r="M693" s="398"/>
      <c r="N693" s="398"/>
      <c r="O693" s="431" t="s">
        <v>1254</v>
      </c>
      <c r="P693" s="372"/>
      <c r="Q693" s="372"/>
      <c r="R693" s="372"/>
      <c r="S693" s="372"/>
    </row>
    <row r="694" spans="1:19" x14ac:dyDescent="0.2">
      <c r="A694" s="378"/>
      <c r="B694" s="368"/>
      <c r="C694" s="368"/>
      <c r="D694" s="395" t="s">
        <v>1254</v>
      </c>
      <c r="G694" s="372"/>
      <c r="H694" s="389"/>
      <c r="I694" s="390" t="s">
        <v>1097</v>
      </c>
      <c r="J694" s="437"/>
      <c r="K694" s="458" t="s">
        <v>1644</v>
      </c>
      <c r="L694" s="437"/>
      <c r="M694" s="437"/>
      <c r="N694" s="437"/>
      <c r="O694" s="472" t="s">
        <v>1254</v>
      </c>
      <c r="P694" s="372"/>
      <c r="Q694" s="372"/>
      <c r="R694" s="372"/>
      <c r="S694" s="372"/>
    </row>
    <row r="695" spans="1:19" x14ac:dyDescent="0.2">
      <c r="A695" s="378"/>
      <c r="B695" s="368"/>
      <c r="C695" s="368"/>
      <c r="D695" s="395" t="s">
        <v>1254</v>
      </c>
      <c r="G695" s="372"/>
      <c r="H695" s="389"/>
      <c r="I695" s="397" t="s">
        <v>1123</v>
      </c>
      <c r="J695" s="398"/>
      <c r="K695" s="399" t="s">
        <v>1353</v>
      </c>
      <c r="L695" s="398"/>
      <c r="M695" s="398"/>
      <c r="N695" s="398"/>
      <c r="O695" s="431" t="s">
        <v>1254</v>
      </c>
      <c r="P695" s="372"/>
      <c r="Q695" s="372"/>
      <c r="R695" s="372"/>
      <c r="S695" s="372"/>
    </row>
    <row r="696" spans="1:19" x14ac:dyDescent="0.2">
      <c r="A696" s="378"/>
      <c r="B696" s="368"/>
      <c r="C696" s="368"/>
      <c r="D696" s="395" t="s">
        <v>1254</v>
      </c>
      <c r="G696" s="372"/>
      <c r="H696" s="389"/>
      <c r="I696" s="390" t="s">
        <v>1165</v>
      </c>
      <c r="J696" s="437"/>
      <c r="K696" s="458" t="s">
        <v>1645</v>
      </c>
      <c r="L696" s="437"/>
      <c r="M696" s="437"/>
      <c r="N696" s="437"/>
      <c r="O696" s="472" t="s">
        <v>1254</v>
      </c>
      <c r="P696" s="372"/>
      <c r="Q696" s="372"/>
      <c r="R696" s="372"/>
      <c r="S696" s="372"/>
    </row>
    <row r="697" spans="1:19" x14ac:dyDescent="0.2">
      <c r="A697" s="378"/>
      <c r="B697" s="368"/>
      <c r="C697" s="368"/>
      <c r="D697" s="395" t="s">
        <v>1254</v>
      </c>
      <c r="G697" s="372"/>
      <c r="H697" s="389"/>
      <c r="I697" s="390" t="s">
        <v>1168</v>
      </c>
      <c r="J697" s="437"/>
      <c r="K697" s="458" t="s">
        <v>1646</v>
      </c>
      <c r="L697" s="437"/>
      <c r="M697" s="437"/>
      <c r="N697" s="437"/>
      <c r="O697" s="472" t="s">
        <v>1254</v>
      </c>
      <c r="P697" s="372"/>
      <c r="Q697" s="372"/>
      <c r="R697" s="372"/>
      <c r="S697" s="372"/>
    </row>
    <row r="698" spans="1:19" ht="15.75" thickBot="1" x14ac:dyDescent="0.25">
      <c r="A698" s="378"/>
      <c r="B698" s="368"/>
      <c r="C698" s="368"/>
      <c r="D698" s="395" t="s">
        <v>1254</v>
      </c>
      <c r="G698" s="372"/>
      <c r="H698" s="389"/>
      <c r="I698" s="411" t="s">
        <v>1172</v>
      </c>
      <c r="J698" s="398"/>
      <c r="K698" s="399" t="s">
        <v>1647</v>
      </c>
      <c r="L698" s="398"/>
      <c r="M698" s="398"/>
      <c r="N698" s="398"/>
      <c r="O698" s="431" t="s">
        <v>1254</v>
      </c>
      <c r="P698" s="372"/>
      <c r="Q698" s="372"/>
      <c r="R698" s="372"/>
      <c r="S698" s="372"/>
    </row>
    <row r="699" spans="1:19" ht="15.75" thickTop="1" x14ac:dyDescent="0.2">
      <c r="A699" s="378">
        <v>87</v>
      </c>
      <c r="B699" s="368" t="s">
        <v>1648</v>
      </c>
      <c r="C699" s="368" t="s">
        <v>1649</v>
      </c>
      <c r="D699" s="395"/>
      <c r="G699" s="372"/>
      <c r="H699" s="467">
        <v>87</v>
      </c>
      <c r="I699" s="468"/>
      <c r="J699" s="469"/>
      <c r="K699" s="532" t="s">
        <v>1649</v>
      </c>
      <c r="L699" s="469"/>
      <c r="M699" s="469"/>
      <c r="N699" s="469"/>
      <c r="O699" s="471"/>
      <c r="P699" s="372"/>
      <c r="Q699" s="387">
        <f>H699</f>
        <v>87</v>
      </c>
      <c r="R699" s="377" t="str">
        <f>CONCATENATE("II-",TEXT(Q699,"0000"))</f>
        <v>II-0087</v>
      </c>
      <c r="S699" s="388" t="str">
        <f>K699</f>
        <v>TOMA DE JUNTA</v>
      </c>
    </row>
    <row r="700" spans="1:19" x14ac:dyDescent="0.2">
      <c r="A700" s="378"/>
      <c r="B700" s="368"/>
      <c r="C700" s="368"/>
      <c r="D700" s="395" t="s">
        <v>1296</v>
      </c>
      <c r="G700" s="451"/>
      <c r="H700" s="389"/>
      <c r="I700" s="390" t="s">
        <v>1060</v>
      </c>
      <c r="J700" s="437"/>
      <c r="K700" s="458" t="s">
        <v>1650</v>
      </c>
      <c r="L700" s="458"/>
      <c r="M700" s="458"/>
      <c r="N700" s="458"/>
      <c r="O700" s="472" t="s">
        <v>1296</v>
      </c>
      <c r="P700" s="451"/>
      <c r="Q700" s="451"/>
      <c r="R700" s="451"/>
      <c r="S700" s="451"/>
    </row>
    <row r="701" spans="1:19" ht="15.75" thickBot="1" x14ac:dyDescent="0.25">
      <c r="A701" s="378"/>
      <c r="B701" s="368"/>
      <c r="C701" s="368"/>
      <c r="D701" s="395" t="s">
        <v>1296</v>
      </c>
      <c r="G701" s="451"/>
      <c r="H701" s="459"/>
      <c r="I701" s="411" t="s">
        <v>1087</v>
      </c>
      <c r="J701" s="412"/>
      <c r="K701" s="413" t="s">
        <v>1476</v>
      </c>
      <c r="L701" s="413"/>
      <c r="M701" s="413"/>
      <c r="N701" s="413"/>
      <c r="O701" s="497" t="s">
        <v>1296</v>
      </c>
      <c r="P701" s="451"/>
      <c r="Q701" s="451"/>
      <c r="R701" s="451"/>
      <c r="S701" s="451"/>
    </row>
    <row r="702" spans="1:19" ht="16.5" thickTop="1" thickBot="1" x14ac:dyDescent="0.25">
      <c r="A702" s="378">
        <v>88</v>
      </c>
      <c r="B702" s="368" t="s">
        <v>1651</v>
      </c>
      <c r="C702" s="368" t="s">
        <v>1652</v>
      </c>
      <c r="D702" s="395" t="s">
        <v>1171</v>
      </c>
      <c r="G702" s="372"/>
      <c r="H702" s="416">
        <v>88</v>
      </c>
      <c r="I702" s="418"/>
      <c r="J702" s="429"/>
      <c r="K702" s="486" t="s">
        <v>1652</v>
      </c>
      <c r="L702" s="429"/>
      <c r="M702" s="429"/>
      <c r="N702" s="429"/>
      <c r="O702" s="440" t="s">
        <v>1171</v>
      </c>
      <c r="P702" s="372"/>
      <c r="Q702" s="387">
        <f t="shared" ref="Q702:Q703" si="69">H702</f>
        <v>88</v>
      </c>
      <c r="R702" s="377" t="str">
        <f t="shared" ref="R702:R703" si="70">CONCATENATE("II-",TEXT(Q702,"0000"))</f>
        <v>II-0088</v>
      </c>
      <c r="S702" s="388" t="str">
        <f t="shared" ref="S702:S703" si="71">K702</f>
        <v>TOSCAPLEN</v>
      </c>
    </row>
    <row r="703" spans="1:19" ht="16.5" thickTop="1" thickBot="1" x14ac:dyDescent="0.25">
      <c r="A703" s="378">
        <v>89</v>
      </c>
      <c r="B703" s="368" t="s">
        <v>1653</v>
      </c>
      <c r="C703" s="368" t="s">
        <v>1654</v>
      </c>
      <c r="D703" s="395" t="s">
        <v>1514</v>
      </c>
      <c r="G703" s="372"/>
      <c r="H703" s="479">
        <v>89</v>
      </c>
      <c r="I703" s="480"/>
      <c r="J703" s="481"/>
      <c r="K703" s="482" t="s">
        <v>1654</v>
      </c>
      <c r="L703" s="481"/>
      <c r="M703" s="481"/>
      <c r="N703" s="481"/>
      <c r="O703" s="483" t="s">
        <v>1514</v>
      </c>
      <c r="P703" s="372"/>
      <c r="Q703" s="387">
        <f t="shared" si="69"/>
        <v>89</v>
      </c>
      <c r="R703" s="377" t="str">
        <f t="shared" si="70"/>
        <v>II-0089</v>
      </c>
      <c r="S703" s="388" t="str">
        <f t="shared" si="71"/>
        <v>VIVENDA PERSONAL DE SUPERVICION</v>
      </c>
    </row>
    <row r="704" spans="1:19" x14ac:dyDescent="0.2">
      <c r="A704" s="378"/>
      <c r="B704" s="368"/>
      <c r="C704" s="368"/>
      <c r="D704" s="395"/>
      <c r="G704" s="372"/>
      <c r="H704" s="550"/>
      <c r="I704" s="377"/>
      <c r="J704" s="372"/>
      <c r="K704" s="372"/>
      <c r="L704" s="372"/>
      <c r="M704" s="372"/>
      <c r="N704" s="372"/>
      <c r="O704" s="375"/>
      <c r="P704" s="372"/>
      <c r="Q704" s="372"/>
      <c r="R704" s="372"/>
      <c r="S704" s="372"/>
    </row>
    <row r="705" spans="1:19" x14ac:dyDescent="0.2">
      <c r="A705" s="378"/>
      <c r="B705" s="368"/>
      <c r="C705" s="368"/>
      <c r="D705" s="395"/>
      <c r="G705" s="372"/>
      <c r="H705" s="550"/>
      <c r="I705" s="377"/>
      <c r="J705" s="372"/>
      <c r="K705" s="372"/>
      <c r="L705" s="372"/>
      <c r="M705" s="372"/>
      <c r="N705" s="372"/>
      <c r="O705" s="375"/>
      <c r="P705" s="372"/>
      <c r="Q705" s="372"/>
      <c r="R705" s="372"/>
      <c r="S705" s="372"/>
    </row>
    <row r="706" spans="1:19" x14ac:dyDescent="0.2">
      <c r="A706" s="378"/>
      <c r="B706" s="368"/>
      <c r="C706" s="368"/>
      <c r="D706" s="395"/>
      <c r="G706" s="372"/>
      <c r="H706" s="550"/>
      <c r="I706" s="377"/>
      <c r="J706" s="372"/>
      <c r="K706" s="372"/>
      <c r="L706" s="372"/>
      <c r="M706" s="372"/>
      <c r="N706" s="372"/>
      <c r="O706" s="375"/>
      <c r="P706" s="372"/>
      <c r="Q706" s="372"/>
      <c r="R706" s="372"/>
      <c r="S706" s="372"/>
    </row>
    <row r="707" spans="1:19" x14ac:dyDescent="0.2">
      <c r="A707" s="378"/>
      <c r="B707" s="368"/>
      <c r="C707" s="368"/>
      <c r="D707" s="395"/>
      <c r="G707" s="372"/>
      <c r="H707" s="550"/>
      <c r="I707" s="377"/>
      <c r="J707" s="372"/>
      <c r="K707" s="372"/>
      <c r="L707" s="372"/>
      <c r="M707" s="372"/>
      <c r="N707" s="372"/>
      <c r="O707" s="375"/>
      <c r="P707" s="372"/>
      <c r="Q707" s="372"/>
      <c r="R707" s="372"/>
      <c r="S707" s="372"/>
    </row>
    <row r="708" spans="1:19" x14ac:dyDescent="0.2">
      <c r="A708" s="378"/>
      <c r="B708" s="368"/>
      <c r="C708" s="368"/>
      <c r="D708" s="395"/>
      <c r="G708" s="372"/>
      <c r="H708" s="550"/>
      <c r="I708" s="377"/>
      <c r="J708" s="372"/>
      <c r="K708" s="372"/>
      <c r="L708" s="372"/>
      <c r="M708" s="372"/>
      <c r="N708" s="372"/>
      <c r="O708" s="375"/>
      <c r="P708" s="372"/>
      <c r="Q708" s="372"/>
      <c r="R708" s="372"/>
      <c r="S708" s="372"/>
    </row>
    <row r="709" spans="1:19" x14ac:dyDescent="0.2">
      <c r="A709" s="378"/>
      <c r="B709" s="368"/>
      <c r="C709" s="368"/>
      <c r="D709" s="395"/>
      <c r="G709" s="372"/>
      <c r="H709" s="550"/>
      <c r="I709" s="377"/>
      <c r="J709" s="372"/>
      <c r="K709" s="372"/>
      <c r="L709" s="372"/>
      <c r="M709" s="372"/>
      <c r="N709" s="372"/>
      <c r="O709" s="375"/>
      <c r="P709" s="372"/>
      <c r="Q709" s="372"/>
      <c r="R709" s="372"/>
      <c r="S709" s="372"/>
    </row>
    <row r="710" spans="1:19" x14ac:dyDescent="0.2">
      <c r="A710" s="378"/>
      <c r="B710" s="368"/>
      <c r="C710" s="368"/>
      <c r="D710" s="395"/>
      <c r="G710" s="372"/>
      <c r="H710" s="550"/>
      <c r="I710" s="377"/>
      <c r="J710" s="372"/>
      <c r="K710" s="372"/>
      <c r="L710" s="372"/>
      <c r="M710" s="372"/>
      <c r="N710" s="372"/>
      <c r="O710" s="375"/>
      <c r="P710" s="372"/>
      <c r="Q710" s="372"/>
      <c r="R710" s="372"/>
      <c r="S710" s="372"/>
    </row>
    <row r="711" spans="1:19" x14ac:dyDescent="0.2">
      <c r="A711" s="378"/>
      <c r="B711" s="368"/>
      <c r="C711" s="368"/>
      <c r="D711" s="395"/>
      <c r="G711" s="372"/>
      <c r="H711" s="550"/>
      <c r="I711" s="377"/>
      <c r="J711" s="372"/>
      <c r="K711" s="372"/>
      <c r="L711" s="372"/>
      <c r="M711" s="372"/>
      <c r="N711" s="372"/>
      <c r="O711" s="375"/>
      <c r="P711" s="372"/>
      <c r="Q711" s="372"/>
      <c r="R711" s="372"/>
      <c r="S711" s="372"/>
    </row>
    <row r="712" spans="1:19" x14ac:dyDescent="0.2">
      <c r="A712" s="378"/>
      <c r="B712" s="368"/>
      <c r="C712" s="368"/>
      <c r="D712" s="395"/>
      <c r="G712" s="372"/>
      <c r="H712" s="550"/>
      <c r="I712" s="377"/>
      <c r="J712" s="372"/>
      <c r="K712" s="372"/>
      <c r="L712" s="372"/>
      <c r="M712" s="372"/>
      <c r="N712" s="372"/>
      <c r="O712" s="375"/>
      <c r="P712" s="372"/>
      <c r="Q712" s="372"/>
      <c r="R712" s="372"/>
      <c r="S712" s="372"/>
    </row>
    <row r="713" spans="1:19" x14ac:dyDescent="0.2">
      <c r="A713" s="378"/>
      <c r="B713" s="368"/>
      <c r="C713" s="368"/>
      <c r="D713" s="395"/>
      <c r="G713" s="372"/>
      <c r="H713" s="550"/>
      <c r="I713" s="377"/>
      <c r="J713" s="372"/>
      <c r="K713" s="372"/>
      <c r="L713" s="372"/>
      <c r="M713" s="372"/>
      <c r="N713" s="372"/>
      <c r="O713" s="375"/>
      <c r="P713" s="372"/>
      <c r="Q713" s="372"/>
      <c r="R713" s="372"/>
      <c r="S713" s="372"/>
    </row>
    <row r="714" spans="1:19" x14ac:dyDescent="0.2">
      <c r="A714" s="378"/>
      <c r="B714" s="368"/>
      <c r="C714" s="368"/>
      <c r="D714" s="395"/>
      <c r="G714" s="372"/>
      <c r="H714" s="550"/>
      <c r="I714" s="377"/>
      <c r="J714" s="372"/>
      <c r="K714" s="372"/>
      <c r="L714" s="372"/>
      <c r="M714" s="372"/>
      <c r="N714" s="372"/>
      <c r="O714" s="375"/>
      <c r="P714" s="372"/>
      <c r="Q714" s="372"/>
      <c r="R714" s="372"/>
      <c r="S714" s="372"/>
    </row>
    <row r="715" spans="1:19" x14ac:dyDescent="0.2">
      <c r="A715" s="378"/>
      <c r="B715" s="368"/>
      <c r="C715" s="368"/>
      <c r="D715" s="395"/>
      <c r="G715" s="372"/>
      <c r="H715" s="550"/>
      <c r="I715" s="377"/>
      <c r="J715" s="372"/>
      <c r="K715" s="372"/>
      <c r="L715" s="372"/>
      <c r="M715" s="372"/>
      <c r="N715" s="372"/>
      <c r="O715" s="375"/>
      <c r="P715" s="372"/>
      <c r="Q715" s="372"/>
      <c r="R715" s="372"/>
      <c r="S715" s="372"/>
    </row>
    <row r="716" spans="1:19" x14ac:dyDescent="0.2">
      <c r="A716" s="378"/>
      <c r="B716" s="368"/>
      <c r="C716" s="368"/>
      <c r="D716" s="395"/>
      <c r="G716" s="372"/>
      <c r="H716" s="550"/>
      <c r="I716" s="377"/>
      <c r="J716" s="372"/>
      <c r="K716" s="372"/>
      <c r="L716" s="372"/>
      <c r="M716" s="372"/>
      <c r="N716" s="372"/>
      <c r="O716" s="375"/>
      <c r="P716" s="372"/>
      <c r="Q716" s="372"/>
      <c r="R716" s="372"/>
      <c r="S716" s="372"/>
    </row>
    <row r="717" spans="1:19" x14ac:dyDescent="0.2">
      <c r="A717" s="378"/>
      <c r="B717" s="368"/>
      <c r="C717" s="368"/>
      <c r="D717" s="395"/>
      <c r="G717" s="372"/>
      <c r="H717" s="550"/>
      <c r="I717" s="377"/>
      <c r="J717" s="372"/>
      <c r="K717" s="372"/>
      <c r="L717" s="372"/>
      <c r="M717" s="372"/>
      <c r="N717" s="372"/>
      <c r="O717" s="375"/>
      <c r="P717" s="372"/>
      <c r="Q717" s="372"/>
      <c r="R717" s="372"/>
      <c r="S717" s="372"/>
    </row>
    <row r="718" spans="1:19" x14ac:dyDescent="0.2">
      <c r="A718" s="378"/>
      <c r="B718" s="368"/>
      <c r="C718" s="368"/>
      <c r="D718" s="395"/>
      <c r="G718" s="372"/>
      <c r="H718" s="550"/>
      <c r="I718" s="377"/>
      <c r="J718" s="372"/>
      <c r="K718" s="372"/>
      <c r="L718" s="372"/>
      <c r="M718" s="372"/>
      <c r="N718" s="372"/>
      <c r="O718" s="375"/>
      <c r="P718" s="372"/>
      <c r="Q718" s="372"/>
      <c r="R718" s="372"/>
      <c r="S718" s="372"/>
    </row>
    <row r="719" spans="1:19" x14ac:dyDescent="0.2">
      <c r="A719" s="378"/>
      <c r="B719" s="368"/>
      <c r="C719" s="368"/>
      <c r="D719" s="395"/>
      <c r="G719" s="372"/>
      <c r="H719" s="550"/>
      <c r="I719" s="377"/>
      <c r="J719" s="372"/>
      <c r="K719" s="372"/>
      <c r="L719" s="372"/>
      <c r="M719" s="372"/>
      <c r="N719" s="372"/>
      <c r="O719" s="375"/>
      <c r="P719" s="372"/>
      <c r="Q719" s="372"/>
      <c r="R719" s="372"/>
      <c r="S719" s="372"/>
    </row>
    <row r="720" spans="1:19" x14ac:dyDescent="0.2">
      <c r="A720" s="378"/>
      <c r="B720" s="368"/>
      <c r="C720" s="368"/>
      <c r="D720" s="395"/>
      <c r="G720" s="372"/>
      <c r="H720" s="550"/>
      <c r="I720" s="377"/>
      <c r="J720" s="372"/>
      <c r="K720" s="372"/>
      <c r="L720" s="372"/>
      <c r="M720" s="372"/>
      <c r="N720" s="372"/>
      <c r="O720" s="375"/>
      <c r="P720" s="372"/>
      <c r="Q720" s="372"/>
      <c r="R720" s="372"/>
      <c r="S720" s="372"/>
    </row>
    <row r="721" spans="1:19" x14ac:dyDescent="0.2">
      <c r="A721" s="378"/>
      <c r="B721" s="368"/>
      <c r="C721" s="368"/>
      <c r="D721" s="395"/>
      <c r="G721" s="372"/>
      <c r="H721" s="550"/>
      <c r="I721" s="377"/>
      <c r="J721" s="372"/>
      <c r="K721" s="372"/>
      <c r="L721" s="372"/>
      <c r="M721" s="372"/>
      <c r="N721" s="372"/>
      <c r="O721" s="375"/>
      <c r="P721" s="372"/>
      <c r="Q721" s="372"/>
      <c r="R721" s="372"/>
      <c r="S721" s="372"/>
    </row>
    <row r="722" spans="1:19" x14ac:dyDescent="0.2">
      <c r="A722" s="378"/>
      <c r="B722" s="368"/>
      <c r="C722" s="368"/>
      <c r="D722" s="395"/>
      <c r="G722" s="372"/>
      <c r="H722" s="550"/>
      <c r="I722" s="377"/>
      <c r="J722" s="372"/>
      <c r="K722" s="372"/>
      <c r="L722" s="372"/>
      <c r="M722" s="372"/>
      <c r="N722" s="372"/>
      <c r="O722" s="375"/>
      <c r="P722" s="372"/>
      <c r="Q722" s="372"/>
      <c r="R722" s="372"/>
      <c r="S722" s="372"/>
    </row>
    <row r="723" spans="1:19" x14ac:dyDescent="0.2">
      <c r="A723" s="378"/>
      <c r="B723" s="368"/>
      <c r="C723" s="368"/>
      <c r="D723" s="395"/>
      <c r="G723" s="372"/>
      <c r="H723" s="550"/>
      <c r="I723" s="377"/>
      <c r="J723" s="372"/>
      <c r="K723" s="372"/>
      <c r="L723" s="372"/>
      <c r="M723" s="372"/>
      <c r="N723" s="372"/>
      <c r="O723" s="375"/>
      <c r="P723" s="372"/>
      <c r="Q723" s="372"/>
      <c r="R723" s="372"/>
      <c r="S723" s="372"/>
    </row>
    <row r="724" spans="1:19" x14ac:dyDescent="0.2">
      <c r="A724" s="378"/>
      <c r="B724" s="368"/>
      <c r="C724" s="368"/>
      <c r="D724" s="395"/>
      <c r="G724" s="372"/>
      <c r="H724" s="550"/>
      <c r="I724" s="377"/>
      <c r="J724" s="372"/>
      <c r="K724" s="372"/>
      <c r="L724" s="372"/>
      <c r="M724" s="372"/>
      <c r="N724" s="372"/>
      <c r="O724" s="375"/>
      <c r="P724" s="372"/>
      <c r="Q724" s="372"/>
      <c r="R724" s="372"/>
      <c r="S724" s="372"/>
    </row>
    <row r="725" spans="1:19" x14ac:dyDescent="0.2">
      <c r="A725" s="378"/>
      <c r="B725" s="368"/>
      <c r="C725" s="368"/>
      <c r="D725" s="395"/>
      <c r="G725" s="372"/>
      <c r="H725" s="550"/>
      <c r="I725" s="377"/>
      <c r="J725" s="372"/>
      <c r="K725" s="372"/>
      <c r="L725" s="372"/>
      <c r="M725" s="372"/>
      <c r="N725" s="372"/>
      <c r="O725" s="375"/>
      <c r="P725" s="372"/>
      <c r="Q725" s="372"/>
      <c r="R725" s="372"/>
      <c r="S725" s="372"/>
    </row>
    <row r="726" spans="1:19" x14ac:dyDescent="0.2">
      <c r="A726" s="378"/>
      <c r="B726" s="368"/>
      <c r="C726" s="368"/>
      <c r="D726" s="395"/>
      <c r="G726" s="372"/>
      <c r="H726" s="550"/>
      <c r="I726" s="377"/>
      <c r="J726" s="372"/>
      <c r="K726" s="372"/>
      <c r="L726" s="372"/>
      <c r="M726" s="372"/>
      <c r="N726" s="372"/>
      <c r="O726" s="375"/>
      <c r="P726" s="372"/>
      <c r="Q726" s="372"/>
      <c r="R726" s="372"/>
      <c r="S726" s="372"/>
    </row>
    <row r="727" spans="1:19" x14ac:dyDescent="0.2">
      <c r="A727" s="378"/>
      <c r="B727" s="368"/>
      <c r="C727" s="368"/>
      <c r="D727" s="395"/>
      <c r="G727" s="372"/>
      <c r="H727" s="550"/>
      <c r="I727" s="377"/>
      <c r="J727" s="372"/>
      <c r="K727" s="372"/>
      <c r="L727" s="372"/>
      <c r="M727" s="372"/>
      <c r="N727" s="372"/>
      <c r="O727" s="375"/>
      <c r="P727" s="372"/>
      <c r="Q727" s="372"/>
      <c r="R727" s="372"/>
      <c r="S727" s="372"/>
    </row>
    <row r="728" spans="1:19" x14ac:dyDescent="0.2">
      <c r="A728" s="378"/>
      <c r="B728" s="368"/>
      <c r="C728" s="368"/>
      <c r="D728" s="395"/>
      <c r="G728" s="372"/>
      <c r="H728" s="550"/>
      <c r="I728" s="377"/>
      <c r="J728" s="372"/>
      <c r="K728" s="372"/>
      <c r="L728" s="372"/>
      <c r="M728" s="372"/>
      <c r="N728" s="372"/>
      <c r="O728" s="375"/>
      <c r="P728" s="372"/>
      <c r="Q728" s="372"/>
      <c r="R728" s="372"/>
      <c r="S728" s="372"/>
    </row>
    <row r="729" spans="1:19" x14ac:dyDescent="0.2">
      <c r="A729" s="378"/>
      <c r="B729" s="368"/>
      <c r="C729" s="368"/>
      <c r="D729" s="395"/>
      <c r="G729" s="372"/>
      <c r="H729" s="550"/>
      <c r="I729" s="377"/>
      <c r="J729" s="372"/>
      <c r="K729" s="372"/>
      <c r="L729" s="372"/>
      <c r="M729" s="372"/>
      <c r="N729" s="372"/>
      <c r="O729" s="375"/>
      <c r="P729" s="372"/>
      <c r="Q729" s="372"/>
      <c r="R729" s="372"/>
      <c r="S729" s="372"/>
    </row>
    <row r="730" spans="1:19" x14ac:dyDescent="0.2">
      <c r="A730" s="378"/>
      <c r="B730" s="368"/>
      <c r="C730" s="368"/>
      <c r="D730" s="395"/>
      <c r="G730" s="372"/>
      <c r="H730" s="550"/>
      <c r="I730" s="377"/>
      <c r="J730" s="372"/>
      <c r="K730" s="372"/>
      <c r="L730" s="372"/>
      <c r="M730" s="372"/>
      <c r="N730" s="372"/>
      <c r="O730" s="375"/>
      <c r="P730" s="372"/>
      <c r="Q730" s="372"/>
      <c r="R730" s="372"/>
      <c r="S730" s="372"/>
    </row>
    <row r="731" spans="1:19" x14ac:dyDescent="0.2">
      <c r="A731" s="378"/>
      <c r="B731" s="368"/>
      <c r="C731" s="368"/>
      <c r="D731" s="395"/>
      <c r="G731" s="372"/>
      <c r="H731" s="550"/>
      <c r="I731" s="377"/>
      <c r="J731" s="372"/>
      <c r="K731" s="372"/>
      <c r="L731" s="372"/>
      <c r="M731" s="372"/>
      <c r="N731" s="372"/>
      <c r="O731" s="375"/>
      <c r="P731" s="372"/>
      <c r="Q731" s="372"/>
      <c r="R731" s="372"/>
      <c r="S731" s="372"/>
    </row>
    <row r="732" spans="1:19" x14ac:dyDescent="0.2">
      <c r="A732" s="378"/>
      <c r="B732" s="368"/>
      <c r="C732" s="368"/>
      <c r="D732" s="395"/>
      <c r="G732" s="372"/>
      <c r="H732" s="550"/>
      <c r="I732" s="377"/>
      <c r="J732" s="372"/>
      <c r="K732" s="372"/>
      <c r="L732" s="372"/>
      <c r="M732" s="372"/>
      <c r="N732" s="372"/>
      <c r="O732" s="375"/>
      <c r="P732" s="372"/>
      <c r="Q732" s="372"/>
      <c r="R732" s="372"/>
      <c r="S732" s="372"/>
    </row>
    <row r="733" spans="1:19" x14ac:dyDescent="0.2">
      <c r="A733" s="378"/>
      <c r="B733" s="368"/>
      <c r="C733" s="368"/>
      <c r="D733" s="395"/>
      <c r="G733" s="372"/>
      <c r="H733" s="550"/>
      <c r="I733" s="377"/>
      <c r="J733" s="372"/>
      <c r="K733" s="372"/>
      <c r="L733" s="372"/>
      <c r="M733" s="372"/>
      <c r="N733" s="372"/>
      <c r="O733" s="375"/>
      <c r="P733" s="372"/>
      <c r="Q733" s="372"/>
      <c r="R733" s="372"/>
      <c r="S733" s="372"/>
    </row>
    <row r="734" spans="1:19" x14ac:dyDescent="0.2">
      <c r="A734" s="378"/>
      <c r="B734" s="368"/>
      <c r="C734" s="368"/>
      <c r="D734" s="395"/>
      <c r="G734" s="372"/>
      <c r="H734" s="550"/>
      <c r="I734" s="377"/>
      <c r="J734" s="372"/>
      <c r="K734" s="372"/>
      <c r="L734" s="372"/>
      <c r="M734" s="372"/>
      <c r="N734" s="372"/>
      <c r="O734" s="375"/>
      <c r="P734" s="372"/>
      <c r="Q734" s="372"/>
      <c r="R734" s="372"/>
      <c r="S734" s="372"/>
    </row>
    <row r="735" spans="1:19" x14ac:dyDescent="0.2">
      <c r="A735" s="378"/>
      <c r="B735" s="368"/>
      <c r="C735" s="368"/>
      <c r="D735" s="395"/>
      <c r="G735" s="372"/>
      <c r="H735" s="550"/>
      <c r="I735" s="377"/>
      <c r="J735" s="372"/>
      <c r="K735" s="372"/>
      <c r="L735" s="372"/>
      <c r="M735" s="372"/>
      <c r="N735" s="372"/>
      <c r="O735" s="375"/>
      <c r="P735" s="372"/>
      <c r="Q735" s="372"/>
      <c r="R735" s="372"/>
      <c r="S735" s="372"/>
    </row>
    <row r="736" spans="1:19" x14ac:dyDescent="0.2">
      <c r="A736" s="378"/>
      <c r="B736" s="368"/>
      <c r="C736" s="368"/>
      <c r="D736" s="395"/>
      <c r="G736" s="372"/>
      <c r="H736" s="550"/>
      <c r="I736" s="377"/>
      <c r="J736" s="372"/>
      <c r="K736" s="372"/>
      <c r="L736" s="372"/>
      <c r="M736" s="372"/>
      <c r="N736" s="372"/>
      <c r="O736" s="375"/>
      <c r="P736" s="372"/>
      <c r="Q736" s="372"/>
      <c r="R736" s="372"/>
      <c r="S736" s="372"/>
    </row>
    <row r="737" spans="1:19" x14ac:dyDescent="0.2">
      <c r="A737" s="378"/>
      <c r="B737" s="368"/>
      <c r="C737" s="368"/>
      <c r="D737" s="395"/>
      <c r="G737" s="372"/>
      <c r="H737" s="550"/>
      <c r="I737" s="377"/>
      <c r="J737" s="372"/>
      <c r="K737" s="372"/>
      <c r="L737" s="372"/>
      <c r="M737" s="372"/>
      <c r="N737" s="372"/>
      <c r="O737" s="375"/>
      <c r="P737" s="372"/>
      <c r="Q737" s="372"/>
      <c r="R737" s="372"/>
      <c r="S737" s="372"/>
    </row>
    <row r="738" spans="1:19" x14ac:dyDescent="0.2">
      <c r="A738" s="378"/>
      <c r="B738" s="368"/>
      <c r="C738" s="368"/>
      <c r="D738" s="395"/>
      <c r="G738" s="372"/>
      <c r="H738" s="550"/>
      <c r="I738" s="377"/>
      <c r="J738" s="372"/>
      <c r="K738" s="372"/>
      <c r="L738" s="372"/>
      <c r="M738" s="372"/>
      <c r="N738" s="372"/>
      <c r="O738" s="375"/>
      <c r="P738" s="372"/>
      <c r="Q738" s="372"/>
      <c r="R738" s="372"/>
      <c r="S738" s="372"/>
    </row>
    <row r="739" spans="1:19" x14ac:dyDescent="0.2">
      <c r="A739" s="378"/>
      <c r="B739" s="368"/>
      <c r="C739" s="368"/>
      <c r="D739" s="395"/>
      <c r="G739" s="372"/>
      <c r="H739" s="550"/>
      <c r="I739" s="377"/>
      <c r="J739" s="372"/>
      <c r="K739" s="372"/>
      <c r="L739" s="372"/>
      <c r="M739" s="372"/>
      <c r="N739" s="372"/>
      <c r="O739" s="375"/>
      <c r="P739" s="372"/>
      <c r="Q739" s="372"/>
      <c r="R739" s="372"/>
      <c r="S739" s="372"/>
    </row>
    <row r="740" spans="1:19" x14ac:dyDescent="0.2">
      <c r="A740" s="378"/>
      <c r="B740" s="368"/>
      <c r="C740" s="368"/>
      <c r="D740" s="395"/>
      <c r="G740" s="372"/>
      <c r="H740" s="550"/>
      <c r="I740" s="377"/>
      <c r="J740" s="372"/>
      <c r="K740" s="372"/>
      <c r="L740" s="372"/>
      <c r="M740" s="372"/>
      <c r="N740" s="372"/>
      <c r="O740" s="375"/>
      <c r="P740" s="372"/>
      <c r="Q740" s="372"/>
      <c r="R740" s="372"/>
      <c r="S740" s="372"/>
    </row>
    <row r="741" spans="1:19" x14ac:dyDescent="0.2">
      <c r="A741" s="378"/>
      <c r="B741" s="368"/>
      <c r="C741" s="368"/>
      <c r="D741" s="395"/>
      <c r="G741" s="372"/>
      <c r="H741" s="550"/>
      <c r="I741" s="377"/>
      <c r="J741" s="372"/>
      <c r="K741" s="372"/>
      <c r="L741" s="372"/>
      <c r="M741" s="372"/>
      <c r="N741" s="372"/>
      <c r="O741" s="375"/>
      <c r="P741" s="372"/>
      <c r="Q741" s="372"/>
      <c r="R741" s="372"/>
      <c r="S741" s="372"/>
    </row>
    <row r="742" spans="1:19" x14ac:dyDescent="0.2">
      <c r="A742" s="378"/>
      <c r="B742" s="368"/>
      <c r="C742" s="368"/>
      <c r="D742" s="395"/>
      <c r="G742" s="372"/>
      <c r="H742" s="550"/>
      <c r="I742" s="377"/>
      <c r="J742" s="372"/>
      <c r="K742" s="372"/>
      <c r="L742" s="372"/>
      <c r="M742" s="372"/>
      <c r="N742" s="372"/>
      <c r="O742" s="375"/>
      <c r="P742" s="372"/>
      <c r="Q742" s="372"/>
      <c r="R742" s="372"/>
      <c r="S742" s="372"/>
    </row>
    <row r="743" spans="1:19" x14ac:dyDescent="0.2">
      <c r="A743" s="378"/>
      <c r="B743" s="368"/>
      <c r="C743" s="368"/>
      <c r="D743" s="395"/>
      <c r="G743" s="372"/>
      <c r="H743" s="550"/>
      <c r="I743" s="377"/>
      <c r="J743" s="372"/>
      <c r="K743" s="372"/>
      <c r="L743" s="372"/>
      <c r="M743" s="372"/>
      <c r="N743" s="372"/>
      <c r="O743" s="375"/>
      <c r="P743" s="372"/>
      <c r="Q743" s="372"/>
      <c r="R743" s="372"/>
      <c r="S743" s="372"/>
    </row>
    <row r="744" spans="1:19" x14ac:dyDescent="0.2">
      <c r="A744" s="378"/>
      <c r="B744" s="368"/>
      <c r="C744" s="368"/>
      <c r="D744" s="395"/>
      <c r="G744" s="372"/>
      <c r="H744" s="550"/>
      <c r="I744" s="377"/>
      <c r="J744" s="372"/>
      <c r="K744" s="372"/>
      <c r="L744" s="372"/>
      <c r="M744" s="372"/>
      <c r="N744" s="372"/>
      <c r="O744" s="375"/>
      <c r="P744" s="372"/>
      <c r="Q744" s="372"/>
      <c r="R744" s="372"/>
      <c r="S744" s="372"/>
    </row>
    <row r="745" spans="1:19" x14ac:dyDescent="0.2">
      <c r="A745" s="378"/>
      <c r="B745" s="368"/>
      <c r="C745" s="368"/>
      <c r="D745" s="395"/>
      <c r="G745" s="372"/>
      <c r="H745" s="550"/>
      <c r="I745" s="377"/>
      <c r="J745" s="372"/>
      <c r="K745" s="372"/>
      <c r="L745" s="372"/>
      <c r="M745" s="372"/>
      <c r="N745" s="372"/>
      <c r="O745" s="375"/>
      <c r="P745" s="372"/>
      <c r="Q745" s="372"/>
      <c r="R745" s="372"/>
      <c r="S745" s="372"/>
    </row>
    <row r="746" spans="1:19" x14ac:dyDescent="0.2">
      <c r="A746" s="378"/>
      <c r="B746" s="368"/>
      <c r="C746" s="368"/>
      <c r="D746" s="395"/>
      <c r="G746" s="372"/>
      <c r="H746" s="550"/>
      <c r="I746" s="377"/>
      <c r="J746" s="372"/>
      <c r="K746" s="372"/>
      <c r="L746" s="372"/>
      <c r="M746" s="372"/>
      <c r="N746" s="372"/>
      <c r="O746" s="375"/>
      <c r="P746" s="372"/>
      <c r="Q746" s="372"/>
      <c r="R746" s="372"/>
      <c r="S746" s="372"/>
    </row>
    <row r="747" spans="1:19" x14ac:dyDescent="0.2">
      <c r="A747" s="378"/>
      <c r="B747" s="368"/>
      <c r="C747" s="368"/>
      <c r="D747" s="395"/>
      <c r="G747" s="372"/>
      <c r="H747" s="550"/>
      <c r="I747" s="377"/>
      <c r="J747" s="372"/>
      <c r="K747" s="372"/>
      <c r="L747" s="372"/>
      <c r="M747" s="372"/>
      <c r="N747" s="372"/>
      <c r="O747" s="375"/>
      <c r="P747" s="372"/>
      <c r="Q747" s="372"/>
      <c r="R747" s="372"/>
      <c r="S747" s="372"/>
    </row>
    <row r="748" spans="1:19" x14ac:dyDescent="0.2">
      <c r="A748" s="378"/>
      <c r="B748" s="368"/>
      <c r="C748" s="368"/>
      <c r="D748" s="395"/>
      <c r="G748" s="372"/>
      <c r="H748" s="550"/>
      <c r="I748" s="377"/>
      <c r="J748" s="372"/>
      <c r="K748" s="372"/>
      <c r="L748" s="372"/>
      <c r="M748" s="372"/>
      <c r="N748" s="372"/>
      <c r="O748" s="375"/>
      <c r="P748" s="372"/>
      <c r="Q748" s="372"/>
      <c r="R748" s="372"/>
      <c r="S748" s="372"/>
    </row>
    <row r="749" spans="1:19" x14ac:dyDescent="0.2">
      <c r="A749" s="378"/>
      <c r="B749" s="368"/>
      <c r="C749" s="368"/>
      <c r="D749" s="395"/>
      <c r="G749" s="372"/>
      <c r="H749" s="550"/>
      <c r="I749" s="377"/>
      <c r="J749" s="372"/>
      <c r="K749" s="372"/>
      <c r="L749" s="372"/>
      <c r="M749" s="372"/>
      <c r="N749" s="372"/>
      <c r="O749" s="375"/>
      <c r="P749" s="372"/>
      <c r="Q749" s="372"/>
      <c r="R749" s="372"/>
      <c r="S749" s="372"/>
    </row>
    <row r="750" spans="1:19" x14ac:dyDescent="0.2">
      <c r="A750" s="378"/>
      <c r="B750" s="368"/>
      <c r="C750" s="368"/>
      <c r="D750" s="395"/>
      <c r="G750" s="372"/>
      <c r="H750" s="550"/>
      <c r="I750" s="377"/>
      <c r="J750" s="372"/>
      <c r="K750" s="372"/>
      <c r="L750" s="372"/>
      <c r="M750" s="372"/>
      <c r="N750" s="372"/>
      <c r="O750" s="375"/>
      <c r="P750" s="372"/>
      <c r="Q750" s="372"/>
      <c r="R750" s="372"/>
      <c r="S750" s="372"/>
    </row>
    <row r="751" spans="1:19" x14ac:dyDescent="0.2">
      <c r="A751" s="378"/>
      <c r="B751" s="368"/>
      <c r="C751" s="368"/>
      <c r="D751" s="395"/>
      <c r="G751" s="372"/>
      <c r="H751" s="550"/>
      <c r="I751" s="377"/>
      <c r="J751" s="372"/>
      <c r="K751" s="372"/>
      <c r="L751" s="372"/>
      <c r="M751" s="372"/>
      <c r="N751" s="372"/>
      <c r="O751" s="375"/>
      <c r="P751" s="372"/>
      <c r="Q751" s="372"/>
      <c r="R751" s="372"/>
      <c r="S751" s="372"/>
    </row>
    <row r="752" spans="1:19" x14ac:dyDescent="0.2">
      <c r="A752" s="378"/>
      <c r="B752" s="368"/>
      <c r="C752" s="368"/>
      <c r="D752" s="395"/>
      <c r="G752" s="372"/>
      <c r="H752" s="550"/>
      <c r="I752" s="377"/>
      <c r="J752" s="372"/>
      <c r="K752" s="372"/>
      <c r="L752" s="372"/>
      <c r="M752" s="372"/>
      <c r="N752" s="372"/>
      <c r="O752" s="375"/>
      <c r="P752" s="372"/>
      <c r="Q752" s="372"/>
      <c r="R752" s="372"/>
      <c r="S752" s="372"/>
    </row>
    <row r="753" spans="1:19" x14ac:dyDescent="0.2">
      <c r="A753" s="378"/>
      <c r="B753" s="368"/>
      <c r="C753" s="368"/>
      <c r="D753" s="395"/>
      <c r="G753" s="372"/>
      <c r="H753" s="550"/>
      <c r="I753" s="377"/>
      <c r="J753" s="372"/>
      <c r="K753" s="372"/>
      <c r="L753" s="372"/>
      <c r="M753" s="372"/>
      <c r="N753" s="372"/>
      <c r="O753" s="375"/>
      <c r="P753" s="372"/>
      <c r="Q753" s="372"/>
      <c r="R753" s="372"/>
      <c r="S753" s="372"/>
    </row>
    <row r="754" spans="1:19" x14ac:dyDescent="0.2">
      <c r="A754" s="378"/>
      <c r="B754" s="368"/>
      <c r="C754" s="368"/>
      <c r="D754" s="395"/>
      <c r="G754" s="372"/>
      <c r="H754" s="550"/>
      <c r="I754" s="377"/>
      <c r="J754" s="372"/>
      <c r="K754" s="372"/>
      <c r="L754" s="372"/>
      <c r="M754" s="372"/>
      <c r="N754" s="372"/>
      <c r="O754" s="375"/>
      <c r="P754" s="372"/>
      <c r="Q754" s="372"/>
      <c r="R754" s="372"/>
      <c r="S754" s="372"/>
    </row>
    <row r="755" spans="1:19" x14ac:dyDescent="0.2">
      <c r="A755" s="378"/>
      <c r="B755" s="368"/>
      <c r="C755" s="368"/>
      <c r="D755" s="395"/>
      <c r="G755" s="372"/>
      <c r="H755" s="550"/>
      <c r="I755" s="377"/>
      <c r="J755" s="372"/>
      <c r="K755" s="372"/>
      <c r="L755" s="372"/>
      <c r="M755" s="372"/>
      <c r="N755" s="372"/>
      <c r="O755" s="375"/>
      <c r="P755" s="372"/>
      <c r="Q755" s="372"/>
      <c r="R755" s="372"/>
      <c r="S755" s="372"/>
    </row>
    <row r="756" spans="1:19" x14ac:dyDescent="0.2">
      <c r="A756" s="378"/>
      <c r="B756" s="368"/>
      <c r="C756" s="368"/>
      <c r="D756" s="395"/>
      <c r="G756" s="372"/>
      <c r="H756" s="550"/>
      <c r="I756" s="377"/>
      <c r="J756" s="372"/>
      <c r="K756" s="372"/>
      <c r="L756" s="372"/>
      <c r="M756" s="372"/>
      <c r="N756" s="372"/>
      <c r="O756" s="375"/>
      <c r="P756" s="372"/>
      <c r="Q756" s="372"/>
      <c r="R756" s="372"/>
      <c r="S756" s="372"/>
    </row>
    <row r="757" spans="1:19" x14ac:dyDescent="0.2">
      <c r="A757" s="378"/>
      <c r="B757" s="368"/>
      <c r="C757" s="368"/>
      <c r="D757" s="395"/>
      <c r="G757" s="372"/>
      <c r="H757" s="550"/>
      <c r="I757" s="377"/>
      <c r="J757" s="372"/>
      <c r="K757" s="372"/>
      <c r="L757" s="372"/>
      <c r="M757" s="372"/>
      <c r="N757" s="372"/>
      <c r="O757" s="375"/>
      <c r="P757" s="372"/>
      <c r="Q757" s="372"/>
      <c r="R757" s="372"/>
      <c r="S757" s="372"/>
    </row>
    <row r="758" spans="1:19" x14ac:dyDescent="0.2">
      <c r="A758" s="378"/>
      <c r="B758" s="368"/>
      <c r="C758" s="368"/>
      <c r="D758" s="395"/>
      <c r="G758" s="372"/>
      <c r="H758" s="550"/>
      <c r="I758" s="377"/>
      <c r="J758" s="372"/>
      <c r="K758" s="372"/>
      <c r="L758" s="372"/>
      <c r="M758" s="372"/>
      <c r="N758" s="372"/>
      <c r="O758" s="375"/>
      <c r="P758" s="372"/>
      <c r="Q758" s="372"/>
      <c r="R758" s="372"/>
      <c r="S758" s="372"/>
    </row>
    <row r="759" spans="1:19" x14ac:dyDescent="0.2">
      <c r="A759" s="378"/>
      <c r="B759" s="368"/>
      <c r="C759" s="368"/>
      <c r="D759" s="395"/>
      <c r="G759" s="372"/>
      <c r="H759" s="550"/>
      <c r="I759" s="377"/>
      <c r="J759" s="372"/>
      <c r="K759" s="372"/>
      <c r="L759" s="372"/>
      <c r="M759" s="372"/>
      <c r="N759" s="372"/>
      <c r="O759" s="375"/>
      <c r="P759" s="372"/>
      <c r="Q759" s="372"/>
      <c r="R759" s="372"/>
      <c r="S759" s="372"/>
    </row>
    <row r="760" spans="1:19" x14ac:dyDescent="0.2">
      <c r="A760" s="378"/>
      <c r="B760" s="368"/>
      <c r="C760" s="368"/>
      <c r="D760" s="395"/>
      <c r="G760" s="372"/>
      <c r="H760" s="550"/>
      <c r="I760" s="377"/>
      <c r="J760" s="372"/>
      <c r="K760" s="372"/>
      <c r="L760" s="372"/>
      <c r="M760" s="372"/>
      <c r="N760" s="372"/>
      <c r="O760" s="375"/>
      <c r="P760" s="372"/>
      <c r="Q760" s="372"/>
      <c r="R760" s="372"/>
      <c r="S760" s="372"/>
    </row>
    <row r="761" spans="1:19" x14ac:dyDescent="0.2">
      <c r="A761" s="378"/>
      <c r="B761" s="368"/>
      <c r="C761" s="368"/>
      <c r="D761" s="395"/>
      <c r="G761" s="372"/>
      <c r="H761" s="550"/>
      <c r="I761" s="377"/>
      <c r="J761" s="372"/>
      <c r="K761" s="372"/>
      <c r="L761" s="372"/>
      <c r="M761" s="372"/>
      <c r="N761" s="372"/>
      <c r="O761" s="375"/>
      <c r="P761" s="372"/>
      <c r="Q761" s="372"/>
      <c r="R761" s="372"/>
      <c r="S761" s="372"/>
    </row>
    <row r="762" spans="1:19" x14ac:dyDescent="0.2">
      <c r="A762" s="378"/>
      <c r="B762" s="368"/>
      <c r="C762" s="368"/>
      <c r="D762" s="395"/>
      <c r="G762" s="372"/>
      <c r="H762" s="550"/>
      <c r="I762" s="377"/>
      <c r="J762" s="372"/>
      <c r="K762" s="372"/>
      <c r="L762" s="372"/>
      <c r="M762" s="372"/>
      <c r="N762" s="372"/>
      <c r="O762" s="375"/>
      <c r="P762" s="372"/>
      <c r="Q762" s="372"/>
      <c r="R762" s="372"/>
      <c r="S762" s="372"/>
    </row>
    <row r="763" spans="1:19" x14ac:dyDescent="0.2">
      <c r="A763" s="378"/>
      <c r="B763" s="368"/>
      <c r="C763" s="368"/>
      <c r="D763" s="395"/>
      <c r="G763" s="372"/>
      <c r="H763" s="550"/>
      <c r="I763" s="377"/>
      <c r="J763" s="372"/>
      <c r="K763" s="372"/>
      <c r="L763" s="372"/>
      <c r="M763" s="372"/>
      <c r="N763" s="372"/>
      <c r="O763" s="375"/>
      <c r="P763" s="372"/>
      <c r="Q763" s="372"/>
      <c r="R763" s="372"/>
      <c r="S763" s="372"/>
    </row>
    <row r="764" spans="1:19" x14ac:dyDescent="0.2">
      <c r="A764" s="378"/>
      <c r="B764" s="368"/>
      <c r="C764" s="368"/>
      <c r="D764" s="395"/>
      <c r="G764" s="372"/>
      <c r="H764" s="550"/>
      <c r="I764" s="377"/>
      <c r="J764" s="372"/>
      <c r="K764" s="372"/>
      <c r="L764" s="372"/>
      <c r="M764" s="372"/>
      <c r="N764" s="372"/>
      <c r="O764" s="375"/>
      <c r="P764" s="372"/>
      <c r="Q764" s="372"/>
      <c r="R764" s="372"/>
      <c r="S764" s="372"/>
    </row>
    <row r="765" spans="1:19" x14ac:dyDescent="0.2">
      <c r="A765" s="378"/>
      <c r="B765" s="368"/>
      <c r="C765" s="368"/>
      <c r="D765" s="395"/>
      <c r="G765" s="372"/>
      <c r="H765" s="376"/>
      <c r="I765" s="377"/>
      <c r="J765" s="372"/>
      <c r="K765" s="372"/>
      <c r="L765" s="372"/>
      <c r="M765" s="372"/>
      <c r="N765" s="372"/>
      <c r="O765" s="375"/>
      <c r="P765" s="372"/>
      <c r="Q765" s="372"/>
      <c r="R765" s="372"/>
      <c r="S765" s="372"/>
    </row>
    <row r="766" spans="1:19" x14ac:dyDescent="0.2">
      <c r="A766" s="378"/>
      <c r="B766" s="368"/>
      <c r="C766" s="368"/>
      <c r="D766" s="395"/>
      <c r="G766" s="372"/>
      <c r="H766" s="376"/>
      <c r="I766" s="377"/>
      <c r="J766" s="372"/>
      <c r="K766" s="372"/>
      <c r="L766" s="372"/>
      <c r="M766" s="372"/>
      <c r="N766" s="372"/>
      <c r="O766" s="375"/>
      <c r="P766" s="372"/>
      <c r="Q766" s="372"/>
      <c r="R766" s="372"/>
      <c r="S766" s="372"/>
    </row>
    <row r="767" spans="1:19" x14ac:dyDescent="0.2">
      <c r="A767" s="378"/>
      <c r="B767" s="368"/>
      <c r="C767" s="368"/>
      <c r="D767" s="395"/>
      <c r="G767" s="372"/>
      <c r="H767" s="376"/>
      <c r="I767" s="377"/>
      <c r="J767" s="372"/>
      <c r="K767" s="372"/>
      <c r="L767" s="372"/>
      <c r="M767" s="372"/>
      <c r="N767" s="372"/>
      <c r="O767" s="375"/>
      <c r="P767" s="372"/>
      <c r="Q767" s="372"/>
      <c r="R767" s="372"/>
      <c r="S767" s="372"/>
    </row>
    <row r="768" spans="1:19" x14ac:dyDescent="0.2">
      <c r="A768" s="378"/>
      <c r="B768" s="368"/>
      <c r="C768" s="368"/>
      <c r="D768" s="395"/>
      <c r="G768" s="372"/>
      <c r="H768" s="376"/>
      <c r="I768" s="377"/>
      <c r="J768" s="372"/>
      <c r="K768" s="372"/>
      <c r="L768" s="372"/>
      <c r="M768" s="372"/>
      <c r="N768" s="372"/>
      <c r="O768" s="375"/>
      <c r="P768" s="372"/>
      <c r="Q768" s="372"/>
      <c r="R768" s="372"/>
      <c r="S768" s="372"/>
    </row>
    <row r="769" spans="1:19" x14ac:dyDescent="0.2">
      <c r="A769" s="378"/>
      <c r="B769" s="368"/>
      <c r="C769" s="368"/>
      <c r="D769" s="395"/>
      <c r="G769" s="372"/>
      <c r="H769" s="376"/>
      <c r="I769" s="377"/>
      <c r="J769" s="372"/>
      <c r="K769" s="372"/>
      <c r="L769" s="372"/>
      <c r="M769" s="372"/>
      <c r="N769" s="372"/>
      <c r="O769" s="375"/>
      <c r="P769" s="372"/>
      <c r="Q769" s="372"/>
      <c r="R769" s="372"/>
      <c r="S769" s="372"/>
    </row>
    <row r="770" spans="1:19" x14ac:dyDescent="0.2">
      <c r="A770" s="378"/>
      <c r="B770" s="368"/>
      <c r="C770" s="368"/>
      <c r="D770" s="395"/>
      <c r="G770" s="372"/>
      <c r="H770" s="376"/>
      <c r="I770" s="377"/>
      <c r="J770" s="372"/>
      <c r="K770" s="372"/>
      <c r="L770" s="372"/>
      <c r="M770" s="372"/>
      <c r="N770" s="372"/>
      <c r="O770" s="375"/>
      <c r="P770" s="372"/>
      <c r="Q770" s="372"/>
      <c r="R770" s="372"/>
      <c r="S770" s="372"/>
    </row>
    <row r="771" spans="1:19" x14ac:dyDescent="0.2">
      <c r="A771" s="378"/>
      <c r="B771" s="368"/>
      <c r="C771" s="368"/>
      <c r="D771" s="395"/>
      <c r="G771" s="372"/>
      <c r="H771" s="376"/>
      <c r="I771" s="377"/>
      <c r="J771" s="372"/>
      <c r="K771" s="372"/>
      <c r="L771" s="372"/>
      <c r="M771" s="372"/>
      <c r="N771" s="372"/>
      <c r="O771" s="375"/>
      <c r="P771" s="372"/>
      <c r="Q771" s="372"/>
      <c r="R771" s="372"/>
      <c r="S771" s="372"/>
    </row>
    <row r="772" spans="1:19" x14ac:dyDescent="0.2">
      <c r="A772" s="378"/>
      <c r="B772" s="368"/>
      <c r="C772" s="368"/>
      <c r="D772" s="395"/>
      <c r="G772" s="372"/>
      <c r="H772" s="376"/>
      <c r="I772" s="377"/>
      <c r="J772" s="372"/>
      <c r="K772" s="372"/>
      <c r="L772" s="372"/>
      <c r="M772" s="372"/>
      <c r="N772" s="372"/>
      <c r="O772" s="375"/>
      <c r="P772" s="372"/>
      <c r="Q772" s="372"/>
      <c r="R772" s="372"/>
      <c r="S772" s="372"/>
    </row>
    <row r="773" spans="1:19" x14ac:dyDescent="0.2">
      <c r="A773" s="378"/>
      <c r="B773" s="368"/>
      <c r="C773" s="368"/>
      <c r="D773" s="395"/>
      <c r="G773" s="372"/>
      <c r="H773" s="376"/>
      <c r="I773" s="377"/>
      <c r="J773" s="372"/>
      <c r="K773" s="372"/>
      <c r="L773" s="372"/>
      <c r="M773" s="372"/>
      <c r="N773" s="372"/>
      <c r="O773" s="375"/>
      <c r="P773" s="372"/>
      <c r="Q773" s="372"/>
      <c r="R773" s="372"/>
      <c r="S773" s="372"/>
    </row>
    <row r="774" spans="1:19" x14ac:dyDescent="0.2">
      <c r="A774" s="378"/>
      <c r="B774" s="368"/>
      <c r="C774" s="368"/>
      <c r="D774" s="395"/>
      <c r="G774" s="372"/>
      <c r="H774" s="376"/>
      <c r="I774" s="377"/>
      <c r="J774" s="372"/>
      <c r="K774" s="372"/>
      <c r="L774" s="372"/>
      <c r="M774" s="372"/>
      <c r="N774" s="372"/>
      <c r="O774" s="375"/>
      <c r="P774" s="372"/>
      <c r="Q774" s="372"/>
      <c r="R774" s="372"/>
      <c r="S774" s="372"/>
    </row>
    <row r="775" spans="1:19" x14ac:dyDescent="0.2">
      <c r="A775" s="378"/>
      <c r="B775" s="368"/>
      <c r="C775" s="368"/>
      <c r="D775" s="395"/>
      <c r="G775" s="372"/>
      <c r="H775" s="376"/>
      <c r="I775" s="377"/>
      <c r="J775" s="372"/>
      <c r="K775" s="372"/>
      <c r="L775" s="372"/>
      <c r="M775" s="372"/>
      <c r="N775" s="372"/>
      <c r="O775" s="375"/>
      <c r="P775" s="372"/>
      <c r="Q775" s="372"/>
      <c r="R775" s="372"/>
      <c r="S775" s="372"/>
    </row>
    <row r="776" spans="1:19" x14ac:dyDescent="0.2">
      <c r="A776" s="378"/>
      <c r="B776" s="368"/>
      <c r="C776" s="368"/>
      <c r="D776" s="395"/>
      <c r="G776" s="372"/>
      <c r="H776" s="376"/>
      <c r="I776" s="377"/>
      <c r="J776" s="372"/>
      <c r="K776" s="372"/>
      <c r="L776" s="372"/>
      <c r="M776" s="372"/>
      <c r="N776" s="372"/>
      <c r="O776" s="375"/>
      <c r="P776" s="372"/>
      <c r="Q776" s="372"/>
      <c r="R776" s="372"/>
      <c r="S776" s="372"/>
    </row>
    <row r="777" spans="1:19" x14ac:dyDescent="0.2">
      <c r="A777" s="378"/>
      <c r="B777" s="368"/>
      <c r="C777" s="368"/>
      <c r="D777" s="395"/>
      <c r="G777" s="372"/>
      <c r="H777" s="376"/>
      <c r="I777" s="377"/>
      <c r="J777" s="372"/>
      <c r="K777" s="372"/>
      <c r="L777" s="372"/>
      <c r="M777" s="372"/>
      <c r="N777" s="372"/>
      <c r="O777" s="375"/>
      <c r="P777" s="372"/>
      <c r="Q777" s="372"/>
      <c r="R777" s="372"/>
      <c r="S777" s="372"/>
    </row>
    <row r="778" spans="1:19" x14ac:dyDescent="0.2">
      <c r="A778" s="378"/>
      <c r="B778" s="368"/>
      <c r="C778" s="368"/>
      <c r="D778" s="395"/>
      <c r="G778" s="372"/>
      <c r="H778" s="376"/>
      <c r="I778" s="377"/>
      <c r="J778" s="372"/>
      <c r="K778" s="372"/>
      <c r="L778" s="372"/>
      <c r="M778" s="372"/>
      <c r="N778" s="372"/>
      <c r="O778" s="375"/>
      <c r="P778" s="372"/>
      <c r="Q778" s="372"/>
      <c r="R778" s="372"/>
      <c r="S778" s="372"/>
    </row>
    <row r="779" spans="1:19" x14ac:dyDescent="0.2">
      <c r="A779" s="378"/>
      <c r="B779" s="368"/>
      <c r="C779" s="368"/>
      <c r="D779" s="395"/>
      <c r="G779" s="372"/>
      <c r="H779" s="376"/>
      <c r="I779" s="377"/>
      <c r="J779" s="372"/>
      <c r="K779" s="372"/>
      <c r="L779" s="372"/>
      <c r="M779" s="372"/>
      <c r="N779" s="372"/>
      <c r="O779" s="375"/>
      <c r="P779" s="372"/>
      <c r="Q779" s="372"/>
      <c r="R779" s="372"/>
      <c r="S779" s="372"/>
    </row>
    <row r="780" spans="1:19" x14ac:dyDescent="0.2">
      <c r="A780" s="378"/>
      <c r="B780" s="368"/>
      <c r="C780" s="368"/>
      <c r="D780" s="395"/>
      <c r="G780" s="372"/>
      <c r="H780" s="376"/>
      <c r="I780" s="377"/>
      <c r="J780" s="372"/>
      <c r="K780" s="372"/>
      <c r="L780" s="372"/>
      <c r="M780" s="372"/>
      <c r="N780" s="372"/>
      <c r="O780" s="375"/>
      <c r="P780" s="372"/>
      <c r="Q780" s="372"/>
      <c r="R780" s="372"/>
      <c r="S780" s="372"/>
    </row>
    <row r="781" spans="1:19" x14ac:dyDescent="0.2">
      <c r="A781" s="378"/>
      <c r="B781" s="368"/>
      <c r="C781" s="368"/>
      <c r="D781" s="395"/>
      <c r="G781" s="372"/>
      <c r="H781" s="376"/>
      <c r="I781" s="377"/>
      <c r="J781" s="372"/>
      <c r="K781" s="372"/>
      <c r="L781" s="372"/>
      <c r="M781" s="372"/>
      <c r="N781" s="372"/>
      <c r="O781" s="375"/>
      <c r="P781" s="372"/>
      <c r="Q781" s="372"/>
      <c r="R781" s="372"/>
      <c r="S781" s="372"/>
    </row>
    <row r="782" spans="1:19" x14ac:dyDescent="0.2">
      <c r="A782" s="378"/>
      <c r="B782" s="368"/>
      <c r="C782" s="368"/>
      <c r="D782" s="395"/>
      <c r="G782" s="372"/>
      <c r="H782" s="376"/>
      <c r="I782" s="377"/>
      <c r="J782" s="372"/>
      <c r="K782" s="372"/>
      <c r="L782" s="372"/>
      <c r="M782" s="372"/>
      <c r="N782" s="372"/>
      <c r="O782" s="375"/>
      <c r="P782" s="372"/>
      <c r="Q782" s="372"/>
      <c r="R782" s="372"/>
      <c r="S782" s="372"/>
    </row>
    <row r="783" spans="1:19" x14ac:dyDescent="0.2">
      <c r="A783" s="378"/>
      <c r="B783" s="368"/>
      <c r="C783" s="368"/>
      <c r="D783" s="395"/>
      <c r="G783" s="372"/>
      <c r="H783" s="376"/>
      <c r="I783" s="377"/>
      <c r="J783" s="372"/>
      <c r="K783" s="372"/>
      <c r="L783" s="372"/>
      <c r="M783" s="372"/>
      <c r="N783" s="372"/>
      <c r="O783" s="375"/>
      <c r="P783" s="372"/>
      <c r="Q783" s="372"/>
      <c r="R783" s="372"/>
      <c r="S783" s="372"/>
    </row>
    <row r="784" spans="1:19" x14ac:dyDescent="0.2">
      <c r="A784" s="378"/>
      <c r="B784" s="368"/>
      <c r="C784" s="368"/>
      <c r="D784" s="395"/>
      <c r="G784" s="372"/>
      <c r="H784" s="376"/>
      <c r="I784" s="377"/>
      <c r="J784" s="372"/>
      <c r="K784" s="372"/>
      <c r="L784" s="372"/>
      <c r="M784" s="372"/>
      <c r="N784" s="372"/>
      <c r="O784" s="375"/>
      <c r="P784" s="372"/>
      <c r="Q784" s="372"/>
      <c r="R784" s="372"/>
      <c r="S784" s="372"/>
    </row>
    <row r="785" spans="1:19" x14ac:dyDescent="0.2">
      <c r="A785" s="378"/>
      <c r="B785" s="368"/>
      <c r="C785" s="368"/>
      <c r="D785" s="395"/>
      <c r="G785" s="372"/>
      <c r="H785" s="376"/>
      <c r="I785" s="377"/>
      <c r="J785" s="372"/>
      <c r="K785" s="372"/>
      <c r="L785" s="372"/>
      <c r="M785" s="372"/>
      <c r="N785" s="372"/>
      <c r="O785" s="375"/>
      <c r="P785" s="372"/>
      <c r="Q785" s="372"/>
      <c r="R785" s="372"/>
      <c r="S785" s="372"/>
    </row>
    <row r="786" spans="1:19" x14ac:dyDescent="0.2">
      <c r="A786" s="378"/>
      <c r="B786" s="368"/>
      <c r="C786" s="368"/>
      <c r="D786" s="395"/>
      <c r="G786" s="372"/>
      <c r="H786" s="376"/>
      <c r="I786" s="377"/>
      <c r="J786" s="372"/>
      <c r="K786" s="372"/>
      <c r="L786" s="372"/>
      <c r="M786" s="372"/>
      <c r="N786" s="372"/>
      <c r="O786" s="375"/>
      <c r="P786" s="372"/>
      <c r="Q786" s="372"/>
      <c r="R786" s="372"/>
      <c r="S786" s="372"/>
    </row>
    <row r="787" spans="1:19" x14ac:dyDescent="0.2">
      <c r="A787" s="378"/>
      <c r="B787" s="368"/>
      <c r="C787" s="368"/>
      <c r="D787" s="395"/>
      <c r="G787" s="372"/>
      <c r="H787" s="376"/>
      <c r="I787" s="377"/>
      <c r="J787" s="372"/>
      <c r="K787" s="372"/>
      <c r="L787" s="372"/>
      <c r="M787" s="372"/>
      <c r="N787" s="372"/>
      <c r="O787" s="375"/>
      <c r="P787" s="372"/>
      <c r="Q787" s="372"/>
      <c r="R787" s="372"/>
      <c r="S787" s="372"/>
    </row>
    <row r="788" spans="1:19" x14ac:dyDescent="0.2">
      <c r="A788" s="378"/>
      <c r="B788" s="368"/>
      <c r="C788" s="368"/>
      <c r="D788" s="395"/>
      <c r="G788" s="372"/>
      <c r="H788" s="376"/>
      <c r="I788" s="377"/>
      <c r="J788" s="372"/>
      <c r="K788" s="372"/>
      <c r="L788" s="372"/>
      <c r="M788" s="372"/>
      <c r="N788" s="372"/>
      <c r="O788" s="375"/>
      <c r="P788" s="372"/>
      <c r="Q788" s="372"/>
      <c r="R788" s="372"/>
      <c r="S788" s="372"/>
    </row>
    <row r="789" spans="1:19" x14ac:dyDescent="0.2">
      <c r="A789" s="378"/>
      <c r="B789" s="368"/>
      <c r="C789" s="368"/>
      <c r="D789" s="395"/>
      <c r="G789" s="372"/>
      <c r="H789" s="376"/>
      <c r="I789" s="377"/>
      <c r="J789" s="372"/>
      <c r="K789" s="372"/>
      <c r="L789" s="372"/>
      <c r="M789" s="372"/>
      <c r="N789" s="372"/>
      <c r="O789" s="375"/>
      <c r="P789" s="372"/>
      <c r="Q789" s="372"/>
      <c r="R789" s="372"/>
      <c r="S789" s="372"/>
    </row>
    <row r="790" spans="1:19" x14ac:dyDescent="0.2">
      <c r="A790" s="378"/>
      <c r="B790" s="368"/>
      <c r="C790" s="368"/>
      <c r="D790" s="395"/>
      <c r="G790" s="372"/>
      <c r="H790" s="376"/>
      <c r="I790" s="377"/>
      <c r="J790" s="372"/>
      <c r="K790" s="372"/>
      <c r="L790" s="372"/>
      <c r="M790" s="372"/>
      <c r="N790" s="372"/>
      <c r="O790" s="375"/>
      <c r="P790" s="372"/>
      <c r="Q790" s="372"/>
      <c r="R790" s="372"/>
      <c r="S790" s="372"/>
    </row>
    <row r="791" spans="1:19" x14ac:dyDescent="0.2">
      <c r="A791" s="378"/>
      <c r="B791" s="368"/>
      <c r="C791" s="368"/>
      <c r="D791" s="395"/>
      <c r="G791" s="372"/>
      <c r="H791" s="376"/>
      <c r="I791" s="377"/>
      <c r="J791" s="372"/>
      <c r="K791" s="372"/>
      <c r="L791" s="372"/>
      <c r="M791" s="372"/>
      <c r="N791" s="372"/>
      <c r="O791" s="375"/>
      <c r="P791" s="372"/>
      <c r="Q791" s="372"/>
      <c r="R791" s="372"/>
      <c r="S791" s="372"/>
    </row>
    <row r="792" spans="1:19" x14ac:dyDescent="0.2">
      <c r="A792" s="378"/>
      <c r="B792" s="368"/>
      <c r="C792" s="368"/>
      <c r="D792" s="395"/>
      <c r="G792" s="372"/>
      <c r="H792" s="376"/>
      <c r="I792" s="377"/>
      <c r="J792" s="372"/>
      <c r="K792" s="372"/>
      <c r="L792" s="372"/>
      <c r="M792" s="372"/>
      <c r="N792" s="372"/>
      <c r="O792" s="375"/>
      <c r="P792" s="372"/>
      <c r="Q792" s="372"/>
      <c r="R792" s="372"/>
      <c r="S792" s="372"/>
    </row>
    <row r="793" spans="1:19" x14ac:dyDescent="0.2">
      <c r="A793" s="378"/>
      <c r="B793" s="368"/>
      <c r="C793" s="368"/>
      <c r="D793" s="395"/>
      <c r="G793" s="372"/>
      <c r="H793" s="376"/>
      <c r="I793" s="377"/>
      <c r="J793" s="372"/>
      <c r="K793" s="372"/>
      <c r="L793" s="372"/>
      <c r="M793" s="372"/>
      <c r="N793" s="372"/>
      <c r="O793" s="375"/>
      <c r="P793" s="372"/>
      <c r="Q793" s="372"/>
      <c r="R793" s="372"/>
      <c r="S793" s="372"/>
    </row>
    <row r="794" spans="1:19" x14ac:dyDescent="0.2">
      <c r="A794" s="378"/>
      <c r="B794" s="368"/>
      <c r="C794" s="368"/>
      <c r="D794" s="395"/>
      <c r="G794" s="372"/>
      <c r="H794" s="376"/>
      <c r="I794" s="377"/>
      <c r="J794" s="372"/>
      <c r="K794" s="372"/>
      <c r="L794" s="372"/>
      <c r="M794" s="372"/>
      <c r="N794" s="372"/>
      <c r="O794" s="375"/>
      <c r="P794" s="372"/>
      <c r="Q794" s="372"/>
      <c r="R794" s="372"/>
      <c r="S794" s="372"/>
    </row>
    <row r="795" spans="1:19" x14ac:dyDescent="0.2">
      <c r="A795" s="378"/>
      <c r="B795" s="368"/>
      <c r="C795" s="368"/>
      <c r="D795" s="395"/>
      <c r="G795" s="372"/>
      <c r="H795" s="376"/>
      <c r="I795" s="377"/>
      <c r="J795" s="372"/>
      <c r="K795" s="372"/>
      <c r="L795" s="372"/>
      <c r="M795" s="372"/>
      <c r="N795" s="372"/>
      <c r="O795" s="375"/>
      <c r="P795" s="372"/>
      <c r="Q795" s="372"/>
      <c r="R795" s="372"/>
      <c r="S795" s="372"/>
    </row>
    <row r="796" spans="1:19" x14ac:dyDescent="0.2">
      <c r="A796" s="378"/>
      <c r="B796" s="368"/>
      <c r="C796" s="368"/>
      <c r="D796" s="395"/>
      <c r="G796" s="372"/>
      <c r="H796" s="376"/>
      <c r="I796" s="377"/>
      <c r="J796" s="372"/>
      <c r="K796" s="372"/>
      <c r="L796" s="372"/>
      <c r="M796" s="372"/>
      <c r="N796" s="372"/>
      <c r="O796" s="375"/>
      <c r="P796" s="372"/>
      <c r="Q796" s="372"/>
      <c r="R796" s="372"/>
      <c r="S796" s="372"/>
    </row>
    <row r="797" spans="1:19" x14ac:dyDescent="0.2">
      <c r="A797" s="378"/>
      <c r="B797" s="368"/>
      <c r="C797" s="368"/>
      <c r="D797" s="395"/>
      <c r="G797" s="372"/>
      <c r="H797" s="376"/>
      <c r="I797" s="377"/>
      <c r="J797" s="372"/>
      <c r="K797" s="372"/>
      <c r="L797" s="372"/>
      <c r="M797" s="372"/>
      <c r="N797" s="372"/>
      <c r="O797" s="375"/>
      <c r="P797" s="372"/>
      <c r="Q797" s="372"/>
      <c r="R797" s="372"/>
      <c r="S797" s="372"/>
    </row>
    <row r="798" spans="1:19" x14ac:dyDescent="0.2">
      <c r="A798" s="378"/>
      <c r="B798" s="368"/>
      <c r="C798" s="368"/>
      <c r="D798" s="395"/>
      <c r="G798" s="372"/>
      <c r="H798" s="376"/>
      <c r="I798" s="377"/>
      <c r="J798" s="372"/>
      <c r="K798" s="372"/>
      <c r="L798" s="372"/>
      <c r="M798" s="372"/>
      <c r="N798" s="372"/>
      <c r="O798" s="375"/>
      <c r="P798" s="372"/>
      <c r="Q798" s="372"/>
      <c r="R798" s="372"/>
      <c r="S798" s="372"/>
    </row>
    <row r="799" spans="1:19" x14ac:dyDescent="0.2">
      <c r="A799" s="378"/>
      <c r="B799" s="368"/>
      <c r="C799" s="368"/>
      <c r="D799" s="395"/>
      <c r="G799" s="372"/>
      <c r="H799" s="376"/>
      <c r="I799" s="377"/>
      <c r="J799" s="372"/>
      <c r="K799" s="372"/>
      <c r="L799" s="372"/>
      <c r="M799" s="372"/>
      <c r="N799" s="372"/>
      <c r="O799" s="375"/>
      <c r="P799" s="372"/>
      <c r="Q799" s="372"/>
      <c r="R799" s="372"/>
      <c r="S799" s="372"/>
    </row>
    <row r="800" spans="1:19" x14ac:dyDescent="0.2">
      <c r="A800" s="378"/>
      <c r="B800" s="368"/>
      <c r="C800" s="368"/>
      <c r="D800" s="395"/>
      <c r="G800" s="372"/>
      <c r="H800" s="376"/>
      <c r="I800" s="377"/>
      <c r="J800" s="372"/>
      <c r="K800" s="372"/>
      <c r="L800" s="372"/>
      <c r="M800" s="372"/>
      <c r="N800" s="372"/>
      <c r="O800" s="375"/>
      <c r="P800" s="372"/>
      <c r="Q800" s="372"/>
      <c r="R800" s="372"/>
      <c r="S800" s="372"/>
    </row>
    <row r="801" spans="1:19" x14ac:dyDescent="0.2">
      <c r="A801" s="378"/>
      <c r="B801" s="368"/>
      <c r="C801" s="368"/>
      <c r="D801" s="395"/>
      <c r="G801" s="372"/>
      <c r="H801" s="376"/>
      <c r="I801" s="377"/>
      <c r="J801" s="372"/>
      <c r="K801" s="372"/>
      <c r="L801" s="372"/>
      <c r="M801" s="372"/>
      <c r="N801" s="372"/>
      <c r="O801" s="375"/>
      <c r="P801" s="372"/>
      <c r="Q801" s="372"/>
      <c r="R801" s="372"/>
      <c r="S801" s="372"/>
    </row>
    <row r="802" spans="1:19" x14ac:dyDescent="0.2">
      <c r="A802" s="378"/>
      <c r="B802" s="368"/>
      <c r="C802" s="368"/>
      <c r="D802" s="395"/>
      <c r="G802" s="372"/>
      <c r="H802" s="376"/>
      <c r="I802" s="377"/>
      <c r="J802" s="372"/>
      <c r="K802" s="372"/>
      <c r="L802" s="372"/>
      <c r="M802" s="372"/>
      <c r="N802" s="372"/>
      <c r="O802" s="375"/>
      <c r="P802" s="372"/>
      <c r="Q802" s="372"/>
      <c r="R802" s="372"/>
      <c r="S802" s="372"/>
    </row>
    <row r="803" spans="1:19" x14ac:dyDescent="0.2">
      <c r="A803" s="378"/>
      <c r="B803" s="368"/>
      <c r="C803" s="368"/>
      <c r="D803" s="395"/>
      <c r="G803" s="372"/>
      <c r="H803" s="376"/>
      <c r="I803" s="377"/>
      <c r="J803" s="372"/>
      <c r="K803" s="372"/>
      <c r="L803" s="372"/>
      <c r="M803" s="372"/>
      <c r="N803" s="372"/>
      <c r="O803" s="375"/>
      <c r="P803" s="372"/>
      <c r="Q803" s="372"/>
      <c r="R803" s="372"/>
      <c r="S803" s="372"/>
    </row>
    <row r="804" spans="1:19" x14ac:dyDescent="0.2">
      <c r="A804" s="378"/>
      <c r="B804" s="368"/>
      <c r="C804" s="368"/>
      <c r="D804" s="395"/>
      <c r="G804" s="372"/>
      <c r="H804" s="376"/>
      <c r="I804" s="377"/>
      <c r="J804" s="372"/>
      <c r="K804" s="372"/>
      <c r="L804" s="372"/>
      <c r="M804" s="372"/>
      <c r="N804" s="372"/>
      <c r="O804" s="375"/>
      <c r="P804" s="372"/>
      <c r="Q804" s="372"/>
      <c r="R804" s="372"/>
      <c r="S804" s="372"/>
    </row>
    <row r="805" spans="1:19" x14ac:dyDescent="0.2">
      <c r="A805" s="378"/>
      <c r="B805" s="368"/>
      <c r="C805" s="368"/>
      <c r="D805" s="395"/>
      <c r="G805" s="372"/>
      <c r="H805" s="376"/>
      <c r="I805" s="377"/>
      <c r="J805" s="372"/>
      <c r="K805" s="372"/>
      <c r="L805" s="372"/>
      <c r="M805" s="372"/>
      <c r="N805" s="372"/>
      <c r="O805" s="375"/>
      <c r="P805" s="372"/>
      <c r="Q805" s="372"/>
      <c r="R805" s="372"/>
      <c r="S805" s="372"/>
    </row>
    <row r="806" spans="1:19" x14ac:dyDescent="0.2">
      <c r="A806" s="378"/>
      <c r="B806" s="368"/>
      <c r="C806" s="368"/>
      <c r="D806" s="395"/>
      <c r="G806" s="372"/>
      <c r="H806" s="376"/>
      <c r="I806" s="377"/>
      <c r="J806" s="372"/>
      <c r="K806" s="372"/>
      <c r="L806" s="372"/>
      <c r="M806" s="372"/>
      <c r="N806" s="372"/>
      <c r="O806" s="375"/>
      <c r="P806" s="372"/>
      <c r="Q806" s="372"/>
      <c r="R806" s="372"/>
      <c r="S806" s="372"/>
    </row>
    <row r="807" spans="1:19" x14ac:dyDescent="0.2">
      <c r="A807" s="378"/>
      <c r="B807" s="368"/>
      <c r="C807" s="368"/>
      <c r="D807" s="395"/>
      <c r="G807" s="372"/>
      <c r="H807" s="376"/>
      <c r="I807" s="377"/>
      <c r="J807" s="372"/>
      <c r="K807" s="372"/>
      <c r="L807" s="372"/>
      <c r="M807" s="372"/>
      <c r="N807" s="372"/>
      <c r="O807" s="375"/>
      <c r="P807" s="372"/>
      <c r="Q807" s="372"/>
      <c r="R807" s="372"/>
      <c r="S807" s="372"/>
    </row>
    <row r="808" spans="1:19" x14ac:dyDescent="0.2">
      <c r="A808" s="378"/>
      <c r="B808" s="368"/>
      <c r="C808" s="368"/>
      <c r="D808" s="368"/>
      <c r="G808" s="372"/>
      <c r="H808" s="376"/>
      <c r="I808" s="377"/>
      <c r="J808" s="372"/>
      <c r="K808" s="372"/>
      <c r="L808" s="372"/>
      <c r="M808" s="372"/>
      <c r="N808" s="372"/>
      <c r="O808" s="375"/>
      <c r="P808" s="372"/>
      <c r="Q808" s="372"/>
      <c r="R808" s="372"/>
      <c r="S808" s="372"/>
    </row>
    <row r="809" spans="1:19" x14ac:dyDescent="0.2">
      <c r="A809" s="378"/>
      <c r="B809" s="368"/>
      <c r="C809" s="368"/>
      <c r="D809" s="368"/>
      <c r="G809" s="372"/>
      <c r="H809" s="376"/>
      <c r="I809" s="377"/>
      <c r="J809" s="372"/>
      <c r="K809" s="372"/>
      <c r="L809" s="372"/>
      <c r="M809" s="372"/>
      <c r="N809" s="372"/>
      <c r="O809" s="375"/>
      <c r="P809" s="372"/>
      <c r="Q809" s="372"/>
      <c r="R809" s="372"/>
      <c r="S809" s="372"/>
    </row>
    <row r="810" spans="1:19" x14ac:dyDescent="0.2">
      <c r="A810" s="378"/>
      <c r="B810" s="368"/>
      <c r="C810" s="368"/>
      <c r="D810" s="368"/>
      <c r="G810" s="372"/>
      <c r="H810" s="376"/>
      <c r="I810" s="377"/>
      <c r="J810" s="372"/>
      <c r="K810" s="372"/>
      <c r="L810" s="372"/>
      <c r="M810" s="372"/>
      <c r="N810" s="372"/>
      <c r="O810" s="375"/>
      <c r="P810" s="372"/>
      <c r="Q810" s="372"/>
      <c r="R810" s="372"/>
      <c r="S810" s="372"/>
    </row>
    <row r="811" spans="1:19" x14ac:dyDescent="0.2">
      <c r="A811" s="378"/>
      <c r="B811" s="368"/>
      <c r="C811" s="368"/>
      <c r="D811" s="368"/>
      <c r="G811" s="372"/>
      <c r="H811" s="376"/>
      <c r="I811" s="377"/>
      <c r="J811" s="372"/>
      <c r="K811" s="372"/>
      <c r="L811" s="372"/>
      <c r="M811" s="372"/>
      <c r="N811" s="372"/>
      <c r="O811" s="375"/>
      <c r="P811" s="372"/>
      <c r="Q811" s="372"/>
      <c r="R811" s="372"/>
      <c r="S811" s="372"/>
    </row>
    <row r="812" spans="1:19" x14ac:dyDescent="0.2">
      <c r="A812" s="378"/>
      <c r="B812" s="368"/>
      <c r="C812" s="368"/>
      <c r="D812" s="368"/>
      <c r="G812" s="372"/>
      <c r="H812" s="376"/>
      <c r="I812" s="377"/>
      <c r="J812" s="372"/>
      <c r="K812" s="372"/>
      <c r="L812" s="372"/>
      <c r="M812" s="372"/>
      <c r="N812" s="372"/>
      <c r="O812" s="375"/>
      <c r="P812" s="372"/>
      <c r="Q812" s="372"/>
      <c r="R812" s="372"/>
      <c r="S812" s="372"/>
    </row>
    <row r="813" spans="1:19" x14ac:dyDescent="0.2">
      <c r="A813" s="378"/>
      <c r="B813" s="368"/>
      <c r="C813" s="368"/>
      <c r="D813" s="368"/>
      <c r="G813" s="372"/>
      <c r="H813" s="376"/>
      <c r="I813" s="377"/>
      <c r="J813" s="372"/>
      <c r="K813" s="372"/>
      <c r="L813" s="372"/>
      <c r="M813" s="372"/>
      <c r="N813" s="372"/>
      <c r="O813" s="375"/>
      <c r="P813" s="372"/>
      <c r="Q813" s="372"/>
      <c r="R813" s="372"/>
      <c r="S813" s="372"/>
    </row>
    <row r="814" spans="1:19" x14ac:dyDescent="0.2">
      <c r="A814" s="378"/>
      <c r="B814" s="368"/>
      <c r="C814" s="368"/>
      <c r="D814" s="368"/>
      <c r="G814" s="372"/>
      <c r="H814" s="376"/>
      <c r="I814" s="377"/>
      <c r="J814" s="372"/>
      <c r="K814" s="372"/>
      <c r="L814" s="372"/>
      <c r="M814" s="372"/>
      <c r="N814" s="372"/>
      <c r="O814" s="375"/>
      <c r="P814" s="372"/>
      <c r="Q814" s="372"/>
      <c r="R814" s="372"/>
      <c r="S814" s="372"/>
    </row>
    <row r="815" spans="1:19" x14ac:dyDescent="0.2">
      <c r="A815" s="378"/>
      <c r="B815" s="368"/>
      <c r="C815" s="368"/>
      <c r="D815" s="368"/>
      <c r="G815" s="372"/>
      <c r="H815" s="376"/>
      <c r="I815" s="377"/>
      <c r="J815" s="372"/>
      <c r="K815" s="372"/>
      <c r="L815" s="372"/>
      <c r="M815" s="372"/>
      <c r="N815" s="372"/>
      <c r="O815" s="375"/>
      <c r="P815" s="372"/>
      <c r="Q815" s="372"/>
      <c r="R815" s="372"/>
      <c r="S815" s="372"/>
    </row>
    <row r="816" spans="1:19" x14ac:dyDescent="0.2">
      <c r="A816" s="378"/>
      <c r="B816" s="368"/>
      <c r="C816" s="368"/>
      <c r="D816" s="368"/>
      <c r="G816" s="372"/>
      <c r="H816" s="376"/>
      <c r="I816" s="377"/>
      <c r="J816" s="372"/>
      <c r="K816" s="372"/>
      <c r="L816" s="372"/>
      <c r="M816" s="372"/>
      <c r="N816" s="372"/>
      <c r="O816" s="375"/>
      <c r="P816" s="372"/>
      <c r="Q816" s="372"/>
      <c r="R816" s="372"/>
      <c r="S816" s="372"/>
    </row>
    <row r="817" spans="1:19" x14ac:dyDescent="0.2">
      <c r="A817" s="378"/>
      <c r="B817" s="368"/>
      <c r="C817" s="368"/>
      <c r="D817" s="368"/>
      <c r="G817" s="372"/>
      <c r="H817" s="376"/>
      <c r="I817" s="377"/>
      <c r="J817" s="372"/>
      <c r="K817" s="372"/>
      <c r="L817" s="372"/>
      <c r="M817" s="372"/>
      <c r="N817" s="372"/>
      <c r="O817" s="375"/>
      <c r="P817" s="372"/>
      <c r="Q817" s="372"/>
      <c r="R817" s="372"/>
      <c r="S817" s="372"/>
    </row>
    <row r="818" spans="1:19" x14ac:dyDescent="0.2">
      <c r="A818" s="368"/>
      <c r="B818" s="368"/>
      <c r="C818" s="368"/>
      <c r="D818" s="368"/>
      <c r="G818" s="372"/>
      <c r="H818" s="376"/>
      <c r="I818" s="377"/>
      <c r="J818" s="372"/>
      <c r="K818" s="372"/>
      <c r="L818" s="372"/>
      <c r="M818" s="372"/>
      <c r="N818" s="372"/>
      <c r="O818" s="375"/>
      <c r="P818" s="372"/>
      <c r="Q818" s="372"/>
      <c r="R818" s="372"/>
      <c r="S818" s="372"/>
    </row>
    <row r="819" spans="1:19" x14ac:dyDescent="0.2">
      <c r="A819" s="368"/>
      <c r="B819" s="368"/>
      <c r="C819" s="368"/>
      <c r="D819" s="368"/>
      <c r="G819" s="372"/>
      <c r="H819" s="376"/>
      <c r="I819" s="377"/>
      <c r="J819" s="372"/>
      <c r="K819" s="372"/>
      <c r="L819" s="372"/>
      <c r="M819" s="372"/>
      <c r="N819" s="372"/>
      <c r="O819" s="375"/>
      <c r="P819" s="372"/>
      <c r="Q819" s="372"/>
      <c r="R819" s="372"/>
      <c r="S819" s="372"/>
    </row>
    <row r="820" spans="1:19" x14ac:dyDescent="0.2">
      <c r="A820" s="368"/>
      <c r="B820" s="368"/>
      <c r="C820" s="368"/>
      <c r="D820" s="368"/>
      <c r="G820" s="372"/>
      <c r="H820" s="376"/>
      <c r="I820" s="377"/>
      <c r="J820" s="372"/>
      <c r="K820" s="372"/>
      <c r="L820" s="372"/>
      <c r="M820" s="372"/>
      <c r="N820" s="372"/>
      <c r="O820" s="375"/>
      <c r="P820" s="372"/>
      <c r="Q820" s="372"/>
      <c r="R820" s="372"/>
      <c r="S820" s="372"/>
    </row>
    <row r="821" spans="1:19" x14ac:dyDescent="0.2">
      <c r="A821" s="368"/>
      <c r="B821" s="368"/>
      <c r="C821" s="368"/>
      <c r="D821" s="368"/>
      <c r="G821" s="372"/>
      <c r="H821" s="376"/>
      <c r="I821" s="377"/>
      <c r="J821" s="372"/>
      <c r="K821" s="372"/>
      <c r="L821" s="372"/>
      <c r="M821" s="372"/>
      <c r="N821" s="372"/>
      <c r="O821" s="375"/>
      <c r="P821" s="372"/>
      <c r="Q821" s="372"/>
      <c r="R821" s="372"/>
      <c r="S821" s="372"/>
    </row>
    <row r="822" spans="1:19" x14ac:dyDescent="0.2">
      <c r="A822" s="368"/>
      <c r="B822" s="368"/>
      <c r="C822" s="368"/>
      <c r="D822" s="368"/>
      <c r="G822" s="372"/>
      <c r="H822" s="376"/>
      <c r="I822" s="377"/>
      <c r="J822" s="372"/>
      <c r="K822" s="372"/>
      <c r="L822" s="372"/>
      <c r="M822" s="372"/>
      <c r="N822" s="372"/>
      <c r="O822" s="375"/>
      <c r="P822" s="372"/>
      <c r="Q822" s="372"/>
      <c r="R822" s="372"/>
      <c r="S822" s="372"/>
    </row>
    <row r="823" spans="1:19" x14ac:dyDescent="0.2">
      <c r="A823" s="368"/>
      <c r="B823" s="368"/>
      <c r="C823" s="368"/>
      <c r="D823" s="368"/>
      <c r="G823" s="372"/>
      <c r="H823" s="376"/>
      <c r="I823" s="377"/>
      <c r="J823" s="372"/>
      <c r="K823" s="372"/>
      <c r="L823" s="372"/>
      <c r="M823" s="372"/>
      <c r="N823" s="372"/>
      <c r="O823" s="375"/>
      <c r="P823" s="372"/>
      <c r="Q823" s="372"/>
      <c r="R823" s="372"/>
      <c r="S823" s="372"/>
    </row>
    <row r="824" spans="1:19" x14ac:dyDescent="0.2">
      <c r="A824" s="368"/>
      <c r="B824" s="368"/>
      <c r="C824" s="368"/>
      <c r="D824" s="368"/>
      <c r="G824" s="372"/>
      <c r="H824" s="376"/>
      <c r="I824" s="377"/>
      <c r="J824" s="372"/>
      <c r="K824" s="372"/>
      <c r="L824" s="372"/>
      <c r="M824" s="372"/>
      <c r="N824" s="372"/>
      <c r="O824" s="375"/>
      <c r="P824" s="372"/>
      <c r="Q824" s="372"/>
      <c r="R824" s="372"/>
      <c r="S824" s="372"/>
    </row>
    <row r="825" spans="1:19" x14ac:dyDescent="0.2">
      <c r="A825" s="368"/>
      <c r="B825" s="368"/>
      <c r="C825" s="368"/>
      <c r="D825" s="368"/>
      <c r="G825" s="372"/>
      <c r="H825" s="376"/>
      <c r="I825" s="377"/>
      <c r="J825" s="372"/>
      <c r="K825" s="372"/>
      <c r="L825" s="372"/>
      <c r="M825" s="372"/>
      <c r="N825" s="372"/>
      <c r="O825" s="375"/>
      <c r="P825" s="372"/>
      <c r="Q825" s="372"/>
      <c r="R825" s="372"/>
      <c r="S825" s="372"/>
    </row>
    <row r="826" spans="1:19" x14ac:dyDescent="0.2">
      <c r="A826" s="368"/>
      <c r="B826" s="368"/>
      <c r="C826" s="368"/>
      <c r="D826" s="368"/>
      <c r="G826" s="372"/>
      <c r="H826" s="376"/>
      <c r="I826" s="377"/>
      <c r="J826" s="372"/>
      <c r="K826" s="372"/>
      <c r="L826" s="372"/>
      <c r="M826" s="372"/>
      <c r="N826" s="372"/>
      <c r="O826" s="375"/>
      <c r="P826" s="372"/>
      <c r="Q826" s="372"/>
      <c r="R826" s="372"/>
      <c r="S826" s="372"/>
    </row>
    <row r="827" spans="1:19" x14ac:dyDescent="0.2">
      <c r="A827" s="368"/>
      <c r="B827" s="368"/>
      <c r="C827" s="368"/>
      <c r="D827" s="368"/>
    </row>
  </sheetData>
  <mergeCells count="5">
    <mergeCell ref="K32:N32"/>
    <mergeCell ref="K44:N44"/>
    <mergeCell ref="K54:N54"/>
    <mergeCell ref="K62:L62"/>
    <mergeCell ref="K63:L63"/>
  </mergeCells>
  <conditionalFormatting sqref="C14">
    <cfRule type="expression" dxfId="62" priority="61" stopIfTrue="1">
      <formula>#REF!&gt;0</formula>
    </cfRule>
    <cfRule type="expression" dxfId="61" priority="62" stopIfTrue="1">
      <formula>#REF!&gt;0</formula>
    </cfRule>
    <cfRule type="expression" dxfId="60" priority="63" stopIfTrue="1">
      <formula>#REF!&gt;0</formula>
    </cfRule>
  </conditionalFormatting>
  <conditionalFormatting sqref="C21">
    <cfRule type="expression" dxfId="59" priority="58" stopIfTrue="1">
      <formula>#REF!&gt;0</formula>
    </cfRule>
    <cfRule type="expression" dxfId="58" priority="59" stopIfTrue="1">
      <formula>#REF!&gt;0</formula>
    </cfRule>
    <cfRule type="expression" dxfId="57" priority="60" stopIfTrue="1">
      <formula>#REF!&gt;0</formula>
    </cfRule>
  </conditionalFormatting>
  <conditionalFormatting sqref="C96">
    <cfRule type="expression" dxfId="56" priority="55" stopIfTrue="1">
      <formula>#REF!&gt;0</formula>
    </cfRule>
    <cfRule type="expression" dxfId="55" priority="56" stopIfTrue="1">
      <formula>#REF!&gt;0</formula>
    </cfRule>
    <cfRule type="expression" dxfId="54" priority="57" stopIfTrue="1">
      <formula>#REF!&gt;0</formula>
    </cfRule>
  </conditionalFormatting>
  <conditionalFormatting sqref="C104">
    <cfRule type="expression" dxfId="53" priority="52" stopIfTrue="1">
      <formula>#REF!&gt;0</formula>
    </cfRule>
    <cfRule type="expression" dxfId="52" priority="53" stopIfTrue="1">
      <formula>#REF!&gt;0</formula>
    </cfRule>
    <cfRule type="expression" dxfId="51" priority="54" stopIfTrue="1">
      <formula>#REF!&gt;0</formula>
    </cfRule>
  </conditionalFormatting>
  <conditionalFormatting sqref="C113">
    <cfRule type="expression" dxfId="50" priority="49" stopIfTrue="1">
      <formula>#REF!&gt;0</formula>
    </cfRule>
    <cfRule type="expression" dxfId="49" priority="50" stopIfTrue="1">
      <formula>#REF!&gt;0</formula>
    </cfRule>
    <cfRule type="expression" dxfId="48" priority="51" stopIfTrue="1">
      <formula>#REF!&gt;0</formula>
    </cfRule>
  </conditionalFormatting>
  <conditionalFormatting sqref="C129">
    <cfRule type="expression" dxfId="47" priority="46" stopIfTrue="1">
      <formula>#REF!&gt;0</formula>
    </cfRule>
    <cfRule type="expression" dxfId="46" priority="47" stopIfTrue="1">
      <formula>#REF!&gt;0</formula>
    </cfRule>
    <cfRule type="expression" dxfId="45" priority="48" stopIfTrue="1">
      <formula>#REF!&gt;0</formula>
    </cfRule>
  </conditionalFormatting>
  <conditionalFormatting sqref="C149">
    <cfRule type="expression" dxfId="44" priority="43" stopIfTrue="1">
      <formula>#REF!&gt;0</formula>
    </cfRule>
    <cfRule type="expression" dxfId="43" priority="44" stopIfTrue="1">
      <formula>#REF!&gt;0</formula>
    </cfRule>
    <cfRule type="expression" dxfId="42" priority="45" stopIfTrue="1">
      <formula>#REF!&gt;0</formula>
    </cfRule>
  </conditionalFormatting>
  <conditionalFormatting sqref="C217">
    <cfRule type="expression" dxfId="41" priority="40" stopIfTrue="1">
      <formula>#REF!&gt;0</formula>
    </cfRule>
    <cfRule type="expression" dxfId="40" priority="41" stopIfTrue="1">
      <formula>#REF!&gt;0</formula>
    </cfRule>
    <cfRule type="expression" dxfId="39" priority="42" stopIfTrue="1">
      <formula>#REF!&gt;0</formula>
    </cfRule>
  </conditionalFormatting>
  <conditionalFormatting sqref="C181">
    <cfRule type="expression" dxfId="38" priority="37" stopIfTrue="1">
      <formula>#REF!&gt;0</formula>
    </cfRule>
    <cfRule type="expression" dxfId="37" priority="38" stopIfTrue="1">
      <formula>#REF!&gt;0</formula>
    </cfRule>
    <cfRule type="expression" dxfId="36" priority="39" stopIfTrue="1">
      <formula>#REF!&gt;0</formula>
    </cfRule>
  </conditionalFormatting>
  <conditionalFormatting sqref="C210">
    <cfRule type="expression" dxfId="35" priority="34" stopIfTrue="1">
      <formula>#REF!&gt;0</formula>
    </cfRule>
    <cfRule type="expression" dxfId="34" priority="35" stopIfTrue="1">
      <formula>#REF!&gt;0</formula>
    </cfRule>
    <cfRule type="expression" dxfId="33" priority="36" stopIfTrue="1">
      <formula>#REF!&gt;0</formula>
    </cfRule>
  </conditionalFormatting>
  <conditionalFormatting sqref="C223">
    <cfRule type="expression" dxfId="32" priority="31" stopIfTrue="1">
      <formula>#REF!&gt;0</formula>
    </cfRule>
    <cfRule type="expression" dxfId="31" priority="32" stopIfTrue="1">
      <formula>#REF!&gt;0</formula>
    </cfRule>
    <cfRule type="expression" dxfId="30" priority="33" stopIfTrue="1">
      <formula>#REF!&gt;0</formula>
    </cfRule>
  </conditionalFormatting>
  <conditionalFormatting sqref="C8">
    <cfRule type="expression" dxfId="29" priority="28" stopIfTrue="1">
      <formula>#REF!&gt;0</formula>
    </cfRule>
    <cfRule type="expression" dxfId="28" priority="29" stopIfTrue="1">
      <formula>#REF!&gt;0</formula>
    </cfRule>
    <cfRule type="expression" dxfId="27" priority="30" stopIfTrue="1">
      <formula>#REF!&gt;0</formula>
    </cfRule>
  </conditionalFormatting>
  <conditionalFormatting sqref="C36">
    <cfRule type="expression" dxfId="26" priority="25" stopIfTrue="1">
      <formula>#REF!&gt;0</formula>
    </cfRule>
    <cfRule type="expression" dxfId="25" priority="26" stopIfTrue="1">
      <formula>#REF!&gt;0</formula>
    </cfRule>
    <cfRule type="expression" dxfId="24" priority="27" stopIfTrue="1">
      <formula>#REF!&gt;0</formula>
    </cfRule>
  </conditionalFormatting>
  <conditionalFormatting sqref="C49">
    <cfRule type="expression" dxfId="23" priority="22" stopIfTrue="1">
      <formula>#REF!&gt;0</formula>
    </cfRule>
    <cfRule type="expression" dxfId="22" priority="23" stopIfTrue="1">
      <formula>#REF!&gt;0</formula>
    </cfRule>
    <cfRule type="expression" dxfId="21" priority="24" stopIfTrue="1">
      <formula>#REF!&gt;0</formula>
    </cfRule>
  </conditionalFormatting>
  <conditionalFormatting sqref="C74">
    <cfRule type="expression" dxfId="20" priority="19" stopIfTrue="1">
      <formula>#REF!&gt;0</formula>
    </cfRule>
    <cfRule type="expression" dxfId="19" priority="20" stopIfTrue="1">
      <formula>#REF!&gt;0</formula>
    </cfRule>
    <cfRule type="expression" dxfId="18" priority="21" stopIfTrue="1">
      <formula>#REF!&gt;0</formula>
    </cfRule>
  </conditionalFormatting>
  <conditionalFormatting sqref="C67">
    <cfRule type="expression" dxfId="17" priority="16" stopIfTrue="1">
      <formula>#REF!&gt;0</formula>
    </cfRule>
    <cfRule type="expression" dxfId="16" priority="17" stopIfTrue="1">
      <formula>#REF!&gt;0</formula>
    </cfRule>
    <cfRule type="expression" dxfId="15" priority="18" stopIfTrue="1">
      <formula>#REF!&gt;0</formula>
    </cfRule>
  </conditionalFormatting>
  <conditionalFormatting sqref="C81">
    <cfRule type="expression" dxfId="14" priority="13" stopIfTrue="1">
      <formula>#REF!&gt;0</formula>
    </cfRule>
    <cfRule type="expression" dxfId="13" priority="14" stopIfTrue="1">
      <formula>#REF!&gt;0</formula>
    </cfRule>
    <cfRule type="expression" dxfId="12" priority="15" stopIfTrue="1">
      <formula>#REF!&gt;0</formula>
    </cfRule>
  </conditionalFormatting>
  <conditionalFormatting sqref="C86">
    <cfRule type="expression" dxfId="11" priority="10" stopIfTrue="1">
      <formula>#REF!&gt;0</formula>
    </cfRule>
    <cfRule type="expression" dxfId="10" priority="11" stopIfTrue="1">
      <formula>#REF!&gt;0</formula>
    </cfRule>
    <cfRule type="expression" dxfId="9" priority="12" stopIfTrue="1">
      <formula>#REF!&gt;0</formula>
    </cfRule>
  </conditionalFormatting>
  <conditionalFormatting sqref="C240">
    <cfRule type="expression" dxfId="8" priority="7" stopIfTrue="1">
      <formula>#REF!&gt;0</formula>
    </cfRule>
    <cfRule type="expression" dxfId="7" priority="8" stopIfTrue="1">
      <formula>#REF!&gt;0</formula>
    </cfRule>
    <cfRule type="expression" dxfId="6" priority="9" stopIfTrue="1">
      <formula>#REF!&gt;0</formula>
    </cfRule>
  </conditionalFormatting>
  <conditionalFormatting sqref="C247">
    <cfRule type="expression" dxfId="5" priority="4" stopIfTrue="1">
      <formula>#REF!&gt;0</formula>
    </cfRule>
    <cfRule type="expression" dxfId="4" priority="5" stopIfTrue="1">
      <formula>#REF!&gt;0</formula>
    </cfRule>
    <cfRule type="expression" dxfId="3" priority="6" stopIfTrue="1">
      <formula>#REF!&gt;0</formula>
    </cfRule>
  </conditionalFormatting>
  <conditionalFormatting sqref="C234">
    <cfRule type="expression" dxfId="2" priority="1" stopIfTrue="1">
      <formula>#REF!&gt;0</formula>
    </cfRule>
    <cfRule type="expression" dxfId="1" priority="2" stopIfTrue="1">
      <formula>#REF!&gt;0</formula>
    </cfRule>
    <cfRule type="expression" dxfId="0" priority="3" stopIfTrue="1">
      <formula>#REF!&gt;0</formula>
    </cfRule>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dimension ref="A1:G24"/>
  <sheetViews>
    <sheetView topLeftCell="A7" workbookViewId="0">
      <selection activeCell="A24" sqref="A24"/>
    </sheetView>
  </sheetViews>
  <sheetFormatPr baseColWidth="10" defaultColWidth="11.42578125" defaultRowHeight="12.75" x14ac:dyDescent="0.2"/>
  <cols>
    <col min="1" max="1" width="148.5703125" style="190" customWidth="1"/>
    <col min="2" max="16384" width="11.42578125" style="190"/>
  </cols>
  <sheetData>
    <row r="1" spans="1:7" ht="30" customHeight="1" x14ac:dyDescent="0.2">
      <c r="A1" s="189" t="s">
        <v>959</v>
      </c>
    </row>
    <row r="2" spans="1:7" ht="30" customHeight="1" x14ac:dyDescent="0.2">
      <c r="A2" s="189" t="s">
        <v>997</v>
      </c>
    </row>
    <row r="3" spans="1:7" ht="150" x14ac:dyDescent="0.2">
      <c r="A3" s="191" t="s">
        <v>998</v>
      </c>
    </row>
    <row r="4" spans="1:7" ht="30" customHeight="1" x14ac:dyDescent="0.2">
      <c r="A4" s="189" t="s">
        <v>960</v>
      </c>
    </row>
    <row r="5" spans="1:7" ht="150" x14ac:dyDescent="0.2">
      <c r="A5" s="191" t="s">
        <v>1000</v>
      </c>
    </row>
    <row r="6" spans="1:7" ht="45" customHeight="1" x14ac:dyDescent="0.2">
      <c r="A6" s="191" t="s">
        <v>1001</v>
      </c>
      <c r="B6" s="192"/>
      <c r="C6" s="192"/>
      <c r="D6" s="192"/>
      <c r="E6" s="192"/>
      <c r="F6" s="192"/>
      <c r="G6" s="192"/>
    </row>
    <row r="7" spans="1:7" ht="30" customHeight="1" x14ac:dyDescent="0.2">
      <c r="A7" s="189" t="s">
        <v>961</v>
      </c>
    </row>
    <row r="8" spans="1:7" ht="60" x14ac:dyDescent="0.2">
      <c r="A8" s="191" t="s">
        <v>1003</v>
      </c>
      <c r="B8" s="192"/>
      <c r="C8" s="192"/>
      <c r="D8" s="192"/>
      <c r="E8" s="192"/>
      <c r="F8" s="192"/>
      <c r="G8" s="192"/>
    </row>
    <row r="9" spans="1:7" ht="30" x14ac:dyDescent="0.2">
      <c r="A9" s="191" t="s">
        <v>1002</v>
      </c>
      <c r="B9" s="192"/>
      <c r="C9" s="192"/>
      <c r="D9" s="192"/>
      <c r="E9" s="192"/>
      <c r="F9" s="192"/>
      <c r="G9" s="192"/>
    </row>
    <row r="10" spans="1:7" ht="30" customHeight="1" x14ac:dyDescent="0.2">
      <c r="A10" s="189" t="s">
        <v>962</v>
      </c>
    </row>
    <row r="11" spans="1:7" ht="30" x14ac:dyDescent="0.2">
      <c r="A11" s="191" t="s">
        <v>1004</v>
      </c>
      <c r="B11" s="192"/>
      <c r="C11" s="192"/>
      <c r="D11" s="192"/>
      <c r="E11" s="192"/>
      <c r="F11" s="192"/>
      <c r="G11" s="192"/>
    </row>
    <row r="12" spans="1:7" ht="75" x14ac:dyDescent="0.2">
      <c r="A12" s="191" t="s">
        <v>1005</v>
      </c>
    </row>
    <row r="13" spans="1:7" ht="45" x14ac:dyDescent="0.2">
      <c r="A13" s="191" t="s">
        <v>1006</v>
      </c>
    </row>
    <row r="14" spans="1:7" ht="166.5" x14ac:dyDescent="0.2">
      <c r="A14" s="191" t="s">
        <v>1007</v>
      </c>
    </row>
    <row r="15" spans="1:7" ht="30" customHeight="1" x14ac:dyDescent="0.2">
      <c r="A15" s="189" t="s">
        <v>963</v>
      </c>
    </row>
    <row r="16" spans="1:7" ht="195" x14ac:dyDescent="0.2">
      <c r="A16" s="191" t="s">
        <v>1008</v>
      </c>
    </row>
    <row r="17" spans="1:7" ht="120" x14ac:dyDescent="0.2">
      <c r="A17" s="191" t="s">
        <v>1009</v>
      </c>
    </row>
    <row r="18" spans="1:7" ht="44.25" customHeight="1" x14ac:dyDescent="0.2">
      <c r="A18" s="191" t="s">
        <v>964</v>
      </c>
    </row>
    <row r="19" spans="1:7" ht="30.75" customHeight="1" x14ac:dyDescent="0.2">
      <c r="A19" s="189" t="s">
        <v>965</v>
      </c>
      <c r="B19" s="192"/>
      <c r="C19" s="192"/>
      <c r="D19" s="192"/>
      <c r="E19" s="192"/>
      <c r="F19" s="192"/>
      <c r="G19" s="192"/>
    </row>
    <row r="20" spans="1:7" ht="30" x14ac:dyDescent="0.2">
      <c r="A20" s="191" t="s">
        <v>1010</v>
      </c>
    </row>
    <row r="21" spans="1:7" ht="30" x14ac:dyDescent="0.2">
      <c r="A21" s="191" t="s">
        <v>1011</v>
      </c>
    </row>
    <row r="22" spans="1:7" ht="30" customHeight="1" x14ac:dyDescent="0.2"/>
    <row r="23" spans="1:7" ht="15.75" x14ac:dyDescent="0.2">
      <c r="A23" s="189" t="s">
        <v>966</v>
      </c>
    </row>
    <row r="24" spans="1:7" ht="45" x14ac:dyDescent="0.2">
      <c r="A24" s="191" t="s">
        <v>967</v>
      </c>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
    <pageSetUpPr fitToPage="1"/>
  </sheetPr>
  <dimension ref="A1:O1941"/>
  <sheetViews>
    <sheetView showGridLines="0" showZeros="0" tabSelected="1" zoomScale="90" zoomScaleNormal="90" zoomScaleSheetLayoutView="90" workbookViewId="0">
      <selection activeCell="B13" sqref="B13"/>
    </sheetView>
  </sheetViews>
  <sheetFormatPr baseColWidth="10" defaultColWidth="11.42578125" defaultRowHeight="20.100000000000001" customHeight="1" x14ac:dyDescent="0.2"/>
  <cols>
    <col min="1" max="1" width="30.7109375" style="134" customWidth="1"/>
    <col min="2" max="2" width="70.7109375" style="134" customWidth="1"/>
    <col min="3" max="3" width="9.7109375" style="207" customWidth="1"/>
    <col min="4" max="4" width="14.7109375" style="134" customWidth="1"/>
    <col min="5" max="5" width="15.7109375" style="134" customWidth="1"/>
    <col min="6" max="6" width="26.140625" style="134" customWidth="1"/>
    <col min="7" max="7" width="15.7109375" style="134" customWidth="1"/>
    <col min="8" max="8" width="62.7109375" style="134" bestFit="1" customWidth="1"/>
    <col min="9" max="9" width="14.7109375" style="136" customWidth="1"/>
    <col min="10" max="11" width="11.42578125" style="134"/>
    <col min="12" max="15" width="5.7109375" style="215" customWidth="1"/>
    <col min="16" max="16384" width="11.42578125" style="134"/>
  </cols>
  <sheetData>
    <row r="1" spans="1:15" ht="20.100000000000001" customHeight="1" x14ac:dyDescent="0.2">
      <c r="A1" s="708" t="s">
        <v>955</v>
      </c>
      <c r="B1" s="709"/>
      <c r="C1" s="709"/>
      <c r="D1" s="710"/>
      <c r="E1" s="157"/>
      <c r="F1" s="157"/>
    </row>
    <row r="2" spans="1:15" s="170" customFormat="1" ht="20.100000000000001" customHeight="1" x14ac:dyDescent="0.2">
      <c r="A2" s="133" t="s">
        <v>8</v>
      </c>
      <c r="B2" s="133" t="s">
        <v>1052</v>
      </c>
      <c r="C2" s="208"/>
      <c r="D2" s="133"/>
      <c r="E2" s="133"/>
      <c r="F2" s="133"/>
      <c r="I2" s="695"/>
      <c r="L2" s="216"/>
      <c r="M2" s="216"/>
      <c r="N2" s="216"/>
      <c r="O2" s="216"/>
    </row>
    <row r="3" spans="1:15" s="172" customFormat="1" ht="20.100000000000001" customHeight="1" x14ac:dyDescent="0.2">
      <c r="A3" s="171" t="s">
        <v>9</v>
      </c>
      <c r="B3" s="173" t="s">
        <v>1874</v>
      </c>
      <c r="C3" s="209"/>
      <c r="D3" s="174"/>
      <c r="E3" s="174"/>
      <c r="F3" s="174"/>
      <c r="I3" s="696"/>
      <c r="L3" s="217"/>
      <c r="M3" s="217"/>
      <c r="N3" s="217"/>
      <c r="O3" s="217"/>
    </row>
    <row r="4" spans="1:15" s="297" customFormat="1" ht="19.5" customHeight="1" x14ac:dyDescent="0.2">
      <c r="A4" s="295" t="s">
        <v>1012</v>
      </c>
      <c r="B4" s="296" t="s">
        <v>1378</v>
      </c>
      <c r="D4" s="87"/>
      <c r="E4" s="87"/>
      <c r="I4" s="697"/>
    </row>
    <row r="5" spans="1:15" s="297" customFormat="1" ht="19.5" customHeight="1" x14ac:dyDescent="0.2">
      <c r="A5" s="295" t="s">
        <v>1013</v>
      </c>
      <c r="B5" s="296"/>
      <c r="D5" s="87"/>
      <c r="E5" s="87"/>
      <c r="I5" s="697"/>
    </row>
    <row r="6" spans="1:15" s="297" customFormat="1" ht="19.5" customHeight="1" x14ac:dyDescent="0.2">
      <c r="A6" s="295" t="s">
        <v>1014</v>
      </c>
      <c r="B6" s="296"/>
      <c r="D6" s="87"/>
      <c r="E6" s="87"/>
      <c r="I6" s="697"/>
    </row>
    <row r="7" spans="1:15" s="297" customFormat="1" ht="19.5" customHeight="1" x14ac:dyDescent="0.2">
      <c r="A7" s="295" t="s">
        <v>1015</v>
      </c>
      <c r="B7" s="296"/>
      <c r="D7" s="87"/>
      <c r="E7" s="87"/>
      <c r="I7" s="697"/>
    </row>
    <row r="8" spans="1:15" s="172" customFormat="1" ht="20.100000000000001" customHeight="1" x14ac:dyDescent="0.2">
      <c r="A8" s="171" t="s">
        <v>15</v>
      </c>
      <c r="B8" s="175" t="s">
        <v>1875</v>
      </c>
      <c r="C8" s="209"/>
      <c r="D8" s="174"/>
      <c r="E8" s="174"/>
      <c r="F8" s="174"/>
      <c r="I8" s="696"/>
      <c r="L8" s="217"/>
      <c r="M8" s="217"/>
      <c r="N8" s="217"/>
      <c r="O8" s="217"/>
    </row>
    <row r="9" spans="1:15" s="172" customFormat="1" ht="20.100000000000001" customHeight="1" x14ac:dyDescent="0.2">
      <c r="A9" s="171" t="s">
        <v>14</v>
      </c>
      <c r="B9" s="176" t="s">
        <v>1891</v>
      </c>
      <c r="C9" s="210"/>
      <c r="I9" s="696"/>
      <c r="L9" s="217"/>
      <c r="M9" s="217"/>
      <c r="N9" s="217"/>
      <c r="O9" s="217"/>
    </row>
    <row r="10" spans="1:15" s="172" customFormat="1" ht="20.100000000000001" customHeight="1" x14ac:dyDescent="0.2">
      <c r="A10" s="171" t="s">
        <v>32</v>
      </c>
      <c r="B10" s="177"/>
      <c r="C10" s="210"/>
      <c r="I10" s="696"/>
      <c r="L10" s="217"/>
      <c r="M10" s="217"/>
      <c r="N10" s="217"/>
      <c r="O10" s="217"/>
    </row>
    <row r="11" spans="1:15" s="172" customFormat="1" ht="20.100000000000001" customHeight="1" x14ac:dyDescent="0.2">
      <c r="A11" s="171" t="s">
        <v>17</v>
      </c>
      <c r="B11" s="178">
        <v>27000000</v>
      </c>
      <c r="C11" s="210"/>
      <c r="I11" s="696"/>
      <c r="L11" s="217"/>
      <c r="M11" s="217"/>
      <c r="N11" s="217"/>
      <c r="O11" s="217"/>
    </row>
    <row r="12" spans="1:15" s="172" customFormat="1" ht="20.100000000000001" customHeight="1" x14ac:dyDescent="0.2">
      <c r="A12" s="171" t="s">
        <v>905</v>
      </c>
      <c r="B12" s="179">
        <v>0.1</v>
      </c>
      <c r="C12" s="210"/>
      <c r="I12" s="696"/>
      <c r="L12" s="217"/>
      <c r="M12" s="217"/>
      <c r="N12" s="217"/>
      <c r="O12" s="217"/>
    </row>
    <row r="13" spans="1:15" s="172" customFormat="1" ht="20.100000000000001" customHeight="1" x14ac:dyDescent="0.2">
      <c r="A13" s="171" t="s">
        <v>904</v>
      </c>
      <c r="B13" s="180">
        <v>43411</v>
      </c>
      <c r="C13" s="210"/>
      <c r="I13" s="696"/>
      <c r="L13" s="217"/>
      <c r="M13" s="217"/>
      <c r="N13" s="217"/>
      <c r="O13" s="217"/>
    </row>
    <row r="14" spans="1:15" s="172" customFormat="1" ht="20.100000000000001" customHeight="1" x14ac:dyDescent="0.2">
      <c r="A14" s="171" t="s">
        <v>16</v>
      </c>
      <c r="B14" s="181" t="s">
        <v>1876</v>
      </c>
      <c r="C14" s="210"/>
      <c r="I14" s="696"/>
      <c r="L14" s="217"/>
      <c r="M14" s="217"/>
      <c r="N14" s="217"/>
      <c r="O14" s="217"/>
    </row>
    <row r="15" spans="1:15" s="172" customFormat="1" ht="20.100000000000001" customHeight="1" x14ac:dyDescent="0.2">
      <c r="A15" s="171"/>
      <c r="B15" s="182"/>
      <c r="C15" s="210"/>
      <c r="I15" s="696"/>
      <c r="L15" s="217"/>
      <c r="M15" s="217"/>
      <c r="N15" s="217"/>
      <c r="O15" s="217"/>
    </row>
    <row r="16" spans="1:15" ht="20.100000000000001" customHeight="1" x14ac:dyDescent="0.2">
      <c r="A16" s="708" t="s">
        <v>956</v>
      </c>
      <c r="B16" s="709"/>
      <c r="C16" s="709"/>
      <c r="D16" s="710"/>
      <c r="E16" s="157"/>
      <c r="F16" s="157"/>
    </row>
    <row r="17" spans="1:15" s="172" customFormat="1" ht="20.100000000000001" customHeight="1" x14ac:dyDescent="0.2">
      <c r="A17" s="171" t="s">
        <v>10</v>
      </c>
      <c r="B17" s="287"/>
      <c r="C17" s="210"/>
      <c r="I17" s="696"/>
      <c r="L17" s="217"/>
      <c r="M17" s="217"/>
      <c r="N17" s="217"/>
      <c r="O17" s="217"/>
    </row>
    <row r="18" spans="1:15" s="297" customFormat="1" ht="20.100000000000001" customHeight="1" x14ac:dyDescent="0.2">
      <c r="A18" s="295" t="s">
        <v>1016</v>
      </c>
      <c r="B18" s="287"/>
      <c r="D18" s="87"/>
      <c r="E18" s="87"/>
      <c r="I18" s="697"/>
    </row>
    <row r="19" spans="1:15" s="297" customFormat="1" ht="20.100000000000001" customHeight="1" x14ac:dyDescent="0.2">
      <c r="A19" s="295" t="s">
        <v>1017</v>
      </c>
      <c r="B19" s="287"/>
      <c r="D19" s="87"/>
      <c r="E19" s="87"/>
      <c r="I19" s="697"/>
    </row>
    <row r="20" spans="1:15" s="297" customFormat="1" ht="20.100000000000001" customHeight="1" x14ac:dyDescent="0.2">
      <c r="A20" s="295" t="s">
        <v>1018</v>
      </c>
      <c r="B20" s="287"/>
      <c r="D20" s="87"/>
      <c r="E20" s="87"/>
      <c r="I20" s="697"/>
    </row>
    <row r="21" spans="1:15" s="297" customFormat="1" ht="20.100000000000001" customHeight="1" x14ac:dyDescent="0.2">
      <c r="A21" s="295" t="s">
        <v>1017</v>
      </c>
      <c r="B21" s="287"/>
      <c r="D21" s="87"/>
      <c r="E21" s="87"/>
      <c r="I21" s="697"/>
    </row>
    <row r="22" spans="1:15" s="297" customFormat="1" ht="20.100000000000001" customHeight="1" x14ac:dyDescent="0.2">
      <c r="A22" s="295" t="s">
        <v>1018</v>
      </c>
      <c r="B22" s="287"/>
      <c r="D22" s="87"/>
      <c r="E22" s="87"/>
      <c r="I22" s="697"/>
    </row>
    <row r="23" spans="1:15" ht="20.100000000000001" customHeight="1" x14ac:dyDescent="0.2">
      <c r="A23" s="171" t="s">
        <v>950</v>
      </c>
      <c r="B23" s="183">
        <f>IFERROR(GG_Pesos/Costo_Obra,D23)</f>
        <v>0</v>
      </c>
      <c r="C23" s="211"/>
      <c r="D23" s="204"/>
      <c r="E23" s="204"/>
      <c r="F23" s="204"/>
      <c r="J23" s="184"/>
    </row>
    <row r="24" spans="1:15" ht="20.100000000000001" customHeight="1" x14ac:dyDescent="0.2">
      <c r="A24" s="171" t="s">
        <v>949</v>
      </c>
      <c r="B24" s="288"/>
      <c r="C24" s="211"/>
      <c r="J24" s="184"/>
    </row>
    <row r="25" spans="1:15" ht="20.100000000000001" customHeight="1" x14ac:dyDescent="0.2">
      <c r="A25" s="171" t="s">
        <v>975</v>
      </c>
      <c r="B25" s="288"/>
      <c r="C25" s="211"/>
      <c r="J25" s="184"/>
    </row>
    <row r="26" spans="1:15" ht="20.100000000000001" customHeight="1" x14ac:dyDescent="0.2">
      <c r="A26" s="171" t="s">
        <v>948</v>
      </c>
      <c r="B26" s="288"/>
      <c r="C26" s="211"/>
      <c r="J26" s="184"/>
    </row>
    <row r="27" spans="1:15" ht="20.100000000000001" customHeight="1" x14ac:dyDescent="0.2">
      <c r="A27" s="171" t="s">
        <v>952</v>
      </c>
      <c r="B27" s="136" t="e">
        <f ca="1">PrecioUnitario(1,GG_Porcentaje,Beneficio,Ingresos_Brutos,IVA)</f>
        <v>#NAME?</v>
      </c>
    </row>
    <row r="28" spans="1:15" ht="20.100000000000001" customHeight="1" x14ac:dyDescent="0.2">
      <c r="B28" s="136"/>
    </row>
    <row r="29" spans="1:15" ht="20.100000000000001" customHeight="1" x14ac:dyDescent="0.2">
      <c r="A29" s="708" t="s">
        <v>974</v>
      </c>
      <c r="B29" s="709"/>
      <c r="C29" s="709"/>
      <c r="D29" s="710"/>
      <c r="E29" s="157"/>
      <c r="F29" s="157"/>
    </row>
    <row r="31" spans="1:15" ht="20.100000000000001" customHeight="1" x14ac:dyDescent="0.2">
      <c r="A31" s="713" t="s">
        <v>906</v>
      </c>
      <c r="B31" s="706" t="s">
        <v>0</v>
      </c>
      <c r="C31" s="714" t="s">
        <v>1</v>
      </c>
      <c r="D31" s="713" t="s">
        <v>2</v>
      </c>
      <c r="E31" s="214"/>
      <c r="F31" s="711" t="s">
        <v>976</v>
      </c>
      <c r="H31" s="706" t="s">
        <v>977</v>
      </c>
      <c r="I31" s="706"/>
      <c r="L31" s="707" t="s">
        <v>979</v>
      </c>
      <c r="M31" s="707"/>
      <c r="N31" s="707"/>
      <c r="O31" s="707"/>
    </row>
    <row r="32" spans="1:15" ht="20.100000000000001" customHeight="1" x14ac:dyDescent="0.2">
      <c r="A32" s="713"/>
      <c r="B32" s="706"/>
      <c r="C32" s="714"/>
      <c r="D32" s="713"/>
      <c r="E32" s="214"/>
      <c r="F32" s="712"/>
      <c r="H32" s="206" t="s">
        <v>978</v>
      </c>
      <c r="I32" s="691" t="s">
        <v>1</v>
      </c>
      <c r="L32" s="707"/>
      <c r="M32" s="707"/>
      <c r="N32" s="707"/>
      <c r="O32" s="707"/>
    </row>
    <row r="33" spans="1:15" ht="20.100000000000001" customHeight="1" x14ac:dyDescent="0.2">
      <c r="A33" s="131"/>
      <c r="B33" s="205"/>
      <c r="C33" s="212"/>
      <c r="D33" s="131"/>
      <c r="E33" s="214"/>
      <c r="F33" s="185"/>
      <c r="L33" s="114"/>
      <c r="M33" s="114">
        <v>0</v>
      </c>
      <c r="N33" s="114">
        <v>0</v>
      </c>
      <c r="O33" s="114"/>
    </row>
    <row r="34" spans="1:15" ht="20.100000000000001" customHeight="1" x14ac:dyDescent="0.2">
      <c r="A34" s="218">
        <v>1</v>
      </c>
      <c r="B34" s="132" t="str">
        <f t="shared" ref="B34:B45" si="0">IFERROR(VLOOKUP(F34,Tabla_Items,2,FALSE),H34)</f>
        <v>REACONDICIONAMIENTO DE BASE ESTABILIZADA GRANULAR</v>
      </c>
      <c r="C34" s="213" t="str">
        <f t="shared" ref="C34:C45" si="1">IFERROR(VLOOKUP(F34,Tabla_Items,3,FALSE),I34)</f>
        <v>m3</v>
      </c>
      <c r="D34" s="186">
        <v>3726.45</v>
      </c>
      <c r="E34" s="283"/>
      <c r="F34" s="284"/>
      <c r="H34" s="285" t="s">
        <v>1877</v>
      </c>
      <c r="I34" s="698" t="s">
        <v>1887</v>
      </c>
      <c r="L34" s="114">
        <f t="shared" ref="L34" si="2">IF(C34=0,L33,L33+1)</f>
        <v>1</v>
      </c>
      <c r="M34" s="114">
        <f t="shared" ref="M34" si="3">IF(C34=0,M33+1,M33)</f>
        <v>0</v>
      </c>
      <c r="N34" s="114">
        <f t="shared" ref="N34" si="4">IF(C34=0,0,N33+1)</f>
        <v>1</v>
      </c>
      <c r="O34" s="114">
        <v>1</v>
      </c>
    </row>
    <row r="35" spans="1:15" ht="20.100000000000001" customHeight="1" x14ac:dyDescent="0.2">
      <c r="A35" s="218">
        <v>2</v>
      </c>
      <c r="B35" s="132" t="str">
        <f t="shared" ref="B35" si="5">IFERROR(VLOOKUP(F35,Tabla_Items,2,FALSE),H35)</f>
        <v>IMPRIMACION CON MATERIAL BITUMINOSO</v>
      </c>
      <c r="C35" s="213" t="str">
        <f t="shared" ref="C35" si="6">IFERROR(VLOOKUP(F35,Tabla_Items,3,FALSE),I35)</f>
        <v>m2</v>
      </c>
      <c r="D35" s="186">
        <v>57493.8</v>
      </c>
      <c r="E35" s="283"/>
      <c r="F35" s="284"/>
      <c r="H35" s="285" t="s">
        <v>1878</v>
      </c>
      <c r="I35" s="698" t="s">
        <v>6</v>
      </c>
      <c r="L35" s="114">
        <f t="shared" ref="L35:L45" si="7">IF(C35=0,L34,L34+1)</f>
        <v>2</v>
      </c>
      <c r="M35" s="114">
        <f t="shared" ref="M35:M45" si="8">IF(C35=0,M34+1,M34)</f>
        <v>0</v>
      </c>
      <c r="N35" s="114">
        <f t="shared" ref="N35:N45" si="9">IF(C35=0,0,N34+1)</f>
        <v>2</v>
      </c>
      <c r="O35" s="114">
        <v>2</v>
      </c>
    </row>
    <row r="36" spans="1:15" ht="20.100000000000001" customHeight="1" x14ac:dyDescent="0.2">
      <c r="A36" s="218">
        <v>3</v>
      </c>
      <c r="B36" s="132" t="str">
        <f t="shared" si="0"/>
        <v>RIEGO DE LIGA</v>
      </c>
      <c r="C36" s="213" t="str">
        <f t="shared" si="1"/>
        <v>m2</v>
      </c>
      <c r="D36" s="186">
        <v>55896.75</v>
      </c>
      <c r="E36" s="286"/>
      <c r="F36" s="284"/>
      <c r="G36" s="187"/>
      <c r="H36" s="285" t="s">
        <v>1879</v>
      </c>
      <c r="I36" s="698" t="s">
        <v>6</v>
      </c>
      <c r="K36" s="188"/>
      <c r="L36" s="114">
        <f t="shared" si="7"/>
        <v>3</v>
      </c>
      <c r="M36" s="114">
        <f t="shared" si="8"/>
        <v>0</v>
      </c>
      <c r="N36" s="114">
        <f t="shared" si="9"/>
        <v>3</v>
      </c>
      <c r="O36" s="114">
        <v>3</v>
      </c>
    </row>
    <row r="37" spans="1:15" ht="20.100000000000001" customHeight="1" x14ac:dyDescent="0.2">
      <c r="A37" s="218">
        <v>4</v>
      </c>
      <c r="B37" s="132" t="str">
        <f t="shared" si="0"/>
        <v>CARPETA CON MEZCLA BITUMINOSA TIPO CONCRETO ASFALTICO</v>
      </c>
      <c r="C37" s="213" t="str">
        <f t="shared" si="1"/>
        <v>m2</v>
      </c>
      <c r="D37" s="186">
        <v>55896.75</v>
      </c>
      <c r="E37" s="286"/>
      <c r="F37" s="284"/>
      <c r="G37" s="187"/>
      <c r="H37" s="285" t="s">
        <v>1880</v>
      </c>
      <c r="I37" s="698" t="s">
        <v>6</v>
      </c>
      <c r="K37" s="188"/>
      <c r="L37" s="114">
        <f t="shared" si="7"/>
        <v>4</v>
      </c>
      <c r="M37" s="114">
        <f t="shared" si="8"/>
        <v>0</v>
      </c>
      <c r="N37" s="114">
        <f t="shared" si="9"/>
        <v>4</v>
      </c>
      <c r="O37" s="114">
        <v>4</v>
      </c>
    </row>
    <row r="38" spans="1:15" ht="20.100000000000001" customHeight="1" x14ac:dyDescent="0.2">
      <c r="A38" s="218">
        <v>5</v>
      </c>
      <c r="B38" s="132" t="str">
        <f t="shared" si="0"/>
        <v>CONSTRUCCION DE BANQUINAS ENRIPIADAS</v>
      </c>
      <c r="C38" s="213" t="str">
        <f t="shared" si="1"/>
        <v>m3</v>
      </c>
      <c r="D38" s="186">
        <v>760.5</v>
      </c>
      <c r="E38" s="286"/>
      <c r="F38" s="284"/>
      <c r="G38" s="187"/>
      <c r="H38" s="285" t="s">
        <v>1881</v>
      </c>
      <c r="I38" s="698" t="s">
        <v>1887</v>
      </c>
      <c r="K38" s="188"/>
      <c r="L38" s="114">
        <f t="shared" si="7"/>
        <v>5</v>
      </c>
      <c r="M38" s="114">
        <f t="shared" si="8"/>
        <v>0</v>
      </c>
      <c r="N38" s="114">
        <f t="shared" si="9"/>
        <v>5</v>
      </c>
      <c r="O38" s="114">
        <v>5</v>
      </c>
    </row>
    <row r="39" spans="1:15" ht="20.100000000000001" customHeight="1" x14ac:dyDescent="0.2">
      <c r="A39" s="218">
        <v>6</v>
      </c>
      <c r="B39" s="132" t="str">
        <f t="shared" si="0"/>
        <v>SEÑALAMIENTO VERTICAL</v>
      </c>
      <c r="C39" s="213" t="str">
        <f t="shared" si="1"/>
        <v>m2</v>
      </c>
      <c r="D39" s="186">
        <v>10</v>
      </c>
      <c r="E39" s="286"/>
      <c r="F39" s="284"/>
      <c r="G39" s="187"/>
      <c r="H39" s="285" t="s">
        <v>1490</v>
      </c>
      <c r="I39" s="698" t="s">
        <v>6</v>
      </c>
      <c r="K39" s="188"/>
      <c r="L39" s="114">
        <f t="shared" si="7"/>
        <v>6</v>
      </c>
      <c r="M39" s="114">
        <f t="shared" si="8"/>
        <v>0</v>
      </c>
      <c r="N39" s="114">
        <f t="shared" si="9"/>
        <v>6</v>
      </c>
      <c r="O39" s="114">
        <v>6</v>
      </c>
    </row>
    <row r="40" spans="1:15" ht="20.100000000000001" customHeight="1" x14ac:dyDescent="0.2">
      <c r="A40" s="218">
        <v>7</v>
      </c>
      <c r="B40" s="132" t="str">
        <f t="shared" si="0"/>
        <v>DEMARCACION HORIZONTAL CON PINTURA ACRILICA APLICADA EN FRIO</v>
      </c>
      <c r="C40" s="213" t="str">
        <f t="shared" si="1"/>
        <v>m2</v>
      </c>
      <c r="D40" s="186">
        <v>2400</v>
      </c>
      <c r="E40" s="286"/>
      <c r="F40" s="284"/>
      <c r="G40" s="187"/>
      <c r="H40" s="285" t="s">
        <v>1882</v>
      </c>
      <c r="I40" s="698" t="s">
        <v>6</v>
      </c>
      <c r="K40" s="188"/>
      <c r="L40" s="114">
        <f t="shared" si="7"/>
        <v>7</v>
      </c>
      <c r="M40" s="114">
        <f t="shared" si="8"/>
        <v>0</v>
      </c>
      <c r="N40" s="114">
        <f t="shared" si="9"/>
        <v>7</v>
      </c>
      <c r="O40" s="114">
        <v>7</v>
      </c>
    </row>
    <row r="41" spans="1:15" ht="20.100000000000001" customHeight="1" x14ac:dyDescent="0.2">
      <c r="A41" s="218">
        <v>8</v>
      </c>
      <c r="B41" s="132" t="str">
        <f t="shared" si="0"/>
        <v>CUMPLIMIENTO DE MANEJO AMBIENTAL</v>
      </c>
      <c r="C41" s="213" t="str">
        <f t="shared" si="1"/>
        <v>mes</v>
      </c>
      <c r="D41" s="186">
        <v>6</v>
      </c>
      <c r="E41" s="286"/>
      <c r="F41" s="284"/>
      <c r="G41" s="187"/>
      <c r="H41" s="285" t="s">
        <v>1883</v>
      </c>
      <c r="I41" s="698" t="s">
        <v>1514</v>
      </c>
      <c r="K41" s="188"/>
      <c r="L41" s="114">
        <f t="shared" si="7"/>
        <v>8</v>
      </c>
      <c r="M41" s="114">
        <f t="shared" si="8"/>
        <v>0</v>
      </c>
      <c r="N41" s="114">
        <f t="shared" si="9"/>
        <v>8</v>
      </c>
      <c r="O41" s="114">
        <v>8</v>
      </c>
    </row>
    <row r="42" spans="1:15" ht="20.100000000000001" customHeight="1" x14ac:dyDescent="0.2">
      <c r="A42" s="218">
        <v>9</v>
      </c>
      <c r="B42" s="132" t="str">
        <f t="shared" si="0"/>
        <v>PROVISION DE MOVILIDAD PARA EL PERSONAL DE INSPECCION</v>
      </c>
      <c r="C42" s="213">
        <f t="shared" si="1"/>
        <v>0</v>
      </c>
      <c r="D42" s="186"/>
      <c r="E42" s="286"/>
      <c r="F42" s="284"/>
      <c r="G42" s="187"/>
      <c r="H42" s="285" t="s">
        <v>1884</v>
      </c>
      <c r="I42" s="698"/>
      <c r="K42" s="188"/>
      <c r="L42" s="114">
        <f t="shared" si="7"/>
        <v>8</v>
      </c>
      <c r="M42" s="114">
        <f t="shared" si="8"/>
        <v>1</v>
      </c>
      <c r="N42" s="114">
        <f t="shared" si="9"/>
        <v>0</v>
      </c>
      <c r="O42" s="114">
        <v>9</v>
      </c>
    </row>
    <row r="43" spans="1:15" ht="20.100000000000001" customHeight="1" x14ac:dyDescent="0.2">
      <c r="A43" s="218" t="s">
        <v>1889</v>
      </c>
      <c r="B43" s="132" t="str">
        <f t="shared" si="0"/>
        <v>Cuota Fija</v>
      </c>
      <c r="C43" s="213" t="str">
        <f t="shared" si="1"/>
        <v>mes</v>
      </c>
      <c r="D43" s="186">
        <v>12</v>
      </c>
      <c r="E43" s="286"/>
      <c r="F43" s="284"/>
      <c r="G43" s="187"/>
      <c r="H43" s="285" t="s">
        <v>1885</v>
      </c>
      <c r="I43" s="698" t="s">
        <v>1514</v>
      </c>
      <c r="K43" s="188"/>
      <c r="L43" s="114">
        <f t="shared" si="7"/>
        <v>9</v>
      </c>
      <c r="M43" s="114">
        <f t="shared" si="8"/>
        <v>1</v>
      </c>
      <c r="N43" s="114">
        <f t="shared" si="9"/>
        <v>1</v>
      </c>
      <c r="O43" s="114" t="s">
        <v>1889</v>
      </c>
    </row>
    <row r="44" spans="1:15" ht="20.100000000000001" customHeight="1" x14ac:dyDescent="0.2">
      <c r="A44" s="218" t="s">
        <v>1890</v>
      </c>
      <c r="B44" s="132" t="str">
        <f t="shared" si="0"/>
        <v>Adicional por kilómetro</v>
      </c>
      <c r="C44" s="213" t="str">
        <f t="shared" si="1"/>
        <v>km</v>
      </c>
      <c r="D44" s="186">
        <v>40000</v>
      </c>
      <c r="E44" s="286"/>
      <c r="F44" s="284"/>
      <c r="G44" s="187"/>
      <c r="H44" s="285" t="s">
        <v>1886</v>
      </c>
      <c r="I44" s="698" t="s">
        <v>1516</v>
      </c>
      <c r="K44" s="188"/>
      <c r="L44" s="114">
        <f t="shared" si="7"/>
        <v>10</v>
      </c>
      <c r="M44" s="114">
        <f t="shared" si="8"/>
        <v>1</v>
      </c>
      <c r="N44" s="114">
        <f t="shared" si="9"/>
        <v>2</v>
      </c>
      <c r="O44" s="114" t="s">
        <v>1890</v>
      </c>
    </row>
    <row r="45" spans="1:15" ht="20.100000000000001" customHeight="1" x14ac:dyDescent="0.2">
      <c r="A45" s="218">
        <v>10</v>
      </c>
      <c r="B45" s="132" t="str">
        <f t="shared" si="0"/>
        <v>MOVILIZACION DE OBRA</v>
      </c>
      <c r="C45" s="213" t="str">
        <f t="shared" si="1"/>
        <v>Gl</v>
      </c>
      <c r="D45" s="186">
        <v>1</v>
      </c>
      <c r="E45" s="286"/>
      <c r="F45" s="284"/>
      <c r="G45" s="187"/>
      <c r="H45" s="285" t="s">
        <v>1519</v>
      </c>
      <c r="I45" s="698" t="s">
        <v>1888</v>
      </c>
      <c r="K45" s="188"/>
      <c r="L45" s="114">
        <f t="shared" si="7"/>
        <v>11</v>
      </c>
      <c r="M45" s="114">
        <f t="shared" si="8"/>
        <v>1</v>
      </c>
      <c r="N45" s="114">
        <f t="shared" si="9"/>
        <v>3</v>
      </c>
      <c r="O45" s="114">
        <v>10</v>
      </c>
    </row>
    <row r="46" spans="1:15" ht="20.100000000000001" customHeight="1" x14ac:dyDescent="0.2">
      <c r="I46" s="699"/>
    </row>
    <row r="47" spans="1:15" ht="20.100000000000001" customHeight="1" x14ac:dyDescent="0.2">
      <c r="I47" s="699"/>
    </row>
    <row r="48" spans="1:15" ht="20.100000000000001" customHeight="1" x14ac:dyDescent="0.2">
      <c r="I48" s="699"/>
    </row>
    <row r="49" spans="9:9" ht="20.100000000000001" customHeight="1" x14ac:dyDescent="0.2">
      <c r="I49" s="699"/>
    </row>
    <row r="50" spans="9:9" ht="20.100000000000001" customHeight="1" x14ac:dyDescent="0.2">
      <c r="I50" s="699"/>
    </row>
    <row r="51" spans="9:9" ht="20.100000000000001" customHeight="1" x14ac:dyDescent="0.2">
      <c r="I51" s="699"/>
    </row>
    <row r="52" spans="9:9" ht="20.100000000000001" customHeight="1" x14ac:dyDescent="0.2">
      <c r="I52" s="699"/>
    </row>
    <row r="53" spans="9:9" ht="20.100000000000001" customHeight="1" x14ac:dyDescent="0.2">
      <c r="I53" s="699"/>
    </row>
    <row r="54" spans="9:9" ht="20.100000000000001" customHeight="1" x14ac:dyDescent="0.2">
      <c r="I54" s="699"/>
    </row>
    <row r="55" spans="9:9" ht="20.100000000000001" customHeight="1" x14ac:dyDescent="0.2">
      <c r="I55" s="699"/>
    </row>
    <row r="56" spans="9:9" ht="20.100000000000001" customHeight="1" x14ac:dyDescent="0.2">
      <c r="I56" s="699"/>
    </row>
    <row r="57" spans="9:9" ht="20.100000000000001" customHeight="1" x14ac:dyDescent="0.2">
      <c r="I57" s="699"/>
    </row>
    <row r="58" spans="9:9" ht="20.100000000000001" customHeight="1" x14ac:dyDescent="0.2">
      <c r="I58" s="699"/>
    </row>
    <row r="59" spans="9:9" ht="20.100000000000001" customHeight="1" x14ac:dyDescent="0.2">
      <c r="I59" s="699"/>
    </row>
    <row r="60" spans="9:9" ht="20.100000000000001" customHeight="1" x14ac:dyDescent="0.2">
      <c r="I60" s="699"/>
    </row>
    <row r="61" spans="9:9" ht="20.100000000000001" customHeight="1" x14ac:dyDescent="0.2">
      <c r="I61" s="699"/>
    </row>
    <row r="62" spans="9:9" ht="20.100000000000001" customHeight="1" x14ac:dyDescent="0.2">
      <c r="I62" s="699"/>
    </row>
    <row r="63" spans="9:9" ht="20.100000000000001" customHeight="1" x14ac:dyDescent="0.2">
      <c r="I63" s="699"/>
    </row>
    <row r="64" spans="9:9" ht="20.100000000000001" customHeight="1" x14ac:dyDescent="0.2">
      <c r="I64" s="699"/>
    </row>
    <row r="65" spans="9:9" ht="20.100000000000001" customHeight="1" x14ac:dyDescent="0.2">
      <c r="I65" s="699"/>
    </row>
    <row r="66" spans="9:9" ht="20.100000000000001" customHeight="1" x14ac:dyDescent="0.2">
      <c r="I66" s="699"/>
    </row>
    <row r="67" spans="9:9" ht="20.100000000000001" customHeight="1" x14ac:dyDescent="0.2">
      <c r="I67" s="699"/>
    </row>
    <row r="68" spans="9:9" ht="20.100000000000001" customHeight="1" x14ac:dyDescent="0.2">
      <c r="I68" s="699"/>
    </row>
    <row r="69" spans="9:9" ht="20.100000000000001" customHeight="1" x14ac:dyDescent="0.2">
      <c r="I69" s="699"/>
    </row>
    <row r="70" spans="9:9" ht="20.100000000000001" customHeight="1" x14ac:dyDescent="0.2">
      <c r="I70" s="699"/>
    </row>
    <row r="71" spans="9:9" ht="20.100000000000001" customHeight="1" x14ac:dyDescent="0.2">
      <c r="I71" s="699"/>
    </row>
    <row r="72" spans="9:9" ht="20.100000000000001" customHeight="1" x14ac:dyDescent="0.2">
      <c r="I72" s="699"/>
    </row>
    <row r="73" spans="9:9" ht="20.100000000000001" customHeight="1" x14ac:dyDescent="0.2">
      <c r="I73" s="699"/>
    </row>
    <row r="74" spans="9:9" ht="20.100000000000001" customHeight="1" x14ac:dyDescent="0.2">
      <c r="I74" s="699"/>
    </row>
    <row r="75" spans="9:9" ht="20.100000000000001" customHeight="1" x14ac:dyDescent="0.2">
      <c r="I75" s="699"/>
    </row>
    <row r="76" spans="9:9" ht="20.100000000000001" customHeight="1" x14ac:dyDescent="0.2">
      <c r="I76" s="699"/>
    </row>
    <row r="77" spans="9:9" ht="20.100000000000001" customHeight="1" x14ac:dyDescent="0.2">
      <c r="I77" s="699"/>
    </row>
    <row r="78" spans="9:9" ht="20.100000000000001" customHeight="1" x14ac:dyDescent="0.2">
      <c r="I78" s="699"/>
    </row>
    <row r="79" spans="9:9" ht="20.100000000000001" customHeight="1" x14ac:dyDescent="0.2">
      <c r="I79" s="699"/>
    </row>
    <row r="80" spans="9:9" ht="20.100000000000001" customHeight="1" x14ac:dyDescent="0.2">
      <c r="I80" s="699"/>
    </row>
    <row r="81" spans="9:9" ht="20.100000000000001" customHeight="1" x14ac:dyDescent="0.2">
      <c r="I81" s="699"/>
    </row>
    <row r="82" spans="9:9" ht="20.100000000000001" customHeight="1" x14ac:dyDescent="0.2">
      <c r="I82" s="699"/>
    </row>
    <row r="83" spans="9:9" ht="20.100000000000001" customHeight="1" x14ac:dyDescent="0.2">
      <c r="I83" s="699"/>
    </row>
    <row r="84" spans="9:9" ht="20.100000000000001" customHeight="1" x14ac:dyDescent="0.2">
      <c r="I84" s="699"/>
    </row>
    <row r="85" spans="9:9" ht="20.100000000000001" customHeight="1" x14ac:dyDescent="0.2">
      <c r="I85" s="699"/>
    </row>
    <row r="86" spans="9:9" ht="20.100000000000001" customHeight="1" x14ac:dyDescent="0.2">
      <c r="I86" s="699"/>
    </row>
    <row r="87" spans="9:9" ht="20.100000000000001" customHeight="1" x14ac:dyDescent="0.2">
      <c r="I87" s="699"/>
    </row>
    <row r="88" spans="9:9" ht="20.100000000000001" customHeight="1" x14ac:dyDescent="0.2">
      <c r="I88" s="699"/>
    </row>
    <row r="89" spans="9:9" ht="20.100000000000001" customHeight="1" x14ac:dyDescent="0.2">
      <c r="I89" s="699"/>
    </row>
    <row r="90" spans="9:9" ht="20.100000000000001" customHeight="1" x14ac:dyDescent="0.2">
      <c r="I90" s="699"/>
    </row>
    <row r="91" spans="9:9" ht="20.100000000000001" customHeight="1" x14ac:dyDescent="0.2">
      <c r="I91" s="699"/>
    </row>
    <row r="92" spans="9:9" ht="20.100000000000001" customHeight="1" x14ac:dyDescent="0.2">
      <c r="I92" s="699"/>
    </row>
    <row r="93" spans="9:9" ht="20.100000000000001" customHeight="1" x14ac:dyDescent="0.2">
      <c r="I93" s="699"/>
    </row>
    <row r="94" spans="9:9" ht="20.100000000000001" customHeight="1" x14ac:dyDescent="0.2">
      <c r="I94" s="699"/>
    </row>
    <row r="95" spans="9:9" ht="20.100000000000001" customHeight="1" x14ac:dyDescent="0.2">
      <c r="I95" s="699"/>
    </row>
    <row r="96" spans="9:9" ht="20.100000000000001" customHeight="1" x14ac:dyDescent="0.2">
      <c r="I96" s="699"/>
    </row>
    <row r="97" spans="9:9" ht="20.100000000000001" customHeight="1" x14ac:dyDescent="0.2">
      <c r="I97" s="699"/>
    </row>
    <row r="98" spans="9:9" ht="20.100000000000001" customHeight="1" x14ac:dyDescent="0.2">
      <c r="I98" s="699"/>
    </row>
    <row r="99" spans="9:9" ht="20.100000000000001" customHeight="1" x14ac:dyDescent="0.2">
      <c r="I99" s="699"/>
    </row>
    <row r="100" spans="9:9" ht="20.100000000000001" customHeight="1" x14ac:dyDescent="0.2">
      <c r="I100" s="699"/>
    </row>
    <row r="101" spans="9:9" ht="20.100000000000001" customHeight="1" x14ac:dyDescent="0.2">
      <c r="I101" s="699"/>
    </row>
    <row r="102" spans="9:9" ht="20.100000000000001" customHeight="1" x14ac:dyDescent="0.2">
      <c r="I102" s="699"/>
    </row>
    <row r="103" spans="9:9" ht="20.100000000000001" customHeight="1" x14ac:dyDescent="0.2">
      <c r="I103" s="699"/>
    </row>
    <row r="104" spans="9:9" ht="20.100000000000001" customHeight="1" x14ac:dyDescent="0.2">
      <c r="I104" s="699"/>
    </row>
    <row r="105" spans="9:9" ht="20.100000000000001" customHeight="1" x14ac:dyDescent="0.2">
      <c r="I105" s="699"/>
    </row>
    <row r="106" spans="9:9" ht="20.100000000000001" customHeight="1" x14ac:dyDescent="0.2">
      <c r="I106" s="699"/>
    </row>
    <row r="107" spans="9:9" ht="20.100000000000001" customHeight="1" x14ac:dyDescent="0.2">
      <c r="I107" s="699"/>
    </row>
    <row r="108" spans="9:9" ht="20.100000000000001" customHeight="1" x14ac:dyDescent="0.2">
      <c r="I108" s="699"/>
    </row>
    <row r="109" spans="9:9" ht="20.100000000000001" customHeight="1" x14ac:dyDescent="0.2">
      <c r="I109" s="699"/>
    </row>
    <row r="110" spans="9:9" ht="20.100000000000001" customHeight="1" x14ac:dyDescent="0.2">
      <c r="I110" s="699"/>
    </row>
    <row r="111" spans="9:9" ht="20.100000000000001" customHeight="1" x14ac:dyDescent="0.2">
      <c r="I111" s="699"/>
    </row>
    <row r="112" spans="9:9" ht="20.100000000000001" customHeight="1" x14ac:dyDescent="0.2">
      <c r="I112" s="699"/>
    </row>
    <row r="113" spans="9:9" ht="20.100000000000001" customHeight="1" x14ac:dyDescent="0.2">
      <c r="I113" s="699"/>
    </row>
    <row r="114" spans="9:9" ht="20.100000000000001" customHeight="1" x14ac:dyDescent="0.2">
      <c r="I114" s="699"/>
    </row>
    <row r="115" spans="9:9" ht="20.100000000000001" customHeight="1" x14ac:dyDescent="0.2">
      <c r="I115" s="699"/>
    </row>
    <row r="116" spans="9:9" ht="20.100000000000001" customHeight="1" x14ac:dyDescent="0.2">
      <c r="I116" s="699"/>
    </row>
    <row r="117" spans="9:9" ht="20.100000000000001" customHeight="1" x14ac:dyDescent="0.2">
      <c r="I117" s="699"/>
    </row>
    <row r="118" spans="9:9" ht="20.100000000000001" customHeight="1" x14ac:dyDescent="0.2">
      <c r="I118" s="699"/>
    </row>
    <row r="119" spans="9:9" ht="20.100000000000001" customHeight="1" x14ac:dyDescent="0.2">
      <c r="I119" s="699"/>
    </row>
    <row r="120" spans="9:9" ht="20.100000000000001" customHeight="1" x14ac:dyDescent="0.2">
      <c r="I120" s="699"/>
    </row>
    <row r="121" spans="9:9" ht="20.100000000000001" customHeight="1" x14ac:dyDescent="0.2">
      <c r="I121" s="699"/>
    </row>
    <row r="122" spans="9:9" ht="20.100000000000001" customHeight="1" x14ac:dyDescent="0.2">
      <c r="I122" s="699"/>
    </row>
    <row r="123" spans="9:9" ht="20.100000000000001" customHeight="1" x14ac:dyDescent="0.2">
      <c r="I123" s="699"/>
    </row>
    <row r="124" spans="9:9" ht="20.100000000000001" customHeight="1" x14ac:dyDescent="0.2">
      <c r="I124" s="699"/>
    </row>
    <row r="125" spans="9:9" ht="20.100000000000001" customHeight="1" x14ac:dyDescent="0.2">
      <c r="I125" s="699"/>
    </row>
    <row r="126" spans="9:9" ht="20.100000000000001" customHeight="1" x14ac:dyDescent="0.2">
      <c r="I126" s="699"/>
    </row>
    <row r="127" spans="9:9" ht="20.100000000000001" customHeight="1" x14ac:dyDescent="0.2">
      <c r="I127" s="699"/>
    </row>
    <row r="128" spans="9:9" ht="20.100000000000001" customHeight="1" x14ac:dyDescent="0.2">
      <c r="I128" s="699"/>
    </row>
    <row r="129" spans="2:9" ht="20.100000000000001" customHeight="1" x14ac:dyDescent="0.2">
      <c r="I129" s="699"/>
    </row>
    <row r="130" spans="2:9" ht="20.100000000000001" customHeight="1" x14ac:dyDescent="0.2">
      <c r="I130" s="699"/>
    </row>
    <row r="131" spans="2:9" ht="20.100000000000001" customHeight="1" x14ac:dyDescent="0.2">
      <c r="I131" s="699"/>
    </row>
    <row r="132" spans="2:9" ht="20.100000000000001" customHeight="1" x14ac:dyDescent="0.2">
      <c r="I132" s="699"/>
    </row>
    <row r="133" spans="2:9" ht="20.100000000000001" customHeight="1" x14ac:dyDescent="0.2">
      <c r="I133" s="699"/>
    </row>
    <row r="134" spans="2:9" ht="20.100000000000001" customHeight="1" x14ac:dyDescent="0.2">
      <c r="I134" s="699"/>
    </row>
    <row r="135" spans="2:9" ht="20.100000000000001" customHeight="1" x14ac:dyDescent="0.2">
      <c r="I135" s="699"/>
    </row>
    <row r="136" spans="2:9" ht="20.100000000000001" customHeight="1" x14ac:dyDescent="0.2">
      <c r="I136" s="699"/>
    </row>
    <row r="137" spans="2:9" ht="20.100000000000001" customHeight="1" x14ac:dyDescent="0.2">
      <c r="I137" s="699"/>
    </row>
    <row r="138" spans="2:9" ht="20.100000000000001" customHeight="1" x14ac:dyDescent="0.2">
      <c r="I138" s="699"/>
    </row>
    <row r="139" spans="2:9" ht="20.100000000000001" customHeight="1" x14ac:dyDescent="0.2">
      <c r="I139" s="699"/>
    </row>
    <row r="140" spans="2:9" ht="20.100000000000001" customHeight="1" x14ac:dyDescent="0.2">
      <c r="B140" s="134">
        <v>4</v>
      </c>
      <c r="I140" s="699"/>
    </row>
    <row r="141" spans="2:9" ht="20.100000000000001" customHeight="1" x14ac:dyDescent="0.2">
      <c r="I141" s="699"/>
    </row>
    <row r="142" spans="2:9" ht="20.100000000000001" customHeight="1" x14ac:dyDescent="0.2">
      <c r="I142" s="699"/>
    </row>
    <row r="143" spans="2:9" ht="20.100000000000001" customHeight="1" x14ac:dyDescent="0.2">
      <c r="I143" s="699"/>
    </row>
    <row r="144" spans="2:9" ht="20.100000000000001" customHeight="1" x14ac:dyDescent="0.2">
      <c r="I144" s="699"/>
    </row>
    <row r="145" spans="9:9" ht="20.100000000000001" customHeight="1" x14ac:dyDescent="0.2">
      <c r="I145" s="699"/>
    </row>
    <row r="146" spans="9:9" ht="20.100000000000001" customHeight="1" x14ac:dyDescent="0.2">
      <c r="I146" s="699"/>
    </row>
    <row r="147" spans="9:9" ht="20.100000000000001" customHeight="1" x14ac:dyDescent="0.2">
      <c r="I147" s="699"/>
    </row>
    <row r="148" spans="9:9" ht="20.100000000000001" customHeight="1" x14ac:dyDescent="0.2">
      <c r="I148" s="699"/>
    </row>
    <row r="149" spans="9:9" ht="20.100000000000001" customHeight="1" x14ac:dyDescent="0.2">
      <c r="I149" s="699"/>
    </row>
    <row r="150" spans="9:9" ht="20.100000000000001" customHeight="1" x14ac:dyDescent="0.2">
      <c r="I150" s="699"/>
    </row>
    <row r="151" spans="9:9" ht="20.100000000000001" customHeight="1" x14ac:dyDescent="0.2">
      <c r="I151" s="699"/>
    </row>
    <row r="152" spans="9:9" ht="20.100000000000001" customHeight="1" x14ac:dyDescent="0.2">
      <c r="I152" s="699"/>
    </row>
    <row r="153" spans="9:9" ht="20.100000000000001" customHeight="1" x14ac:dyDescent="0.2">
      <c r="I153" s="699"/>
    </row>
    <row r="154" spans="9:9" ht="20.100000000000001" customHeight="1" x14ac:dyDescent="0.2">
      <c r="I154" s="699"/>
    </row>
    <row r="155" spans="9:9" ht="20.100000000000001" customHeight="1" x14ac:dyDescent="0.2">
      <c r="I155" s="699"/>
    </row>
    <row r="156" spans="9:9" ht="20.100000000000001" customHeight="1" x14ac:dyDescent="0.2">
      <c r="I156" s="699"/>
    </row>
    <row r="157" spans="9:9" ht="20.100000000000001" customHeight="1" x14ac:dyDescent="0.2">
      <c r="I157" s="699"/>
    </row>
    <row r="158" spans="9:9" ht="20.100000000000001" customHeight="1" x14ac:dyDescent="0.2">
      <c r="I158" s="699"/>
    </row>
    <row r="159" spans="9:9" ht="20.100000000000001" customHeight="1" x14ac:dyDescent="0.2">
      <c r="I159" s="699"/>
    </row>
    <row r="160" spans="9:9" ht="20.100000000000001" customHeight="1" x14ac:dyDescent="0.2">
      <c r="I160" s="699"/>
    </row>
    <row r="161" spans="9:9" ht="20.100000000000001" customHeight="1" x14ac:dyDescent="0.2">
      <c r="I161" s="699"/>
    </row>
    <row r="162" spans="9:9" ht="20.100000000000001" customHeight="1" x14ac:dyDescent="0.2">
      <c r="I162" s="699"/>
    </row>
    <row r="163" spans="9:9" ht="20.100000000000001" customHeight="1" x14ac:dyDescent="0.2">
      <c r="I163" s="699"/>
    </row>
    <row r="164" spans="9:9" ht="20.100000000000001" customHeight="1" x14ac:dyDescent="0.2">
      <c r="I164" s="699"/>
    </row>
    <row r="165" spans="9:9" ht="20.100000000000001" customHeight="1" x14ac:dyDescent="0.2">
      <c r="I165" s="699"/>
    </row>
    <row r="166" spans="9:9" ht="20.100000000000001" customHeight="1" x14ac:dyDescent="0.2">
      <c r="I166" s="699"/>
    </row>
    <row r="167" spans="9:9" ht="20.100000000000001" customHeight="1" x14ac:dyDescent="0.2">
      <c r="I167" s="699"/>
    </row>
    <row r="168" spans="9:9" ht="20.100000000000001" customHeight="1" x14ac:dyDescent="0.2">
      <c r="I168" s="699"/>
    </row>
    <row r="169" spans="9:9" ht="20.100000000000001" customHeight="1" x14ac:dyDescent="0.2">
      <c r="I169" s="699"/>
    </row>
    <row r="170" spans="9:9" ht="20.100000000000001" customHeight="1" x14ac:dyDescent="0.2">
      <c r="I170" s="699"/>
    </row>
    <row r="171" spans="9:9" ht="20.100000000000001" customHeight="1" x14ac:dyDescent="0.2">
      <c r="I171" s="699"/>
    </row>
    <row r="172" spans="9:9" ht="20.100000000000001" customHeight="1" x14ac:dyDescent="0.2">
      <c r="I172" s="699"/>
    </row>
    <row r="173" spans="9:9" ht="20.100000000000001" customHeight="1" x14ac:dyDescent="0.2">
      <c r="I173" s="699"/>
    </row>
    <row r="174" spans="9:9" ht="20.100000000000001" customHeight="1" x14ac:dyDescent="0.2">
      <c r="I174" s="699"/>
    </row>
    <row r="175" spans="9:9" ht="20.100000000000001" customHeight="1" x14ac:dyDescent="0.2">
      <c r="I175" s="699"/>
    </row>
    <row r="176" spans="9:9" ht="20.100000000000001" customHeight="1" x14ac:dyDescent="0.2">
      <c r="I176" s="699"/>
    </row>
    <row r="177" spans="2:9" ht="20.100000000000001" customHeight="1" x14ac:dyDescent="0.2">
      <c r="I177" s="699"/>
    </row>
    <row r="178" spans="2:9" ht="20.100000000000001" customHeight="1" x14ac:dyDescent="0.2">
      <c r="I178" s="699"/>
    </row>
    <row r="179" spans="2:9" ht="20.100000000000001" customHeight="1" x14ac:dyDescent="0.2">
      <c r="I179" s="699"/>
    </row>
    <row r="180" spans="2:9" ht="20.100000000000001" customHeight="1" x14ac:dyDescent="0.2">
      <c r="I180" s="699"/>
    </row>
    <row r="181" spans="2:9" ht="20.100000000000001" customHeight="1" x14ac:dyDescent="0.2">
      <c r="I181" s="699"/>
    </row>
    <row r="182" spans="2:9" ht="20.100000000000001" customHeight="1" x14ac:dyDescent="0.2">
      <c r="I182" s="699"/>
    </row>
    <row r="183" spans="2:9" ht="20.100000000000001" customHeight="1" x14ac:dyDescent="0.2">
      <c r="I183" s="699"/>
    </row>
    <row r="184" spans="2:9" ht="20.100000000000001" customHeight="1" x14ac:dyDescent="0.2">
      <c r="I184" s="699"/>
    </row>
    <row r="185" spans="2:9" ht="20.100000000000001" customHeight="1" x14ac:dyDescent="0.2">
      <c r="I185" s="699"/>
    </row>
    <row r="186" spans="2:9" ht="20.100000000000001" customHeight="1" x14ac:dyDescent="0.2">
      <c r="I186" s="699"/>
    </row>
    <row r="187" spans="2:9" ht="20.100000000000001" customHeight="1" x14ac:dyDescent="0.2">
      <c r="I187" s="699"/>
    </row>
    <row r="188" spans="2:9" ht="20.100000000000001" customHeight="1" x14ac:dyDescent="0.2">
      <c r="I188" s="699"/>
    </row>
    <row r="189" spans="2:9" ht="20.100000000000001" customHeight="1" x14ac:dyDescent="0.2">
      <c r="I189" s="699"/>
    </row>
    <row r="190" spans="2:9" ht="20.100000000000001" customHeight="1" x14ac:dyDescent="0.2">
      <c r="B190" s="134">
        <v>4</v>
      </c>
      <c r="I190" s="699"/>
    </row>
    <row r="191" spans="2:9" ht="20.100000000000001" customHeight="1" x14ac:dyDescent="0.2">
      <c r="I191" s="699"/>
    </row>
    <row r="192" spans="2:9" ht="20.100000000000001" customHeight="1" x14ac:dyDescent="0.2">
      <c r="I192" s="699"/>
    </row>
    <row r="193" spans="9:9" ht="20.100000000000001" customHeight="1" x14ac:dyDescent="0.2">
      <c r="I193" s="699"/>
    </row>
    <row r="194" spans="9:9" ht="20.100000000000001" customHeight="1" x14ac:dyDescent="0.2">
      <c r="I194" s="699"/>
    </row>
    <row r="195" spans="9:9" ht="20.100000000000001" customHeight="1" x14ac:dyDescent="0.2">
      <c r="I195" s="699"/>
    </row>
    <row r="196" spans="9:9" ht="20.100000000000001" customHeight="1" x14ac:dyDescent="0.2">
      <c r="I196" s="699"/>
    </row>
    <row r="197" spans="9:9" ht="20.100000000000001" customHeight="1" x14ac:dyDescent="0.2">
      <c r="I197" s="699"/>
    </row>
    <row r="198" spans="9:9" ht="20.100000000000001" customHeight="1" x14ac:dyDescent="0.2">
      <c r="I198" s="699"/>
    </row>
    <row r="199" spans="9:9" ht="20.100000000000001" customHeight="1" x14ac:dyDescent="0.2">
      <c r="I199" s="699"/>
    </row>
    <row r="200" spans="9:9" ht="20.100000000000001" customHeight="1" x14ac:dyDescent="0.2">
      <c r="I200" s="699"/>
    </row>
    <row r="201" spans="9:9" ht="20.100000000000001" customHeight="1" x14ac:dyDescent="0.2">
      <c r="I201" s="699"/>
    </row>
    <row r="202" spans="9:9" ht="20.100000000000001" customHeight="1" x14ac:dyDescent="0.2">
      <c r="I202" s="699"/>
    </row>
    <row r="203" spans="9:9" ht="20.100000000000001" customHeight="1" x14ac:dyDescent="0.2">
      <c r="I203" s="699"/>
    </row>
    <row r="204" spans="9:9" ht="20.100000000000001" customHeight="1" x14ac:dyDescent="0.2">
      <c r="I204" s="699"/>
    </row>
    <row r="205" spans="9:9" ht="20.100000000000001" customHeight="1" x14ac:dyDescent="0.2">
      <c r="I205" s="699"/>
    </row>
    <row r="206" spans="9:9" ht="20.100000000000001" customHeight="1" x14ac:dyDescent="0.2">
      <c r="I206" s="699"/>
    </row>
    <row r="207" spans="9:9" ht="20.100000000000001" customHeight="1" x14ac:dyDescent="0.2">
      <c r="I207" s="699"/>
    </row>
    <row r="208" spans="9:9" ht="20.100000000000001" customHeight="1" x14ac:dyDescent="0.2">
      <c r="I208" s="699"/>
    </row>
    <row r="209" spans="9:9" ht="20.100000000000001" customHeight="1" x14ac:dyDescent="0.2">
      <c r="I209" s="699"/>
    </row>
    <row r="210" spans="9:9" ht="20.100000000000001" customHeight="1" x14ac:dyDescent="0.2">
      <c r="I210" s="699"/>
    </row>
    <row r="211" spans="9:9" ht="20.100000000000001" customHeight="1" x14ac:dyDescent="0.2">
      <c r="I211" s="699"/>
    </row>
    <row r="212" spans="9:9" ht="20.100000000000001" customHeight="1" x14ac:dyDescent="0.2">
      <c r="I212" s="699"/>
    </row>
    <row r="213" spans="9:9" ht="20.100000000000001" customHeight="1" x14ac:dyDescent="0.2">
      <c r="I213" s="699"/>
    </row>
    <row r="214" spans="9:9" ht="20.100000000000001" customHeight="1" x14ac:dyDescent="0.2">
      <c r="I214" s="699"/>
    </row>
    <row r="215" spans="9:9" ht="20.100000000000001" customHeight="1" x14ac:dyDescent="0.2">
      <c r="I215" s="699"/>
    </row>
    <row r="216" spans="9:9" ht="20.100000000000001" customHeight="1" x14ac:dyDescent="0.2">
      <c r="I216" s="699"/>
    </row>
    <row r="217" spans="9:9" ht="20.100000000000001" customHeight="1" x14ac:dyDescent="0.2">
      <c r="I217" s="699"/>
    </row>
    <row r="218" spans="9:9" ht="20.100000000000001" customHeight="1" x14ac:dyDescent="0.2">
      <c r="I218" s="699"/>
    </row>
    <row r="219" spans="9:9" ht="20.100000000000001" customHeight="1" x14ac:dyDescent="0.2">
      <c r="I219" s="699"/>
    </row>
    <row r="220" spans="9:9" ht="20.100000000000001" customHeight="1" x14ac:dyDescent="0.2">
      <c r="I220" s="699"/>
    </row>
    <row r="221" spans="9:9" ht="20.100000000000001" customHeight="1" x14ac:dyDescent="0.2">
      <c r="I221" s="699"/>
    </row>
    <row r="222" spans="9:9" ht="20.100000000000001" customHeight="1" x14ac:dyDescent="0.2">
      <c r="I222" s="699"/>
    </row>
    <row r="223" spans="9:9" ht="20.100000000000001" customHeight="1" x14ac:dyDescent="0.2">
      <c r="I223" s="699"/>
    </row>
    <row r="224" spans="9:9" ht="20.100000000000001" customHeight="1" x14ac:dyDescent="0.2">
      <c r="I224" s="699"/>
    </row>
    <row r="225" spans="2:9" ht="20.100000000000001" customHeight="1" x14ac:dyDescent="0.2">
      <c r="I225" s="699"/>
    </row>
    <row r="226" spans="2:9" ht="20.100000000000001" customHeight="1" x14ac:dyDescent="0.2">
      <c r="I226" s="699"/>
    </row>
    <row r="227" spans="2:9" ht="20.100000000000001" customHeight="1" x14ac:dyDescent="0.2">
      <c r="I227" s="699"/>
    </row>
    <row r="228" spans="2:9" ht="20.100000000000001" customHeight="1" x14ac:dyDescent="0.2">
      <c r="I228" s="699"/>
    </row>
    <row r="229" spans="2:9" ht="20.100000000000001" customHeight="1" x14ac:dyDescent="0.2">
      <c r="I229" s="699"/>
    </row>
    <row r="230" spans="2:9" ht="20.100000000000001" customHeight="1" x14ac:dyDescent="0.2">
      <c r="I230" s="699"/>
    </row>
    <row r="231" spans="2:9" ht="20.100000000000001" customHeight="1" x14ac:dyDescent="0.2">
      <c r="I231" s="699"/>
    </row>
    <row r="232" spans="2:9" ht="20.100000000000001" customHeight="1" x14ac:dyDescent="0.2">
      <c r="I232" s="699"/>
    </row>
    <row r="233" spans="2:9" ht="20.100000000000001" customHeight="1" x14ac:dyDescent="0.2">
      <c r="I233" s="699"/>
    </row>
    <row r="234" spans="2:9" ht="20.100000000000001" customHeight="1" x14ac:dyDescent="0.2">
      <c r="I234" s="699"/>
    </row>
    <row r="235" spans="2:9" ht="20.100000000000001" customHeight="1" x14ac:dyDescent="0.2">
      <c r="I235" s="699"/>
    </row>
    <row r="236" spans="2:9" ht="20.100000000000001" customHeight="1" x14ac:dyDescent="0.2">
      <c r="I236" s="699"/>
    </row>
    <row r="237" spans="2:9" ht="20.100000000000001" customHeight="1" x14ac:dyDescent="0.2">
      <c r="I237" s="699"/>
    </row>
    <row r="238" spans="2:9" ht="20.100000000000001" customHeight="1" x14ac:dyDescent="0.2">
      <c r="I238" s="699"/>
    </row>
    <row r="239" spans="2:9" ht="20.100000000000001" customHeight="1" x14ac:dyDescent="0.2">
      <c r="I239" s="699"/>
    </row>
    <row r="240" spans="2:9" ht="20.100000000000001" customHeight="1" x14ac:dyDescent="0.2">
      <c r="B240" s="134">
        <v>4</v>
      </c>
      <c r="I240" s="699"/>
    </row>
    <row r="241" spans="9:9" ht="20.100000000000001" customHeight="1" x14ac:dyDescent="0.2">
      <c r="I241" s="699"/>
    </row>
    <row r="242" spans="9:9" ht="20.100000000000001" customHeight="1" x14ac:dyDescent="0.2">
      <c r="I242" s="699"/>
    </row>
    <row r="243" spans="9:9" ht="20.100000000000001" customHeight="1" x14ac:dyDescent="0.2">
      <c r="I243" s="699"/>
    </row>
    <row r="244" spans="9:9" ht="20.100000000000001" customHeight="1" x14ac:dyDescent="0.2">
      <c r="I244" s="699"/>
    </row>
    <row r="245" spans="9:9" ht="20.100000000000001" customHeight="1" x14ac:dyDescent="0.2">
      <c r="I245" s="699"/>
    </row>
    <row r="246" spans="9:9" ht="20.100000000000001" customHeight="1" x14ac:dyDescent="0.2">
      <c r="I246" s="699"/>
    </row>
    <row r="247" spans="9:9" ht="20.100000000000001" customHeight="1" x14ac:dyDescent="0.2">
      <c r="I247" s="699"/>
    </row>
    <row r="248" spans="9:9" ht="20.100000000000001" customHeight="1" x14ac:dyDescent="0.2">
      <c r="I248" s="699"/>
    </row>
    <row r="249" spans="9:9" ht="20.100000000000001" customHeight="1" x14ac:dyDescent="0.2">
      <c r="I249" s="699"/>
    </row>
    <row r="250" spans="9:9" ht="20.100000000000001" customHeight="1" x14ac:dyDescent="0.2">
      <c r="I250" s="699"/>
    </row>
    <row r="251" spans="9:9" ht="20.100000000000001" customHeight="1" x14ac:dyDescent="0.2">
      <c r="I251" s="699"/>
    </row>
    <row r="252" spans="9:9" ht="20.100000000000001" customHeight="1" x14ac:dyDescent="0.2">
      <c r="I252" s="699"/>
    </row>
    <row r="253" spans="9:9" ht="20.100000000000001" customHeight="1" x14ac:dyDescent="0.2">
      <c r="I253" s="699"/>
    </row>
    <row r="254" spans="9:9" ht="20.100000000000001" customHeight="1" x14ac:dyDescent="0.2">
      <c r="I254" s="699"/>
    </row>
    <row r="255" spans="9:9" ht="20.100000000000001" customHeight="1" x14ac:dyDescent="0.2">
      <c r="I255" s="699"/>
    </row>
    <row r="256" spans="9:9" ht="20.100000000000001" customHeight="1" x14ac:dyDescent="0.2">
      <c r="I256" s="699"/>
    </row>
    <row r="257" spans="9:9" ht="20.100000000000001" customHeight="1" x14ac:dyDescent="0.2">
      <c r="I257" s="699"/>
    </row>
    <row r="258" spans="9:9" ht="20.100000000000001" customHeight="1" x14ac:dyDescent="0.2">
      <c r="I258" s="699"/>
    </row>
    <row r="259" spans="9:9" ht="20.100000000000001" customHeight="1" x14ac:dyDescent="0.2">
      <c r="I259" s="699"/>
    </row>
    <row r="260" spans="9:9" ht="20.100000000000001" customHeight="1" x14ac:dyDescent="0.2">
      <c r="I260" s="699"/>
    </row>
    <row r="261" spans="9:9" ht="20.100000000000001" customHeight="1" x14ac:dyDescent="0.2">
      <c r="I261" s="699"/>
    </row>
    <row r="262" spans="9:9" ht="20.100000000000001" customHeight="1" x14ac:dyDescent="0.2">
      <c r="I262" s="699"/>
    </row>
    <row r="263" spans="9:9" ht="20.100000000000001" customHeight="1" x14ac:dyDescent="0.2">
      <c r="I263" s="699"/>
    </row>
    <row r="264" spans="9:9" ht="20.100000000000001" customHeight="1" x14ac:dyDescent="0.2">
      <c r="I264" s="699"/>
    </row>
    <row r="265" spans="9:9" ht="20.100000000000001" customHeight="1" x14ac:dyDescent="0.2">
      <c r="I265" s="699"/>
    </row>
    <row r="266" spans="9:9" ht="20.100000000000001" customHeight="1" x14ac:dyDescent="0.2">
      <c r="I266" s="699"/>
    </row>
    <row r="267" spans="9:9" ht="20.100000000000001" customHeight="1" x14ac:dyDescent="0.2">
      <c r="I267" s="699"/>
    </row>
    <row r="268" spans="9:9" ht="20.100000000000001" customHeight="1" x14ac:dyDescent="0.2">
      <c r="I268" s="699"/>
    </row>
    <row r="269" spans="9:9" ht="20.100000000000001" customHeight="1" x14ac:dyDescent="0.2">
      <c r="I269" s="699"/>
    </row>
    <row r="270" spans="9:9" ht="20.100000000000001" customHeight="1" x14ac:dyDescent="0.2">
      <c r="I270" s="699"/>
    </row>
    <row r="271" spans="9:9" ht="20.100000000000001" customHeight="1" x14ac:dyDescent="0.2">
      <c r="I271" s="699"/>
    </row>
    <row r="272" spans="9:9" ht="20.100000000000001" customHeight="1" x14ac:dyDescent="0.2">
      <c r="I272" s="699"/>
    </row>
    <row r="273" spans="9:9" ht="20.100000000000001" customHeight="1" x14ac:dyDescent="0.2">
      <c r="I273" s="699"/>
    </row>
    <row r="274" spans="9:9" ht="20.100000000000001" customHeight="1" x14ac:dyDescent="0.2">
      <c r="I274" s="699"/>
    </row>
    <row r="275" spans="9:9" ht="20.100000000000001" customHeight="1" x14ac:dyDescent="0.2">
      <c r="I275" s="699"/>
    </row>
    <row r="276" spans="9:9" ht="20.100000000000001" customHeight="1" x14ac:dyDescent="0.2">
      <c r="I276" s="699"/>
    </row>
    <row r="277" spans="9:9" ht="20.100000000000001" customHeight="1" x14ac:dyDescent="0.2">
      <c r="I277" s="699"/>
    </row>
    <row r="278" spans="9:9" ht="20.100000000000001" customHeight="1" x14ac:dyDescent="0.2">
      <c r="I278" s="699"/>
    </row>
    <row r="279" spans="9:9" ht="20.100000000000001" customHeight="1" x14ac:dyDescent="0.2">
      <c r="I279" s="699"/>
    </row>
    <row r="280" spans="9:9" ht="20.100000000000001" customHeight="1" x14ac:dyDescent="0.2">
      <c r="I280" s="699"/>
    </row>
    <row r="281" spans="9:9" ht="20.100000000000001" customHeight="1" x14ac:dyDescent="0.2">
      <c r="I281" s="699"/>
    </row>
    <row r="282" spans="9:9" ht="20.100000000000001" customHeight="1" x14ac:dyDescent="0.2">
      <c r="I282" s="699"/>
    </row>
    <row r="283" spans="9:9" ht="20.100000000000001" customHeight="1" x14ac:dyDescent="0.2">
      <c r="I283" s="699"/>
    </row>
    <row r="284" spans="9:9" ht="20.100000000000001" customHeight="1" x14ac:dyDescent="0.2">
      <c r="I284" s="699"/>
    </row>
    <row r="285" spans="9:9" ht="20.100000000000001" customHeight="1" x14ac:dyDescent="0.2">
      <c r="I285" s="699"/>
    </row>
    <row r="286" spans="9:9" ht="20.100000000000001" customHeight="1" x14ac:dyDescent="0.2">
      <c r="I286" s="699"/>
    </row>
    <row r="287" spans="9:9" ht="20.100000000000001" customHeight="1" x14ac:dyDescent="0.2">
      <c r="I287" s="699"/>
    </row>
    <row r="288" spans="9:9" ht="20.100000000000001" customHeight="1" x14ac:dyDescent="0.2">
      <c r="I288" s="699"/>
    </row>
    <row r="289" spans="2:9" ht="20.100000000000001" customHeight="1" x14ac:dyDescent="0.2">
      <c r="I289" s="699"/>
    </row>
    <row r="290" spans="2:9" ht="20.100000000000001" customHeight="1" x14ac:dyDescent="0.2">
      <c r="B290" s="134">
        <v>4</v>
      </c>
      <c r="I290" s="699"/>
    </row>
    <row r="291" spans="2:9" ht="20.100000000000001" customHeight="1" x14ac:dyDescent="0.2">
      <c r="I291" s="699"/>
    </row>
    <row r="292" spans="2:9" ht="20.100000000000001" customHeight="1" x14ac:dyDescent="0.2">
      <c r="I292" s="699"/>
    </row>
    <row r="293" spans="2:9" ht="20.100000000000001" customHeight="1" x14ac:dyDescent="0.2">
      <c r="I293" s="699"/>
    </row>
    <row r="294" spans="2:9" ht="20.100000000000001" customHeight="1" x14ac:dyDescent="0.2">
      <c r="I294" s="699"/>
    </row>
    <row r="295" spans="2:9" ht="20.100000000000001" customHeight="1" x14ac:dyDescent="0.2">
      <c r="I295" s="699"/>
    </row>
    <row r="296" spans="2:9" ht="20.100000000000001" customHeight="1" x14ac:dyDescent="0.2">
      <c r="I296" s="699"/>
    </row>
    <row r="297" spans="2:9" ht="20.100000000000001" customHeight="1" x14ac:dyDescent="0.2">
      <c r="I297" s="699"/>
    </row>
    <row r="298" spans="2:9" ht="20.100000000000001" customHeight="1" x14ac:dyDescent="0.2">
      <c r="I298" s="699"/>
    </row>
    <row r="299" spans="2:9" ht="20.100000000000001" customHeight="1" x14ac:dyDescent="0.2">
      <c r="I299" s="699"/>
    </row>
    <row r="300" spans="2:9" ht="20.100000000000001" customHeight="1" x14ac:dyDescent="0.2">
      <c r="I300" s="699"/>
    </row>
    <row r="301" spans="2:9" ht="20.100000000000001" customHeight="1" x14ac:dyDescent="0.2">
      <c r="I301" s="699"/>
    </row>
    <row r="302" spans="2:9" ht="20.100000000000001" customHeight="1" x14ac:dyDescent="0.2">
      <c r="I302" s="699"/>
    </row>
    <row r="303" spans="2:9" ht="20.100000000000001" customHeight="1" x14ac:dyDescent="0.2">
      <c r="I303" s="699"/>
    </row>
    <row r="304" spans="2:9" ht="20.100000000000001" customHeight="1" x14ac:dyDescent="0.2">
      <c r="I304" s="699"/>
    </row>
    <row r="305" spans="9:9" ht="20.100000000000001" customHeight="1" x14ac:dyDescent="0.2">
      <c r="I305" s="699"/>
    </row>
    <row r="306" spans="9:9" ht="20.100000000000001" customHeight="1" x14ac:dyDescent="0.2">
      <c r="I306" s="699"/>
    </row>
    <row r="307" spans="9:9" ht="20.100000000000001" customHeight="1" x14ac:dyDescent="0.2">
      <c r="I307" s="699"/>
    </row>
    <row r="308" spans="9:9" ht="20.100000000000001" customHeight="1" x14ac:dyDescent="0.2">
      <c r="I308" s="699"/>
    </row>
    <row r="309" spans="9:9" ht="20.100000000000001" customHeight="1" x14ac:dyDescent="0.2">
      <c r="I309" s="699"/>
    </row>
    <row r="310" spans="9:9" ht="20.100000000000001" customHeight="1" x14ac:dyDescent="0.2">
      <c r="I310" s="699"/>
    </row>
    <row r="311" spans="9:9" ht="20.100000000000001" customHeight="1" x14ac:dyDescent="0.2">
      <c r="I311" s="699"/>
    </row>
    <row r="312" spans="9:9" ht="20.100000000000001" customHeight="1" x14ac:dyDescent="0.2">
      <c r="I312" s="699"/>
    </row>
    <row r="313" spans="9:9" ht="20.100000000000001" customHeight="1" x14ac:dyDescent="0.2">
      <c r="I313" s="699"/>
    </row>
    <row r="314" spans="9:9" ht="20.100000000000001" customHeight="1" x14ac:dyDescent="0.2">
      <c r="I314" s="699"/>
    </row>
    <row r="315" spans="9:9" ht="20.100000000000001" customHeight="1" x14ac:dyDescent="0.2">
      <c r="I315" s="699"/>
    </row>
    <row r="316" spans="9:9" ht="20.100000000000001" customHeight="1" x14ac:dyDescent="0.2">
      <c r="I316" s="699"/>
    </row>
    <row r="317" spans="9:9" ht="20.100000000000001" customHeight="1" x14ac:dyDescent="0.2">
      <c r="I317" s="699"/>
    </row>
    <row r="318" spans="9:9" ht="20.100000000000001" customHeight="1" x14ac:dyDescent="0.2">
      <c r="I318" s="699"/>
    </row>
    <row r="319" spans="9:9" ht="20.100000000000001" customHeight="1" x14ac:dyDescent="0.2">
      <c r="I319" s="699"/>
    </row>
    <row r="320" spans="9:9" ht="20.100000000000001" customHeight="1" x14ac:dyDescent="0.2">
      <c r="I320" s="699"/>
    </row>
    <row r="321" spans="9:9" ht="20.100000000000001" customHeight="1" x14ac:dyDescent="0.2">
      <c r="I321" s="699"/>
    </row>
    <row r="322" spans="9:9" ht="20.100000000000001" customHeight="1" x14ac:dyDescent="0.2">
      <c r="I322" s="699"/>
    </row>
    <row r="323" spans="9:9" ht="20.100000000000001" customHeight="1" x14ac:dyDescent="0.2">
      <c r="I323" s="699"/>
    </row>
    <row r="324" spans="9:9" ht="20.100000000000001" customHeight="1" x14ac:dyDescent="0.2">
      <c r="I324" s="699"/>
    </row>
    <row r="325" spans="9:9" ht="20.100000000000001" customHeight="1" x14ac:dyDescent="0.2">
      <c r="I325" s="699"/>
    </row>
    <row r="326" spans="9:9" ht="20.100000000000001" customHeight="1" x14ac:dyDescent="0.2">
      <c r="I326" s="699"/>
    </row>
    <row r="327" spans="9:9" ht="20.100000000000001" customHeight="1" x14ac:dyDescent="0.2">
      <c r="I327" s="699"/>
    </row>
    <row r="328" spans="9:9" ht="20.100000000000001" customHeight="1" x14ac:dyDescent="0.2">
      <c r="I328" s="699"/>
    </row>
    <row r="329" spans="9:9" ht="20.100000000000001" customHeight="1" x14ac:dyDescent="0.2">
      <c r="I329" s="699"/>
    </row>
    <row r="330" spans="9:9" ht="20.100000000000001" customHeight="1" x14ac:dyDescent="0.2">
      <c r="I330" s="699"/>
    </row>
    <row r="331" spans="9:9" ht="20.100000000000001" customHeight="1" x14ac:dyDescent="0.2">
      <c r="I331" s="699"/>
    </row>
    <row r="332" spans="9:9" ht="20.100000000000001" customHeight="1" x14ac:dyDescent="0.2">
      <c r="I332" s="699"/>
    </row>
    <row r="333" spans="9:9" ht="20.100000000000001" customHeight="1" x14ac:dyDescent="0.2">
      <c r="I333" s="699"/>
    </row>
    <row r="334" spans="9:9" ht="20.100000000000001" customHeight="1" x14ac:dyDescent="0.2">
      <c r="I334" s="699"/>
    </row>
    <row r="335" spans="9:9" ht="20.100000000000001" customHeight="1" x14ac:dyDescent="0.2">
      <c r="I335" s="699"/>
    </row>
    <row r="336" spans="9:9" ht="20.100000000000001" customHeight="1" x14ac:dyDescent="0.2">
      <c r="I336" s="699"/>
    </row>
    <row r="337" spans="2:9" ht="20.100000000000001" customHeight="1" x14ac:dyDescent="0.2">
      <c r="I337" s="699"/>
    </row>
    <row r="338" spans="2:9" ht="20.100000000000001" customHeight="1" x14ac:dyDescent="0.2">
      <c r="I338" s="699"/>
    </row>
    <row r="339" spans="2:9" ht="20.100000000000001" customHeight="1" x14ac:dyDescent="0.2">
      <c r="I339" s="699"/>
    </row>
    <row r="340" spans="2:9" ht="20.100000000000001" customHeight="1" x14ac:dyDescent="0.2">
      <c r="B340" s="134">
        <v>5</v>
      </c>
      <c r="I340" s="699"/>
    </row>
    <row r="341" spans="2:9" ht="20.100000000000001" customHeight="1" x14ac:dyDescent="0.2">
      <c r="I341" s="699"/>
    </row>
    <row r="342" spans="2:9" ht="20.100000000000001" customHeight="1" x14ac:dyDescent="0.2">
      <c r="I342" s="699"/>
    </row>
    <row r="343" spans="2:9" ht="20.100000000000001" customHeight="1" x14ac:dyDescent="0.2">
      <c r="I343" s="699"/>
    </row>
    <row r="344" spans="2:9" ht="20.100000000000001" customHeight="1" x14ac:dyDescent="0.2">
      <c r="I344" s="699"/>
    </row>
    <row r="345" spans="2:9" ht="20.100000000000001" customHeight="1" x14ac:dyDescent="0.2">
      <c r="I345" s="699"/>
    </row>
    <row r="346" spans="2:9" ht="20.100000000000001" customHeight="1" x14ac:dyDescent="0.2">
      <c r="I346" s="699"/>
    </row>
    <row r="347" spans="2:9" ht="20.100000000000001" customHeight="1" x14ac:dyDescent="0.2">
      <c r="I347" s="699"/>
    </row>
    <row r="348" spans="2:9" ht="20.100000000000001" customHeight="1" x14ac:dyDescent="0.2">
      <c r="I348" s="699"/>
    </row>
    <row r="349" spans="2:9" ht="20.100000000000001" customHeight="1" x14ac:dyDescent="0.2">
      <c r="I349" s="699"/>
    </row>
    <row r="350" spans="2:9" ht="20.100000000000001" customHeight="1" x14ac:dyDescent="0.2">
      <c r="I350" s="699"/>
    </row>
    <row r="351" spans="2:9" ht="20.100000000000001" customHeight="1" x14ac:dyDescent="0.2">
      <c r="I351" s="699"/>
    </row>
    <row r="352" spans="2:9" ht="20.100000000000001" customHeight="1" x14ac:dyDescent="0.2">
      <c r="I352" s="699"/>
    </row>
    <row r="353" spans="9:9" ht="20.100000000000001" customHeight="1" x14ac:dyDescent="0.2">
      <c r="I353" s="699"/>
    </row>
    <row r="354" spans="9:9" ht="20.100000000000001" customHeight="1" x14ac:dyDescent="0.2">
      <c r="I354" s="699"/>
    </row>
    <row r="355" spans="9:9" ht="20.100000000000001" customHeight="1" x14ac:dyDescent="0.2">
      <c r="I355" s="699"/>
    </row>
    <row r="356" spans="9:9" ht="20.100000000000001" customHeight="1" x14ac:dyDescent="0.2">
      <c r="I356" s="699"/>
    </row>
    <row r="357" spans="9:9" ht="20.100000000000001" customHeight="1" x14ac:dyDescent="0.2">
      <c r="I357" s="699"/>
    </row>
    <row r="358" spans="9:9" ht="20.100000000000001" customHeight="1" x14ac:dyDescent="0.2">
      <c r="I358" s="699"/>
    </row>
    <row r="359" spans="9:9" ht="20.100000000000001" customHeight="1" x14ac:dyDescent="0.2">
      <c r="I359" s="699"/>
    </row>
    <row r="360" spans="9:9" ht="20.100000000000001" customHeight="1" x14ac:dyDescent="0.2">
      <c r="I360" s="699"/>
    </row>
    <row r="361" spans="9:9" ht="20.100000000000001" customHeight="1" x14ac:dyDescent="0.2">
      <c r="I361" s="699"/>
    </row>
    <row r="362" spans="9:9" ht="20.100000000000001" customHeight="1" x14ac:dyDescent="0.2">
      <c r="I362" s="699"/>
    </row>
    <row r="363" spans="9:9" ht="20.100000000000001" customHeight="1" x14ac:dyDescent="0.2">
      <c r="I363" s="699"/>
    </row>
    <row r="364" spans="9:9" ht="20.100000000000001" customHeight="1" x14ac:dyDescent="0.2">
      <c r="I364" s="699"/>
    </row>
    <row r="365" spans="9:9" ht="20.100000000000001" customHeight="1" x14ac:dyDescent="0.2">
      <c r="I365" s="699"/>
    </row>
    <row r="366" spans="9:9" ht="20.100000000000001" customHeight="1" x14ac:dyDescent="0.2">
      <c r="I366" s="699"/>
    </row>
    <row r="367" spans="9:9" ht="20.100000000000001" customHeight="1" x14ac:dyDescent="0.2">
      <c r="I367" s="699"/>
    </row>
    <row r="368" spans="9:9" ht="20.100000000000001" customHeight="1" x14ac:dyDescent="0.2">
      <c r="I368" s="699"/>
    </row>
    <row r="369" spans="9:9" ht="20.100000000000001" customHeight="1" x14ac:dyDescent="0.2">
      <c r="I369" s="699"/>
    </row>
    <row r="370" spans="9:9" ht="20.100000000000001" customHeight="1" x14ac:dyDescent="0.2">
      <c r="I370" s="699"/>
    </row>
    <row r="371" spans="9:9" ht="20.100000000000001" customHeight="1" x14ac:dyDescent="0.2">
      <c r="I371" s="699"/>
    </row>
    <row r="372" spans="9:9" ht="20.100000000000001" customHeight="1" x14ac:dyDescent="0.2">
      <c r="I372" s="699"/>
    </row>
    <row r="373" spans="9:9" ht="20.100000000000001" customHeight="1" x14ac:dyDescent="0.2">
      <c r="I373" s="699"/>
    </row>
    <row r="374" spans="9:9" ht="20.100000000000001" customHeight="1" x14ac:dyDescent="0.2">
      <c r="I374" s="699"/>
    </row>
    <row r="375" spans="9:9" ht="20.100000000000001" customHeight="1" x14ac:dyDescent="0.2">
      <c r="I375" s="699"/>
    </row>
    <row r="376" spans="9:9" ht="20.100000000000001" customHeight="1" x14ac:dyDescent="0.2">
      <c r="I376" s="699"/>
    </row>
    <row r="377" spans="9:9" ht="20.100000000000001" customHeight="1" x14ac:dyDescent="0.2">
      <c r="I377" s="699"/>
    </row>
    <row r="378" spans="9:9" ht="20.100000000000001" customHeight="1" x14ac:dyDescent="0.2">
      <c r="I378" s="699"/>
    </row>
    <row r="379" spans="9:9" ht="20.100000000000001" customHeight="1" x14ac:dyDescent="0.2">
      <c r="I379" s="699"/>
    </row>
    <row r="380" spans="9:9" ht="20.100000000000001" customHeight="1" x14ac:dyDescent="0.2">
      <c r="I380" s="699"/>
    </row>
    <row r="381" spans="9:9" ht="20.100000000000001" customHeight="1" x14ac:dyDescent="0.2">
      <c r="I381" s="699"/>
    </row>
    <row r="382" spans="9:9" ht="20.100000000000001" customHeight="1" x14ac:dyDescent="0.2">
      <c r="I382" s="699"/>
    </row>
    <row r="383" spans="9:9" ht="20.100000000000001" customHeight="1" x14ac:dyDescent="0.2">
      <c r="I383" s="699"/>
    </row>
    <row r="384" spans="9:9" ht="20.100000000000001" customHeight="1" x14ac:dyDescent="0.2">
      <c r="I384" s="699"/>
    </row>
    <row r="385" spans="2:9" ht="20.100000000000001" customHeight="1" x14ac:dyDescent="0.2">
      <c r="I385" s="699"/>
    </row>
    <row r="386" spans="2:9" ht="20.100000000000001" customHeight="1" x14ac:dyDescent="0.2">
      <c r="I386" s="699"/>
    </row>
    <row r="387" spans="2:9" ht="20.100000000000001" customHeight="1" x14ac:dyDescent="0.2">
      <c r="I387" s="699"/>
    </row>
    <row r="388" spans="2:9" ht="20.100000000000001" customHeight="1" x14ac:dyDescent="0.2">
      <c r="I388" s="699"/>
    </row>
    <row r="389" spans="2:9" ht="20.100000000000001" customHeight="1" x14ac:dyDescent="0.2">
      <c r="I389" s="699"/>
    </row>
    <row r="390" spans="2:9" ht="20.100000000000001" customHeight="1" x14ac:dyDescent="0.2">
      <c r="B390" s="134">
        <v>5</v>
      </c>
    </row>
    <row r="440" spans="2:2" ht="20.100000000000001" customHeight="1" x14ac:dyDescent="0.2">
      <c r="B440" s="134">
        <v>5</v>
      </c>
    </row>
    <row r="490" spans="2:2" ht="20.100000000000001" customHeight="1" x14ac:dyDescent="0.2">
      <c r="B490" s="134">
        <v>5</v>
      </c>
    </row>
    <row r="540" spans="2:2" ht="20.100000000000001" customHeight="1" x14ac:dyDescent="0.2">
      <c r="B540" s="134">
        <v>5</v>
      </c>
    </row>
    <row r="590" spans="2:2" ht="20.100000000000001" customHeight="1" x14ac:dyDescent="0.2">
      <c r="B590" s="134">
        <v>5</v>
      </c>
    </row>
    <row r="640" spans="2:2" ht="20.100000000000001" customHeight="1" x14ac:dyDescent="0.2">
      <c r="B640" s="134">
        <v>5</v>
      </c>
    </row>
    <row r="690" spans="2:2" ht="20.100000000000001" customHeight="1" x14ac:dyDescent="0.2">
      <c r="B690" s="134">
        <v>5</v>
      </c>
    </row>
    <row r="740" spans="2:2" ht="20.100000000000001" customHeight="1" x14ac:dyDescent="0.2">
      <c r="B740" s="134">
        <v>5</v>
      </c>
    </row>
    <row r="790" spans="2:2" ht="20.100000000000001" customHeight="1" x14ac:dyDescent="0.2">
      <c r="B790" s="134">
        <v>5</v>
      </c>
    </row>
    <row r="840" spans="2:2" ht="20.100000000000001" customHeight="1" x14ac:dyDescent="0.2">
      <c r="B840" s="134">
        <v>5</v>
      </c>
    </row>
    <row r="890" spans="2:2" ht="20.100000000000001" customHeight="1" x14ac:dyDescent="0.2">
      <c r="B890" s="134">
        <v>5</v>
      </c>
    </row>
    <row r="891" spans="2:2" ht="20.100000000000001" customHeight="1" x14ac:dyDescent="0.2">
      <c r="B891" s="134" t="e">
        <f>Datos!#REF!</f>
        <v>#REF!</v>
      </c>
    </row>
    <row r="940" spans="2:2" ht="20.100000000000001" customHeight="1" x14ac:dyDescent="0.2">
      <c r="B940" s="134">
        <v>5</v>
      </c>
    </row>
    <row r="941" spans="2:2" ht="20.100000000000001" customHeight="1" x14ac:dyDescent="0.2">
      <c r="B941" s="134" t="e">
        <f>Datos!#REF!</f>
        <v>#REF!</v>
      </c>
    </row>
    <row r="990" spans="2:2" ht="20.100000000000001" customHeight="1" x14ac:dyDescent="0.2">
      <c r="B990" s="134">
        <v>5</v>
      </c>
    </row>
    <row r="991" spans="2:2" ht="20.100000000000001" customHeight="1" x14ac:dyDescent="0.2">
      <c r="B991" s="134" t="e">
        <f>Datos!#REF!</f>
        <v>#REF!</v>
      </c>
    </row>
    <row r="1040" spans="2:2" ht="20.100000000000001" customHeight="1" x14ac:dyDescent="0.2">
      <c r="B1040" s="134">
        <v>5</v>
      </c>
    </row>
    <row r="1041" spans="2:2" ht="20.100000000000001" customHeight="1" x14ac:dyDescent="0.2">
      <c r="B1041" s="134" t="e">
        <f>Datos!#REF!</f>
        <v>#REF!</v>
      </c>
    </row>
    <row r="1091" spans="2:2" ht="20.100000000000001" customHeight="1" x14ac:dyDescent="0.2">
      <c r="B1091" s="134" t="e">
        <f>Datos!#REF!</f>
        <v>#REF!</v>
      </c>
    </row>
    <row r="1140" spans="2:2" ht="20.100000000000001" customHeight="1" x14ac:dyDescent="0.2">
      <c r="B1140" s="134">
        <v>7</v>
      </c>
    </row>
    <row r="1141" spans="2:2" ht="20.100000000000001" customHeight="1" x14ac:dyDescent="0.2">
      <c r="B1141" s="134" t="e">
        <f>Datos!#REF!</f>
        <v>#REF!</v>
      </c>
    </row>
    <row r="1191" spans="2:2" ht="20.100000000000001" customHeight="1" x14ac:dyDescent="0.2">
      <c r="B1191" s="134" t="e">
        <f>Datos!#REF!</f>
        <v>#REF!</v>
      </c>
    </row>
    <row r="1240" spans="2:2" ht="20.100000000000001" customHeight="1" x14ac:dyDescent="0.2">
      <c r="B1240" s="134">
        <v>8</v>
      </c>
    </row>
    <row r="1241" spans="2:2" ht="20.100000000000001" customHeight="1" x14ac:dyDescent="0.2">
      <c r="B1241" s="134" t="e">
        <f>Datos!#REF!</f>
        <v>#REF!</v>
      </c>
    </row>
    <row r="1290" spans="2:2" ht="20.100000000000001" customHeight="1" x14ac:dyDescent="0.2">
      <c r="B1290" s="134">
        <v>8</v>
      </c>
    </row>
    <row r="1291" spans="2:2" ht="20.100000000000001" customHeight="1" x14ac:dyDescent="0.2">
      <c r="B1291" s="134" t="e">
        <f>Datos!#REF!</f>
        <v>#REF!</v>
      </c>
    </row>
    <row r="1340" spans="2:2" ht="20.100000000000001" customHeight="1" x14ac:dyDescent="0.2">
      <c r="B1340" s="134">
        <v>8</v>
      </c>
    </row>
    <row r="1341" spans="2:2" ht="20.100000000000001" customHeight="1" x14ac:dyDescent="0.2">
      <c r="B1341" s="134" t="e">
        <f>Datos!#REF!</f>
        <v>#REF!</v>
      </c>
    </row>
    <row r="1390" spans="2:2" ht="20.100000000000001" customHeight="1" x14ac:dyDescent="0.2">
      <c r="B1390" s="134">
        <v>8</v>
      </c>
    </row>
    <row r="1391" spans="2:2" ht="20.100000000000001" customHeight="1" x14ac:dyDescent="0.2">
      <c r="B1391" s="134" t="e">
        <f>Datos!#REF!</f>
        <v>#REF!</v>
      </c>
    </row>
    <row r="1440" spans="2:2" ht="20.100000000000001" customHeight="1" x14ac:dyDescent="0.2">
      <c r="B1440" s="134">
        <v>8</v>
      </c>
    </row>
    <row r="1441" spans="2:2" ht="20.100000000000001" customHeight="1" x14ac:dyDescent="0.2">
      <c r="B1441" s="134" t="e">
        <f>Datos!#REF!</f>
        <v>#REF!</v>
      </c>
    </row>
    <row r="1491" spans="2:2" ht="20.100000000000001" customHeight="1" x14ac:dyDescent="0.2">
      <c r="B1491" s="134" t="e">
        <f>Datos!#REF!</f>
        <v>#REF!</v>
      </c>
    </row>
    <row r="1541" spans="2:2" ht="20.100000000000001" customHeight="1" x14ac:dyDescent="0.2">
      <c r="B1541" s="134" t="e">
        <f>Datos!#REF!</f>
        <v>#REF!</v>
      </c>
    </row>
    <row r="1591" spans="2:2" ht="20.100000000000001" customHeight="1" x14ac:dyDescent="0.2">
      <c r="B1591" s="134" t="e">
        <f>Datos!#REF!</f>
        <v>#REF!</v>
      </c>
    </row>
    <row r="1640" spans="2:2" ht="20.100000000000001" customHeight="1" x14ac:dyDescent="0.2">
      <c r="B1640" s="134">
        <v>12</v>
      </c>
    </row>
    <row r="1641" spans="2:2" ht="20.100000000000001" customHeight="1" x14ac:dyDescent="0.2">
      <c r="B1641" s="134" t="e">
        <f>Datos!#REF!</f>
        <v>#REF!</v>
      </c>
    </row>
    <row r="1690" spans="2:2" ht="20.100000000000001" customHeight="1" x14ac:dyDescent="0.2">
      <c r="B1690" s="134">
        <v>12</v>
      </c>
    </row>
    <row r="1691" spans="2:2" ht="20.100000000000001" customHeight="1" x14ac:dyDescent="0.2">
      <c r="B1691" s="134" t="e">
        <f>Datos!#REF!</f>
        <v>#REF!</v>
      </c>
    </row>
    <row r="1740" spans="2:2" ht="20.100000000000001" customHeight="1" x14ac:dyDescent="0.2">
      <c r="B1740" s="134">
        <v>12</v>
      </c>
    </row>
    <row r="1741" spans="2:2" ht="20.100000000000001" customHeight="1" x14ac:dyDescent="0.2">
      <c r="B1741" s="134" t="e">
        <f>Datos!#REF!</f>
        <v>#REF!</v>
      </c>
    </row>
    <row r="1790" spans="2:2" ht="20.100000000000001" customHeight="1" x14ac:dyDescent="0.2">
      <c r="B1790" s="134">
        <v>12</v>
      </c>
    </row>
    <row r="1791" spans="2:2" ht="20.100000000000001" customHeight="1" x14ac:dyDescent="0.2">
      <c r="B1791" s="134" t="e">
        <f>Datos!#REF!</f>
        <v>#REF!</v>
      </c>
    </row>
    <row r="1840" spans="2:2" ht="20.100000000000001" customHeight="1" x14ac:dyDescent="0.2">
      <c r="B1840" s="134">
        <v>12</v>
      </c>
    </row>
    <row r="1841" spans="2:2" ht="20.100000000000001" customHeight="1" x14ac:dyDescent="0.2">
      <c r="B1841" s="134" t="e">
        <f>Datos!#REF!</f>
        <v>#REF!</v>
      </c>
    </row>
    <row r="1890" spans="2:2" ht="20.100000000000001" customHeight="1" x14ac:dyDescent="0.2">
      <c r="B1890" s="134">
        <v>13</v>
      </c>
    </row>
    <row r="1891" spans="2:2" ht="20.100000000000001" customHeight="1" x14ac:dyDescent="0.2">
      <c r="B1891" s="134" t="e">
        <f>Datos!#REF!</f>
        <v>#REF!</v>
      </c>
    </row>
    <row r="1940" spans="2:2" ht="20.100000000000001" customHeight="1" x14ac:dyDescent="0.2">
      <c r="B1940" s="134">
        <v>13</v>
      </c>
    </row>
    <row r="1941" spans="2:2" ht="20.100000000000001" customHeight="1" x14ac:dyDescent="0.2">
      <c r="B1941" s="134" t="e">
        <f>Datos!#REF!</f>
        <v>#REF!</v>
      </c>
    </row>
  </sheetData>
  <mergeCells count="10">
    <mergeCell ref="H31:I31"/>
    <mergeCell ref="L31:O32"/>
    <mergeCell ref="A1:D1"/>
    <mergeCell ref="A16:D16"/>
    <mergeCell ref="F31:F32"/>
    <mergeCell ref="A29:D29"/>
    <mergeCell ref="A31:A32"/>
    <mergeCell ref="B31:B32"/>
    <mergeCell ref="C31:C32"/>
    <mergeCell ref="D31:D32"/>
  </mergeCells>
  <conditionalFormatting sqref="C23:C26">
    <cfRule type="expression" dxfId="121" priority="29" stopIfTrue="1">
      <formula>#REF!=1</formula>
    </cfRule>
  </conditionalFormatting>
  <conditionalFormatting sqref="A34 A36:A45">
    <cfRule type="expression" dxfId="120" priority="30" stopIfTrue="1">
      <formula>#REF!&gt;0</formula>
    </cfRule>
    <cfRule type="expression" dxfId="119" priority="31" stopIfTrue="1">
      <formula>#REF!&gt;0</formula>
    </cfRule>
    <cfRule type="expression" dxfId="118" priority="32" stopIfTrue="1">
      <formula>#REF!&gt;0</formula>
    </cfRule>
  </conditionalFormatting>
  <conditionalFormatting sqref="C23:C26">
    <cfRule type="expression" dxfId="117" priority="37" stopIfTrue="1">
      <formula>#REF!=1</formula>
    </cfRule>
  </conditionalFormatting>
  <conditionalFormatting sqref="B34 B36:B45">
    <cfRule type="expression" dxfId="116" priority="13" stopIfTrue="1">
      <formula>#REF!&gt;0</formula>
    </cfRule>
    <cfRule type="expression" dxfId="115" priority="14" stopIfTrue="1">
      <formula>#REF!&gt;0</formula>
    </cfRule>
    <cfRule type="expression" dxfId="114" priority="15" stopIfTrue="1">
      <formula>#REF!&gt;0</formula>
    </cfRule>
  </conditionalFormatting>
  <conditionalFormatting sqref="A35">
    <cfRule type="expression" dxfId="113" priority="4" stopIfTrue="1">
      <formula>#REF!&gt;0</formula>
    </cfRule>
    <cfRule type="expression" dxfId="112" priority="5" stopIfTrue="1">
      <formula>#REF!&gt;0</formula>
    </cfRule>
    <cfRule type="expression" dxfId="111" priority="6" stopIfTrue="1">
      <formula>#REF!&gt;0</formula>
    </cfRule>
  </conditionalFormatting>
  <conditionalFormatting sqref="B35">
    <cfRule type="expression" dxfId="110" priority="1" stopIfTrue="1">
      <formula>#REF!&gt;0</formula>
    </cfRule>
    <cfRule type="expression" dxfId="109" priority="2" stopIfTrue="1">
      <formula>#REF!&gt;0</formula>
    </cfRule>
    <cfRule type="expression" dxfId="108" priority="3" stopIfTrue="1">
      <formula>#REF!&gt;0</formula>
    </cfRule>
  </conditionalFormatting>
  <pageMargins left="1.1811023622047245" right="0.78740157480314965" top="0.98425196850393704" bottom="0.78740157480314965" header="0.39370078740157483" footer="0.39370078740157483"/>
  <pageSetup paperSize="9" scale="37" fitToHeight="0" orientation="portrait" r:id="rId1"/>
  <headerFooter>
    <oddHeader>&amp;L&amp;G</oddHeader>
  </headerFooter>
  <legacyDrawing r:id="rId2"/>
  <legacyDrawingHF r:id="rId3"/>
  <extLst>
    <ext xmlns:x14="http://schemas.microsoft.com/office/spreadsheetml/2009/9/main" uri="{CCE6A557-97BC-4b89-ADB6-D9C93CAAB3DF}">
      <x14:dataValidations xmlns:xm="http://schemas.microsoft.com/office/excel/2006/main" disablePrompts="1" count="1">
        <x14:dataValidation type="list" allowBlank="1" showInputMessage="1" showErrorMessage="1">
          <x14:formula1>
            <xm:f>'Items - Códigos'!$B:$B</xm:f>
          </x14:formula1>
          <xm:sqref>F34:F45</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dimension ref="A1:I44"/>
  <sheetViews>
    <sheetView showGridLines="0" showZeros="0" view="pageBreakPreview" topLeftCell="A20" zoomScale="90" zoomScaleNormal="100" zoomScaleSheetLayoutView="90" workbookViewId="0">
      <selection activeCell="G25" sqref="G25"/>
    </sheetView>
  </sheetViews>
  <sheetFormatPr baseColWidth="10" defaultColWidth="11.42578125" defaultRowHeight="19.5" customHeight="1" x14ac:dyDescent="0.2"/>
  <cols>
    <col min="1" max="1" width="10.7109375" style="2" customWidth="1"/>
    <col min="2" max="2" width="55.7109375" style="2" customWidth="1"/>
    <col min="3" max="3" width="6.7109375" style="2" customWidth="1"/>
    <col min="4" max="4" width="10.7109375" style="2" customWidth="1"/>
    <col min="5" max="5" width="30.7109375" style="2" customWidth="1"/>
    <col min="6" max="7" width="20.7109375" style="2" customWidth="1"/>
    <col min="8" max="8" width="11.42578125" style="2"/>
    <col min="9" max="9" width="12.7109375" style="2" bestFit="1" customWidth="1"/>
    <col min="10" max="16384" width="11.42578125" style="2"/>
  </cols>
  <sheetData>
    <row r="1" spans="1:9" ht="15" customHeight="1" x14ac:dyDescent="0.2">
      <c r="A1" s="720" t="str">
        <f>Obra</f>
        <v>PAVIMENTACION RUTAS VARIAS</v>
      </c>
      <c r="B1" s="720"/>
      <c r="C1" s="720"/>
      <c r="D1" s="720"/>
      <c r="E1" s="720"/>
      <c r="F1" s="720"/>
      <c r="G1" s="720"/>
    </row>
    <row r="2" spans="1:9" ht="15" customHeight="1" x14ac:dyDescent="0.2">
      <c r="A2" s="722" t="str">
        <f>IF(Tramo=0,"","TRAMO: "&amp;Tramo)</f>
        <v>TRAMO: VARIOS</v>
      </c>
      <c r="B2" s="722"/>
      <c r="C2" s="722"/>
      <c r="D2" s="722"/>
      <c r="E2" s="722"/>
      <c r="F2" s="722"/>
      <c r="G2" s="722"/>
    </row>
    <row r="3" spans="1:9" ht="15" customHeight="1" x14ac:dyDescent="0.2">
      <c r="A3" s="722" t="str">
        <f>IF(Sección_I=0,"","SECCIÓN I: "&amp;Sección_I)</f>
        <v/>
      </c>
      <c r="B3" s="722"/>
      <c r="C3" s="722"/>
      <c r="D3" s="722"/>
      <c r="E3" s="722"/>
      <c r="F3" s="722"/>
      <c r="G3" s="722"/>
    </row>
    <row r="4" spans="1:9" ht="15" customHeight="1" x14ac:dyDescent="0.2">
      <c r="A4" s="722" t="str">
        <f>IF(Sección_II=0,"","SECCIÓN II: "&amp;Sección_II)</f>
        <v/>
      </c>
      <c r="B4" s="722"/>
      <c r="C4" s="722"/>
      <c r="D4" s="722"/>
      <c r="E4" s="722"/>
      <c r="F4" s="722"/>
      <c r="G4" s="722"/>
    </row>
    <row r="5" spans="1:9" ht="15" customHeight="1" x14ac:dyDescent="0.2">
      <c r="A5" s="722" t="str">
        <f>IF(Sección_III=0,"","SECCIÓN III: "&amp;Sección_III)</f>
        <v/>
      </c>
      <c r="B5" s="722"/>
      <c r="C5" s="722"/>
      <c r="D5" s="722"/>
      <c r="E5" s="722"/>
      <c r="F5" s="722"/>
      <c r="G5" s="722"/>
    </row>
    <row r="6" spans="1:9" ht="15" customHeight="1" x14ac:dyDescent="0.2">
      <c r="A6" s="722" t="str">
        <f>IF(Ubicación=0,"","DEPARTAMENTO: "&amp;Ubicación)</f>
        <v>DEPARTAMENTO: POCITO</v>
      </c>
      <c r="B6" s="722"/>
      <c r="C6" s="722"/>
      <c r="D6" s="722"/>
      <c r="E6" s="722"/>
      <c r="F6" s="722"/>
      <c r="G6" s="722"/>
    </row>
    <row r="7" spans="1:9" ht="19.5" customHeight="1" x14ac:dyDescent="0.2">
      <c r="A7" s="298"/>
      <c r="B7" s="298"/>
      <c r="C7" s="298"/>
      <c r="D7" s="298"/>
      <c r="E7" s="298"/>
      <c r="F7" s="298"/>
      <c r="G7" s="298"/>
    </row>
    <row r="8" spans="1:9" s="5" customFormat="1" ht="19.5" customHeight="1" x14ac:dyDescent="0.2">
      <c r="A8" s="299" t="s">
        <v>1019</v>
      </c>
      <c r="B8" s="300"/>
      <c r="C8" s="300"/>
      <c r="D8" s="300"/>
      <c r="E8" s="300"/>
      <c r="F8" s="300"/>
      <c r="G8" s="301"/>
    </row>
    <row r="9" spans="1:9" s="303" customFormat="1" ht="30" customHeight="1" x14ac:dyDescent="0.25">
      <c r="A9" s="302"/>
      <c r="C9" s="304"/>
      <c r="D9" s="304"/>
      <c r="E9" s="302" t="str">
        <f>IF(Fecha_Base=0,"San Juan, ______________________"&amp;" de _____","San Juan, "&amp;TEXT(Fecha_Base,"dd")&amp;" de "&amp;TEXT(Fecha_Base,"mmmm")&amp;" de "&amp;TEXT(Fecha_Base,"yyyy"))</f>
        <v>San Juan, 07 de noviembre de 2018</v>
      </c>
    </row>
    <row r="10" spans="1:9" s="6" customFormat="1" ht="69.75" customHeight="1" x14ac:dyDescent="0.2">
      <c r="B10" s="305" t="s">
        <v>1025</v>
      </c>
      <c r="C10" s="305"/>
      <c r="D10" s="305"/>
      <c r="E10" s="305"/>
      <c r="F10" s="305"/>
      <c r="G10" s="305"/>
    </row>
    <row r="11" spans="1:9" s="6" customFormat="1" ht="80.099999999999994" customHeight="1" x14ac:dyDescent="0.2">
      <c r="B11" s="718" t="str">
        <f>IF(Contratista_Firma2=0,IF(Contratista_Firma1=0,I12,I13),I14)</f>
        <v>_____ que suscribe(n) ____________________  en su carácter de  ____________  declara(n) que ha(n) dado cumplimiento a lo establecido en la documentación correspondiente, ha examinado el terreno, los planos, cómputos métricos, Pliego de Condiciones y Especificaciones Técnicas relativas a las obras indicadas en el título y se compromete(n) a realizarla en un todo de acuerdo con los mencionados documentos que aclara(n) conocer en todas sus partes, ofreciendo ejecutar las obras correspondientes a los precios unitarios que consignan a continuación:</v>
      </c>
      <c r="C11" s="718"/>
      <c r="D11" s="718"/>
      <c r="E11" s="718"/>
      <c r="F11" s="718"/>
      <c r="G11" s="718"/>
    </row>
    <row r="12" spans="1:9" s="6" customFormat="1" ht="19.5" customHeight="1" x14ac:dyDescent="0.2">
      <c r="A12" s="13"/>
      <c r="B12" s="14"/>
      <c r="I12" s="700" t="s">
        <v>1026</v>
      </c>
    </row>
    <row r="13" spans="1:9" ht="20.100000000000001" customHeight="1" x14ac:dyDescent="0.2">
      <c r="A13" s="719" t="s">
        <v>906</v>
      </c>
      <c r="B13" s="721" t="s">
        <v>0</v>
      </c>
      <c r="C13" s="719" t="s">
        <v>1</v>
      </c>
      <c r="D13" s="719" t="s">
        <v>2</v>
      </c>
      <c r="E13" s="721" t="s">
        <v>1020</v>
      </c>
      <c r="F13" s="721"/>
      <c r="G13" s="719" t="s">
        <v>951</v>
      </c>
      <c r="I13" s="700" t="str">
        <f xml:space="preserve"> "El que suscribe " &amp; Contratista_Firma1 &amp; " en su carácter de, " &amp;Caracter_F1&amp; ", declara que ha dado cumplimiento a lo establecido en la documentación correspondiente, ha examinado el terreno, los planos, cómputos métricos, Pliego de Condiciones y Especificaciones Técnicas " &amp; "relativas a las obras indicadas en el título y se compromete a realizarla en un todo de acuerdo con los mencionados documentos que aclara conocer en todas sus partes, " &amp; "ofreciendo ejecutar las obras correspondientes a los precios unitarios que consignan a continuación:"</f>
        <v>El que suscribe  en su carácter de, , declara que ha dado cumplimiento a lo establecido en la documentación correspondiente, ha examinado el terreno, los planos, cómputos métricos, Pliego de Condiciones y Especificaciones Técnicas relativas a las obras indicadas en el título y se compromete a realizarla en un todo de acuerdo con los mencionados documentos que aclara conocer en todas sus partes, ofreciendo ejecutar las obras correspondientes a los precios unitarios que consignan a continuación:</v>
      </c>
    </row>
    <row r="14" spans="1:9" ht="20.100000000000001" customHeight="1" x14ac:dyDescent="0.2">
      <c r="A14" s="719"/>
      <c r="B14" s="721"/>
      <c r="C14" s="719"/>
      <c r="D14" s="719"/>
      <c r="E14" s="694" t="s">
        <v>1021</v>
      </c>
      <c r="F14" s="694" t="s">
        <v>1022</v>
      </c>
      <c r="G14" s="719"/>
      <c r="I14" s="701" t="str">
        <f xml:space="preserve"> "Los que suscriben " &amp; Contratista_Firma1 &amp; ", en su carácter de " &amp;Caracter_F1 &amp; " y " &amp; Contratista_Firma2 &amp; " en su carácter de " &amp; Caracter_F2 &amp; " declaran que han dado cumplimiento a lo establecido en la documentación correspondiente, han examinado el terreno, los planos, cómputos métricos, Pliego de Condiciones y Especificaciones Técnicas " &amp; "relativas a las obras indicadas en el título y se comprometen a realizarla en un todo de acuerdo con los mencionados documentos que aclaran conocer en todas sus partes, " &amp; "ofreciendo ejecutar las obras correspondientes a los precios unitarios que consignan a continuación:"</f>
        <v>Los que suscriben , en su carácter de  y  en su carácter de  declaran que han dado cumplimiento a lo establecido en la documentación correspondiente, han examinado el terreno, los planos, cómputos métricos, Pliego de Condiciones y Especificaciones Técnicas relativas a las obras indicadas en el título y se comprometen a realizarla en un todo de acuerdo con los mencionados documentos que aclaran conocer en todas sus partes, ofreciendo ejecutar las obras correspondientes a los precios unitarios que consignan a continuación:</v>
      </c>
    </row>
    <row r="15" spans="1:9" ht="20.100000000000001" customHeight="1" x14ac:dyDescent="0.2">
      <c r="A15" s="306"/>
      <c r="B15" s="692"/>
      <c r="C15" s="306"/>
      <c r="D15" s="306"/>
      <c r="E15" s="692"/>
      <c r="F15" s="692"/>
    </row>
    <row r="16" spans="1:9" ht="30" customHeight="1" x14ac:dyDescent="0.2">
      <c r="A16" s="307">
        <f>CyP!A18</f>
        <v>1</v>
      </c>
      <c r="B16" s="648" t="str">
        <f t="shared" ref="B16" si="0">IFERROR(VLOOKUP(A16,Tabla_CyP,2,FALSE),"")</f>
        <v>REACONDICIONAMIENTO DE BASE ESTABILIZADA GRANULAR</v>
      </c>
      <c r="C16" s="308" t="str">
        <f t="shared" ref="C16" si="1">IFERROR(VLOOKUP(A16,Tabla_CyP,4,FALSE),"")</f>
        <v>m3</v>
      </c>
      <c r="D16" s="649">
        <f t="shared" ref="D16" si="2">IFERROR(VLOOKUP(A16,Tabla_CyP,5,FALSE),"")</f>
        <v>3726.45</v>
      </c>
      <c r="E16" s="650" t="e">
        <f t="shared" ref="E16" ca="1" si="3">IF(F16=0,"",CONVERTIRNUM(F16))</f>
        <v>#NAME?</v>
      </c>
      <c r="F16" s="651" t="str">
        <f t="shared" ref="F16:F27" ca="1" si="4">IFERROR(VLOOKUP(A16,Tabla_CyP,7,FALSE),"")</f>
        <v/>
      </c>
      <c r="G16" s="651" t="e">
        <f ca="1">ROUND(D16*F16,2)</f>
        <v>#VALUE!</v>
      </c>
    </row>
    <row r="17" spans="1:7" ht="30" customHeight="1" x14ac:dyDescent="0.2">
      <c r="A17" s="307">
        <f>CyP!A19</f>
        <v>2</v>
      </c>
      <c r="B17" s="648" t="str">
        <f t="shared" ref="B17:B27" si="5">IFERROR(VLOOKUP(A17,Tabla_CyP,2,FALSE),"")</f>
        <v>IMPRIMACION CON MATERIAL BITUMINOSO</v>
      </c>
      <c r="C17" s="308" t="str">
        <f t="shared" ref="C17:C27" si="6">IFERROR(VLOOKUP(A17,Tabla_CyP,4,FALSE),"")</f>
        <v>m2</v>
      </c>
      <c r="D17" s="649">
        <f t="shared" ref="D17:D27" si="7">IFERROR(VLOOKUP(A17,Tabla_CyP,5,FALSE),"")</f>
        <v>57493.8</v>
      </c>
      <c r="E17" s="650" t="e">
        <f t="shared" ref="E17:E27" ca="1" si="8">IF(F17=0,"",CONVERTIRNUM(F17))</f>
        <v>#NAME?</v>
      </c>
      <c r="F17" s="651" t="str">
        <f t="shared" ca="1" si="4"/>
        <v/>
      </c>
      <c r="G17" s="651" t="e">
        <f t="shared" ref="G17:G27" ca="1" si="9">ROUND(D17*F17,2)</f>
        <v>#VALUE!</v>
      </c>
    </row>
    <row r="18" spans="1:7" ht="30" customHeight="1" x14ac:dyDescent="0.2">
      <c r="A18" s="307">
        <f>CyP!A20</f>
        <v>3</v>
      </c>
      <c r="B18" s="648" t="str">
        <f t="shared" si="5"/>
        <v>RIEGO DE LIGA</v>
      </c>
      <c r="C18" s="308" t="str">
        <f t="shared" si="6"/>
        <v>m2</v>
      </c>
      <c r="D18" s="649">
        <f t="shared" si="7"/>
        <v>55896.75</v>
      </c>
      <c r="E18" s="650" t="e">
        <f t="shared" ca="1" si="8"/>
        <v>#NAME?</v>
      </c>
      <c r="F18" s="651" t="str">
        <f t="shared" ca="1" si="4"/>
        <v/>
      </c>
      <c r="G18" s="651" t="e">
        <f t="shared" ca="1" si="9"/>
        <v>#VALUE!</v>
      </c>
    </row>
    <row r="19" spans="1:7" ht="30" customHeight="1" x14ac:dyDescent="0.2">
      <c r="A19" s="307">
        <f>CyP!A21</f>
        <v>4</v>
      </c>
      <c r="B19" s="648" t="str">
        <f t="shared" si="5"/>
        <v>CARPETA CON MEZCLA BITUMINOSA TIPO CONCRETO ASFALTICO</v>
      </c>
      <c r="C19" s="308" t="str">
        <f t="shared" si="6"/>
        <v>m2</v>
      </c>
      <c r="D19" s="649">
        <f t="shared" si="7"/>
        <v>55896.75</v>
      </c>
      <c r="E19" s="650" t="e">
        <f t="shared" ca="1" si="8"/>
        <v>#NAME?</v>
      </c>
      <c r="F19" s="651" t="str">
        <f t="shared" ca="1" si="4"/>
        <v/>
      </c>
      <c r="G19" s="651" t="e">
        <f t="shared" ca="1" si="9"/>
        <v>#VALUE!</v>
      </c>
    </row>
    <row r="20" spans="1:7" ht="30" customHeight="1" x14ac:dyDescent="0.2">
      <c r="A20" s="307">
        <f>CyP!A22</f>
        <v>5</v>
      </c>
      <c r="B20" s="648" t="str">
        <f t="shared" si="5"/>
        <v>CONSTRUCCION DE BANQUINAS ENRIPIADAS</v>
      </c>
      <c r="C20" s="308" t="str">
        <f t="shared" si="6"/>
        <v>m3</v>
      </c>
      <c r="D20" s="649">
        <f t="shared" si="7"/>
        <v>760.5</v>
      </c>
      <c r="E20" s="650" t="e">
        <f t="shared" ca="1" si="8"/>
        <v>#NAME?</v>
      </c>
      <c r="F20" s="651" t="str">
        <f t="shared" ca="1" si="4"/>
        <v/>
      </c>
      <c r="G20" s="651" t="e">
        <f t="shared" ca="1" si="9"/>
        <v>#VALUE!</v>
      </c>
    </row>
    <row r="21" spans="1:7" ht="30" customHeight="1" x14ac:dyDescent="0.2">
      <c r="A21" s="307">
        <f>CyP!A23</f>
        <v>6</v>
      </c>
      <c r="B21" s="648" t="str">
        <f t="shared" si="5"/>
        <v>SEÑALAMIENTO VERTICAL</v>
      </c>
      <c r="C21" s="308" t="str">
        <f t="shared" si="6"/>
        <v>m2</v>
      </c>
      <c r="D21" s="649">
        <f t="shared" si="7"/>
        <v>10</v>
      </c>
      <c r="E21" s="650" t="e">
        <f t="shared" ca="1" si="8"/>
        <v>#NAME?</v>
      </c>
      <c r="F21" s="651" t="str">
        <f t="shared" ca="1" si="4"/>
        <v/>
      </c>
      <c r="G21" s="651" t="e">
        <f t="shared" ca="1" si="9"/>
        <v>#VALUE!</v>
      </c>
    </row>
    <row r="22" spans="1:7" ht="30" customHeight="1" x14ac:dyDescent="0.2">
      <c r="A22" s="307">
        <f>CyP!A24</f>
        <v>7</v>
      </c>
      <c r="B22" s="648" t="str">
        <f t="shared" si="5"/>
        <v>DEMARCACION HORIZONTAL CON PINTURA ACRILICA APLICADA EN FRIO</v>
      </c>
      <c r="C22" s="308" t="str">
        <f t="shared" si="6"/>
        <v>m2</v>
      </c>
      <c r="D22" s="649">
        <f t="shared" si="7"/>
        <v>2400</v>
      </c>
      <c r="E22" s="650" t="e">
        <f t="shared" ca="1" si="8"/>
        <v>#NAME?</v>
      </c>
      <c r="F22" s="651" t="str">
        <f t="shared" ca="1" si="4"/>
        <v/>
      </c>
      <c r="G22" s="651" t="e">
        <f t="shared" ca="1" si="9"/>
        <v>#VALUE!</v>
      </c>
    </row>
    <row r="23" spans="1:7" ht="30" customHeight="1" x14ac:dyDescent="0.2">
      <c r="A23" s="307">
        <f>CyP!A25</f>
        <v>8</v>
      </c>
      <c r="B23" s="648" t="str">
        <f t="shared" si="5"/>
        <v>CUMPLIMIENTO DE MANEJO AMBIENTAL</v>
      </c>
      <c r="C23" s="308" t="str">
        <f t="shared" si="6"/>
        <v>mes</v>
      </c>
      <c r="D23" s="649">
        <f t="shared" si="7"/>
        <v>6</v>
      </c>
      <c r="E23" s="650" t="e">
        <f t="shared" ca="1" si="8"/>
        <v>#NAME?</v>
      </c>
      <c r="F23" s="651" t="str">
        <f t="shared" ca="1" si="4"/>
        <v/>
      </c>
      <c r="G23" s="651" t="e">
        <f t="shared" ca="1" si="9"/>
        <v>#VALUE!</v>
      </c>
    </row>
    <row r="24" spans="1:7" ht="30" customHeight="1" x14ac:dyDescent="0.2">
      <c r="A24" s="307">
        <f>CyP!A26</f>
        <v>9</v>
      </c>
      <c r="B24" s="648" t="str">
        <f t="shared" si="5"/>
        <v>PROVISION DE MOVILIDAD PARA EL PERSONAL DE INSPECCION</v>
      </c>
      <c r="C24" s="308">
        <f t="shared" si="6"/>
        <v>0</v>
      </c>
      <c r="D24" s="649">
        <f t="shared" si="7"/>
        <v>0</v>
      </c>
      <c r="E24" s="650" t="e">
        <f t="shared" ca="1" si="8"/>
        <v>#NAME?</v>
      </c>
      <c r="F24" s="651" t="str">
        <f t="shared" ca="1" si="4"/>
        <v/>
      </c>
      <c r="G24" s="651" t="e">
        <f t="shared" ca="1" si="9"/>
        <v>#VALUE!</v>
      </c>
    </row>
    <row r="25" spans="1:7" ht="30" customHeight="1" x14ac:dyDescent="0.2">
      <c r="A25" s="307" t="str">
        <f>CyP!A27</f>
        <v>9,a</v>
      </c>
      <c r="B25" s="648" t="str">
        <f t="shared" si="5"/>
        <v>Cuota Fija</v>
      </c>
      <c r="C25" s="308" t="str">
        <f t="shared" si="6"/>
        <v>mes</v>
      </c>
      <c r="D25" s="649">
        <f t="shared" si="7"/>
        <v>12</v>
      </c>
      <c r="E25" s="650" t="e">
        <f t="shared" ca="1" si="8"/>
        <v>#NAME?</v>
      </c>
      <c r="F25" s="651" t="str">
        <f t="shared" ca="1" si="4"/>
        <v/>
      </c>
      <c r="G25" s="651" t="e">
        <f t="shared" ca="1" si="9"/>
        <v>#VALUE!</v>
      </c>
    </row>
    <row r="26" spans="1:7" ht="30" customHeight="1" x14ac:dyDescent="0.2">
      <c r="A26" s="307" t="str">
        <f>CyP!A28</f>
        <v>9,b</v>
      </c>
      <c r="B26" s="648" t="str">
        <f t="shared" si="5"/>
        <v>Adicional por kilómetro</v>
      </c>
      <c r="C26" s="308" t="str">
        <f t="shared" si="6"/>
        <v>km</v>
      </c>
      <c r="D26" s="649">
        <f t="shared" si="7"/>
        <v>40000</v>
      </c>
      <c r="E26" s="650" t="e">
        <f t="shared" ca="1" si="8"/>
        <v>#NAME?</v>
      </c>
      <c r="F26" s="651" t="str">
        <f t="shared" ca="1" si="4"/>
        <v/>
      </c>
      <c r="G26" s="651" t="e">
        <f t="shared" ca="1" si="9"/>
        <v>#VALUE!</v>
      </c>
    </row>
    <row r="27" spans="1:7" ht="30" customHeight="1" x14ac:dyDescent="0.2">
      <c r="A27" s="307">
        <f>CyP!A29</f>
        <v>10</v>
      </c>
      <c r="B27" s="648" t="str">
        <f t="shared" si="5"/>
        <v>MOVILIZACION DE OBRA</v>
      </c>
      <c r="C27" s="308" t="str">
        <f t="shared" si="6"/>
        <v>Gl</v>
      </c>
      <c r="D27" s="649">
        <f t="shared" si="7"/>
        <v>1</v>
      </c>
      <c r="E27" s="650" t="e">
        <f t="shared" ca="1" si="8"/>
        <v>#NAME?</v>
      </c>
      <c r="F27" s="651" t="str">
        <f t="shared" ca="1" si="4"/>
        <v/>
      </c>
      <c r="G27" s="651" t="e">
        <f t="shared" ca="1" si="9"/>
        <v>#VALUE!</v>
      </c>
    </row>
    <row r="28" spans="1:7" ht="19.5" customHeight="1" x14ac:dyDescent="0.2">
      <c r="A28" s="656"/>
      <c r="B28" s="309"/>
      <c r="C28" s="310"/>
      <c r="D28" s="652"/>
      <c r="E28" s="653"/>
      <c r="F28" s="311"/>
      <c r="G28" s="657"/>
    </row>
    <row r="29" spans="1:7" ht="19.5" customHeight="1" x14ac:dyDescent="0.2">
      <c r="A29" s="656"/>
      <c r="B29" s="715" t="s">
        <v>1023</v>
      </c>
      <c r="C29" s="715"/>
      <c r="D29" s="715"/>
      <c r="E29" s="715"/>
      <c r="F29" s="658"/>
      <c r="G29" s="312" t="e">
        <f ca="1">ROUND(SUM(G16:G28),2)</f>
        <v>#VALUE!</v>
      </c>
    </row>
    <row r="30" spans="1:7" ht="19.5" customHeight="1" x14ac:dyDescent="0.2">
      <c r="A30" s="313" t="s">
        <v>3</v>
      </c>
      <c r="F30" s="314"/>
    </row>
    <row r="31" spans="1:7" ht="37.5" customHeight="1" x14ac:dyDescent="0.2">
      <c r="B31" s="716" t="e">
        <f ca="1">IF(Monto_Oferta=0,"IMPORTA LA PRESENTE PROPUESTA EN LA SUMA DE: _____________________","IMPORTA LA PRESENTE PROPUESTA EN LA SUMA DE: "&amp;CONVERTIRNUM(Monto_Oferta))</f>
        <v>#NAME?</v>
      </c>
      <c r="C31" s="716"/>
      <c r="D31" s="716"/>
      <c r="E31" s="716"/>
      <c r="F31" s="716"/>
      <c r="G31" s="716"/>
    </row>
    <row r="32" spans="1:7" ht="19.5" customHeight="1" x14ac:dyDescent="0.2">
      <c r="A32" s="315"/>
      <c r="B32" s="316"/>
      <c r="C32" s="316"/>
      <c r="D32" s="316"/>
      <c r="E32" s="316"/>
      <c r="F32" s="316"/>
    </row>
    <row r="33" spans="1:7" ht="19.5" customHeight="1" x14ac:dyDescent="0.2">
      <c r="B33" s="717" t="s">
        <v>1029</v>
      </c>
      <c r="C33" s="717"/>
      <c r="D33" s="717"/>
      <c r="E33" s="717"/>
      <c r="F33" s="717"/>
      <c r="G33" s="717"/>
    </row>
    <row r="34" spans="1:7" ht="19.5" customHeight="1" x14ac:dyDescent="0.2">
      <c r="B34" s="717" t="s">
        <v>1024</v>
      </c>
      <c r="C34" s="717"/>
      <c r="D34" s="717"/>
      <c r="E34" s="717"/>
      <c r="F34" s="717"/>
      <c r="G34" s="717"/>
    </row>
    <row r="35" spans="1:7" ht="19.5" customHeight="1" x14ac:dyDescent="0.2">
      <c r="B35" s="693"/>
      <c r="C35" s="693"/>
      <c r="D35" s="693"/>
      <c r="E35" s="693"/>
      <c r="F35" s="693"/>
      <c r="G35" s="693"/>
    </row>
    <row r="36" spans="1:7" ht="19.5" customHeight="1" x14ac:dyDescent="0.2">
      <c r="B36" s="693"/>
      <c r="C36" s="693"/>
      <c r="D36" s="693"/>
      <c r="E36" s="693"/>
      <c r="F36" s="693"/>
      <c r="G36" s="693"/>
    </row>
    <row r="37" spans="1:7" ht="19.5" customHeight="1" x14ac:dyDescent="0.2">
      <c r="B37" s="654" t="str">
        <f>"ACLARACIÓN DE LAS FIRMAS SIN ABREVIATURAS:                                               "&amp;Contratista_Firma1&amp;"                                                               "&amp;Contratista_Firma2</f>
        <v xml:space="preserve">ACLARACIÓN DE LAS FIRMAS SIN ABREVIATURAS:                                                                                                              </v>
      </c>
      <c r="C37" s="654"/>
      <c r="D37" s="655"/>
      <c r="E37" s="654"/>
      <c r="F37" s="655"/>
      <c r="G37" s="654"/>
    </row>
    <row r="38" spans="1:7" ht="19.5" customHeight="1" x14ac:dyDescent="0.2">
      <c r="D38" s="317">
        <v>0</v>
      </c>
      <c r="F38" s="317">
        <v>0</v>
      </c>
    </row>
    <row r="42" spans="1:7" ht="19.5" customHeight="1" x14ac:dyDescent="0.2">
      <c r="A42" s="318" t="str">
        <f xml:space="preserve"> "_____ que suscribe(n) ____________________  en su carácter de  ____________ "&amp;" declara(n) que ha(n) dado cumplimiento a lo establecido en la documentación correspondiente, ha examinado el terreno, los planos, cómputos métricos, Pliego de Condiciones y Especificaciones Técnicas " &amp; "relativas a las obras indicadas en el título y se compromete(n) a realizarla en un todo de acuerdo con los mencionados documentos que aclara(n) conocer en todas sus partes, " &amp; "ofreciendo ejecutar las obras correspondientes a los precios unitarios que consignan a continuación:"</f>
        <v>_____ que suscribe(n) ____________________  en su carácter de  ____________  declara(n) que ha(n) dado cumplimiento a lo establecido en la documentación correspondiente, ha examinado el terreno, los planos, cómputos métricos, Pliego de Condiciones y Especificaciones Técnicas relativas a las obras indicadas en el título y se compromete(n) a realizarla en un todo de acuerdo con los mencionados documentos que aclara(n) conocer en todas sus partes, ofreciendo ejecutar las obras correspondientes a los precios unitarios que consignan a continuación:</v>
      </c>
    </row>
    <row r="43" spans="1:7" ht="19.5" customHeight="1" x14ac:dyDescent="0.2">
      <c r="A43" s="318" t="s">
        <v>1028</v>
      </c>
    </row>
    <row r="44" spans="1:7" ht="19.5" customHeight="1" x14ac:dyDescent="0.2">
      <c r="A44" s="318" t="s">
        <v>1027</v>
      </c>
    </row>
  </sheetData>
  <sheetProtection formatCells="0" selectLockedCells="1"/>
  <mergeCells count="17">
    <mergeCell ref="A1:G1"/>
    <mergeCell ref="A13:A14"/>
    <mergeCell ref="B13:B14"/>
    <mergeCell ref="C13:C14"/>
    <mergeCell ref="D13:D14"/>
    <mergeCell ref="E13:F13"/>
    <mergeCell ref="A2:G2"/>
    <mergeCell ref="A3:G3"/>
    <mergeCell ref="A4:G4"/>
    <mergeCell ref="A5:G5"/>
    <mergeCell ref="A6:G6"/>
    <mergeCell ref="B29:E29"/>
    <mergeCell ref="B31:G31"/>
    <mergeCell ref="B33:G33"/>
    <mergeCell ref="B34:G34"/>
    <mergeCell ref="B11:G11"/>
    <mergeCell ref="G13:G14"/>
  </mergeCells>
  <conditionalFormatting sqref="A16:A30">
    <cfRule type="expression" dxfId="107" priority="28" stopIfTrue="1">
      <formula>#REF!&gt;0</formula>
    </cfRule>
    <cfRule type="expression" dxfId="106" priority="29" stopIfTrue="1">
      <formula>#REF!&gt;0</formula>
    </cfRule>
    <cfRule type="expression" dxfId="105" priority="30" stopIfTrue="1">
      <formula>#REF!&gt;0</formula>
    </cfRule>
  </conditionalFormatting>
  <conditionalFormatting sqref="B28">
    <cfRule type="expression" dxfId="104" priority="31" stopIfTrue="1">
      <formula>#REF!&gt;0</formula>
    </cfRule>
    <cfRule type="expression" dxfId="103" priority="32" stopIfTrue="1">
      <formula>#REF!&gt;0</formula>
    </cfRule>
    <cfRule type="expression" dxfId="102" priority="33" stopIfTrue="1">
      <formula>#REF!&gt;0</formula>
    </cfRule>
  </conditionalFormatting>
  <conditionalFormatting sqref="B16:B27">
    <cfRule type="expression" dxfId="101" priority="1" stopIfTrue="1">
      <formula>#REF!&gt;0</formula>
    </cfRule>
    <cfRule type="expression" dxfId="100" priority="2" stopIfTrue="1">
      <formula>#REF!&gt;0</formula>
    </cfRule>
    <cfRule type="expression" dxfId="99" priority="3" stopIfTrue="1">
      <formula>#REF!&gt;0</formula>
    </cfRule>
  </conditionalFormatting>
  <pageMargins left="0.98425196850393704" right="0.59055118110236227" top="1.3779527559055118" bottom="1.1811023622047245" header="0.39370078740157483" footer="0.39370078740157483"/>
  <pageSetup paperSize="9" scale="47" fitToWidth="0" fitToHeight="0" orientation="portrait" r:id="rId1"/>
  <headerFooter>
    <oddHeader>&amp;L&amp;G</oddHeader>
    <oddFooter>&amp;R&amp;P de &amp;N</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pageSetUpPr fitToPage="1"/>
  </sheetPr>
  <dimension ref="A1:I2007"/>
  <sheetViews>
    <sheetView showGridLines="0" showZeros="0" view="pageBreakPreview" topLeftCell="A16" zoomScale="80" zoomScaleNormal="90" zoomScaleSheetLayoutView="80" workbookViewId="0">
      <selection activeCell="C29" sqref="C29"/>
    </sheetView>
  </sheetViews>
  <sheetFormatPr baseColWidth="10" defaultColWidth="11.42578125" defaultRowHeight="12.75" x14ac:dyDescent="0.2"/>
  <cols>
    <col min="1" max="1" width="8.7109375" style="235" customWidth="1"/>
    <col min="2" max="3" width="30.7109375" style="235" customWidth="1"/>
    <col min="4" max="4" width="6.7109375" style="235" customWidth="1"/>
    <col min="5" max="5" width="16" style="235" customWidth="1"/>
    <col min="6" max="7" width="17.7109375" style="235" customWidth="1"/>
    <col min="8" max="8" width="22.7109375" style="235" customWidth="1"/>
    <col min="9" max="9" width="14.7109375" style="235" customWidth="1"/>
    <col min="10" max="16384" width="11.42578125" style="235"/>
  </cols>
  <sheetData>
    <row r="1" spans="1:9" s="221" customFormat="1" ht="20.100000000000001" customHeight="1" x14ac:dyDescent="0.2">
      <c r="A1" s="220" t="s">
        <v>8</v>
      </c>
      <c r="B1" s="220"/>
      <c r="C1" s="220" t="str">
        <f>Comitente</f>
        <v>DIRECCIÓN PROVINCIAL DE VIALIDAD</v>
      </c>
      <c r="D1" s="220"/>
      <c r="E1" s="220"/>
      <c r="F1" s="220"/>
      <c r="G1" s="220"/>
      <c r="I1" s="222"/>
    </row>
    <row r="2" spans="1:9" s="225" customFormat="1" ht="20.100000000000001" customHeight="1" x14ac:dyDescent="0.2">
      <c r="A2" s="223" t="s">
        <v>9</v>
      </c>
      <c r="B2" s="223"/>
      <c r="C2" s="220" t="str">
        <f>Obra</f>
        <v>PAVIMENTACION RUTAS VARIAS</v>
      </c>
      <c r="D2" s="224"/>
      <c r="E2" s="224"/>
      <c r="F2" s="224"/>
      <c r="G2" s="224"/>
      <c r="I2" s="224"/>
    </row>
    <row r="3" spans="1:9" s="225" customFormat="1" ht="20.100000000000001" customHeight="1" x14ac:dyDescent="0.2">
      <c r="A3" s="223" t="s">
        <v>15</v>
      </c>
      <c r="B3" s="223"/>
      <c r="C3" s="226" t="str">
        <f>Ubicación</f>
        <v>POCITO</v>
      </c>
      <c r="D3" s="226"/>
      <c r="E3" s="226"/>
      <c r="F3" s="226"/>
      <c r="G3" s="226"/>
      <c r="I3" s="226"/>
    </row>
    <row r="4" spans="1:9" s="225" customFormat="1" ht="20.100000000000001" customHeight="1" x14ac:dyDescent="0.2">
      <c r="A4" s="223" t="s">
        <v>14</v>
      </c>
      <c r="B4" s="227"/>
      <c r="C4" s="228" t="str">
        <f>Licitación_N°</f>
        <v>26/18</v>
      </c>
    </row>
    <row r="5" spans="1:9" s="225" customFormat="1" ht="20.100000000000001" customHeight="1" x14ac:dyDescent="0.2">
      <c r="A5" s="223" t="s">
        <v>32</v>
      </c>
      <c r="B5" s="227"/>
      <c r="C5" s="229">
        <f>Expediente_N°</f>
        <v>0</v>
      </c>
    </row>
    <row r="6" spans="1:9" s="225" customFormat="1" ht="20.100000000000001" customHeight="1" x14ac:dyDescent="0.2">
      <c r="A6" s="223" t="s">
        <v>17</v>
      </c>
      <c r="B6" s="227"/>
      <c r="C6" s="230">
        <f>P_Oficial</f>
        <v>27000000</v>
      </c>
    </row>
    <row r="7" spans="1:9" s="225" customFormat="1" ht="20.100000000000001" customHeight="1" x14ac:dyDescent="0.2">
      <c r="A7" s="223" t="s">
        <v>905</v>
      </c>
      <c r="B7" s="227"/>
      <c r="C7" s="231">
        <f>Anticipo_Financiero</f>
        <v>0.1</v>
      </c>
    </row>
    <row r="8" spans="1:9" s="225" customFormat="1" ht="20.100000000000001" customHeight="1" x14ac:dyDescent="0.2">
      <c r="A8" s="223" t="s">
        <v>904</v>
      </c>
      <c r="B8" s="227"/>
      <c r="C8" s="232">
        <f>Fecha_Base</f>
        <v>43411</v>
      </c>
    </row>
    <row r="9" spans="1:9" s="225" customFormat="1" ht="20.100000000000001" customHeight="1" x14ac:dyDescent="0.2">
      <c r="A9" s="223" t="s">
        <v>16</v>
      </c>
      <c r="B9" s="227"/>
      <c r="C9" s="233" t="str">
        <f>Plazo_Obra</f>
        <v>180 DIAS</v>
      </c>
    </row>
    <row r="10" spans="1:9" s="225" customFormat="1" ht="20.100000000000001" customHeight="1" x14ac:dyDescent="0.2">
      <c r="A10" s="223" t="s">
        <v>10</v>
      </c>
      <c r="B10" s="227"/>
      <c r="C10" s="223">
        <f>Contratista</f>
        <v>0</v>
      </c>
    </row>
    <row r="11" spans="1:9" s="225" customFormat="1" ht="20.100000000000001" customHeight="1" x14ac:dyDescent="0.2">
      <c r="A11" s="223" t="s">
        <v>43</v>
      </c>
      <c r="B11" s="227"/>
      <c r="C11" s="234" t="e">
        <f ca="1">Monto_Oferta</f>
        <v>#NAME?</v>
      </c>
    </row>
    <row r="12" spans="1:9" ht="20.100000000000001" customHeight="1" x14ac:dyDescent="0.2"/>
    <row r="13" spans="1:9" ht="20.100000000000001" customHeight="1" x14ac:dyDescent="0.2">
      <c r="A13" s="236" t="s">
        <v>42</v>
      </c>
      <c r="B13" s="237"/>
      <c r="C13" s="237"/>
      <c r="D13" s="237"/>
      <c r="E13" s="237"/>
      <c r="F13" s="237"/>
      <c r="G13" s="237"/>
      <c r="H13" s="238"/>
      <c r="I13" s="239"/>
    </row>
    <row r="14" spans="1:9" ht="20.100000000000001" customHeight="1" x14ac:dyDescent="0.2"/>
    <row r="15" spans="1:9" ht="20.100000000000001" customHeight="1" x14ac:dyDescent="0.2">
      <c r="A15" s="725" t="s">
        <v>906</v>
      </c>
      <c r="B15" s="727" t="s">
        <v>0</v>
      </c>
      <c r="C15" s="728"/>
      <c r="D15" s="725" t="s">
        <v>1</v>
      </c>
      <c r="E15" s="725" t="s">
        <v>2</v>
      </c>
      <c r="F15" s="724" t="s">
        <v>972</v>
      </c>
      <c r="G15" s="724" t="s">
        <v>973</v>
      </c>
      <c r="H15" s="724" t="s">
        <v>951</v>
      </c>
      <c r="I15" s="725" t="s">
        <v>13</v>
      </c>
    </row>
    <row r="16" spans="1:9" ht="20.100000000000001" customHeight="1" x14ac:dyDescent="0.2">
      <c r="A16" s="726"/>
      <c r="B16" s="729"/>
      <c r="C16" s="730"/>
      <c r="D16" s="726"/>
      <c r="E16" s="726"/>
      <c r="F16" s="724"/>
      <c r="G16" s="724"/>
      <c r="H16" s="724"/>
      <c r="I16" s="726"/>
    </row>
    <row r="17" spans="1:9" ht="20.100000000000001" customHeight="1" x14ac:dyDescent="0.2">
      <c r="A17" s="131"/>
      <c r="B17" s="205"/>
      <c r="C17" s="205"/>
      <c r="D17" s="131"/>
      <c r="E17" s="131"/>
      <c r="F17" s="205"/>
      <c r="G17" s="205"/>
      <c r="I17" s="240"/>
    </row>
    <row r="18" spans="1:9" ht="20.100000000000001" customHeight="1" x14ac:dyDescent="0.2">
      <c r="A18" s="218">
        <f>Datos!A34</f>
        <v>1</v>
      </c>
      <c r="B18" s="132" t="str">
        <f t="shared" ref="B18" si="0">IFERROR(VLOOKUP(A18,Tabla_Datos,2,FALSE),"")</f>
        <v>REACONDICIONAMIENTO DE BASE ESTABILIZADA GRANULAR</v>
      </c>
      <c r="C18" s="241"/>
      <c r="D18" s="242" t="str">
        <f t="shared" ref="D18" si="1">IFERROR(VLOOKUP(A18,Tabla_Datos,3,FALSE),"")</f>
        <v>m3</v>
      </c>
      <c r="E18" s="243">
        <f t="shared" ref="E18" si="2">IFERROR(VLOOKUP(A18,Tabla_Datos,4,FALSE),0)</f>
        <v>3726.45</v>
      </c>
      <c r="F18" s="244">
        <f t="shared" ref="F18" si="3">IFERROR(VLOOKUP(A18,Tabla_Analisis_Precio,7,FALSE),0)</f>
        <v>0</v>
      </c>
      <c r="G18" s="196" t="e">
        <f t="shared" ref="G18" ca="1" si="4">ROUND(PrecioUnitario(F18,GG_Porcentaje,Beneficio,Ingresos_Brutos,IVA),2)</f>
        <v>#NAME?</v>
      </c>
      <c r="H18" s="196" t="e">
        <f ca="1">ROUND(E18*G18,2)</f>
        <v>#NAME?</v>
      </c>
      <c r="I18" s="245">
        <f t="shared" ref="I18" ca="1" si="5">IFERROR(H18/Monto_Oferta,0)</f>
        <v>0</v>
      </c>
    </row>
    <row r="19" spans="1:9" ht="20.100000000000001" customHeight="1" x14ac:dyDescent="0.2">
      <c r="A19" s="218">
        <f>Datos!A35</f>
        <v>2</v>
      </c>
      <c r="B19" s="132" t="str">
        <f t="shared" ref="B19:B29" si="6">IFERROR(VLOOKUP(A19,Tabla_Datos,2,FALSE),"")</f>
        <v>IMPRIMACION CON MATERIAL BITUMINOSO</v>
      </c>
      <c r="C19" s="241"/>
      <c r="D19" s="242" t="str">
        <f t="shared" ref="D19:D29" si="7">IFERROR(VLOOKUP(A19,Tabla_Datos,3,FALSE),"")</f>
        <v>m2</v>
      </c>
      <c r="E19" s="243">
        <f t="shared" ref="E19:E29" si="8">IFERROR(VLOOKUP(A19,Tabla_Datos,4,FALSE),0)</f>
        <v>57493.8</v>
      </c>
      <c r="F19" s="244">
        <f t="shared" ref="F19:F29" si="9">IFERROR(VLOOKUP(A19,Tabla_Analisis_Precio,7,FALSE),0)</f>
        <v>0</v>
      </c>
      <c r="G19" s="196" t="e">
        <f t="shared" ref="G19:G29" ca="1" si="10">ROUND(PrecioUnitario(F19,GG_Porcentaje,Beneficio,Ingresos_Brutos,IVA),2)</f>
        <v>#NAME?</v>
      </c>
      <c r="H19" s="196" t="e">
        <f t="shared" ref="H19:H29" ca="1" si="11">ROUND(E19*G19,2)</f>
        <v>#NAME?</v>
      </c>
      <c r="I19" s="245">
        <f t="shared" ref="I19:I29" ca="1" si="12">IFERROR(H19/Monto_Oferta,0)</f>
        <v>0</v>
      </c>
    </row>
    <row r="20" spans="1:9" ht="20.100000000000001" customHeight="1" x14ac:dyDescent="0.2">
      <c r="A20" s="218">
        <f>Datos!A36</f>
        <v>3</v>
      </c>
      <c r="B20" s="132" t="str">
        <f t="shared" si="6"/>
        <v>RIEGO DE LIGA</v>
      </c>
      <c r="C20" s="241"/>
      <c r="D20" s="242" t="str">
        <f t="shared" si="7"/>
        <v>m2</v>
      </c>
      <c r="E20" s="243">
        <f t="shared" si="8"/>
        <v>55896.75</v>
      </c>
      <c r="F20" s="244">
        <f t="shared" si="9"/>
        <v>0</v>
      </c>
      <c r="G20" s="196" t="e">
        <f t="shared" ca="1" si="10"/>
        <v>#NAME?</v>
      </c>
      <c r="H20" s="196" t="e">
        <f t="shared" ca="1" si="11"/>
        <v>#NAME?</v>
      </c>
      <c r="I20" s="245">
        <f t="shared" ca="1" si="12"/>
        <v>0</v>
      </c>
    </row>
    <row r="21" spans="1:9" ht="20.100000000000001" customHeight="1" x14ac:dyDescent="0.2">
      <c r="A21" s="218">
        <f>Datos!A37</f>
        <v>4</v>
      </c>
      <c r="B21" s="132" t="str">
        <f t="shared" si="6"/>
        <v>CARPETA CON MEZCLA BITUMINOSA TIPO CONCRETO ASFALTICO</v>
      </c>
      <c r="C21" s="241"/>
      <c r="D21" s="242" t="str">
        <f t="shared" si="7"/>
        <v>m2</v>
      </c>
      <c r="E21" s="243">
        <f t="shared" si="8"/>
        <v>55896.75</v>
      </c>
      <c r="F21" s="244">
        <f t="shared" si="9"/>
        <v>0</v>
      </c>
      <c r="G21" s="196" t="e">
        <f t="shared" ca="1" si="10"/>
        <v>#NAME?</v>
      </c>
      <c r="H21" s="196" t="e">
        <f t="shared" ca="1" si="11"/>
        <v>#NAME?</v>
      </c>
      <c r="I21" s="245">
        <f t="shared" ca="1" si="12"/>
        <v>0</v>
      </c>
    </row>
    <row r="22" spans="1:9" ht="20.100000000000001" customHeight="1" x14ac:dyDescent="0.2">
      <c r="A22" s="218">
        <f>Datos!A38</f>
        <v>5</v>
      </c>
      <c r="B22" s="132" t="str">
        <f t="shared" si="6"/>
        <v>CONSTRUCCION DE BANQUINAS ENRIPIADAS</v>
      </c>
      <c r="C22" s="241"/>
      <c r="D22" s="242" t="str">
        <f t="shared" si="7"/>
        <v>m3</v>
      </c>
      <c r="E22" s="243">
        <f t="shared" si="8"/>
        <v>760.5</v>
      </c>
      <c r="F22" s="244">
        <f t="shared" si="9"/>
        <v>0</v>
      </c>
      <c r="G22" s="196" t="e">
        <f t="shared" ca="1" si="10"/>
        <v>#NAME?</v>
      </c>
      <c r="H22" s="196" t="e">
        <f t="shared" ca="1" si="11"/>
        <v>#NAME?</v>
      </c>
      <c r="I22" s="245">
        <f t="shared" ca="1" si="12"/>
        <v>0</v>
      </c>
    </row>
    <row r="23" spans="1:9" ht="20.100000000000001" customHeight="1" x14ac:dyDescent="0.2">
      <c r="A23" s="218">
        <f>Datos!A39</f>
        <v>6</v>
      </c>
      <c r="B23" s="132" t="str">
        <f t="shared" si="6"/>
        <v>SEÑALAMIENTO VERTICAL</v>
      </c>
      <c r="C23" s="241"/>
      <c r="D23" s="242" t="str">
        <f t="shared" si="7"/>
        <v>m2</v>
      </c>
      <c r="E23" s="243">
        <f t="shared" si="8"/>
        <v>10</v>
      </c>
      <c r="F23" s="244">
        <f t="shared" si="9"/>
        <v>0</v>
      </c>
      <c r="G23" s="196" t="e">
        <f t="shared" ca="1" si="10"/>
        <v>#NAME?</v>
      </c>
      <c r="H23" s="196" t="e">
        <f t="shared" ca="1" si="11"/>
        <v>#NAME?</v>
      </c>
      <c r="I23" s="245">
        <f t="shared" ca="1" si="12"/>
        <v>0</v>
      </c>
    </row>
    <row r="24" spans="1:9" ht="20.100000000000001" customHeight="1" x14ac:dyDescent="0.2">
      <c r="A24" s="218">
        <f>Datos!A40</f>
        <v>7</v>
      </c>
      <c r="B24" s="132" t="str">
        <f t="shared" si="6"/>
        <v>DEMARCACION HORIZONTAL CON PINTURA ACRILICA APLICADA EN FRIO</v>
      </c>
      <c r="C24" s="241"/>
      <c r="D24" s="242" t="str">
        <f t="shared" si="7"/>
        <v>m2</v>
      </c>
      <c r="E24" s="243">
        <f t="shared" si="8"/>
        <v>2400</v>
      </c>
      <c r="F24" s="244">
        <f t="shared" si="9"/>
        <v>0</v>
      </c>
      <c r="G24" s="196" t="e">
        <f t="shared" ca="1" si="10"/>
        <v>#NAME?</v>
      </c>
      <c r="H24" s="196" t="e">
        <f t="shared" ca="1" si="11"/>
        <v>#NAME?</v>
      </c>
      <c r="I24" s="245">
        <f t="shared" ca="1" si="12"/>
        <v>0</v>
      </c>
    </row>
    <row r="25" spans="1:9" ht="20.100000000000001" customHeight="1" x14ac:dyDescent="0.2">
      <c r="A25" s="218">
        <f>Datos!A41</f>
        <v>8</v>
      </c>
      <c r="B25" s="132" t="str">
        <f t="shared" si="6"/>
        <v>CUMPLIMIENTO DE MANEJO AMBIENTAL</v>
      </c>
      <c r="C25" s="241"/>
      <c r="D25" s="242" t="str">
        <f t="shared" si="7"/>
        <v>mes</v>
      </c>
      <c r="E25" s="243">
        <f t="shared" si="8"/>
        <v>6</v>
      </c>
      <c r="F25" s="244">
        <f t="shared" si="9"/>
        <v>0</v>
      </c>
      <c r="G25" s="196" t="e">
        <f t="shared" ca="1" si="10"/>
        <v>#NAME?</v>
      </c>
      <c r="H25" s="196" t="e">
        <f t="shared" ca="1" si="11"/>
        <v>#NAME?</v>
      </c>
      <c r="I25" s="245">
        <f t="shared" ca="1" si="12"/>
        <v>0</v>
      </c>
    </row>
    <row r="26" spans="1:9" ht="20.100000000000001" customHeight="1" x14ac:dyDescent="0.2">
      <c r="A26" s="218">
        <f>Datos!A42</f>
        <v>9</v>
      </c>
      <c r="B26" s="132" t="str">
        <f t="shared" si="6"/>
        <v>PROVISION DE MOVILIDAD PARA EL PERSONAL DE INSPECCION</v>
      </c>
      <c r="C26" s="241"/>
      <c r="D26" s="242">
        <f t="shared" si="7"/>
        <v>0</v>
      </c>
      <c r="E26" s="243">
        <f t="shared" si="8"/>
        <v>0</v>
      </c>
      <c r="F26" s="244">
        <f t="shared" si="9"/>
        <v>0</v>
      </c>
      <c r="G26" s="196" t="e">
        <f t="shared" ca="1" si="10"/>
        <v>#NAME?</v>
      </c>
      <c r="H26" s="196" t="e">
        <f t="shared" ca="1" si="11"/>
        <v>#NAME?</v>
      </c>
      <c r="I26" s="245">
        <f t="shared" ca="1" si="12"/>
        <v>0</v>
      </c>
    </row>
    <row r="27" spans="1:9" ht="20.100000000000001" customHeight="1" x14ac:dyDescent="0.2">
      <c r="A27" s="218" t="str">
        <f>Datos!A43</f>
        <v>9,a</v>
      </c>
      <c r="B27" s="132" t="str">
        <f t="shared" si="6"/>
        <v>Cuota Fija</v>
      </c>
      <c r="C27" s="241"/>
      <c r="D27" s="242" t="str">
        <f t="shared" si="7"/>
        <v>mes</v>
      </c>
      <c r="E27" s="243">
        <f t="shared" si="8"/>
        <v>12</v>
      </c>
      <c r="F27" s="244">
        <f t="shared" si="9"/>
        <v>0</v>
      </c>
      <c r="G27" s="196" t="e">
        <f t="shared" ca="1" si="10"/>
        <v>#NAME?</v>
      </c>
      <c r="H27" s="196" t="e">
        <f t="shared" ca="1" si="11"/>
        <v>#NAME?</v>
      </c>
      <c r="I27" s="245">
        <f t="shared" ca="1" si="12"/>
        <v>0</v>
      </c>
    </row>
    <row r="28" spans="1:9" ht="20.100000000000001" customHeight="1" x14ac:dyDescent="0.2">
      <c r="A28" s="218" t="str">
        <f>Datos!A44</f>
        <v>9,b</v>
      </c>
      <c r="B28" s="132" t="str">
        <f t="shared" si="6"/>
        <v>Adicional por kilómetro</v>
      </c>
      <c r="C28" s="241"/>
      <c r="D28" s="242" t="str">
        <f t="shared" si="7"/>
        <v>km</v>
      </c>
      <c r="E28" s="243">
        <f t="shared" si="8"/>
        <v>40000</v>
      </c>
      <c r="F28" s="244">
        <f t="shared" si="9"/>
        <v>0</v>
      </c>
      <c r="G28" s="196" t="e">
        <f t="shared" ca="1" si="10"/>
        <v>#NAME?</v>
      </c>
      <c r="H28" s="196" t="e">
        <f t="shared" ca="1" si="11"/>
        <v>#NAME?</v>
      </c>
      <c r="I28" s="245">
        <f t="shared" ca="1" si="12"/>
        <v>0</v>
      </c>
    </row>
    <row r="29" spans="1:9" ht="20.100000000000001" customHeight="1" x14ac:dyDescent="0.2">
      <c r="A29" s="218">
        <f>Datos!A45</f>
        <v>10</v>
      </c>
      <c r="B29" s="132" t="str">
        <f t="shared" si="6"/>
        <v>MOVILIZACION DE OBRA</v>
      </c>
      <c r="C29" s="241"/>
      <c r="D29" s="242" t="str">
        <f t="shared" si="7"/>
        <v>Gl</v>
      </c>
      <c r="E29" s="243">
        <f t="shared" si="8"/>
        <v>1</v>
      </c>
      <c r="F29" s="244">
        <f t="shared" si="9"/>
        <v>0</v>
      </c>
      <c r="G29" s="196" t="e">
        <f t="shared" ca="1" si="10"/>
        <v>#NAME?</v>
      </c>
      <c r="H29" s="196" t="e">
        <f t="shared" ca="1" si="11"/>
        <v>#NAME?</v>
      </c>
      <c r="I29" s="245">
        <f t="shared" ca="1" si="12"/>
        <v>0</v>
      </c>
    </row>
    <row r="30" spans="1:9" ht="20.100000000000001" customHeight="1" x14ac:dyDescent="0.2">
      <c r="A30" s="246"/>
      <c r="B30" s="247"/>
      <c r="C30" s="248"/>
      <c r="D30" s="249"/>
      <c r="E30" s="250"/>
      <c r="F30" s="251"/>
      <c r="G30" s="251"/>
      <c r="I30" s="252"/>
    </row>
    <row r="31" spans="1:9" ht="20.100000000000001" customHeight="1" x14ac:dyDescent="0.2">
      <c r="A31" s="253" t="s">
        <v>3</v>
      </c>
      <c r="B31" s="703" t="s">
        <v>1873</v>
      </c>
      <c r="C31" s="254"/>
      <c r="D31" s="254"/>
      <c r="E31" s="702" t="s">
        <v>980</v>
      </c>
      <c r="F31" s="704">
        <f>ROUND(SUMPRODUCT(E18:E29,F18:F29),2)</f>
        <v>0</v>
      </c>
      <c r="G31" s="705"/>
      <c r="H31" s="608" t="e">
        <f ca="1">SUM(H18:H29)</f>
        <v>#NAME?</v>
      </c>
      <c r="I31" s="255">
        <f ca="1">SUM(I18:I30)</f>
        <v>0</v>
      </c>
    </row>
    <row r="32" spans="1:9" ht="20.100000000000001" customHeight="1" thickBot="1" x14ac:dyDescent="0.25">
      <c r="G32" s="256"/>
    </row>
    <row r="33" spans="1:9" ht="20.100000000000001" customHeight="1" thickTop="1" x14ac:dyDescent="0.2">
      <c r="A33" s="257" t="s">
        <v>907</v>
      </c>
      <c r="B33" s="258" t="s">
        <v>981</v>
      </c>
      <c r="C33" s="259"/>
      <c r="D33" s="260"/>
      <c r="E33" s="261"/>
      <c r="F33" s="262"/>
      <c r="G33" s="261"/>
      <c r="H33" s="263" t="e">
        <f ca="1">ROUND(H36/(1+Beneficio)-GG_Pesos,2)</f>
        <v>#NAME?</v>
      </c>
      <c r="I33" s="264"/>
    </row>
    <row r="34" spans="1:9" ht="20.100000000000001" customHeight="1" x14ac:dyDescent="0.2">
      <c r="A34" s="265" t="s">
        <v>908</v>
      </c>
      <c r="B34" s="266" t="str">
        <f>CONCATENATE("GASTOS GENERALES  ",ROUND(E34*100,3)," % de ( 1 )")</f>
        <v>GASTOS GENERALES  0 % de ( 1 )</v>
      </c>
      <c r="C34" s="266"/>
      <c r="D34" s="267"/>
      <c r="E34" s="268">
        <f>GG_Porcentaje</f>
        <v>0</v>
      </c>
      <c r="F34" s="133"/>
      <c r="G34" s="221"/>
      <c r="H34" s="269">
        <f>IF(GG_Pesos=0,ROUND(GG_Porcentaje*Costo_Obra,2),GG_Pesos)</f>
        <v>0</v>
      </c>
      <c r="I34" s="267"/>
    </row>
    <row r="35" spans="1:9" ht="20.100000000000001" customHeight="1" x14ac:dyDescent="0.2">
      <c r="A35" s="265" t="s">
        <v>909</v>
      </c>
      <c r="B35" s="266" t="str">
        <f>CONCATENATE("BENEFICIOS  ",ROUND(E35*100,2)," % de ( 1 + 2 )")</f>
        <v>BENEFICIOS  0 % de ( 1 + 2 )</v>
      </c>
      <c r="C35" s="266"/>
      <c r="D35" s="267"/>
      <c r="E35" s="268">
        <f>Beneficio</f>
        <v>0</v>
      </c>
      <c r="F35" s="133"/>
      <c r="G35" s="221"/>
      <c r="H35" s="269">
        <f>IF(Beneficio=0,,ROUND(Beneficio*(Costo_Obra),2))</f>
        <v>0</v>
      </c>
      <c r="I35" s="267"/>
    </row>
    <row r="36" spans="1:9" ht="20.100000000000001" customHeight="1" x14ac:dyDescent="0.2">
      <c r="A36" s="265" t="s">
        <v>910</v>
      </c>
      <c r="B36" s="270" t="s">
        <v>11</v>
      </c>
      <c r="C36" s="271"/>
      <c r="D36" s="267"/>
      <c r="E36" s="221"/>
      <c r="F36" s="133"/>
      <c r="G36" s="221"/>
      <c r="H36" s="269" t="e">
        <f ca="1">ROUND(Monto_Oferta/(1+IVA+Ingresos_Brutos),2)</f>
        <v>#NAME?</v>
      </c>
      <c r="I36" s="267"/>
    </row>
    <row r="37" spans="1:9" ht="20.100000000000001" customHeight="1" x14ac:dyDescent="0.2">
      <c r="A37" s="265" t="s">
        <v>911</v>
      </c>
      <c r="B37" s="266" t="str">
        <f>CONCATENATE("INGRESOS BRUTOS Y LOTE HOGAR  ",ROUND(E37*100,2)," % de ( 4 )")</f>
        <v>INGRESOS BRUTOS Y LOTE HOGAR  0 % de ( 4 )</v>
      </c>
      <c r="C37" s="266"/>
      <c r="D37" s="267"/>
      <c r="E37" s="268">
        <f>Ingresos_Brutos</f>
        <v>0</v>
      </c>
      <c r="F37" s="133"/>
      <c r="G37" s="221"/>
      <c r="H37" s="269">
        <f>IF(Ingresos_Brutos=0,,ROUND(Ingresos_Brutos*H36,2))</f>
        <v>0</v>
      </c>
      <c r="I37" s="267"/>
    </row>
    <row r="38" spans="1:9" ht="20.100000000000001" customHeight="1" thickBot="1" x14ac:dyDescent="0.25">
      <c r="A38" s="272" t="s">
        <v>912</v>
      </c>
      <c r="B38" s="273" t="str">
        <f>CONCATENATE("IMPUESTO AL VALOR AGREGADO ",E38*100," % de ( 4 )")</f>
        <v>IMPUESTO AL VALOR AGREGADO 0 % de ( 4 )</v>
      </c>
      <c r="C38" s="273"/>
      <c r="D38" s="274"/>
      <c r="E38" s="275">
        <f>IVA</f>
        <v>0</v>
      </c>
      <c r="F38" s="276"/>
      <c r="G38" s="277"/>
      <c r="H38" s="278">
        <f>IF(IVA=0,,ROUND(IVA*H36,2))</f>
        <v>0</v>
      </c>
      <c r="I38" s="267"/>
    </row>
    <row r="39" spans="1:9" ht="20.100000000000001" customHeight="1" thickTop="1" x14ac:dyDescent="0.2">
      <c r="A39" s="279"/>
      <c r="B39" s="266"/>
      <c r="C39" s="266"/>
      <c r="D39" s="267"/>
      <c r="E39" s="268"/>
      <c r="F39" s="133"/>
      <c r="H39" s="280"/>
      <c r="I39" s="267"/>
    </row>
    <row r="40" spans="1:9" ht="20.100000000000001" customHeight="1" x14ac:dyDescent="0.2">
      <c r="A40" s="281"/>
      <c r="B40" s="281" t="s">
        <v>12</v>
      </c>
      <c r="C40" s="281"/>
      <c r="D40" s="267"/>
      <c r="E40" s="221"/>
      <c r="F40" s="133"/>
      <c r="H40" s="280" t="e">
        <f ca="1">Monto_Oferta</f>
        <v>#NAME?</v>
      </c>
      <c r="I40" s="267"/>
    </row>
    <row r="41" spans="1:9" ht="20.100000000000001" customHeight="1" x14ac:dyDescent="0.2">
      <c r="I41" s="282"/>
    </row>
    <row r="42" spans="1:9" ht="60" customHeight="1" x14ac:dyDescent="0.2">
      <c r="B42" s="723" t="e">
        <f ca="1">"El presente presupuesto asciende a la suma de: " &amp; UPPER(CONVERTIRNUM(Monto_Oferta))</f>
        <v>#NAME?</v>
      </c>
      <c r="C42" s="723"/>
      <c r="D42" s="723"/>
      <c r="E42" s="723"/>
      <c r="F42" s="723"/>
      <c r="G42" s="723"/>
      <c r="H42" s="723"/>
      <c r="I42" s="723"/>
    </row>
    <row r="43" spans="1:9" x14ac:dyDescent="0.2">
      <c r="A43" s="134" t="s">
        <v>953</v>
      </c>
    </row>
    <row r="206" spans="2:2" x14ac:dyDescent="0.2">
      <c r="B206" s="235">
        <v>4</v>
      </c>
    </row>
    <row r="256" spans="2:2" x14ac:dyDescent="0.2">
      <c r="B256" s="235">
        <v>4</v>
      </c>
    </row>
    <row r="306" spans="2:2" x14ac:dyDescent="0.2">
      <c r="B306" s="235">
        <v>4</v>
      </c>
    </row>
    <row r="356" spans="2:2" x14ac:dyDescent="0.2">
      <c r="B356" s="235">
        <v>4</v>
      </c>
    </row>
    <row r="406" spans="2:2" x14ac:dyDescent="0.2">
      <c r="B406" s="235">
        <v>5</v>
      </c>
    </row>
    <row r="456" spans="2:2" x14ac:dyDescent="0.2">
      <c r="B456" s="235">
        <v>5</v>
      </c>
    </row>
    <row r="506" spans="2:2" x14ac:dyDescent="0.2">
      <c r="B506" s="235">
        <v>5</v>
      </c>
    </row>
    <row r="556" spans="2:2" x14ac:dyDescent="0.2">
      <c r="B556" s="235">
        <v>5</v>
      </c>
    </row>
    <row r="606" spans="2:2" x14ac:dyDescent="0.2">
      <c r="B606" s="235">
        <v>5</v>
      </c>
    </row>
    <row r="656" spans="2:2" x14ac:dyDescent="0.2">
      <c r="B656" s="235">
        <v>5</v>
      </c>
    </row>
    <row r="706" spans="2:2" x14ac:dyDescent="0.2">
      <c r="B706" s="235">
        <v>5</v>
      </c>
    </row>
    <row r="756" spans="2:2" x14ac:dyDescent="0.2">
      <c r="B756" s="235">
        <v>5</v>
      </c>
    </row>
    <row r="806" spans="2:2" x14ac:dyDescent="0.2">
      <c r="B806" s="235">
        <v>5</v>
      </c>
    </row>
    <row r="856" spans="2:2" x14ac:dyDescent="0.2">
      <c r="B856" s="235">
        <v>5</v>
      </c>
    </row>
    <row r="906" spans="2:2" x14ac:dyDescent="0.2">
      <c r="B906" s="235">
        <v>5</v>
      </c>
    </row>
    <row r="956" spans="2:2" x14ac:dyDescent="0.2">
      <c r="B956" s="235">
        <v>5</v>
      </c>
    </row>
    <row r="957" spans="2:2" x14ac:dyDescent="0.2">
      <c r="B957" s="235" t="e">
        <f>CyP!#REF!</f>
        <v>#REF!</v>
      </c>
    </row>
    <row r="1006" spans="2:2" x14ac:dyDescent="0.2">
      <c r="B1006" s="235">
        <v>5</v>
      </c>
    </row>
    <row r="1007" spans="2:2" x14ac:dyDescent="0.2">
      <c r="B1007" s="235" t="e">
        <f>CyP!#REF!</f>
        <v>#REF!</v>
      </c>
    </row>
    <row r="1056" spans="2:2" x14ac:dyDescent="0.2">
      <c r="B1056" s="235">
        <v>5</v>
      </c>
    </row>
    <row r="1057" spans="2:2" x14ac:dyDescent="0.2">
      <c r="B1057" s="235" t="e">
        <f>CyP!#REF!</f>
        <v>#REF!</v>
      </c>
    </row>
    <row r="1106" spans="2:2" x14ac:dyDescent="0.2">
      <c r="B1106" s="235">
        <v>5</v>
      </c>
    </row>
    <row r="1107" spans="2:2" x14ac:dyDescent="0.2">
      <c r="B1107" s="235" t="e">
        <f>CyP!#REF!</f>
        <v>#REF!</v>
      </c>
    </row>
    <row r="1157" spans="2:2" x14ac:dyDescent="0.2">
      <c r="B1157" s="235" t="e">
        <f>CyP!#REF!</f>
        <v>#REF!</v>
      </c>
    </row>
    <row r="1206" spans="2:2" x14ac:dyDescent="0.2">
      <c r="B1206" s="235">
        <v>7</v>
      </c>
    </row>
    <row r="1207" spans="2:2" x14ac:dyDescent="0.2">
      <c r="B1207" s="235" t="e">
        <f>CyP!#REF!</f>
        <v>#REF!</v>
      </c>
    </row>
    <row r="1257" spans="2:2" x14ac:dyDescent="0.2">
      <c r="B1257" s="235" t="e">
        <f>CyP!#REF!</f>
        <v>#REF!</v>
      </c>
    </row>
    <row r="1306" spans="2:2" x14ac:dyDescent="0.2">
      <c r="B1306" s="235">
        <v>8</v>
      </c>
    </row>
    <row r="1307" spans="2:2" x14ac:dyDescent="0.2">
      <c r="B1307" s="235" t="e">
        <f>CyP!#REF!</f>
        <v>#REF!</v>
      </c>
    </row>
    <row r="1356" spans="2:2" x14ac:dyDescent="0.2">
      <c r="B1356" s="235">
        <v>8</v>
      </c>
    </row>
    <row r="1357" spans="2:2" x14ac:dyDescent="0.2">
      <c r="B1357" s="235" t="e">
        <f>CyP!#REF!</f>
        <v>#REF!</v>
      </c>
    </row>
    <row r="1406" spans="2:2" x14ac:dyDescent="0.2">
      <c r="B1406" s="235">
        <v>8</v>
      </c>
    </row>
    <row r="1407" spans="2:2" x14ac:dyDescent="0.2">
      <c r="B1407" s="235" t="e">
        <f>CyP!#REF!</f>
        <v>#REF!</v>
      </c>
    </row>
    <row r="1456" spans="2:2" x14ac:dyDescent="0.2">
      <c r="B1456" s="235">
        <v>8</v>
      </c>
    </row>
    <row r="1457" spans="2:2" x14ac:dyDescent="0.2">
      <c r="B1457" s="235" t="e">
        <f>CyP!#REF!</f>
        <v>#REF!</v>
      </c>
    </row>
    <row r="1506" spans="2:2" x14ac:dyDescent="0.2">
      <c r="B1506" s="235">
        <v>8</v>
      </c>
    </row>
    <row r="1507" spans="2:2" x14ac:dyDescent="0.2">
      <c r="B1507" s="235" t="e">
        <f>CyP!#REF!</f>
        <v>#REF!</v>
      </c>
    </row>
    <row r="1557" spans="2:2" x14ac:dyDescent="0.2">
      <c r="B1557" s="235" t="e">
        <f>CyP!#REF!</f>
        <v>#REF!</v>
      </c>
    </row>
    <row r="1607" spans="2:2" x14ac:dyDescent="0.2">
      <c r="B1607" s="235" t="e">
        <f>CyP!#REF!</f>
        <v>#REF!</v>
      </c>
    </row>
    <row r="1657" spans="2:2" x14ac:dyDescent="0.2">
      <c r="B1657" s="235" t="e">
        <f>CyP!#REF!</f>
        <v>#REF!</v>
      </c>
    </row>
    <row r="1706" spans="2:2" x14ac:dyDescent="0.2">
      <c r="B1706" s="235">
        <v>12</v>
      </c>
    </row>
    <row r="1707" spans="2:2" x14ac:dyDescent="0.2">
      <c r="B1707" s="235" t="e">
        <f>CyP!#REF!</f>
        <v>#REF!</v>
      </c>
    </row>
    <row r="1756" spans="2:2" x14ac:dyDescent="0.2">
      <c r="B1756" s="235">
        <v>12</v>
      </c>
    </row>
    <row r="1757" spans="2:2" x14ac:dyDescent="0.2">
      <c r="B1757" s="235" t="e">
        <f>CyP!#REF!</f>
        <v>#REF!</v>
      </c>
    </row>
    <row r="1806" spans="2:2" x14ac:dyDescent="0.2">
      <c r="B1806" s="235">
        <v>12</v>
      </c>
    </row>
    <row r="1807" spans="2:2" x14ac:dyDescent="0.2">
      <c r="B1807" s="235" t="e">
        <f>CyP!#REF!</f>
        <v>#REF!</v>
      </c>
    </row>
    <row r="1856" spans="2:2" x14ac:dyDescent="0.2">
      <c r="B1856" s="235">
        <v>12</v>
      </c>
    </row>
    <row r="1857" spans="2:2" x14ac:dyDescent="0.2">
      <c r="B1857" s="235" t="e">
        <f>CyP!#REF!</f>
        <v>#REF!</v>
      </c>
    </row>
    <row r="1906" spans="2:2" x14ac:dyDescent="0.2">
      <c r="B1906" s="235">
        <v>12</v>
      </c>
    </row>
    <row r="1907" spans="2:2" x14ac:dyDescent="0.2">
      <c r="B1907" s="235" t="e">
        <f>CyP!#REF!</f>
        <v>#REF!</v>
      </c>
    </row>
    <row r="1956" spans="2:2" x14ac:dyDescent="0.2">
      <c r="B1956" s="235">
        <v>13</v>
      </c>
    </row>
    <row r="1957" spans="2:2" x14ac:dyDescent="0.2">
      <c r="B1957" s="235" t="e">
        <f>CyP!#REF!</f>
        <v>#REF!</v>
      </c>
    </row>
    <row r="2006" spans="2:2" x14ac:dyDescent="0.2">
      <c r="B2006" s="235">
        <v>13</v>
      </c>
    </row>
    <row r="2007" spans="2:2" x14ac:dyDescent="0.2">
      <c r="B2007" s="235" t="e">
        <f>CyP!#REF!</f>
        <v>#REF!</v>
      </c>
    </row>
  </sheetData>
  <mergeCells count="9">
    <mergeCell ref="B42:I42"/>
    <mergeCell ref="F15:F16"/>
    <mergeCell ref="G15:G16"/>
    <mergeCell ref="A15:A16"/>
    <mergeCell ref="B15:C16"/>
    <mergeCell ref="D15:D16"/>
    <mergeCell ref="E15:E16"/>
    <mergeCell ref="I15:I16"/>
    <mergeCell ref="H15:H16"/>
  </mergeCells>
  <conditionalFormatting sqref="A34:D40 I41">
    <cfRule type="expression" dxfId="98" priority="272" stopIfTrue="1">
      <formula>#REF!=1</formula>
    </cfRule>
  </conditionalFormatting>
  <conditionalFormatting sqref="A18:A30">
    <cfRule type="expression" dxfId="97" priority="273" stopIfTrue="1">
      <formula>#REF!&gt;0</formula>
    </cfRule>
    <cfRule type="expression" dxfId="96" priority="274" stopIfTrue="1">
      <formula>#REF!&gt;0</formula>
    </cfRule>
    <cfRule type="expression" dxfId="95" priority="275" stopIfTrue="1">
      <formula>#REF!&gt;0</formula>
    </cfRule>
  </conditionalFormatting>
  <conditionalFormatting sqref="B30:C30 C18:C29">
    <cfRule type="expression" dxfId="94" priority="276" stopIfTrue="1">
      <formula>#REF!&gt;0</formula>
    </cfRule>
    <cfRule type="expression" dxfId="93" priority="277" stopIfTrue="1">
      <formula>#REF!&gt;0</formula>
    </cfRule>
    <cfRule type="expression" dxfId="92" priority="278" stopIfTrue="1">
      <formula>#REF!&gt;0</formula>
    </cfRule>
  </conditionalFormatting>
  <conditionalFormatting sqref="A33:D33 B34:C35 B37:C40 A35 A37">
    <cfRule type="expression" dxfId="91" priority="279" stopIfTrue="1">
      <formula>#REF!=1</formula>
    </cfRule>
  </conditionalFormatting>
  <conditionalFormatting sqref="D33:D40 B33:C35 B37:C40 A33:A40 F33:F40 H34:I35 H37:I40 I36 I33">
    <cfRule type="expression" dxfId="90" priority="280" stopIfTrue="1">
      <formula>#REF!=1</formula>
    </cfRule>
  </conditionalFormatting>
  <conditionalFormatting sqref="I34">
    <cfRule type="expression" dxfId="89" priority="270" stopIfTrue="1">
      <formula>#REF!=1</formula>
    </cfRule>
  </conditionalFormatting>
  <conditionalFormatting sqref="I36">
    <cfRule type="expression" dxfId="88" priority="269" stopIfTrue="1">
      <formula>#REF!=1</formula>
    </cfRule>
  </conditionalFormatting>
  <conditionalFormatting sqref="I38:I39">
    <cfRule type="expression" dxfId="87" priority="268" stopIfTrue="1">
      <formula>#REF!=1</formula>
    </cfRule>
  </conditionalFormatting>
  <conditionalFormatting sqref="I40">
    <cfRule type="expression" dxfId="86" priority="267" stopIfTrue="1">
      <formula>#REF!=1</formula>
    </cfRule>
  </conditionalFormatting>
  <conditionalFormatting sqref="I37">
    <cfRule type="expression" dxfId="85" priority="266" stopIfTrue="1">
      <formula>#REF!=1</formula>
    </cfRule>
  </conditionalFormatting>
  <conditionalFormatting sqref="I35">
    <cfRule type="expression" dxfId="84" priority="265" stopIfTrue="1">
      <formula>#REF!=1</formula>
    </cfRule>
  </conditionalFormatting>
  <conditionalFormatting sqref="A33 A35 A37">
    <cfRule type="expression" dxfId="83" priority="264" stopIfTrue="1">
      <formula>#REF!=1</formula>
    </cfRule>
  </conditionalFormatting>
  <conditionalFormatting sqref="B33:C33">
    <cfRule type="expression" dxfId="82" priority="263" stopIfTrue="1">
      <formula>#REF!=1</formula>
    </cfRule>
  </conditionalFormatting>
  <conditionalFormatting sqref="B36:C36">
    <cfRule type="expression" dxfId="81" priority="262" stopIfTrue="1">
      <formula>#REF!=1</formula>
    </cfRule>
  </conditionalFormatting>
  <conditionalFormatting sqref="B38:C39">
    <cfRule type="expression" dxfId="80" priority="261" stopIfTrue="1">
      <formula>#REF!=1</formula>
    </cfRule>
  </conditionalFormatting>
  <conditionalFormatting sqref="A34 A36 A38:A39">
    <cfRule type="expression" dxfId="79" priority="260" stopIfTrue="1">
      <formula>#REF!=1</formula>
    </cfRule>
  </conditionalFormatting>
  <conditionalFormatting sqref="A34 A36 A38:A39">
    <cfRule type="expression" dxfId="78" priority="259" stopIfTrue="1">
      <formula>#REF!=1</formula>
    </cfRule>
  </conditionalFormatting>
  <conditionalFormatting sqref="B37:C37">
    <cfRule type="expression" dxfId="77" priority="129" stopIfTrue="1">
      <formula>#REF!=1</formula>
    </cfRule>
  </conditionalFormatting>
  <conditionalFormatting sqref="B18:B29 E18:E29">
    <cfRule type="expression" dxfId="76" priority="27" stopIfTrue="1">
      <formula>#REF!&gt;0</formula>
    </cfRule>
    <cfRule type="expression" dxfId="75" priority="28" stopIfTrue="1">
      <formula>#REF!&gt;0</formula>
    </cfRule>
    <cfRule type="expression" dxfId="74" priority="29" stopIfTrue="1">
      <formula>#REF!&gt;0</formula>
    </cfRule>
  </conditionalFormatting>
  <conditionalFormatting sqref="A31">
    <cfRule type="expression" dxfId="73" priority="3" stopIfTrue="1">
      <formula>#REF!&gt;0</formula>
    </cfRule>
    <cfRule type="expression" dxfId="72" priority="4" stopIfTrue="1">
      <formula>#REF!&gt;0</formula>
    </cfRule>
    <cfRule type="expression" dxfId="71" priority="5" stopIfTrue="1">
      <formula>#REF!&gt;0</formula>
    </cfRule>
  </conditionalFormatting>
  <conditionalFormatting sqref="H36">
    <cfRule type="expression" dxfId="70" priority="2" stopIfTrue="1">
      <formula>#REF!=1</formula>
    </cfRule>
  </conditionalFormatting>
  <conditionalFormatting sqref="H33">
    <cfRule type="expression" dxfId="69" priority="1" stopIfTrue="1">
      <formula>#REF!=1</formula>
    </cfRule>
  </conditionalFormatting>
  <pageMargins left="1.1811023622047245" right="0.78740157480314965" top="0.98425196850393704" bottom="0.78740157480314965" header="0.39370078740157483" footer="0.39370078740157483"/>
  <pageSetup paperSize="9" scale="49" fitToHeight="0" orientation="portrait" r:id="rId1"/>
  <headerFooter>
    <oddHeader>&amp;L&amp;G</oddHead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1:H770"/>
  <sheetViews>
    <sheetView showGridLines="0" showZeros="0" view="pageBreakPreview" topLeftCell="A751" zoomScaleNormal="120" zoomScaleSheetLayoutView="100" workbookViewId="0">
      <selection activeCell="F768" sqref="F768"/>
    </sheetView>
  </sheetViews>
  <sheetFormatPr baseColWidth="10" defaultColWidth="11.42578125" defaultRowHeight="20.100000000000001" customHeight="1" x14ac:dyDescent="0.2"/>
  <cols>
    <col min="1" max="1" width="20.7109375" style="293" customWidth="1"/>
    <col min="2" max="2" width="25.7109375" style="293" customWidth="1"/>
    <col min="3" max="3" width="40.7109375" style="293" customWidth="1"/>
    <col min="4" max="4" width="10.7109375" style="293" customWidth="1"/>
    <col min="5" max="5" width="12.7109375" style="293" customWidth="1"/>
    <col min="6" max="7" width="15.7109375" style="351" customWidth="1"/>
    <col min="8" max="16384" width="11.42578125" style="293"/>
  </cols>
  <sheetData>
    <row r="1" spans="1:8" ht="18.95" customHeight="1" thickTop="1" x14ac:dyDescent="0.2">
      <c r="A1" s="193" t="s">
        <v>33</v>
      </c>
      <c r="B1" s="194"/>
      <c r="C1" s="194"/>
      <c r="D1" s="194"/>
      <c r="E1" s="194"/>
      <c r="F1" s="194"/>
      <c r="G1" s="195"/>
      <c r="H1" s="143">
        <f>COUNTIF($A$1:A7,"ANALISIS DE PRECIOS")</f>
        <v>1</v>
      </c>
    </row>
    <row r="2" spans="1:8" ht="18.95" customHeight="1" x14ac:dyDescent="0.2">
      <c r="A2" s="144" t="s">
        <v>720</v>
      </c>
      <c r="B2" s="145" t="str">
        <f>Comitente</f>
        <v>DIRECCIÓN PROVINCIAL DE VIALIDAD</v>
      </c>
      <c r="C2" s="139"/>
      <c r="D2" s="146"/>
      <c r="E2" s="324"/>
      <c r="F2" s="324"/>
      <c r="G2" s="325"/>
      <c r="H2" s="143"/>
    </row>
    <row r="3" spans="1:8" ht="18.95" customHeight="1" x14ac:dyDescent="0.2">
      <c r="A3" s="144" t="s">
        <v>721</v>
      </c>
      <c r="B3" s="145">
        <f>Contratista</f>
        <v>0</v>
      </c>
      <c r="C3" s="140"/>
      <c r="D3" s="140"/>
      <c r="E3" s="145"/>
      <c r="F3" s="145"/>
      <c r="G3" s="147"/>
      <c r="H3" s="143"/>
    </row>
    <row r="4" spans="1:8" ht="18.95" customHeight="1" x14ac:dyDescent="0.2">
      <c r="A4" s="144" t="s">
        <v>23</v>
      </c>
      <c r="B4" s="145" t="str">
        <f>Obra</f>
        <v>PAVIMENTACION RUTAS VARIAS</v>
      </c>
      <c r="C4" s="140"/>
      <c r="D4" s="140"/>
      <c r="E4" s="143"/>
      <c r="F4" s="145" t="s">
        <v>34</v>
      </c>
      <c r="G4" s="147">
        <f>Fecha_Base</f>
        <v>43411</v>
      </c>
      <c r="H4" s="143"/>
    </row>
    <row r="5" spans="1:8" ht="18.95" customHeight="1" x14ac:dyDescent="0.2">
      <c r="A5" s="148" t="s">
        <v>719</v>
      </c>
      <c r="B5" s="141" t="str">
        <f>Ubicación</f>
        <v>POCITO</v>
      </c>
      <c r="C5" s="141"/>
      <c r="D5" s="150"/>
      <c r="E5" s="143"/>
      <c r="F5" s="326"/>
      <c r="G5" s="327"/>
      <c r="H5" s="143"/>
    </row>
    <row r="6" spans="1:8" ht="18.95" customHeight="1" x14ac:dyDescent="0.2">
      <c r="A6" s="148" t="s">
        <v>35</v>
      </c>
      <c r="B6" s="151" t="str">
        <f>IFERROR(VALUE(LEFT(B7,FIND("-",B7)-1)),"")</f>
        <v/>
      </c>
      <c r="C6" s="142" t="str">
        <f>IFERROR(VLOOKUP(B6,Tabla_CyP,2,FALSE),"")</f>
        <v/>
      </c>
      <c r="D6" s="150"/>
      <c r="E6" s="143"/>
      <c r="F6" s="326"/>
      <c r="G6" s="327"/>
      <c r="H6" s="143"/>
    </row>
    <row r="7" spans="1:8" ht="18.95" customHeight="1" x14ac:dyDescent="0.2">
      <c r="A7" s="148" t="s">
        <v>24</v>
      </c>
      <c r="B7" s="152">
        <f>IFERROR(VLOOKUP(COUNTIF($A$1:A7,"ANALISIS DE PRECIOS"),Tabla_NumeroItem,4,FALSE),"")</f>
        <v>1</v>
      </c>
      <c r="C7" s="731" t="str">
        <f>IFERROR(VLOOKUP(B7,Tabla_CyP,2,FALSE),"")</f>
        <v>REACONDICIONAMIENTO DE BASE ESTABILIZADA GRANULAR</v>
      </c>
      <c r="D7" s="731"/>
      <c r="E7" s="731"/>
      <c r="F7" s="141" t="s">
        <v>25</v>
      </c>
      <c r="G7" s="153" t="str">
        <f>IFERROR(VLOOKUP(B7,Tabla_CyP,4,FALSE),"")</f>
        <v>m3</v>
      </c>
      <c r="H7" s="143"/>
    </row>
    <row r="8" spans="1:8" ht="18.95" customHeight="1" x14ac:dyDescent="0.2">
      <c r="A8" s="148"/>
      <c r="B8" s="141"/>
      <c r="C8" s="142"/>
      <c r="D8" s="150"/>
      <c r="E8" s="142"/>
      <c r="F8" s="142"/>
      <c r="G8" s="328"/>
      <c r="H8" s="143"/>
    </row>
    <row r="9" spans="1:8" ht="18.95" customHeight="1" x14ac:dyDescent="0.2">
      <c r="A9" s="329"/>
      <c r="B9" s="330"/>
      <c r="C9" s="331" t="s">
        <v>1032</v>
      </c>
      <c r="D9" s="330"/>
      <c r="E9" s="330"/>
      <c r="F9" s="330"/>
      <c r="G9" s="332"/>
      <c r="H9" s="143"/>
    </row>
    <row r="10" spans="1:8" ht="18.95" customHeight="1" x14ac:dyDescent="0.2">
      <c r="A10" s="148"/>
      <c r="B10" s="333"/>
      <c r="C10" s="334" t="s">
        <v>1033</v>
      </c>
      <c r="D10" s="335" t="s">
        <v>26</v>
      </c>
      <c r="E10" s="335" t="s">
        <v>1034</v>
      </c>
      <c r="F10" s="335" t="s">
        <v>1035</v>
      </c>
      <c r="G10" s="336" t="s">
        <v>1036</v>
      </c>
      <c r="H10" s="143"/>
    </row>
    <row r="11" spans="1:8" ht="18.95" customHeight="1" x14ac:dyDescent="0.2">
      <c r="A11" s="342"/>
      <c r="B11" s="343"/>
      <c r="C11" s="289"/>
      <c r="D11" s="292"/>
      <c r="E11" s="344"/>
      <c r="F11" s="345"/>
      <c r="G11" s="346">
        <f t="shared" ref="G11:G20" si="0">ROUND(D11*F11,2)</f>
        <v>0</v>
      </c>
    </row>
    <row r="12" spans="1:8" ht="18.95" customHeight="1" x14ac:dyDescent="0.2">
      <c r="A12" s="342"/>
      <c r="B12" s="343"/>
      <c r="C12" s="289"/>
      <c r="D12" s="292"/>
      <c r="E12" s="344"/>
      <c r="F12" s="345"/>
      <c r="G12" s="346">
        <f t="shared" si="0"/>
        <v>0</v>
      </c>
    </row>
    <row r="13" spans="1:8" ht="18.95" customHeight="1" x14ac:dyDescent="0.2">
      <c r="A13" s="342"/>
      <c r="B13" s="343"/>
      <c r="C13" s="289"/>
      <c r="D13" s="292"/>
      <c r="E13" s="344">
        <f t="shared" ref="E13:E20" si="1">IFERROR(VLOOKUP(C13,T_Equipos,4,FALSE),0)</f>
        <v>0</v>
      </c>
      <c r="F13" s="345">
        <f t="shared" ref="F13:F20" si="2">IFERROR(VLOOKUP(C13,T_Equipos,11,FALSE),0)</f>
        <v>0</v>
      </c>
      <c r="G13" s="346">
        <f t="shared" si="0"/>
        <v>0</v>
      </c>
    </row>
    <row r="14" spans="1:8" ht="18.95" customHeight="1" x14ac:dyDescent="0.2">
      <c r="A14" s="342"/>
      <c r="B14" s="343"/>
      <c r="C14" s="289"/>
      <c r="D14" s="292"/>
      <c r="E14" s="344">
        <f t="shared" si="1"/>
        <v>0</v>
      </c>
      <c r="F14" s="345">
        <f t="shared" si="2"/>
        <v>0</v>
      </c>
      <c r="G14" s="346">
        <f t="shared" si="0"/>
        <v>0</v>
      </c>
    </row>
    <row r="15" spans="1:8" ht="18.95" customHeight="1" x14ac:dyDescent="0.2">
      <c r="A15" s="342"/>
      <c r="B15" s="343"/>
      <c r="C15" s="289"/>
      <c r="D15" s="292"/>
      <c r="E15" s="344">
        <f t="shared" si="1"/>
        <v>0</v>
      </c>
      <c r="F15" s="345">
        <f t="shared" si="2"/>
        <v>0</v>
      </c>
      <c r="G15" s="346">
        <f t="shared" si="0"/>
        <v>0</v>
      </c>
    </row>
    <row r="16" spans="1:8" ht="18.95" customHeight="1" x14ac:dyDescent="0.2">
      <c r="A16" s="342"/>
      <c r="B16" s="343"/>
      <c r="C16" s="289"/>
      <c r="D16" s="292"/>
      <c r="E16" s="344">
        <f t="shared" si="1"/>
        <v>0</v>
      </c>
      <c r="F16" s="345">
        <f t="shared" si="2"/>
        <v>0</v>
      </c>
      <c r="G16" s="346">
        <f t="shared" si="0"/>
        <v>0</v>
      </c>
    </row>
    <row r="17" spans="1:7" ht="18.95" customHeight="1" x14ac:dyDescent="0.2">
      <c r="A17" s="342"/>
      <c r="B17" s="343"/>
      <c r="C17" s="289"/>
      <c r="D17" s="292"/>
      <c r="E17" s="344">
        <f t="shared" si="1"/>
        <v>0</v>
      </c>
      <c r="F17" s="345">
        <f t="shared" si="2"/>
        <v>0</v>
      </c>
      <c r="G17" s="346">
        <f t="shared" si="0"/>
        <v>0</v>
      </c>
    </row>
    <row r="18" spans="1:7" ht="18.95" customHeight="1" x14ac:dyDescent="0.2">
      <c r="A18" s="342"/>
      <c r="B18" s="343"/>
      <c r="C18" s="289"/>
      <c r="D18" s="292"/>
      <c r="E18" s="344">
        <f t="shared" si="1"/>
        <v>0</v>
      </c>
      <c r="F18" s="345">
        <f t="shared" si="2"/>
        <v>0</v>
      </c>
      <c r="G18" s="346">
        <f t="shared" si="0"/>
        <v>0</v>
      </c>
    </row>
    <row r="19" spans="1:7" ht="18.95" customHeight="1" x14ac:dyDescent="0.2">
      <c r="A19" s="342"/>
      <c r="B19" s="343"/>
      <c r="C19" s="289"/>
      <c r="D19" s="292"/>
      <c r="E19" s="344">
        <f t="shared" si="1"/>
        <v>0</v>
      </c>
      <c r="F19" s="345">
        <f t="shared" si="2"/>
        <v>0</v>
      </c>
      <c r="G19" s="346">
        <f t="shared" si="0"/>
        <v>0</v>
      </c>
    </row>
    <row r="20" spans="1:7" ht="18.95" customHeight="1" thickBot="1" x14ac:dyDescent="0.25">
      <c r="A20" s="342"/>
      <c r="B20" s="343"/>
      <c r="C20" s="289"/>
      <c r="D20" s="292"/>
      <c r="E20" s="344">
        <f t="shared" si="1"/>
        <v>0</v>
      </c>
      <c r="F20" s="345">
        <f t="shared" si="2"/>
        <v>0</v>
      </c>
      <c r="G20" s="346">
        <f t="shared" si="0"/>
        <v>0</v>
      </c>
    </row>
    <row r="21" spans="1:7" ht="18.95" customHeight="1" thickBot="1" x14ac:dyDescent="0.25">
      <c r="A21" s="148"/>
      <c r="B21" s="333"/>
      <c r="C21" s="143"/>
      <c r="D21" s="146" t="s">
        <v>1037</v>
      </c>
      <c r="E21" s="337">
        <f>SUMPRODUCT(D11:D20,E11:E20)</f>
        <v>0</v>
      </c>
      <c r="F21" s="141" t="s">
        <v>1038</v>
      </c>
      <c r="G21" s="338">
        <f>SUM(G11:G20)</f>
        <v>0</v>
      </c>
    </row>
    <row r="22" spans="1:7" ht="18.95" customHeight="1" x14ac:dyDescent="0.2">
      <c r="A22" s="148"/>
      <c r="B22" s="333"/>
      <c r="C22" s="141" t="s">
        <v>1039</v>
      </c>
      <c r="D22" s="319"/>
      <c r="E22" s="339" t="str">
        <f>CONCATENATE(G7,"/día")</f>
        <v>m3/día</v>
      </c>
      <c r="F22" s="141"/>
      <c r="G22" s="340"/>
    </row>
    <row r="23" spans="1:7" ht="18.95" customHeight="1" x14ac:dyDescent="0.2">
      <c r="A23" s="148"/>
      <c r="B23" s="333"/>
      <c r="C23" s="142"/>
      <c r="D23" s="150"/>
      <c r="E23" s="141"/>
      <c r="F23" s="141"/>
      <c r="G23" s="340"/>
    </row>
    <row r="24" spans="1:7" ht="18.95" customHeight="1" x14ac:dyDescent="0.2">
      <c r="A24" s="732" t="s">
        <v>582</v>
      </c>
      <c r="B24" s="733"/>
      <c r="C24" s="734" t="s">
        <v>0</v>
      </c>
      <c r="D24" s="738" t="s">
        <v>1053</v>
      </c>
      <c r="E24" s="738" t="s">
        <v>1706</v>
      </c>
      <c r="F24" s="738" t="s">
        <v>1054</v>
      </c>
      <c r="G24" s="738" t="s">
        <v>1055</v>
      </c>
    </row>
    <row r="25" spans="1:7" ht="18.95" customHeight="1" x14ac:dyDescent="0.2">
      <c r="A25" s="154" t="s">
        <v>583</v>
      </c>
      <c r="B25" s="155" t="s">
        <v>584</v>
      </c>
      <c r="C25" s="735"/>
      <c r="D25" s="739"/>
      <c r="E25" s="739"/>
      <c r="F25" s="743"/>
      <c r="G25" s="739"/>
    </row>
    <row r="26" spans="1:7" ht="18.95" customHeight="1" x14ac:dyDescent="0.2">
      <c r="A26" s="156"/>
      <c r="B26" s="142"/>
      <c r="C26" s="157" t="s">
        <v>1041</v>
      </c>
      <c r="D26" s="150"/>
      <c r="E26" s="142"/>
      <c r="F26" s="142"/>
      <c r="G26" s="341"/>
    </row>
    <row r="27" spans="1:7" ht="18.95" customHeight="1" x14ac:dyDescent="0.2">
      <c r="A27" s="347" t="str">
        <f t="shared" ref="A27:A34" si="3">IFERROR(VLOOKUP(C27,Tabla_Insumos,4,FALSE),"")</f>
        <v/>
      </c>
      <c r="B27" s="289" t="str">
        <f t="shared" ref="B27:B34" si="4">IFERROR(VLOOKUP(C27,Tabla_Insumos,5,FALSE),"")</f>
        <v/>
      </c>
      <c r="C27" s="289"/>
      <c r="D27" s="606">
        <f t="shared" ref="D27:D34" si="5">IFERROR(VLOOKUP(C27,Tabla_Insumos,3,FALSE),0)</f>
        <v>0</v>
      </c>
      <c r="E27" s="348">
        <f>D27*$G$21</f>
        <v>0</v>
      </c>
      <c r="F27" s="349">
        <f>IF(C27="",0,D22)</f>
        <v>0</v>
      </c>
      <c r="G27" s="346">
        <f>IFERROR(ROUND(E27/F27,2),0)</f>
        <v>0</v>
      </c>
    </row>
    <row r="28" spans="1:7" ht="18.95" customHeight="1" x14ac:dyDescent="0.2">
      <c r="A28" s="347" t="str">
        <f t="shared" si="3"/>
        <v/>
      </c>
      <c r="B28" s="289" t="str">
        <f t="shared" si="4"/>
        <v/>
      </c>
      <c r="C28" s="320"/>
      <c r="D28" s="606">
        <f t="shared" si="5"/>
        <v>0</v>
      </c>
      <c r="E28" s="348">
        <f t="shared" ref="E28:E29" si="6">D28*$G$21</f>
        <v>0</v>
      </c>
      <c r="F28" s="349">
        <f t="shared" ref="F28:F34" si="7">IF(C28="",0,F27)</f>
        <v>0</v>
      </c>
      <c r="G28" s="346">
        <f t="shared" ref="G28:G34" si="8">IFERROR(ROUND(E28/F28,2),0)</f>
        <v>0</v>
      </c>
    </row>
    <row r="29" spans="1:7" ht="18.95" customHeight="1" x14ac:dyDescent="0.2">
      <c r="A29" s="347" t="str">
        <f t="shared" si="3"/>
        <v/>
      </c>
      <c r="B29" s="289" t="str">
        <f t="shared" si="4"/>
        <v/>
      </c>
      <c r="C29" s="320"/>
      <c r="D29" s="606">
        <f t="shared" si="5"/>
        <v>0</v>
      </c>
      <c r="E29" s="348">
        <f t="shared" si="6"/>
        <v>0</v>
      </c>
      <c r="F29" s="349">
        <f t="shared" si="7"/>
        <v>0</v>
      </c>
      <c r="G29" s="346">
        <f t="shared" si="8"/>
        <v>0</v>
      </c>
    </row>
    <row r="30" spans="1:7" ht="18.95" customHeight="1" x14ac:dyDescent="0.2">
      <c r="A30" s="347" t="str">
        <f t="shared" si="3"/>
        <v/>
      </c>
      <c r="B30" s="289" t="str">
        <f t="shared" si="4"/>
        <v/>
      </c>
      <c r="C30" s="320"/>
      <c r="D30" s="606">
        <f t="shared" si="5"/>
        <v>0</v>
      </c>
      <c r="E30" s="348">
        <f>D30*$E$21</f>
        <v>0</v>
      </c>
      <c r="F30" s="349">
        <f t="shared" si="7"/>
        <v>0</v>
      </c>
      <c r="G30" s="346">
        <f t="shared" si="8"/>
        <v>0</v>
      </c>
    </row>
    <row r="31" spans="1:7" ht="18.95" customHeight="1" x14ac:dyDescent="0.2">
      <c r="A31" s="347" t="str">
        <f t="shared" si="3"/>
        <v/>
      </c>
      <c r="B31" s="289" t="str">
        <f t="shared" si="4"/>
        <v/>
      </c>
      <c r="C31" s="320"/>
      <c r="D31" s="606">
        <f t="shared" si="5"/>
        <v>0</v>
      </c>
      <c r="E31" s="348">
        <f>D31*$E$21</f>
        <v>0</v>
      </c>
      <c r="F31" s="349">
        <f t="shared" si="7"/>
        <v>0</v>
      </c>
      <c r="G31" s="346">
        <f t="shared" si="8"/>
        <v>0</v>
      </c>
    </row>
    <row r="32" spans="1:7" ht="18.95" customHeight="1" x14ac:dyDescent="0.2">
      <c r="A32" s="347" t="str">
        <f t="shared" si="3"/>
        <v/>
      </c>
      <c r="B32" s="289" t="str">
        <f t="shared" si="4"/>
        <v/>
      </c>
      <c r="C32" s="320"/>
      <c r="D32" s="606">
        <f t="shared" si="5"/>
        <v>0</v>
      </c>
      <c r="E32" s="348"/>
      <c r="F32" s="349">
        <f>IF(C32="",0,F31)</f>
        <v>0</v>
      </c>
      <c r="G32" s="346">
        <f t="shared" si="8"/>
        <v>0</v>
      </c>
    </row>
    <row r="33" spans="1:7" ht="18.95" customHeight="1" x14ac:dyDescent="0.2">
      <c r="A33" s="347" t="str">
        <f t="shared" si="3"/>
        <v/>
      </c>
      <c r="B33" s="289" t="str">
        <f t="shared" si="4"/>
        <v/>
      </c>
      <c r="C33" s="320"/>
      <c r="D33" s="606">
        <f t="shared" si="5"/>
        <v>0</v>
      </c>
      <c r="E33" s="348"/>
      <c r="F33" s="349">
        <f t="shared" si="7"/>
        <v>0</v>
      </c>
      <c r="G33" s="346">
        <f t="shared" si="8"/>
        <v>0</v>
      </c>
    </row>
    <row r="34" spans="1:7" ht="18.95" customHeight="1" x14ac:dyDescent="0.2">
      <c r="A34" s="347" t="str">
        <f t="shared" si="3"/>
        <v/>
      </c>
      <c r="B34" s="289" t="str">
        <f t="shared" si="4"/>
        <v/>
      </c>
      <c r="C34" s="320"/>
      <c r="D34" s="606">
        <f t="shared" si="5"/>
        <v>0</v>
      </c>
      <c r="E34" s="348"/>
      <c r="F34" s="349">
        <f t="shared" si="7"/>
        <v>0</v>
      </c>
      <c r="G34" s="346">
        <f t="shared" si="8"/>
        <v>0</v>
      </c>
    </row>
    <row r="35" spans="1:7" ht="18.95" customHeight="1" x14ac:dyDescent="0.2">
      <c r="A35" s="352"/>
      <c r="B35" s="149"/>
      <c r="C35" s="142"/>
      <c r="D35" s="150"/>
      <c r="E35" s="143"/>
      <c r="F35" s="353" t="s">
        <v>29</v>
      </c>
      <c r="G35" s="354">
        <f>SUBTOTAL(9,G27:G34)</f>
        <v>0</v>
      </c>
    </row>
    <row r="36" spans="1:7" ht="18.95" customHeight="1" x14ac:dyDescent="0.2">
      <c r="A36" s="156"/>
      <c r="B36" s="142"/>
      <c r="C36" s="157" t="s">
        <v>722</v>
      </c>
      <c r="D36" s="150"/>
      <c r="E36" s="326"/>
      <c r="F36" s="326"/>
      <c r="G36" s="341"/>
    </row>
    <row r="37" spans="1:7" ht="18.95" customHeight="1" x14ac:dyDescent="0.2">
      <c r="A37" s="732" t="s">
        <v>582</v>
      </c>
      <c r="B37" s="733"/>
      <c r="C37" s="734" t="s">
        <v>0</v>
      </c>
      <c r="D37" s="736" t="s">
        <v>26</v>
      </c>
      <c r="E37" s="738" t="s">
        <v>1707</v>
      </c>
      <c r="F37" s="740" t="s">
        <v>1040</v>
      </c>
      <c r="G37" s="741" t="s">
        <v>28</v>
      </c>
    </row>
    <row r="38" spans="1:7" ht="18.95" customHeight="1" x14ac:dyDescent="0.2">
      <c r="A38" s="154" t="s">
        <v>583</v>
      </c>
      <c r="B38" s="155" t="s">
        <v>584</v>
      </c>
      <c r="C38" s="735"/>
      <c r="D38" s="737"/>
      <c r="E38" s="739"/>
      <c r="F38" s="739"/>
      <c r="G38" s="742"/>
    </row>
    <row r="39" spans="1:7" ht="18.95" customHeight="1" x14ac:dyDescent="0.2">
      <c r="A39" s="347" t="str">
        <f t="shared" ref="A39:A44" si="9">IFERROR(VLOOKUP(C39,Tabla_Insumos,4,FALSE),"")</f>
        <v/>
      </c>
      <c r="B39" s="289" t="str">
        <f t="shared" ref="B39:B44" si="10">IFERROR(VLOOKUP(C39,Tabla_Insumos,5,FALSE),"")</f>
        <v/>
      </c>
      <c r="C39" s="290"/>
      <c r="D39" s="292"/>
      <c r="E39" s="345">
        <f t="shared" ref="E39:E44" si="11">IFERROR(VLOOKUP(C39,Tabla_Insumos,3,FALSE),0)</f>
        <v>0</v>
      </c>
      <c r="F39" s="348">
        <f>IF(C39="",0,D22)</f>
        <v>0</v>
      </c>
      <c r="G39" s="346">
        <f t="shared" ref="G39:G44" si="12">IFERROR(ROUND(D39*E39/F39,2),0)</f>
        <v>0</v>
      </c>
    </row>
    <row r="40" spans="1:7" ht="18.95" customHeight="1" x14ac:dyDescent="0.2">
      <c r="A40" s="347" t="str">
        <f t="shared" si="9"/>
        <v/>
      </c>
      <c r="B40" s="289" t="str">
        <f t="shared" si="10"/>
        <v/>
      </c>
      <c r="C40" s="289"/>
      <c r="D40" s="292"/>
      <c r="E40" s="345">
        <f t="shared" si="11"/>
        <v>0</v>
      </c>
      <c r="F40" s="348">
        <f>IF(C40="",0,F39)</f>
        <v>0</v>
      </c>
      <c r="G40" s="346">
        <f t="shared" si="12"/>
        <v>0</v>
      </c>
    </row>
    <row r="41" spans="1:7" ht="18.95" customHeight="1" x14ac:dyDescent="0.2">
      <c r="A41" s="347" t="str">
        <f t="shared" si="9"/>
        <v/>
      </c>
      <c r="B41" s="289" t="str">
        <f t="shared" si="10"/>
        <v/>
      </c>
      <c r="C41" s="289"/>
      <c r="D41" s="292"/>
      <c r="E41" s="345">
        <f t="shared" si="11"/>
        <v>0</v>
      </c>
      <c r="F41" s="348">
        <f>IF(C41="",0,F40)</f>
        <v>0</v>
      </c>
      <c r="G41" s="346">
        <f t="shared" si="12"/>
        <v>0</v>
      </c>
    </row>
    <row r="42" spans="1:7" ht="18.95" customHeight="1" x14ac:dyDescent="0.2">
      <c r="A42" s="347" t="str">
        <f t="shared" si="9"/>
        <v/>
      </c>
      <c r="B42" s="289" t="str">
        <f t="shared" si="10"/>
        <v/>
      </c>
      <c r="C42" s="289"/>
      <c r="D42" s="292"/>
      <c r="E42" s="345">
        <f t="shared" si="11"/>
        <v>0</v>
      </c>
      <c r="F42" s="348">
        <f>IF(C42="",0,F41)</f>
        <v>0</v>
      </c>
      <c r="G42" s="346">
        <f t="shared" si="12"/>
        <v>0</v>
      </c>
    </row>
    <row r="43" spans="1:7" ht="18.95" customHeight="1" x14ac:dyDescent="0.2">
      <c r="A43" s="347" t="str">
        <f t="shared" si="9"/>
        <v/>
      </c>
      <c r="B43" s="289" t="str">
        <f t="shared" si="10"/>
        <v/>
      </c>
      <c r="C43" s="289"/>
      <c r="D43" s="350"/>
      <c r="E43" s="345">
        <f t="shared" si="11"/>
        <v>0</v>
      </c>
      <c r="F43" s="348">
        <f>IF(C43="",0,F42)</f>
        <v>0</v>
      </c>
      <c r="G43" s="346">
        <f t="shared" si="12"/>
        <v>0</v>
      </c>
    </row>
    <row r="44" spans="1:7" ht="18.95" customHeight="1" x14ac:dyDescent="0.2">
      <c r="A44" s="347" t="str">
        <f t="shared" si="9"/>
        <v/>
      </c>
      <c r="B44" s="289" t="str">
        <f t="shared" si="10"/>
        <v/>
      </c>
      <c r="C44" s="289"/>
      <c r="D44" s="292"/>
      <c r="E44" s="345">
        <f t="shared" si="11"/>
        <v>0</v>
      </c>
      <c r="F44" s="348">
        <f>IF(C44="",0,F43)</f>
        <v>0</v>
      </c>
      <c r="G44" s="346">
        <f t="shared" si="12"/>
        <v>0</v>
      </c>
    </row>
    <row r="45" spans="1:7" ht="18.95" customHeight="1" x14ac:dyDescent="0.2">
      <c r="A45" s="352"/>
      <c r="B45" s="149"/>
      <c r="C45" s="142"/>
      <c r="D45" s="150"/>
      <c r="E45" s="143"/>
      <c r="F45" s="355" t="s">
        <v>30</v>
      </c>
      <c r="G45" s="354">
        <f>SUBTOTAL(9,G39:G44)</f>
        <v>0</v>
      </c>
    </row>
    <row r="46" spans="1:7" ht="18.95" customHeight="1" x14ac:dyDescent="0.2">
      <c r="A46" s="156"/>
      <c r="B46" s="142"/>
      <c r="C46" s="157" t="s">
        <v>1047</v>
      </c>
      <c r="D46" s="150"/>
      <c r="E46" s="326"/>
      <c r="F46" s="326"/>
      <c r="G46" s="341"/>
    </row>
    <row r="47" spans="1:7" ht="18.95" customHeight="1" x14ac:dyDescent="0.2">
      <c r="A47" s="732" t="s">
        <v>582</v>
      </c>
      <c r="B47" s="733"/>
      <c r="C47" s="734" t="s">
        <v>0</v>
      </c>
      <c r="D47" s="734" t="s">
        <v>1655</v>
      </c>
      <c r="E47" s="734" t="s">
        <v>26</v>
      </c>
      <c r="F47" s="734" t="s">
        <v>27</v>
      </c>
      <c r="G47" s="741" t="s">
        <v>28</v>
      </c>
    </row>
    <row r="48" spans="1:7" ht="18.95" customHeight="1" x14ac:dyDescent="0.2">
      <c r="A48" s="154" t="s">
        <v>583</v>
      </c>
      <c r="B48" s="155" t="s">
        <v>584</v>
      </c>
      <c r="C48" s="735"/>
      <c r="D48" s="735"/>
      <c r="E48" s="735"/>
      <c r="F48" s="735"/>
      <c r="G48" s="742"/>
    </row>
    <row r="49" spans="1:7" ht="18.95" customHeight="1" x14ac:dyDescent="0.2">
      <c r="A49" s="347" t="str">
        <f t="shared" ref="A49:A60" si="13">IFERROR(VLOOKUP(C49,Tabla_Insumos,4,FALSE),"")</f>
        <v/>
      </c>
      <c r="B49" s="289" t="str">
        <f t="shared" ref="B49:B60" si="14">IFERROR(VLOOKUP(C49,Tabla_Insumos,5,FALSE),"")</f>
        <v/>
      </c>
      <c r="C49" s="289"/>
      <c r="D49" s="607">
        <f t="shared" ref="D49:D60" si="15">IFERROR(VLOOKUP(C49,Tabla_Insumos,2,FALSE),0)</f>
        <v>0</v>
      </c>
      <c r="E49" s="292"/>
      <c r="F49" s="345">
        <f t="shared" ref="F49:F60" si="16">IFERROR(VLOOKUP(C49,Tabla_Insumos,3,FALSE),0)</f>
        <v>0</v>
      </c>
      <c r="G49" s="346">
        <f t="shared" ref="G49:G60" si="17">ROUND(E49*F49,2)</f>
        <v>0</v>
      </c>
    </row>
    <row r="50" spans="1:7" ht="18.95" customHeight="1" x14ac:dyDescent="0.2">
      <c r="A50" s="347" t="str">
        <f t="shared" si="13"/>
        <v/>
      </c>
      <c r="B50" s="289" t="str">
        <f t="shared" si="14"/>
        <v/>
      </c>
      <c r="C50" s="126"/>
      <c r="D50" s="607">
        <f t="shared" si="15"/>
        <v>0</v>
      </c>
      <c r="E50" s="292"/>
      <c r="F50" s="345">
        <f t="shared" si="16"/>
        <v>0</v>
      </c>
      <c r="G50" s="346">
        <f t="shared" ref="G50:G51" si="18">ROUND(E50*F50,2)</f>
        <v>0</v>
      </c>
    </row>
    <row r="51" spans="1:7" ht="18.95" customHeight="1" x14ac:dyDescent="0.2">
      <c r="A51" s="347" t="str">
        <f t="shared" si="13"/>
        <v/>
      </c>
      <c r="B51" s="289" t="str">
        <f t="shared" si="14"/>
        <v/>
      </c>
      <c r="C51" s="289"/>
      <c r="D51" s="607">
        <f t="shared" si="15"/>
        <v>0</v>
      </c>
      <c r="E51" s="292"/>
      <c r="F51" s="345">
        <f t="shared" si="16"/>
        <v>0</v>
      </c>
      <c r="G51" s="346">
        <f t="shared" si="18"/>
        <v>0</v>
      </c>
    </row>
    <row r="52" spans="1:7" ht="18.95" customHeight="1" x14ac:dyDescent="0.2">
      <c r="A52" s="347" t="str">
        <f t="shared" si="13"/>
        <v/>
      </c>
      <c r="B52" s="289" t="str">
        <f t="shared" si="14"/>
        <v/>
      </c>
      <c r="C52" s="289"/>
      <c r="D52" s="607">
        <f t="shared" si="15"/>
        <v>0</v>
      </c>
      <c r="E52" s="292"/>
      <c r="F52" s="345">
        <f t="shared" si="16"/>
        <v>0</v>
      </c>
      <c r="G52" s="346">
        <f t="shared" si="17"/>
        <v>0</v>
      </c>
    </row>
    <row r="53" spans="1:7" ht="18.95" customHeight="1" x14ac:dyDescent="0.2">
      <c r="A53" s="347" t="str">
        <f t="shared" si="13"/>
        <v/>
      </c>
      <c r="B53" s="289" t="str">
        <f t="shared" si="14"/>
        <v/>
      </c>
      <c r="C53" s="289"/>
      <c r="D53" s="607">
        <f t="shared" si="15"/>
        <v>0</v>
      </c>
      <c r="E53" s="292"/>
      <c r="F53" s="345">
        <f t="shared" si="16"/>
        <v>0</v>
      </c>
      <c r="G53" s="346">
        <f t="shared" si="17"/>
        <v>0</v>
      </c>
    </row>
    <row r="54" spans="1:7" ht="18.95" customHeight="1" x14ac:dyDescent="0.2">
      <c r="A54" s="347" t="str">
        <f t="shared" si="13"/>
        <v/>
      </c>
      <c r="B54" s="289" t="str">
        <f t="shared" si="14"/>
        <v/>
      </c>
      <c r="C54" s="289"/>
      <c r="D54" s="607">
        <f t="shared" si="15"/>
        <v>0</v>
      </c>
      <c r="E54" s="292"/>
      <c r="F54" s="345">
        <f t="shared" si="16"/>
        <v>0</v>
      </c>
      <c r="G54" s="346">
        <f t="shared" si="17"/>
        <v>0</v>
      </c>
    </row>
    <row r="55" spans="1:7" ht="18.95" customHeight="1" x14ac:dyDescent="0.2">
      <c r="A55" s="347" t="str">
        <f t="shared" si="13"/>
        <v/>
      </c>
      <c r="B55" s="289" t="str">
        <f t="shared" si="14"/>
        <v/>
      </c>
      <c r="C55" s="289"/>
      <c r="D55" s="607">
        <f t="shared" si="15"/>
        <v>0</v>
      </c>
      <c r="E55" s="292"/>
      <c r="F55" s="345">
        <f t="shared" si="16"/>
        <v>0</v>
      </c>
      <c r="G55" s="346">
        <f t="shared" si="17"/>
        <v>0</v>
      </c>
    </row>
    <row r="56" spans="1:7" s="294" customFormat="1" ht="18.95" customHeight="1" x14ac:dyDescent="0.2">
      <c r="A56" s="347" t="str">
        <f t="shared" si="13"/>
        <v/>
      </c>
      <c r="B56" s="289" t="str">
        <f t="shared" si="14"/>
        <v/>
      </c>
      <c r="C56" s="289"/>
      <c r="D56" s="607">
        <f t="shared" si="15"/>
        <v>0</v>
      </c>
      <c r="E56" s="322"/>
      <c r="F56" s="345">
        <f t="shared" si="16"/>
        <v>0</v>
      </c>
      <c r="G56" s="346">
        <f t="shared" si="17"/>
        <v>0</v>
      </c>
    </row>
    <row r="57" spans="1:7" ht="18.95" customHeight="1" x14ac:dyDescent="0.2">
      <c r="A57" s="347" t="str">
        <f t="shared" si="13"/>
        <v/>
      </c>
      <c r="B57" s="289" t="str">
        <f t="shared" si="14"/>
        <v/>
      </c>
      <c r="C57" s="289"/>
      <c r="D57" s="607">
        <f t="shared" si="15"/>
        <v>0</v>
      </c>
      <c r="E57" s="292"/>
      <c r="F57" s="345">
        <f t="shared" si="16"/>
        <v>0</v>
      </c>
      <c r="G57" s="346">
        <f t="shared" si="17"/>
        <v>0</v>
      </c>
    </row>
    <row r="58" spans="1:7" ht="18.95" customHeight="1" x14ac:dyDescent="0.2">
      <c r="A58" s="347" t="str">
        <f t="shared" si="13"/>
        <v/>
      </c>
      <c r="B58" s="289" t="str">
        <f t="shared" si="14"/>
        <v/>
      </c>
      <c r="C58" s="289"/>
      <c r="D58" s="607">
        <f t="shared" si="15"/>
        <v>0</v>
      </c>
      <c r="E58" s="292"/>
      <c r="F58" s="345">
        <f t="shared" si="16"/>
        <v>0</v>
      </c>
      <c r="G58" s="346">
        <f t="shared" si="17"/>
        <v>0</v>
      </c>
    </row>
    <row r="59" spans="1:7" ht="18.95" customHeight="1" x14ac:dyDescent="0.2">
      <c r="A59" s="347" t="str">
        <f t="shared" si="13"/>
        <v/>
      </c>
      <c r="B59" s="289" t="str">
        <f t="shared" si="14"/>
        <v/>
      </c>
      <c r="C59" s="289"/>
      <c r="D59" s="607">
        <f t="shared" si="15"/>
        <v>0</v>
      </c>
      <c r="E59" s="292"/>
      <c r="F59" s="345">
        <f t="shared" si="16"/>
        <v>0</v>
      </c>
      <c r="G59" s="346">
        <f t="shared" si="17"/>
        <v>0</v>
      </c>
    </row>
    <row r="60" spans="1:7" ht="18.95" customHeight="1" x14ac:dyDescent="0.2">
      <c r="A60" s="347" t="str">
        <f t="shared" si="13"/>
        <v/>
      </c>
      <c r="B60" s="289" t="str">
        <f t="shared" si="14"/>
        <v/>
      </c>
      <c r="C60" s="289"/>
      <c r="D60" s="607">
        <f t="shared" si="15"/>
        <v>0</v>
      </c>
      <c r="E60" s="292"/>
      <c r="F60" s="345">
        <f t="shared" si="16"/>
        <v>0</v>
      </c>
      <c r="G60" s="346">
        <f t="shared" si="17"/>
        <v>0</v>
      </c>
    </row>
    <row r="61" spans="1:7" ht="18.95" customHeight="1" x14ac:dyDescent="0.2">
      <c r="A61" s="156"/>
      <c r="B61" s="142"/>
      <c r="C61" s="142"/>
      <c r="D61" s="150"/>
      <c r="E61" s="143"/>
      <c r="F61" s="355" t="s">
        <v>31</v>
      </c>
      <c r="G61" s="354">
        <f>SUBTOTAL(9,G49:G60)</f>
        <v>0</v>
      </c>
    </row>
    <row r="62" spans="1:7" ht="18.95" customHeight="1" x14ac:dyDescent="0.2">
      <c r="A62" s="156"/>
      <c r="B62" s="142"/>
      <c r="C62" s="157" t="s">
        <v>1048</v>
      </c>
      <c r="D62" s="150"/>
      <c r="E62" s="326"/>
      <c r="F62" s="326"/>
      <c r="G62" s="341"/>
    </row>
    <row r="63" spans="1:7" ht="18.95" customHeight="1" x14ac:dyDescent="0.2">
      <c r="A63" s="732" t="s">
        <v>582</v>
      </c>
      <c r="B63" s="733"/>
      <c r="C63" s="734" t="s">
        <v>0</v>
      </c>
      <c r="D63" s="736" t="s">
        <v>1750</v>
      </c>
      <c r="E63" s="740" t="s">
        <v>26</v>
      </c>
      <c r="F63" s="740" t="s">
        <v>27</v>
      </c>
      <c r="G63" s="741" t="s">
        <v>28</v>
      </c>
    </row>
    <row r="64" spans="1:7" ht="18.95" customHeight="1" x14ac:dyDescent="0.2">
      <c r="A64" s="154" t="s">
        <v>583</v>
      </c>
      <c r="B64" s="155" t="s">
        <v>584</v>
      </c>
      <c r="C64" s="735"/>
      <c r="D64" s="737"/>
      <c r="E64" s="739"/>
      <c r="F64" s="739"/>
      <c r="G64" s="742"/>
    </row>
    <row r="65" spans="1:8" ht="18.95" customHeight="1" x14ac:dyDescent="0.2">
      <c r="A65" s="347" t="str">
        <f>IFERROR(VLOOKUP(C65,Tabla_Insumos,4,FALSE),"")</f>
        <v/>
      </c>
      <c r="B65" s="289" t="s">
        <v>4</v>
      </c>
      <c r="C65" s="289"/>
      <c r="D65" s="292"/>
      <c r="E65" s="321"/>
      <c r="F65" s="323"/>
      <c r="G65" s="346">
        <f t="shared" ref="G65" si="19">ROUND(E65*F65,2)</f>
        <v>0</v>
      </c>
    </row>
    <row r="66" spans="1:8" ht="18.95" customHeight="1" x14ac:dyDescent="0.2">
      <c r="A66" s="156"/>
      <c r="B66" s="142"/>
      <c r="C66" s="142"/>
      <c r="D66" s="150"/>
      <c r="E66" s="143"/>
      <c r="F66" s="355" t="s">
        <v>1049</v>
      </c>
      <c r="G66" s="354">
        <f>SUBTOTAL(9,G65:G65)</f>
        <v>0</v>
      </c>
    </row>
    <row r="67" spans="1:8" ht="18.95" customHeight="1" thickBot="1" x14ac:dyDescent="0.25">
      <c r="A67" s="158"/>
      <c r="B67" s="159"/>
      <c r="C67" s="160"/>
      <c r="D67" s="161"/>
      <c r="E67" s="356"/>
      <c r="F67" s="356"/>
      <c r="G67" s="357"/>
    </row>
    <row r="68" spans="1:8" ht="18.95" customHeight="1" x14ac:dyDescent="0.2">
      <c r="A68" s="358">
        <f>B7</f>
        <v>1</v>
      </c>
      <c r="B68" s="359" t="str">
        <f>C7</f>
        <v>REACONDICIONAMIENTO DE BASE ESTABILIZADA GRANULAR</v>
      </c>
      <c r="C68" s="360"/>
      <c r="D68" s="360"/>
      <c r="E68" s="360" t="s">
        <v>1050</v>
      </c>
      <c r="F68" s="361" t="str">
        <f>CONCATENATE("$/",G7)</f>
        <v>$/m3</v>
      </c>
      <c r="G68" s="362">
        <f>SUBTOTAL(9,G27:G67)</f>
        <v>0</v>
      </c>
    </row>
    <row r="69" spans="1:8" ht="18.95" customHeight="1" thickBot="1" x14ac:dyDescent="0.25">
      <c r="A69" s="363"/>
      <c r="B69" s="364"/>
      <c r="C69" s="364"/>
      <c r="D69" s="364"/>
      <c r="E69" s="365" t="s">
        <v>1051</v>
      </c>
      <c r="F69" s="366" t="str">
        <f>CONCATENATE("$/",G7)</f>
        <v>$/m3</v>
      </c>
      <c r="G69" s="367" t="e">
        <f ca="1">PrecioUnitario(G68,GG_Porcentaje,Beneficio,Ingresos_Brutos,IVA)</f>
        <v>#NAME?</v>
      </c>
    </row>
    <row r="70" spans="1:8" ht="18.95" customHeight="1" thickTop="1" thickBot="1" x14ac:dyDescent="0.25">
      <c r="F70" s="293"/>
      <c r="G70" s="293"/>
    </row>
    <row r="71" spans="1:8" ht="18.95" customHeight="1" thickTop="1" x14ac:dyDescent="0.2">
      <c r="A71" s="193" t="s">
        <v>33</v>
      </c>
      <c r="B71" s="194"/>
      <c r="C71" s="194"/>
      <c r="D71" s="194"/>
      <c r="E71" s="194"/>
      <c r="F71" s="194"/>
      <c r="G71" s="195"/>
      <c r="H71" s="143">
        <f>COUNTIF($A$1:A77,"ANALISIS DE PRECIOS")</f>
        <v>2</v>
      </c>
    </row>
    <row r="72" spans="1:8" ht="18.95" customHeight="1" x14ac:dyDescent="0.2">
      <c r="A72" s="144" t="s">
        <v>720</v>
      </c>
      <c r="B72" s="145" t="str">
        <f>Comitente</f>
        <v>DIRECCIÓN PROVINCIAL DE VIALIDAD</v>
      </c>
      <c r="C72" s="139"/>
      <c r="D72" s="146"/>
      <c r="E72" s="324"/>
      <c r="F72" s="324"/>
      <c r="G72" s="325"/>
      <c r="H72" s="143"/>
    </row>
    <row r="73" spans="1:8" ht="18.95" customHeight="1" x14ac:dyDescent="0.2">
      <c r="A73" s="144" t="s">
        <v>721</v>
      </c>
      <c r="B73" s="145">
        <f>Contratista</f>
        <v>0</v>
      </c>
      <c r="C73" s="140"/>
      <c r="D73" s="140"/>
      <c r="E73" s="145"/>
      <c r="F73" s="145"/>
      <c r="G73" s="147"/>
      <c r="H73" s="143"/>
    </row>
    <row r="74" spans="1:8" ht="18.95" customHeight="1" x14ac:dyDescent="0.2">
      <c r="A74" s="144" t="s">
        <v>23</v>
      </c>
      <c r="B74" s="145" t="str">
        <f>Obra</f>
        <v>PAVIMENTACION RUTAS VARIAS</v>
      </c>
      <c r="C74" s="140"/>
      <c r="D74" s="140"/>
      <c r="E74" s="143"/>
      <c r="F74" s="145" t="s">
        <v>34</v>
      </c>
      <c r="G74" s="147">
        <f>Fecha_Base</f>
        <v>43411</v>
      </c>
      <c r="H74" s="143"/>
    </row>
    <row r="75" spans="1:8" ht="18.95" customHeight="1" x14ac:dyDescent="0.2">
      <c r="A75" s="148" t="s">
        <v>719</v>
      </c>
      <c r="B75" s="141" t="str">
        <f>Ubicación</f>
        <v>POCITO</v>
      </c>
      <c r="C75" s="141"/>
      <c r="D75" s="150"/>
      <c r="E75" s="143"/>
      <c r="F75" s="326"/>
      <c r="G75" s="327"/>
      <c r="H75" s="143"/>
    </row>
    <row r="76" spans="1:8" ht="18.95" customHeight="1" x14ac:dyDescent="0.2">
      <c r="A76" s="148" t="s">
        <v>35</v>
      </c>
      <c r="B76" s="151" t="str">
        <f>IFERROR(VALUE(LEFT(B77,FIND("-",B77)-1)),"")</f>
        <v/>
      </c>
      <c r="C76" s="142" t="str">
        <f>IFERROR(VLOOKUP(B76,Tabla_CyP,2,FALSE),"")</f>
        <v/>
      </c>
      <c r="D76" s="150"/>
      <c r="E76" s="143"/>
      <c r="F76" s="326"/>
      <c r="G76" s="327"/>
      <c r="H76" s="143"/>
    </row>
    <row r="77" spans="1:8" ht="18.95" customHeight="1" x14ac:dyDescent="0.2">
      <c r="A77" s="148" t="s">
        <v>24</v>
      </c>
      <c r="B77" s="152">
        <f>IFERROR(VLOOKUP(COUNTIF($A$1:A77,"ANALISIS DE PRECIOS"),Tabla_NumeroItem,4,FALSE),"")</f>
        <v>2</v>
      </c>
      <c r="C77" s="731" t="str">
        <f>IFERROR(VLOOKUP(B77,Tabla_CyP,2,FALSE),"")</f>
        <v>IMPRIMACION CON MATERIAL BITUMINOSO</v>
      </c>
      <c r="D77" s="731"/>
      <c r="E77" s="731"/>
      <c r="F77" s="141" t="s">
        <v>25</v>
      </c>
      <c r="G77" s="153" t="str">
        <f>IFERROR(VLOOKUP(B77,Tabla_CyP,4,FALSE),"")</f>
        <v>m2</v>
      </c>
      <c r="H77" s="143"/>
    </row>
    <row r="78" spans="1:8" ht="18.95" customHeight="1" x14ac:dyDescent="0.2">
      <c r="A78" s="148"/>
      <c r="B78" s="141"/>
      <c r="C78" s="142"/>
      <c r="D78" s="150"/>
      <c r="E78" s="142"/>
      <c r="F78" s="142"/>
      <c r="G78" s="328"/>
      <c r="H78" s="143"/>
    </row>
    <row r="79" spans="1:8" ht="18.95" customHeight="1" x14ac:dyDescent="0.2">
      <c r="A79" s="329"/>
      <c r="B79" s="330"/>
      <c r="C79" s="331" t="s">
        <v>1032</v>
      </c>
      <c r="D79" s="330"/>
      <c r="E79" s="330"/>
      <c r="F79" s="330"/>
      <c r="G79" s="332"/>
      <c r="H79" s="143"/>
    </row>
    <row r="80" spans="1:8" ht="18.95" customHeight="1" x14ac:dyDescent="0.2">
      <c r="A80" s="148"/>
      <c r="B80" s="333"/>
      <c r="C80" s="334" t="s">
        <v>1033</v>
      </c>
      <c r="D80" s="335" t="s">
        <v>26</v>
      </c>
      <c r="E80" s="335" t="s">
        <v>1034</v>
      </c>
      <c r="F80" s="335" t="s">
        <v>1035</v>
      </c>
      <c r="G80" s="336" t="s">
        <v>1036</v>
      </c>
      <c r="H80" s="143"/>
    </row>
    <row r="81" spans="1:7" ht="18.95" customHeight="1" x14ac:dyDescent="0.2">
      <c r="A81" s="342"/>
      <c r="B81" s="343"/>
      <c r="C81" s="289"/>
      <c r="D81" s="292"/>
      <c r="E81" s="344"/>
      <c r="F81" s="345"/>
      <c r="G81" s="346">
        <f t="shared" ref="G81:G90" si="20">ROUND(D81*F81,2)</f>
        <v>0</v>
      </c>
    </row>
    <row r="82" spans="1:7" ht="18.95" customHeight="1" x14ac:dyDescent="0.2">
      <c r="A82" s="342"/>
      <c r="B82" s="343"/>
      <c r="C82" s="289"/>
      <c r="D82" s="292"/>
      <c r="E82" s="344"/>
      <c r="F82" s="345"/>
      <c r="G82" s="346">
        <f t="shared" si="20"/>
        <v>0</v>
      </c>
    </row>
    <row r="83" spans="1:7" ht="18.95" customHeight="1" x14ac:dyDescent="0.2">
      <c r="A83" s="342"/>
      <c r="B83" s="343"/>
      <c r="C83" s="289"/>
      <c r="D83" s="292"/>
      <c r="E83" s="344">
        <f t="shared" ref="E83:E90" si="21">IFERROR(VLOOKUP(C83,T_Equipos,4,FALSE),0)</f>
        <v>0</v>
      </c>
      <c r="F83" s="345">
        <f t="shared" ref="F83:F90" si="22">IFERROR(VLOOKUP(C83,T_Equipos,11,FALSE),0)</f>
        <v>0</v>
      </c>
      <c r="G83" s="346">
        <f t="shared" si="20"/>
        <v>0</v>
      </c>
    </row>
    <row r="84" spans="1:7" ht="18.95" customHeight="1" x14ac:dyDescent="0.2">
      <c r="A84" s="342"/>
      <c r="B84" s="343"/>
      <c r="C84" s="289"/>
      <c r="D84" s="292"/>
      <c r="E84" s="344">
        <f t="shared" si="21"/>
        <v>0</v>
      </c>
      <c r="F84" s="345">
        <f t="shared" si="22"/>
        <v>0</v>
      </c>
      <c r="G84" s="346">
        <f t="shared" si="20"/>
        <v>0</v>
      </c>
    </row>
    <row r="85" spans="1:7" ht="18.95" customHeight="1" x14ac:dyDescent="0.2">
      <c r="A85" s="342"/>
      <c r="B85" s="343"/>
      <c r="C85" s="289"/>
      <c r="D85" s="292"/>
      <c r="E85" s="344">
        <f t="shared" si="21"/>
        <v>0</v>
      </c>
      <c r="F85" s="345">
        <f t="shared" si="22"/>
        <v>0</v>
      </c>
      <c r="G85" s="346">
        <f t="shared" si="20"/>
        <v>0</v>
      </c>
    </row>
    <row r="86" spans="1:7" ht="18.95" customHeight="1" x14ac:dyDescent="0.2">
      <c r="A86" s="342"/>
      <c r="B86" s="343"/>
      <c r="C86" s="289"/>
      <c r="D86" s="292"/>
      <c r="E86" s="344">
        <f t="shared" si="21"/>
        <v>0</v>
      </c>
      <c r="F86" s="345">
        <f t="shared" si="22"/>
        <v>0</v>
      </c>
      <c r="G86" s="346">
        <f t="shared" si="20"/>
        <v>0</v>
      </c>
    </row>
    <row r="87" spans="1:7" ht="18.95" customHeight="1" x14ac:dyDescent="0.2">
      <c r="A87" s="342"/>
      <c r="B87" s="343"/>
      <c r="C87" s="289"/>
      <c r="D87" s="292"/>
      <c r="E87" s="344">
        <f t="shared" si="21"/>
        <v>0</v>
      </c>
      <c r="F87" s="345">
        <f t="shared" si="22"/>
        <v>0</v>
      </c>
      <c r="G87" s="346">
        <f t="shared" si="20"/>
        <v>0</v>
      </c>
    </row>
    <row r="88" spans="1:7" ht="18.95" customHeight="1" x14ac:dyDescent="0.2">
      <c r="A88" s="342"/>
      <c r="B88" s="343"/>
      <c r="C88" s="289"/>
      <c r="D88" s="292"/>
      <c r="E88" s="344">
        <f t="shared" si="21"/>
        <v>0</v>
      </c>
      <c r="F88" s="345">
        <f t="shared" si="22"/>
        <v>0</v>
      </c>
      <c r="G88" s="346">
        <f t="shared" si="20"/>
        <v>0</v>
      </c>
    </row>
    <row r="89" spans="1:7" ht="18.95" customHeight="1" x14ac:dyDescent="0.2">
      <c r="A89" s="342"/>
      <c r="B89" s="343"/>
      <c r="C89" s="289"/>
      <c r="D89" s="292"/>
      <c r="E89" s="344">
        <f t="shared" si="21"/>
        <v>0</v>
      </c>
      <c r="F89" s="345">
        <f t="shared" si="22"/>
        <v>0</v>
      </c>
      <c r="G89" s="346">
        <f t="shared" si="20"/>
        <v>0</v>
      </c>
    </row>
    <row r="90" spans="1:7" ht="18.95" customHeight="1" thickBot="1" x14ac:dyDescent="0.25">
      <c r="A90" s="342"/>
      <c r="B90" s="343"/>
      <c r="C90" s="289"/>
      <c r="D90" s="292"/>
      <c r="E90" s="344">
        <f t="shared" si="21"/>
        <v>0</v>
      </c>
      <c r="F90" s="345">
        <f t="shared" si="22"/>
        <v>0</v>
      </c>
      <c r="G90" s="346">
        <f t="shared" si="20"/>
        <v>0</v>
      </c>
    </row>
    <row r="91" spans="1:7" ht="18.95" customHeight="1" thickBot="1" x14ac:dyDescent="0.25">
      <c r="A91" s="148"/>
      <c r="B91" s="333"/>
      <c r="C91" s="143"/>
      <c r="D91" s="146" t="s">
        <v>1037</v>
      </c>
      <c r="E91" s="337">
        <f>SUMPRODUCT(D81:D90,E81:E90)</f>
        <v>0</v>
      </c>
      <c r="F91" s="141" t="s">
        <v>1038</v>
      </c>
      <c r="G91" s="338">
        <f>SUM(G81:G90)</f>
        <v>0</v>
      </c>
    </row>
    <row r="92" spans="1:7" ht="18.95" customHeight="1" x14ac:dyDescent="0.2">
      <c r="A92" s="148"/>
      <c r="B92" s="333"/>
      <c r="C92" s="141" t="s">
        <v>1039</v>
      </c>
      <c r="D92" s="319"/>
      <c r="E92" s="339" t="str">
        <f>CONCATENATE(G77,"/día")</f>
        <v>m2/día</v>
      </c>
      <c r="F92" s="141"/>
      <c r="G92" s="340"/>
    </row>
    <row r="93" spans="1:7" ht="18.95" customHeight="1" x14ac:dyDescent="0.2">
      <c r="A93" s="148"/>
      <c r="B93" s="333"/>
      <c r="C93" s="142"/>
      <c r="D93" s="150"/>
      <c r="E93" s="141"/>
      <c r="F93" s="141"/>
      <c r="G93" s="340"/>
    </row>
    <row r="94" spans="1:7" ht="18.95" customHeight="1" x14ac:dyDescent="0.2">
      <c r="A94" s="732" t="s">
        <v>582</v>
      </c>
      <c r="B94" s="733"/>
      <c r="C94" s="734" t="s">
        <v>0</v>
      </c>
      <c r="D94" s="738" t="s">
        <v>1053</v>
      </c>
      <c r="E94" s="738" t="s">
        <v>1706</v>
      </c>
      <c r="F94" s="738" t="s">
        <v>1054</v>
      </c>
      <c r="G94" s="738" t="s">
        <v>1055</v>
      </c>
    </row>
    <row r="95" spans="1:7" ht="18.95" customHeight="1" x14ac:dyDescent="0.2">
      <c r="A95" s="154" t="s">
        <v>583</v>
      </c>
      <c r="B95" s="155" t="s">
        <v>584</v>
      </c>
      <c r="C95" s="735"/>
      <c r="D95" s="739"/>
      <c r="E95" s="739"/>
      <c r="F95" s="743"/>
      <c r="G95" s="739"/>
    </row>
    <row r="96" spans="1:7" ht="18.95" customHeight="1" x14ac:dyDescent="0.2">
      <c r="A96" s="156"/>
      <c r="B96" s="142"/>
      <c r="C96" s="157" t="s">
        <v>1041</v>
      </c>
      <c r="D96" s="150"/>
      <c r="E96" s="142"/>
      <c r="F96" s="142"/>
      <c r="G96" s="341"/>
    </row>
    <row r="97" spans="1:7" ht="18.95" customHeight="1" x14ac:dyDescent="0.2">
      <c r="A97" s="347" t="str">
        <f t="shared" ref="A97:A104" si="23">IFERROR(VLOOKUP(C97,Tabla_Insumos,4,FALSE),"")</f>
        <v/>
      </c>
      <c r="B97" s="289" t="str">
        <f t="shared" ref="B97:B104" si="24">IFERROR(VLOOKUP(C97,Tabla_Insumos,5,FALSE),"")</f>
        <v/>
      </c>
      <c r="C97" s="289"/>
      <c r="D97" s="606">
        <f t="shared" ref="D97:D104" si="25">IFERROR(VLOOKUP(C97,Tabla_Insumos,3,FALSE),0)</f>
        <v>0</v>
      </c>
      <c r="E97" s="348">
        <f>D97*$G$21</f>
        <v>0</v>
      </c>
      <c r="F97" s="349">
        <f>IF(C97="",0,D92)</f>
        <v>0</v>
      </c>
      <c r="G97" s="346">
        <f>IFERROR(ROUND(E97/F97,2),0)</f>
        <v>0</v>
      </c>
    </row>
    <row r="98" spans="1:7" ht="18.95" customHeight="1" x14ac:dyDescent="0.2">
      <c r="A98" s="347" t="str">
        <f t="shared" si="23"/>
        <v/>
      </c>
      <c r="B98" s="289" t="str">
        <f t="shared" si="24"/>
        <v/>
      </c>
      <c r="C98" s="320"/>
      <c r="D98" s="606">
        <f t="shared" si="25"/>
        <v>0</v>
      </c>
      <c r="E98" s="348">
        <f t="shared" ref="E98:E99" si="26">D98*$G$21</f>
        <v>0</v>
      </c>
      <c r="F98" s="349">
        <f t="shared" ref="F98:F101" si="27">IF(C98="",0,F97)</f>
        <v>0</v>
      </c>
      <c r="G98" s="346">
        <f t="shared" ref="G98:G104" si="28">IFERROR(ROUND(E98/F98,2),0)</f>
        <v>0</v>
      </c>
    </row>
    <row r="99" spans="1:7" ht="18.95" customHeight="1" x14ac:dyDescent="0.2">
      <c r="A99" s="347" t="str">
        <f t="shared" si="23"/>
        <v/>
      </c>
      <c r="B99" s="289" t="str">
        <f t="shared" si="24"/>
        <v/>
      </c>
      <c r="C99" s="320"/>
      <c r="D99" s="606">
        <f t="shared" si="25"/>
        <v>0</v>
      </c>
      <c r="E99" s="348">
        <f t="shared" si="26"/>
        <v>0</v>
      </c>
      <c r="F99" s="349">
        <f t="shared" si="27"/>
        <v>0</v>
      </c>
      <c r="G99" s="346">
        <f t="shared" si="28"/>
        <v>0</v>
      </c>
    </row>
    <row r="100" spans="1:7" ht="18.95" customHeight="1" x14ac:dyDescent="0.2">
      <c r="A100" s="347" t="str">
        <f t="shared" si="23"/>
        <v/>
      </c>
      <c r="B100" s="289" t="str">
        <f t="shared" si="24"/>
        <v/>
      </c>
      <c r="C100" s="320"/>
      <c r="D100" s="606">
        <f t="shared" si="25"/>
        <v>0</v>
      </c>
      <c r="E100" s="348">
        <f>D100*$E$21</f>
        <v>0</v>
      </c>
      <c r="F100" s="349">
        <f t="shared" si="27"/>
        <v>0</v>
      </c>
      <c r="G100" s="346">
        <f t="shared" si="28"/>
        <v>0</v>
      </c>
    </row>
    <row r="101" spans="1:7" ht="18.95" customHeight="1" x14ac:dyDescent="0.2">
      <c r="A101" s="347" t="str">
        <f t="shared" si="23"/>
        <v/>
      </c>
      <c r="B101" s="289" t="str">
        <f t="shared" si="24"/>
        <v/>
      </c>
      <c r="C101" s="320"/>
      <c r="D101" s="606">
        <f t="shared" si="25"/>
        <v>0</v>
      </c>
      <c r="E101" s="348">
        <f>D101*$E$21</f>
        <v>0</v>
      </c>
      <c r="F101" s="349">
        <f t="shared" si="27"/>
        <v>0</v>
      </c>
      <c r="G101" s="346">
        <f t="shared" si="28"/>
        <v>0</v>
      </c>
    </row>
    <row r="102" spans="1:7" ht="18.95" customHeight="1" x14ac:dyDescent="0.2">
      <c r="A102" s="347" t="str">
        <f t="shared" si="23"/>
        <v/>
      </c>
      <c r="B102" s="289" t="str">
        <f t="shared" si="24"/>
        <v/>
      </c>
      <c r="C102" s="320"/>
      <c r="D102" s="606">
        <f t="shared" si="25"/>
        <v>0</v>
      </c>
      <c r="E102" s="348"/>
      <c r="F102" s="349">
        <f>IF(C102="",0,F101)</f>
        <v>0</v>
      </c>
      <c r="G102" s="346">
        <f t="shared" si="28"/>
        <v>0</v>
      </c>
    </row>
    <row r="103" spans="1:7" ht="18.95" customHeight="1" x14ac:dyDescent="0.2">
      <c r="A103" s="347" t="str">
        <f t="shared" si="23"/>
        <v/>
      </c>
      <c r="B103" s="289" t="str">
        <f t="shared" si="24"/>
        <v/>
      </c>
      <c r="C103" s="320"/>
      <c r="D103" s="606">
        <f t="shared" si="25"/>
        <v>0</v>
      </c>
      <c r="E103" s="348"/>
      <c r="F103" s="349">
        <f t="shared" ref="F103:F104" si="29">IF(C103="",0,F102)</f>
        <v>0</v>
      </c>
      <c r="G103" s="346">
        <f t="shared" si="28"/>
        <v>0</v>
      </c>
    </row>
    <row r="104" spans="1:7" ht="18.95" customHeight="1" x14ac:dyDescent="0.2">
      <c r="A104" s="347" t="str">
        <f t="shared" si="23"/>
        <v/>
      </c>
      <c r="B104" s="289" t="str">
        <f t="shared" si="24"/>
        <v/>
      </c>
      <c r="C104" s="320"/>
      <c r="D104" s="606">
        <f t="shared" si="25"/>
        <v>0</v>
      </c>
      <c r="E104" s="348"/>
      <c r="F104" s="349">
        <f t="shared" si="29"/>
        <v>0</v>
      </c>
      <c r="G104" s="346">
        <f t="shared" si="28"/>
        <v>0</v>
      </c>
    </row>
    <row r="105" spans="1:7" ht="18.95" customHeight="1" x14ac:dyDescent="0.2">
      <c r="A105" s="352"/>
      <c r="B105" s="149"/>
      <c r="C105" s="142"/>
      <c r="D105" s="150"/>
      <c r="E105" s="143"/>
      <c r="F105" s="353" t="s">
        <v>29</v>
      </c>
      <c r="G105" s="354">
        <f>SUBTOTAL(9,G97:G104)</f>
        <v>0</v>
      </c>
    </row>
    <row r="106" spans="1:7" ht="18.95" customHeight="1" x14ac:dyDescent="0.2">
      <c r="A106" s="156"/>
      <c r="B106" s="142"/>
      <c r="C106" s="157" t="s">
        <v>722</v>
      </c>
      <c r="D106" s="150"/>
      <c r="E106" s="326"/>
      <c r="F106" s="326"/>
      <c r="G106" s="341"/>
    </row>
    <row r="107" spans="1:7" ht="18.95" customHeight="1" x14ac:dyDescent="0.2">
      <c r="A107" s="732" t="s">
        <v>582</v>
      </c>
      <c r="B107" s="733"/>
      <c r="C107" s="734" t="s">
        <v>0</v>
      </c>
      <c r="D107" s="736" t="s">
        <v>26</v>
      </c>
      <c r="E107" s="738" t="s">
        <v>1707</v>
      </c>
      <c r="F107" s="740" t="s">
        <v>1040</v>
      </c>
      <c r="G107" s="741" t="s">
        <v>28</v>
      </c>
    </row>
    <row r="108" spans="1:7" ht="18.95" customHeight="1" x14ac:dyDescent="0.2">
      <c r="A108" s="154" t="s">
        <v>583</v>
      </c>
      <c r="B108" s="155" t="s">
        <v>584</v>
      </c>
      <c r="C108" s="735"/>
      <c r="D108" s="737"/>
      <c r="E108" s="739"/>
      <c r="F108" s="739"/>
      <c r="G108" s="742"/>
    </row>
    <row r="109" spans="1:7" ht="18.95" customHeight="1" x14ac:dyDescent="0.2">
      <c r="A109" s="347" t="str">
        <f t="shared" ref="A109:A114" si="30">IFERROR(VLOOKUP(C109,Tabla_Insumos,4,FALSE),"")</f>
        <v/>
      </c>
      <c r="B109" s="289" t="str">
        <f t="shared" ref="B109:B114" si="31">IFERROR(VLOOKUP(C109,Tabla_Insumos,5,FALSE),"")</f>
        <v/>
      </c>
      <c r="C109" s="290"/>
      <c r="D109" s="292"/>
      <c r="E109" s="345">
        <f t="shared" ref="E109:E114" si="32">IFERROR(VLOOKUP(C109,Tabla_Insumos,3,FALSE),0)</f>
        <v>0</v>
      </c>
      <c r="F109" s="348">
        <f>IF(C109="",0,D92)</f>
        <v>0</v>
      </c>
      <c r="G109" s="346">
        <f t="shared" ref="G109:G114" si="33">IFERROR(ROUND(D109*E109/F109,2),0)</f>
        <v>0</v>
      </c>
    </row>
    <row r="110" spans="1:7" ht="18.95" customHeight="1" x14ac:dyDescent="0.2">
      <c r="A110" s="347" t="str">
        <f t="shared" si="30"/>
        <v/>
      </c>
      <c r="B110" s="289" t="str">
        <f t="shared" si="31"/>
        <v/>
      </c>
      <c r="C110" s="289"/>
      <c r="D110" s="292"/>
      <c r="E110" s="345">
        <f t="shared" si="32"/>
        <v>0</v>
      </c>
      <c r="F110" s="348">
        <f>IF(C110="",0,F109)</f>
        <v>0</v>
      </c>
      <c r="G110" s="346">
        <f t="shared" si="33"/>
        <v>0</v>
      </c>
    </row>
    <row r="111" spans="1:7" ht="18.95" customHeight="1" x14ac:dyDescent="0.2">
      <c r="A111" s="347" t="str">
        <f t="shared" si="30"/>
        <v/>
      </c>
      <c r="B111" s="289" t="str">
        <f t="shared" si="31"/>
        <v/>
      </c>
      <c r="C111" s="289"/>
      <c r="D111" s="292"/>
      <c r="E111" s="345">
        <f t="shared" si="32"/>
        <v>0</v>
      </c>
      <c r="F111" s="348">
        <f>IF(C111="",0,F110)</f>
        <v>0</v>
      </c>
      <c r="G111" s="346">
        <f t="shared" si="33"/>
        <v>0</v>
      </c>
    </row>
    <row r="112" spans="1:7" ht="18.95" customHeight="1" x14ac:dyDescent="0.2">
      <c r="A112" s="347" t="str">
        <f t="shared" si="30"/>
        <v/>
      </c>
      <c r="B112" s="289" t="str">
        <f t="shared" si="31"/>
        <v/>
      </c>
      <c r="C112" s="289"/>
      <c r="D112" s="292"/>
      <c r="E112" s="345">
        <f t="shared" si="32"/>
        <v>0</v>
      </c>
      <c r="F112" s="348">
        <f>IF(C112="",0,F111)</f>
        <v>0</v>
      </c>
      <c r="G112" s="346">
        <f t="shared" si="33"/>
        <v>0</v>
      </c>
    </row>
    <row r="113" spans="1:7" ht="18.95" customHeight="1" x14ac:dyDescent="0.2">
      <c r="A113" s="347" t="str">
        <f t="shared" si="30"/>
        <v/>
      </c>
      <c r="B113" s="289" t="str">
        <f t="shared" si="31"/>
        <v/>
      </c>
      <c r="C113" s="289"/>
      <c r="D113" s="350"/>
      <c r="E113" s="345">
        <f t="shared" si="32"/>
        <v>0</v>
      </c>
      <c r="F113" s="348">
        <f>IF(C113="",0,F112)</f>
        <v>0</v>
      </c>
      <c r="G113" s="346">
        <f t="shared" si="33"/>
        <v>0</v>
      </c>
    </row>
    <row r="114" spans="1:7" ht="18.95" customHeight="1" x14ac:dyDescent="0.2">
      <c r="A114" s="347" t="str">
        <f t="shared" si="30"/>
        <v/>
      </c>
      <c r="B114" s="289" t="str">
        <f t="shared" si="31"/>
        <v/>
      </c>
      <c r="C114" s="289"/>
      <c r="D114" s="292"/>
      <c r="E114" s="345">
        <f t="shared" si="32"/>
        <v>0</v>
      </c>
      <c r="F114" s="348">
        <f>IF(C114="",0,F113)</f>
        <v>0</v>
      </c>
      <c r="G114" s="346">
        <f t="shared" si="33"/>
        <v>0</v>
      </c>
    </row>
    <row r="115" spans="1:7" ht="18.95" customHeight="1" x14ac:dyDescent="0.2">
      <c r="A115" s="352"/>
      <c r="B115" s="149"/>
      <c r="C115" s="142"/>
      <c r="D115" s="150"/>
      <c r="E115" s="143"/>
      <c r="F115" s="355" t="s">
        <v>30</v>
      </c>
      <c r="G115" s="354">
        <f>SUBTOTAL(9,G109:G114)</f>
        <v>0</v>
      </c>
    </row>
    <row r="116" spans="1:7" ht="18.95" customHeight="1" x14ac:dyDescent="0.2">
      <c r="A116" s="156"/>
      <c r="B116" s="142"/>
      <c r="C116" s="157" t="s">
        <v>1047</v>
      </c>
      <c r="D116" s="150"/>
      <c r="E116" s="326"/>
      <c r="F116" s="326"/>
      <c r="G116" s="341"/>
    </row>
    <row r="117" spans="1:7" ht="18.95" customHeight="1" x14ac:dyDescent="0.2">
      <c r="A117" s="732" t="s">
        <v>582</v>
      </c>
      <c r="B117" s="733"/>
      <c r="C117" s="734" t="s">
        <v>0</v>
      </c>
      <c r="D117" s="734" t="s">
        <v>1655</v>
      </c>
      <c r="E117" s="734" t="s">
        <v>26</v>
      </c>
      <c r="F117" s="734" t="s">
        <v>27</v>
      </c>
      <c r="G117" s="741" t="s">
        <v>28</v>
      </c>
    </row>
    <row r="118" spans="1:7" ht="18.95" customHeight="1" x14ac:dyDescent="0.2">
      <c r="A118" s="154" t="s">
        <v>583</v>
      </c>
      <c r="B118" s="155" t="s">
        <v>584</v>
      </c>
      <c r="C118" s="735"/>
      <c r="D118" s="735"/>
      <c r="E118" s="735"/>
      <c r="F118" s="735"/>
      <c r="G118" s="742"/>
    </row>
    <row r="119" spans="1:7" ht="18.95" customHeight="1" x14ac:dyDescent="0.2">
      <c r="A119" s="347" t="str">
        <f t="shared" ref="A119:A130" si="34">IFERROR(VLOOKUP(C119,Tabla_Insumos,4,FALSE),"")</f>
        <v/>
      </c>
      <c r="B119" s="289" t="str">
        <f t="shared" ref="B119:B130" si="35">IFERROR(VLOOKUP(C119,Tabla_Insumos,5,FALSE),"")</f>
        <v/>
      </c>
      <c r="C119" s="289"/>
      <c r="D119" s="607">
        <f t="shared" ref="D119:D130" si="36">IFERROR(VLOOKUP(C119,Tabla_Insumos,2,FALSE),0)</f>
        <v>0</v>
      </c>
      <c r="E119" s="292"/>
      <c r="F119" s="345">
        <f t="shared" ref="F119:F130" si="37">IFERROR(VLOOKUP(C119,Tabla_Insumos,3,FALSE),0)</f>
        <v>0</v>
      </c>
      <c r="G119" s="346">
        <f t="shared" ref="G119:G130" si="38">ROUND(E119*F119,2)</f>
        <v>0</v>
      </c>
    </row>
    <row r="120" spans="1:7" ht="18.95" customHeight="1" x14ac:dyDescent="0.2">
      <c r="A120" s="347" t="str">
        <f t="shared" si="34"/>
        <v/>
      </c>
      <c r="B120" s="289" t="str">
        <f t="shared" si="35"/>
        <v/>
      </c>
      <c r="C120" s="126"/>
      <c r="D120" s="607">
        <f t="shared" si="36"/>
        <v>0</v>
      </c>
      <c r="E120" s="292"/>
      <c r="F120" s="345">
        <f t="shared" si="37"/>
        <v>0</v>
      </c>
      <c r="G120" s="346">
        <f t="shared" si="38"/>
        <v>0</v>
      </c>
    </row>
    <row r="121" spans="1:7" ht="18.95" customHeight="1" x14ac:dyDescent="0.2">
      <c r="A121" s="347" t="str">
        <f t="shared" si="34"/>
        <v/>
      </c>
      <c r="B121" s="289" t="str">
        <f t="shared" si="35"/>
        <v/>
      </c>
      <c r="C121" s="289"/>
      <c r="D121" s="607">
        <f t="shared" si="36"/>
        <v>0</v>
      </c>
      <c r="E121" s="292"/>
      <c r="F121" s="345">
        <f t="shared" si="37"/>
        <v>0</v>
      </c>
      <c r="G121" s="346">
        <f t="shared" si="38"/>
        <v>0</v>
      </c>
    </row>
    <row r="122" spans="1:7" ht="18.95" customHeight="1" x14ac:dyDescent="0.2">
      <c r="A122" s="347" t="str">
        <f t="shared" si="34"/>
        <v/>
      </c>
      <c r="B122" s="289" t="str">
        <f t="shared" si="35"/>
        <v/>
      </c>
      <c r="C122" s="289"/>
      <c r="D122" s="607">
        <f t="shared" si="36"/>
        <v>0</v>
      </c>
      <c r="E122" s="292"/>
      <c r="F122" s="345">
        <f t="shared" si="37"/>
        <v>0</v>
      </c>
      <c r="G122" s="346">
        <f t="shared" si="38"/>
        <v>0</v>
      </c>
    </row>
    <row r="123" spans="1:7" ht="18.95" customHeight="1" x14ac:dyDescent="0.2">
      <c r="A123" s="347" t="str">
        <f t="shared" si="34"/>
        <v/>
      </c>
      <c r="B123" s="289" t="str">
        <f t="shared" si="35"/>
        <v/>
      </c>
      <c r="C123" s="289"/>
      <c r="D123" s="607">
        <f t="shared" si="36"/>
        <v>0</v>
      </c>
      <c r="E123" s="292"/>
      <c r="F123" s="345">
        <f t="shared" si="37"/>
        <v>0</v>
      </c>
      <c r="G123" s="346">
        <f t="shared" si="38"/>
        <v>0</v>
      </c>
    </row>
    <row r="124" spans="1:7" ht="18.95" customHeight="1" x14ac:dyDescent="0.2">
      <c r="A124" s="347" t="str">
        <f t="shared" si="34"/>
        <v/>
      </c>
      <c r="B124" s="289" t="str">
        <f t="shared" si="35"/>
        <v/>
      </c>
      <c r="C124" s="289"/>
      <c r="D124" s="607">
        <f t="shared" si="36"/>
        <v>0</v>
      </c>
      <c r="E124" s="292"/>
      <c r="F124" s="345">
        <f t="shared" si="37"/>
        <v>0</v>
      </c>
      <c r="G124" s="346">
        <f t="shared" si="38"/>
        <v>0</v>
      </c>
    </row>
    <row r="125" spans="1:7" ht="18.95" customHeight="1" x14ac:dyDescent="0.2">
      <c r="A125" s="347" t="str">
        <f t="shared" si="34"/>
        <v/>
      </c>
      <c r="B125" s="289" t="str">
        <f t="shared" si="35"/>
        <v/>
      </c>
      <c r="C125" s="289"/>
      <c r="D125" s="607">
        <f t="shared" si="36"/>
        <v>0</v>
      </c>
      <c r="E125" s="292"/>
      <c r="F125" s="345">
        <f t="shared" si="37"/>
        <v>0</v>
      </c>
      <c r="G125" s="346">
        <f t="shared" si="38"/>
        <v>0</v>
      </c>
    </row>
    <row r="126" spans="1:7" s="294" customFormat="1" ht="18.95" customHeight="1" x14ac:dyDescent="0.2">
      <c r="A126" s="347" t="str">
        <f t="shared" si="34"/>
        <v/>
      </c>
      <c r="B126" s="289" t="str">
        <f t="shared" si="35"/>
        <v/>
      </c>
      <c r="C126" s="289"/>
      <c r="D126" s="607">
        <f t="shared" si="36"/>
        <v>0</v>
      </c>
      <c r="E126" s="322"/>
      <c r="F126" s="345">
        <f t="shared" si="37"/>
        <v>0</v>
      </c>
      <c r="G126" s="346">
        <f t="shared" si="38"/>
        <v>0</v>
      </c>
    </row>
    <row r="127" spans="1:7" ht="18.95" customHeight="1" x14ac:dyDescent="0.2">
      <c r="A127" s="347" t="str">
        <f t="shared" si="34"/>
        <v/>
      </c>
      <c r="B127" s="289" t="str">
        <f t="shared" si="35"/>
        <v/>
      </c>
      <c r="C127" s="289"/>
      <c r="D127" s="607">
        <f t="shared" si="36"/>
        <v>0</v>
      </c>
      <c r="E127" s="292"/>
      <c r="F127" s="345">
        <f t="shared" si="37"/>
        <v>0</v>
      </c>
      <c r="G127" s="346">
        <f t="shared" si="38"/>
        <v>0</v>
      </c>
    </row>
    <row r="128" spans="1:7" ht="18.95" customHeight="1" x14ac:dyDescent="0.2">
      <c r="A128" s="347" t="str">
        <f t="shared" si="34"/>
        <v/>
      </c>
      <c r="B128" s="289" t="str">
        <f t="shared" si="35"/>
        <v/>
      </c>
      <c r="C128" s="289"/>
      <c r="D128" s="607">
        <f t="shared" si="36"/>
        <v>0</v>
      </c>
      <c r="E128" s="292"/>
      <c r="F128" s="345">
        <f t="shared" si="37"/>
        <v>0</v>
      </c>
      <c r="G128" s="346">
        <f t="shared" si="38"/>
        <v>0</v>
      </c>
    </row>
    <row r="129" spans="1:8" ht="18.95" customHeight="1" x14ac:dyDescent="0.2">
      <c r="A129" s="347" t="str">
        <f t="shared" si="34"/>
        <v/>
      </c>
      <c r="B129" s="289" t="str">
        <f t="shared" si="35"/>
        <v/>
      </c>
      <c r="C129" s="289"/>
      <c r="D129" s="607">
        <f t="shared" si="36"/>
        <v>0</v>
      </c>
      <c r="E129" s="292"/>
      <c r="F129" s="345">
        <f t="shared" si="37"/>
        <v>0</v>
      </c>
      <c r="G129" s="346">
        <f t="shared" si="38"/>
        <v>0</v>
      </c>
    </row>
    <row r="130" spans="1:8" ht="18.95" customHeight="1" x14ac:dyDescent="0.2">
      <c r="A130" s="347" t="str">
        <f t="shared" si="34"/>
        <v/>
      </c>
      <c r="B130" s="289" t="str">
        <f t="shared" si="35"/>
        <v/>
      </c>
      <c r="C130" s="289"/>
      <c r="D130" s="607">
        <f t="shared" si="36"/>
        <v>0</v>
      </c>
      <c r="E130" s="292"/>
      <c r="F130" s="345">
        <f t="shared" si="37"/>
        <v>0</v>
      </c>
      <c r="G130" s="346">
        <f t="shared" si="38"/>
        <v>0</v>
      </c>
    </row>
    <row r="131" spans="1:8" ht="18.95" customHeight="1" x14ac:dyDescent="0.2">
      <c r="A131" s="156"/>
      <c r="B131" s="142"/>
      <c r="C131" s="142"/>
      <c r="D131" s="150"/>
      <c r="E131" s="143"/>
      <c r="F131" s="355" t="s">
        <v>31</v>
      </c>
      <c r="G131" s="354">
        <f>SUBTOTAL(9,G119:G130)</f>
        <v>0</v>
      </c>
    </row>
    <row r="132" spans="1:8" ht="18.95" customHeight="1" x14ac:dyDescent="0.2">
      <c r="A132" s="156"/>
      <c r="B132" s="142"/>
      <c r="C132" s="157" t="s">
        <v>1048</v>
      </c>
      <c r="D132" s="150"/>
      <c r="E132" s="326"/>
      <c r="F132" s="326"/>
      <c r="G132" s="341"/>
    </row>
    <row r="133" spans="1:8" ht="18.95" customHeight="1" x14ac:dyDescent="0.2">
      <c r="A133" s="732" t="s">
        <v>582</v>
      </c>
      <c r="B133" s="733"/>
      <c r="C133" s="734" t="s">
        <v>0</v>
      </c>
      <c r="D133" s="736" t="s">
        <v>1750</v>
      </c>
      <c r="E133" s="740" t="s">
        <v>26</v>
      </c>
      <c r="F133" s="740" t="s">
        <v>27</v>
      </c>
      <c r="G133" s="741" t="s">
        <v>28</v>
      </c>
    </row>
    <row r="134" spans="1:8" ht="18.95" customHeight="1" x14ac:dyDescent="0.2">
      <c r="A134" s="154" t="s">
        <v>583</v>
      </c>
      <c r="B134" s="155" t="s">
        <v>584</v>
      </c>
      <c r="C134" s="735"/>
      <c r="D134" s="737"/>
      <c r="E134" s="739"/>
      <c r="F134" s="739"/>
      <c r="G134" s="742"/>
    </row>
    <row r="135" spans="1:8" ht="18.95" customHeight="1" x14ac:dyDescent="0.2">
      <c r="A135" s="347" t="str">
        <f>IFERROR(VLOOKUP(C135,Tabla_Insumos,4,FALSE),"")</f>
        <v/>
      </c>
      <c r="B135" s="289" t="s">
        <v>4</v>
      </c>
      <c r="C135" s="289"/>
      <c r="D135" s="292"/>
      <c r="E135" s="321"/>
      <c r="F135" s="323"/>
      <c r="G135" s="346">
        <f t="shared" ref="G135" si="39">ROUND(E135*F135,2)</f>
        <v>0</v>
      </c>
    </row>
    <row r="136" spans="1:8" ht="18.95" customHeight="1" x14ac:dyDescent="0.2">
      <c r="A136" s="156"/>
      <c r="B136" s="142"/>
      <c r="C136" s="142"/>
      <c r="D136" s="150"/>
      <c r="E136" s="143"/>
      <c r="F136" s="355" t="s">
        <v>1049</v>
      </c>
      <c r="G136" s="354">
        <f>SUBTOTAL(9,G135:G135)</f>
        <v>0</v>
      </c>
    </row>
    <row r="137" spans="1:8" ht="18.95" customHeight="1" thickBot="1" x14ac:dyDescent="0.25">
      <c r="A137" s="158"/>
      <c r="B137" s="159"/>
      <c r="C137" s="160"/>
      <c r="D137" s="161"/>
      <c r="E137" s="356"/>
      <c r="F137" s="356"/>
      <c r="G137" s="357"/>
    </row>
    <row r="138" spans="1:8" ht="18.95" customHeight="1" x14ac:dyDescent="0.2">
      <c r="A138" s="358">
        <f>B77</f>
        <v>2</v>
      </c>
      <c r="B138" s="359" t="str">
        <f>C77</f>
        <v>IMPRIMACION CON MATERIAL BITUMINOSO</v>
      </c>
      <c r="C138" s="360"/>
      <c r="D138" s="360"/>
      <c r="E138" s="360" t="s">
        <v>1050</v>
      </c>
      <c r="F138" s="361" t="str">
        <f>CONCATENATE("$/",G77)</f>
        <v>$/m2</v>
      </c>
      <c r="G138" s="362">
        <f>SUBTOTAL(9,G97:G137)</f>
        <v>0</v>
      </c>
    </row>
    <row r="139" spans="1:8" ht="18.95" customHeight="1" thickBot="1" x14ac:dyDescent="0.25">
      <c r="A139" s="363"/>
      <c r="B139" s="364"/>
      <c r="C139" s="364"/>
      <c r="D139" s="364"/>
      <c r="E139" s="365" t="s">
        <v>1051</v>
      </c>
      <c r="F139" s="366" t="str">
        <f>CONCATENATE("$/",G77)</f>
        <v>$/m2</v>
      </c>
      <c r="G139" s="367" t="e">
        <f ca="1">PrecioUnitario(G138,GG_Porcentaje,Beneficio,Ingresos_Brutos,IVA)</f>
        <v>#NAME?</v>
      </c>
    </row>
    <row r="140" spans="1:8" ht="18.95" customHeight="1" thickTop="1" thickBot="1" x14ac:dyDescent="0.25">
      <c r="F140" s="293"/>
      <c r="G140" s="293"/>
    </row>
    <row r="141" spans="1:8" ht="18.95" customHeight="1" thickTop="1" x14ac:dyDescent="0.2">
      <c r="A141" s="193" t="s">
        <v>33</v>
      </c>
      <c r="B141" s="194"/>
      <c r="C141" s="194"/>
      <c r="D141" s="194"/>
      <c r="E141" s="194"/>
      <c r="F141" s="194"/>
      <c r="G141" s="195"/>
      <c r="H141" s="143">
        <f>COUNTIF($A$1:A147,"ANALISIS DE PRECIOS")</f>
        <v>3</v>
      </c>
    </row>
    <row r="142" spans="1:8" ht="18.95" customHeight="1" x14ac:dyDescent="0.2">
      <c r="A142" s="144" t="s">
        <v>720</v>
      </c>
      <c r="B142" s="145" t="str">
        <f>Comitente</f>
        <v>DIRECCIÓN PROVINCIAL DE VIALIDAD</v>
      </c>
      <c r="C142" s="139"/>
      <c r="D142" s="146"/>
      <c r="E142" s="324"/>
      <c r="F142" s="324"/>
      <c r="G142" s="325"/>
      <c r="H142" s="143"/>
    </row>
    <row r="143" spans="1:8" ht="18.95" customHeight="1" x14ac:dyDescent="0.2">
      <c r="A143" s="144" t="s">
        <v>721</v>
      </c>
      <c r="B143" s="145">
        <f>Contratista</f>
        <v>0</v>
      </c>
      <c r="C143" s="140"/>
      <c r="D143" s="140"/>
      <c r="E143" s="145"/>
      <c r="F143" s="145"/>
      <c r="G143" s="147"/>
      <c r="H143" s="143"/>
    </row>
    <row r="144" spans="1:8" ht="18.95" customHeight="1" x14ac:dyDescent="0.2">
      <c r="A144" s="144" t="s">
        <v>23</v>
      </c>
      <c r="B144" s="145" t="str">
        <f>Obra</f>
        <v>PAVIMENTACION RUTAS VARIAS</v>
      </c>
      <c r="C144" s="140"/>
      <c r="D144" s="140"/>
      <c r="E144" s="143"/>
      <c r="F144" s="145" t="s">
        <v>34</v>
      </c>
      <c r="G144" s="147">
        <f>Fecha_Base</f>
        <v>43411</v>
      </c>
      <c r="H144" s="143"/>
    </row>
    <row r="145" spans="1:8" ht="18.95" customHeight="1" x14ac:dyDescent="0.2">
      <c r="A145" s="148" t="s">
        <v>719</v>
      </c>
      <c r="B145" s="141" t="str">
        <f>Ubicación</f>
        <v>POCITO</v>
      </c>
      <c r="C145" s="141"/>
      <c r="D145" s="150"/>
      <c r="E145" s="143"/>
      <c r="F145" s="326"/>
      <c r="G145" s="327"/>
      <c r="H145" s="143"/>
    </row>
    <row r="146" spans="1:8" ht="18.95" customHeight="1" x14ac:dyDescent="0.2">
      <c r="A146" s="148" t="s">
        <v>35</v>
      </c>
      <c r="B146" s="151" t="str">
        <f>IFERROR(VALUE(LEFT(B147,FIND("-",B147)-1)),"")</f>
        <v/>
      </c>
      <c r="C146" s="142" t="str">
        <f>IFERROR(VLOOKUP(B146,Tabla_CyP,2,FALSE),"")</f>
        <v/>
      </c>
      <c r="D146" s="150"/>
      <c r="E146" s="143"/>
      <c r="F146" s="326"/>
      <c r="G146" s="327"/>
      <c r="H146" s="143"/>
    </row>
    <row r="147" spans="1:8" ht="18.95" customHeight="1" x14ac:dyDescent="0.2">
      <c r="A147" s="148" t="s">
        <v>24</v>
      </c>
      <c r="B147" s="152">
        <f>IFERROR(VLOOKUP(COUNTIF($A$1:A147,"ANALISIS DE PRECIOS"),Tabla_NumeroItem,4,FALSE),"")</f>
        <v>3</v>
      </c>
      <c r="C147" s="731" t="str">
        <f>IFERROR(VLOOKUP(B147,Tabla_CyP,2,FALSE),"")</f>
        <v>RIEGO DE LIGA</v>
      </c>
      <c r="D147" s="731"/>
      <c r="E147" s="731"/>
      <c r="F147" s="141" t="s">
        <v>25</v>
      </c>
      <c r="G147" s="153" t="str">
        <f>IFERROR(VLOOKUP(B147,Tabla_CyP,4,FALSE),"")</f>
        <v>m2</v>
      </c>
      <c r="H147" s="143"/>
    </row>
    <row r="148" spans="1:8" ht="18.95" customHeight="1" x14ac:dyDescent="0.2">
      <c r="A148" s="148"/>
      <c r="B148" s="141"/>
      <c r="C148" s="142"/>
      <c r="D148" s="150"/>
      <c r="E148" s="142"/>
      <c r="F148" s="142"/>
      <c r="G148" s="328"/>
      <c r="H148" s="143"/>
    </row>
    <row r="149" spans="1:8" ht="18.95" customHeight="1" x14ac:dyDescent="0.2">
      <c r="A149" s="329"/>
      <c r="B149" s="330"/>
      <c r="C149" s="331" t="s">
        <v>1032</v>
      </c>
      <c r="D149" s="330"/>
      <c r="E149" s="330"/>
      <c r="F149" s="330"/>
      <c r="G149" s="332"/>
      <c r="H149" s="143"/>
    </row>
    <row r="150" spans="1:8" ht="18.95" customHeight="1" x14ac:dyDescent="0.2">
      <c r="A150" s="148"/>
      <c r="B150" s="333"/>
      <c r="C150" s="334" t="s">
        <v>1033</v>
      </c>
      <c r="D150" s="335" t="s">
        <v>26</v>
      </c>
      <c r="E150" s="335" t="s">
        <v>1034</v>
      </c>
      <c r="F150" s="335" t="s">
        <v>1035</v>
      </c>
      <c r="G150" s="336" t="s">
        <v>1036</v>
      </c>
      <c r="H150" s="143"/>
    </row>
    <row r="151" spans="1:8" ht="18.95" customHeight="1" x14ac:dyDescent="0.2">
      <c r="A151" s="342"/>
      <c r="B151" s="343"/>
      <c r="C151" s="289"/>
      <c r="D151" s="292"/>
      <c r="E151" s="344"/>
      <c r="F151" s="345"/>
      <c r="G151" s="346">
        <f t="shared" ref="G151:G160" si="40">ROUND(D151*F151,2)</f>
        <v>0</v>
      </c>
    </row>
    <row r="152" spans="1:8" ht="18.95" customHeight="1" x14ac:dyDescent="0.2">
      <c r="A152" s="342"/>
      <c r="B152" s="343"/>
      <c r="C152" s="289"/>
      <c r="D152" s="292"/>
      <c r="E152" s="344"/>
      <c r="F152" s="345"/>
      <c r="G152" s="346">
        <f t="shared" si="40"/>
        <v>0</v>
      </c>
    </row>
    <row r="153" spans="1:8" ht="18.95" customHeight="1" x14ac:dyDescent="0.2">
      <c r="A153" s="342"/>
      <c r="B153" s="343"/>
      <c r="C153" s="289"/>
      <c r="D153" s="292"/>
      <c r="E153" s="344">
        <f t="shared" ref="E153:E160" si="41">IFERROR(VLOOKUP(C153,T_Equipos,4,FALSE),0)</f>
        <v>0</v>
      </c>
      <c r="F153" s="345">
        <f t="shared" ref="F153:F160" si="42">IFERROR(VLOOKUP(C153,T_Equipos,11,FALSE),0)</f>
        <v>0</v>
      </c>
      <c r="G153" s="346">
        <f t="shared" si="40"/>
        <v>0</v>
      </c>
    </row>
    <row r="154" spans="1:8" ht="18.95" customHeight="1" x14ac:dyDescent="0.2">
      <c r="A154" s="342"/>
      <c r="B154" s="343"/>
      <c r="C154" s="289"/>
      <c r="D154" s="292"/>
      <c r="E154" s="344">
        <f t="shared" si="41"/>
        <v>0</v>
      </c>
      <c r="F154" s="345">
        <f t="shared" si="42"/>
        <v>0</v>
      </c>
      <c r="G154" s="346">
        <f t="shared" si="40"/>
        <v>0</v>
      </c>
    </row>
    <row r="155" spans="1:8" ht="18.95" customHeight="1" x14ac:dyDescent="0.2">
      <c r="A155" s="342"/>
      <c r="B155" s="343"/>
      <c r="C155" s="289"/>
      <c r="D155" s="292"/>
      <c r="E155" s="344">
        <f t="shared" si="41"/>
        <v>0</v>
      </c>
      <c r="F155" s="345">
        <f t="shared" si="42"/>
        <v>0</v>
      </c>
      <c r="G155" s="346">
        <f t="shared" si="40"/>
        <v>0</v>
      </c>
    </row>
    <row r="156" spans="1:8" ht="18.95" customHeight="1" x14ac:dyDescent="0.2">
      <c r="A156" s="342"/>
      <c r="B156" s="343"/>
      <c r="C156" s="289"/>
      <c r="D156" s="292"/>
      <c r="E156" s="344">
        <f t="shared" si="41"/>
        <v>0</v>
      </c>
      <c r="F156" s="345">
        <f t="shared" si="42"/>
        <v>0</v>
      </c>
      <c r="G156" s="346">
        <f t="shared" si="40"/>
        <v>0</v>
      </c>
    </row>
    <row r="157" spans="1:8" ht="18.95" customHeight="1" x14ac:dyDescent="0.2">
      <c r="A157" s="342"/>
      <c r="B157" s="343"/>
      <c r="C157" s="289"/>
      <c r="D157" s="292"/>
      <c r="E157" s="344">
        <f t="shared" si="41"/>
        <v>0</v>
      </c>
      <c r="F157" s="345">
        <f t="shared" si="42"/>
        <v>0</v>
      </c>
      <c r="G157" s="346">
        <f t="shared" si="40"/>
        <v>0</v>
      </c>
    </row>
    <row r="158" spans="1:8" ht="18.95" customHeight="1" x14ac:dyDescent="0.2">
      <c r="A158" s="342"/>
      <c r="B158" s="343"/>
      <c r="C158" s="289"/>
      <c r="D158" s="292"/>
      <c r="E158" s="344">
        <f t="shared" si="41"/>
        <v>0</v>
      </c>
      <c r="F158" s="345">
        <f t="shared" si="42"/>
        <v>0</v>
      </c>
      <c r="G158" s="346">
        <f t="shared" si="40"/>
        <v>0</v>
      </c>
    </row>
    <row r="159" spans="1:8" ht="18.95" customHeight="1" x14ac:dyDescent="0.2">
      <c r="A159" s="342"/>
      <c r="B159" s="343"/>
      <c r="C159" s="289"/>
      <c r="D159" s="292"/>
      <c r="E159" s="344">
        <f t="shared" si="41"/>
        <v>0</v>
      </c>
      <c r="F159" s="345">
        <f t="shared" si="42"/>
        <v>0</v>
      </c>
      <c r="G159" s="346">
        <f t="shared" si="40"/>
        <v>0</v>
      </c>
    </row>
    <row r="160" spans="1:8" ht="18.95" customHeight="1" thickBot="1" x14ac:dyDescent="0.25">
      <c r="A160" s="342"/>
      <c r="B160" s="343"/>
      <c r="C160" s="289"/>
      <c r="D160" s="292"/>
      <c r="E160" s="344">
        <f t="shared" si="41"/>
        <v>0</v>
      </c>
      <c r="F160" s="345">
        <f t="shared" si="42"/>
        <v>0</v>
      </c>
      <c r="G160" s="346">
        <f t="shared" si="40"/>
        <v>0</v>
      </c>
    </row>
    <row r="161" spans="1:7" ht="18.95" customHeight="1" thickBot="1" x14ac:dyDescent="0.25">
      <c r="A161" s="148"/>
      <c r="B161" s="333"/>
      <c r="C161" s="143"/>
      <c r="D161" s="146" t="s">
        <v>1037</v>
      </c>
      <c r="E161" s="337">
        <f>SUMPRODUCT(D151:D160,E151:E160)</f>
        <v>0</v>
      </c>
      <c r="F161" s="141" t="s">
        <v>1038</v>
      </c>
      <c r="G161" s="338">
        <f>SUM(G151:G160)</f>
        <v>0</v>
      </c>
    </row>
    <row r="162" spans="1:7" ht="18.95" customHeight="1" x14ac:dyDescent="0.2">
      <c r="A162" s="148"/>
      <c r="B162" s="333"/>
      <c r="C162" s="141" t="s">
        <v>1039</v>
      </c>
      <c r="D162" s="319"/>
      <c r="E162" s="339" t="str">
        <f>CONCATENATE(G147,"/día")</f>
        <v>m2/día</v>
      </c>
      <c r="F162" s="141"/>
      <c r="G162" s="340"/>
    </row>
    <row r="163" spans="1:7" ht="18.95" customHeight="1" x14ac:dyDescent="0.2">
      <c r="A163" s="148"/>
      <c r="B163" s="333"/>
      <c r="C163" s="142"/>
      <c r="D163" s="150"/>
      <c r="E163" s="141"/>
      <c r="F163" s="141"/>
      <c r="G163" s="340"/>
    </row>
    <row r="164" spans="1:7" ht="18.95" customHeight="1" x14ac:dyDescent="0.2">
      <c r="A164" s="732" t="s">
        <v>582</v>
      </c>
      <c r="B164" s="733"/>
      <c r="C164" s="734" t="s">
        <v>0</v>
      </c>
      <c r="D164" s="738" t="s">
        <v>1053</v>
      </c>
      <c r="E164" s="738" t="s">
        <v>1706</v>
      </c>
      <c r="F164" s="738" t="s">
        <v>1054</v>
      </c>
      <c r="G164" s="738" t="s">
        <v>1055</v>
      </c>
    </row>
    <row r="165" spans="1:7" ht="18.95" customHeight="1" x14ac:dyDescent="0.2">
      <c r="A165" s="154" t="s">
        <v>583</v>
      </c>
      <c r="B165" s="155" t="s">
        <v>584</v>
      </c>
      <c r="C165" s="735"/>
      <c r="D165" s="739"/>
      <c r="E165" s="739"/>
      <c r="F165" s="743"/>
      <c r="G165" s="739"/>
    </row>
    <row r="166" spans="1:7" ht="18.95" customHeight="1" x14ac:dyDescent="0.2">
      <c r="A166" s="156"/>
      <c r="B166" s="142"/>
      <c r="C166" s="157" t="s">
        <v>1041</v>
      </c>
      <c r="D166" s="150"/>
      <c r="E166" s="142"/>
      <c r="F166" s="142"/>
      <c r="G166" s="341"/>
    </row>
    <row r="167" spans="1:7" ht="18.95" customHeight="1" x14ac:dyDescent="0.2">
      <c r="A167" s="347" t="str">
        <f t="shared" ref="A167:A174" si="43">IFERROR(VLOOKUP(C167,Tabla_Insumos,4,FALSE),"")</f>
        <v/>
      </c>
      <c r="B167" s="289" t="str">
        <f t="shared" ref="B167:B174" si="44">IFERROR(VLOOKUP(C167,Tabla_Insumos,5,FALSE),"")</f>
        <v/>
      </c>
      <c r="C167" s="289"/>
      <c r="D167" s="606">
        <f t="shared" ref="D167:D174" si="45">IFERROR(VLOOKUP(C167,Tabla_Insumos,3,FALSE),0)</f>
        <v>0</v>
      </c>
      <c r="E167" s="348">
        <f>D167*$G$21</f>
        <v>0</v>
      </c>
      <c r="F167" s="349">
        <f>IF(C167="",0,D162)</f>
        <v>0</v>
      </c>
      <c r="G167" s="346">
        <f>IFERROR(ROUND(E167/F167,2),0)</f>
        <v>0</v>
      </c>
    </row>
    <row r="168" spans="1:7" ht="18.95" customHeight="1" x14ac:dyDescent="0.2">
      <c r="A168" s="347" t="str">
        <f t="shared" si="43"/>
        <v/>
      </c>
      <c r="B168" s="289" t="str">
        <f t="shared" si="44"/>
        <v/>
      </c>
      <c r="C168" s="320"/>
      <c r="D168" s="606">
        <f t="shared" si="45"/>
        <v>0</v>
      </c>
      <c r="E168" s="348">
        <f t="shared" ref="E168:E169" si="46">D168*$G$21</f>
        <v>0</v>
      </c>
      <c r="F168" s="349">
        <f t="shared" ref="F168:F171" si="47">IF(C168="",0,F167)</f>
        <v>0</v>
      </c>
      <c r="G168" s="346">
        <f t="shared" ref="G168:G174" si="48">IFERROR(ROUND(E168/F168,2),0)</f>
        <v>0</v>
      </c>
    </row>
    <row r="169" spans="1:7" ht="18.95" customHeight="1" x14ac:dyDescent="0.2">
      <c r="A169" s="347" t="str">
        <f t="shared" si="43"/>
        <v/>
      </c>
      <c r="B169" s="289" t="str">
        <f t="shared" si="44"/>
        <v/>
      </c>
      <c r="C169" s="320"/>
      <c r="D169" s="606">
        <f t="shared" si="45"/>
        <v>0</v>
      </c>
      <c r="E169" s="348">
        <f t="shared" si="46"/>
        <v>0</v>
      </c>
      <c r="F169" s="349">
        <f t="shared" si="47"/>
        <v>0</v>
      </c>
      <c r="G169" s="346">
        <f t="shared" si="48"/>
        <v>0</v>
      </c>
    </row>
    <row r="170" spans="1:7" ht="18.95" customHeight="1" x14ac:dyDescent="0.2">
      <c r="A170" s="347" t="str">
        <f t="shared" si="43"/>
        <v/>
      </c>
      <c r="B170" s="289" t="str">
        <f t="shared" si="44"/>
        <v/>
      </c>
      <c r="C170" s="320"/>
      <c r="D170" s="606">
        <f t="shared" si="45"/>
        <v>0</v>
      </c>
      <c r="E170" s="348">
        <f>D170*$E$21</f>
        <v>0</v>
      </c>
      <c r="F170" s="349">
        <f t="shared" si="47"/>
        <v>0</v>
      </c>
      <c r="G170" s="346">
        <f t="shared" si="48"/>
        <v>0</v>
      </c>
    </row>
    <row r="171" spans="1:7" ht="18.95" customHeight="1" x14ac:dyDescent="0.2">
      <c r="A171" s="347" t="str">
        <f t="shared" si="43"/>
        <v/>
      </c>
      <c r="B171" s="289" t="str">
        <f t="shared" si="44"/>
        <v/>
      </c>
      <c r="C171" s="320"/>
      <c r="D171" s="606">
        <f t="shared" si="45"/>
        <v>0</v>
      </c>
      <c r="E171" s="348">
        <f>D171*$E$21</f>
        <v>0</v>
      </c>
      <c r="F171" s="349">
        <f t="shared" si="47"/>
        <v>0</v>
      </c>
      <c r="G171" s="346">
        <f t="shared" si="48"/>
        <v>0</v>
      </c>
    </row>
    <row r="172" spans="1:7" ht="18.95" customHeight="1" x14ac:dyDescent="0.2">
      <c r="A172" s="347" t="str">
        <f t="shared" si="43"/>
        <v/>
      </c>
      <c r="B172" s="289" t="str">
        <f t="shared" si="44"/>
        <v/>
      </c>
      <c r="C172" s="320"/>
      <c r="D172" s="606">
        <f t="shared" si="45"/>
        <v>0</v>
      </c>
      <c r="E172" s="348"/>
      <c r="F172" s="349">
        <f>IF(C172="",0,F171)</f>
        <v>0</v>
      </c>
      <c r="G172" s="346">
        <f t="shared" si="48"/>
        <v>0</v>
      </c>
    </row>
    <row r="173" spans="1:7" ht="18.95" customHeight="1" x14ac:dyDescent="0.2">
      <c r="A173" s="347" t="str">
        <f t="shared" si="43"/>
        <v/>
      </c>
      <c r="B173" s="289" t="str">
        <f t="shared" si="44"/>
        <v/>
      </c>
      <c r="C173" s="320"/>
      <c r="D173" s="606">
        <f t="shared" si="45"/>
        <v>0</v>
      </c>
      <c r="E173" s="348"/>
      <c r="F173" s="349">
        <f t="shared" ref="F173:F174" si="49">IF(C173="",0,F172)</f>
        <v>0</v>
      </c>
      <c r="G173" s="346">
        <f t="shared" si="48"/>
        <v>0</v>
      </c>
    </row>
    <row r="174" spans="1:7" ht="18.95" customHeight="1" x14ac:dyDescent="0.2">
      <c r="A174" s="347" t="str">
        <f t="shared" si="43"/>
        <v/>
      </c>
      <c r="B174" s="289" t="str">
        <f t="shared" si="44"/>
        <v/>
      </c>
      <c r="C174" s="320"/>
      <c r="D174" s="606">
        <f t="shared" si="45"/>
        <v>0</v>
      </c>
      <c r="E174" s="348"/>
      <c r="F174" s="349">
        <f t="shared" si="49"/>
        <v>0</v>
      </c>
      <c r="G174" s="346">
        <f t="shared" si="48"/>
        <v>0</v>
      </c>
    </row>
    <row r="175" spans="1:7" ht="18.95" customHeight="1" x14ac:dyDescent="0.2">
      <c r="A175" s="352"/>
      <c r="B175" s="149"/>
      <c r="C175" s="142"/>
      <c r="D175" s="150"/>
      <c r="E175" s="143"/>
      <c r="F175" s="353" t="s">
        <v>29</v>
      </c>
      <c r="G175" s="354">
        <f>SUBTOTAL(9,G167:G174)</f>
        <v>0</v>
      </c>
    </row>
    <row r="176" spans="1:7" ht="18.95" customHeight="1" x14ac:dyDescent="0.2">
      <c r="A176" s="156"/>
      <c r="B176" s="142"/>
      <c r="C176" s="157" t="s">
        <v>722</v>
      </c>
      <c r="D176" s="150"/>
      <c r="E176" s="326"/>
      <c r="F176" s="326"/>
      <c r="G176" s="341"/>
    </row>
    <row r="177" spans="1:7" ht="18.95" customHeight="1" x14ac:dyDescent="0.2">
      <c r="A177" s="732" t="s">
        <v>582</v>
      </c>
      <c r="B177" s="733"/>
      <c r="C177" s="734" t="s">
        <v>0</v>
      </c>
      <c r="D177" s="736" t="s">
        <v>26</v>
      </c>
      <c r="E177" s="738" t="s">
        <v>1707</v>
      </c>
      <c r="F177" s="740" t="s">
        <v>1040</v>
      </c>
      <c r="G177" s="741" t="s">
        <v>28</v>
      </c>
    </row>
    <row r="178" spans="1:7" ht="18.95" customHeight="1" x14ac:dyDescent="0.2">
      <c r="A178" s="154" t="s">
        <v>583</v>
      </c>
      <c r="B178" s="155" t="s">
        <v>584</v>
      </c>
      <c r="C178" s="735"/>
      <c r="D178" s="737"/>
      <c r="E178" s="739"/>
      <c r="F178" s="739"/>
      <c r="G178" s="742"/>
    </row>
    <row r="179" spans="1:7" ht="18.95" customHeight="1" x14ac:dyDescent="0.2">
      <c r="A179" s="347" t="str">
        <f t="shared" ref="A179:A184" si="50">IFERROR(VLOOKUP(C179,Tabla_Insumos,4,FALSE),"")</f>
        <v/>
      </c>
      <c r="B179" s="289" t="str">
        <f t="shared" ref="B179:B184" si="51">IFERROR(VLOOKUP(C179,Tabla_Insumos,5,FALSE),"")</f>
        <v/>
      </c>
      <c r="C179" s="290"/>
      <c r="D179" s="292"/>
      <c r="E179" s="345">
        <f t="shared" ref="E179:E184" si="52">IFERROR(VLOOKUP(C179,Tabla_Insumos,3,FALSE),0)</f>
        <v>0</v>
      </c>
      <c r="F179" s="348">
        <f>IF(C179="",0,D162)</f>
        <v>0</v>
      </c>
      <c r="G179" s="346">
        <f t="shared" ref="G179:G184" si="53">IFERROR(ROUND(D179*E179/F179,2),0)</f>
        <v>0</v>
      </c>
    </row>
    <row r="180" spans="1:7" ht="18.95" customHeight="1" x14ac:dyDescent="0.2">
      <c r="A180" s="347" t="str">
        <f t="shared" si="50"/>
        <v/>
      </c>
      <c r="B180" s="289" t="str">
        <f t="shared" si="51"/>
        <v/>
      </c>
      <c r="C180" s="289"/>
      <c r="D180" s="292"/>
      <c r="E180" s="345">
        <f t="shared" si="52"/>
        <v>0</v>
      </c>
      <c r="F180" s="348">
        <f>IF(C180="",0,F179)</f>
        <v>0</v>
      </c>
      <c r="G180" s="346">
        <f t="shared" si="53"/>
        <v>0</v>
      </c>
    </row>
    <row r="181" spans="1:7" ht="18.95" customHeight="1" x14ac:dyDescent="0.2">
      <c r="A181" s="347" t="str">
        <f t="shared" si="50"/>
        <v/>
      </c>
      <c r="B181" s="289" t="str">
        <f t="shared" si="51"/>
        <v/>
      </c>
      <c r="C181" s="289"/>
      <c r="D181" s="292"/>
      <c r="E181" s="345">
        <f t="shared" si="52"/>
        <v>0</v>
      </c>
      <c r="F181" s="348">
        <f>IF(C181="",0,F180)</f>
        <v>0</v>
      </c>
      <c r="G181" s="346">
        <f t="shared" si="53"/>
        <v>0</v>
      </c>
    </row>
    <row r="182" spans="1:7" ht="18.95" customHeight="1" x14ac:dyDescent="0.2">
      <c r="A182" s="347" t="str">
        <f t="shared" si="50"/>
        <v/>
      </c>
      <c r="B182" s="289" t="str">
        <f t="shared" si="51"/>
        <v/>
      </c>
      <c r="C182" s="289"/>
      <c r="D182" s="292"/>
      <c r="E182" s="345">
        <f t="shared" si="52"/>
        <v>0</v>
      </c>
      <c r="F182" s="348">
        <f>IF(C182="",0,F181)</f>
        <v>0</v>
      </c>
      <c r="G182" s="346">
        <f t="shared" si="53"/>
        <v>0</v>
      </c>
    </row>
    <row r="183" spans="1:7" ht="18.95" customHeight="1" x14ac:dyDescent="0.2">
      <c r="A183" s="347" t="str">
        <f t="shared" si="50"/>
        <v/>
      </c>
      <c r="B183" s="289" t="str">
        <f t="shared" si="51"/>
        <v/>
      </c>
      <c r="C183" s="289"/>
      <c r="D183" s="350"/>
      <c r="E183" s="345">
        <f t="shared" si="52"/>
        <v>0</v>
      </c>
      <c r="F183" s="348">
        <f>IF(C183="",0,F182)</f>
        <v>0</v>
      </c>
      <c r="G183" s="346">
        <f t="shared" si="53"/>
        <v>0</v>
      </c>
    </row>
    <row r="184" spans="1:7" ht="18.95" customHeight="1" x14ac:dyDescent="0.2">
      <c r="A184" s="347" t="str">
        <f t="shared" si="50"/>
        <v/>
      </c>
      <c r="B184" s="289" t="str">
        <f t="shared" si="51"/>
        <v/>
      </c>
      <c r="C184" s="289"/>
      <c r="D184" s="292"/>
      <c r="E184" s="345">
        <f t="shared" si="52"/>
        <v>0</v>
      </c>
      <c r="F184" s="348">
        <f>IF(C184="",0,F183)</f>
        <v>0</v>
      </c>
      <c r="G184" s="346">
        <f t="shared" si="53"/>
        <v>0</v>
      </c>
    </row>
    <row r="185" spans="1:7" ht="18.95" customHeight="1" x14ac:dyDescent="0.2">
      <c r="A185" s="352"/>
      <c r="B185" s="149"/>
      <c r="C185" s="142"/>
      <c r="D185" s="150"/>
      <c r="E185" s="143"/>
      <c r="F185" s="355" t="s">
        <v>30</v>
      </c>
      <c r="G185" s="354">
        <f>SUBTOTAL(9,G179:G184)</f>
        <v>0</v>
      </c>
    </row>
    <row r="186" spans="1:7" ht="18.95" customHeight="1" x14ac:dyDescent="0.2">
      <c r="A186" s="156"/>
      <c r="B186" s="142"/>
      <c r="C186" s="157" t="s">
        <v>1047</v>
      </c>
      <c r="D186" s="150"/>
      <c r="E186" s="326"/>
      <c r="F186" s="326"/>
      <c r="G186" s="341"/>
    </row>
    <row r="187" spans="1:7" ht="18.95" customHeight="1" x14ac:dyDescent="0.2">
      <c r="A187" s="732" t="s">
        <v>582</v>
      </c>
      <c r="B187" s="733"/>
      <c r="C187" s="734" t="s">
        <v>0</v>
      </c>
      <c r="D187" s="734" t="s">
        <v>1655</v>
      </c>
      <c r="E187" s="734" t="s">
        <v>26</v>
      </c>
      <c r="F187" s="734" t="s">
        <v>27</v>
      </c>
      <c r="G187" s="741" t="s">
        <v>28</v>
      </c>
    </row>
    <row r="188" spans="1:7" ht="18.95" customHeight="1" x14ac:dyDescent="0.2">
      <c r="A188" s="154" t="s">
        <v>583</v>
      </c>
      <c r="B188" s="155" t="s">
        <v>584</v>
      </c>
      <c r="C188" s="735"/>
      <c r="D188" s="735"/>
      <c r="E188" s="735"/>
      <c r="F188" s="735"/>
      <c r="G188" s="742"/>
    </row>
    <row r="189" spans="1:7" ht="18.95" customHeight="1" x14ac:dyDescent="0.2">
      <c r="A189" s="347" t="str">
        <f t="shared" ref="A189:A200" si="54">IFERROR(VLOOKUP(C189,Tabla_Insumos,4,FALSE),"")</f>
        <v/>
      </c>
      <c r="B189" s="289" t="str">
        <f t="shared" ref="B189:B200" si="55">IFERROR(VLOOKUP(C189,Tabla_Insumos,5,FALSE),"")</f>
        <v/>
      </c>
      <c r="C189" s="289"/>
      <c r="D189" s="607">
        <f t="shared" ref="D189:D200" si="56">IFERROR(VLOOKUP(C189,Tabla_Insumos,2,FALSE),0)</f>
        <v>0</v>
      </c>
      <c r="E189" s="292"/>
      <c r="F189" s="345">
        <f t="shared" ref="F189:F200" si="57">IFERROR(VLOOKUP(C189,Tabla_Insumos,3,FALSE),0)</f>
        <v>0</v>
      </c>
      <c r="G189" s="346">
        <f t="shared" ref="G189:G200" si="58">ROUND(E189*F189,2)</f>
        <v>0</v>
      </c>
    </row>
    <row r="190" spans="1:7" ht="18.95" customHeight="1" x14ac:dyDescent="0.2">
      <c r="A190" s="347" t="str">
        <f t="shared" si="54"/>
        <v/>
      </c>
      <c r="B190" s="289" t="str">
        <f t="shared" si="55"/>
        <v/>
      </c>
      <c r="C190" s="126"/>
      <c r="D190" s="607">
        <f t="shared" si="56"/>
        <v>0</v>
      </c>
      <c r="E190" s="292"/>
      <c r="F190" s="345">
        <f t="shared" si="57"/>
        <v>0</v>
      </c>
      <c r="G190" s="346">
        <f t="shared" si="58"/>
        <v>0</v>
      </c>
    </row>
    <row r="191" spans="1:7" ht="18.95" customHeight="1" x14ac:dyDescent="0.2">
      <c r="A191" s="347" t="str">
        <f t="shared" si="54"/>
        <v/>
      </c>
      <c r="B191" s="289" t="str">
        <f t="shared" si="55"/>
        <v/>
      </c>
      <c r="C191" s="289"/>
      <c r="D191" s="607">
        <f t="shared" si="56"/>
        <v>0</v>
      </c>
      <c r="E191" s="292"/>
      <c r="F191" s="345">
        <f t="shared" si="57"/>
        <v>0</v>
      </c>
      <c r="G191" s="346">
        <f t="shared" si="58"/>
        <v>0</v>
      </c>
    </row>
    <row r="192" spans="1:7" ht="18.95" customHeight="1" x14ac:dyDescent="0.2">
      <c r="A192" s="347" t="str">
        <f t="shared" si="54"/>
        <v/>
      </c>
      <c r="B192" s="289" t="str">
        <f t="shared" si="55"/>
        <v/>
      </c>
      <c r="C192" s="289"/>
      <c r="D192" s="607">
        <f t="shared" si="56"/>
        <v>0</v>
      </c>
      <c r="E192" s="292"/>
      <c r="F192" s="345">
        <f t="shared" si="57"/>
        <v>0</v>
      </c>
      <c r="G192" s="346">
        <f t="shared" si="58"/>
        <v>0</v>
      </c>
    </row>
    <row r="193" spans="1:7" ht="18.95" customHeight="1" x14ac:dyDescent="0.2">
      <c r="A193" s="347" t="str">
        <f t="shared" si="54"/>
        <v/>
      </c>
      <c r="B193" s="289" t="str">
        <f t="shared" si="55"/>
        <v/>
      </c>
      <c r="C193" s="289"/>
      <c r="D193" s="607">
        <f t="shared" si="56"/>
        <v>0</v>
      </c>
      <c r="E193" s="292"/>
      <c r="F193" s="345">
        <f t="shared" si="57"/>
        <v>0</v>
      </c>
      <c r="G193" s="346">
        <f t="shared" si="58"/>
        <v>0</v>
      </c>
    </row>
    <row r="194" spans="1:7" ht="18.95" customHeight="1" x14ac:dyDescent="0.2">
      <c r="A194" s="347" t="str">
        <f t="shared" si="54"/>
        <v/>
      </c>
      <c r="B194" s="289" t="str">
        <f t="shared" si="55"/>
        <v/>
      </c>
      <c r="C194" s="289"/>
      <c r="D194" s="607">
        <f t="shared" si="56"/>
        <v>0</v>
      </c>
      <c r="E194" s="292"/>
      <c r="F194" s="345">
        <f t="shared" si="57"/>
        <v>0</v>
      </c>
      <c r="G194" s="346">
        <f t="shared" si="58"/>
        <v>0</v>
      </c>
    </row>
    <row r="195" spans="1:7" ht="18.95" customHeight="1" x14ac:dyDescent="0.2">
      <c r="A195" s="347" t="str">
        <f t="shared" si="54"/>
        <v/>
      </c>
      <c r="B195" s="289" t="str">
        <f t="shared" si="55"/>
        <v/>
      </c>
      <c r="C195" s="289"/>
      <c r="D195" s="607">
        <f t="shared" si="56"/>
        <v>0</v>
      </c>
      <c r="E195" s="292"/>
      <c r="F195" s="345">
        <f t="shared" si="57"/>
        <v>0</v>
      </c>
      <c r="G195" s="346">
        <f t="shared" si="58"/>
        <v>0</v>
      </c>
    </row>
    <row r="196" spans="1:7" s="294" customFormat="1" ht="18.95" customHeight="1" x14ac:dyDescent="0.2">
      <c r="A196" s="347" t="str">
        <f t="shared" si="54"/>
        <v/>
      </c>
      <c r="B196" s="289" t="str">
        <f t="shared" si="55"/>
        <v/>
      </c>
      <c r="C196" s="289"/>
      <c r="D196" s="607">
        <f t="shared" si="56"/>
        <v>0</v>
      </c>
      <c r="E196" s="322"/>
      <c r="F196" s="345">
        <f t="shared" si="57"/>
        <v>0</v>
      </c>
      <c r="G196" s="346">
        <f t="shared" si="58"/>
        <v>0</v>
      </c>
    </row>
    <row r="197" spans="1:7" ht="18.95" customHeight="1" x14ac:dyDescent="0.2">
      <c r="A197" s="347" t="str">
        <f t="shared" si="54"/>
        <v/>
      </c>
      <c r="B197" s="289" t="str">
        <f t="shared" si="55"/>
        <v/>
      </c>
      <c r="C197" s="289"/>
      <c r="D197" s="607">
        <f t="shared" si="56"/>
        <v>0</v>
      </c>
      <c r="E197" s="292"/>
      <c r="F197" s="345">
        <f t="shared" si="57"/>
        <v>0</v>
      </c>
      <c r="G197" s="346">
        <f t="shared" si="58"/>
        <v>0</v>
      </c>
    </row>
    <row r="198" spans="1:7" ht="18.95" customHeight="1" x14ac:dyDescent="0.2">
      <c r="A198" s="347" t="str">
        <f t="shared" si="54"/>
        <v/>
      </c>
      <c r="B198" s="289" t="str">
        <f t="shared" si="55"/>
        <v/>
      </c>
      <c r="C198" s="289"/>
      <c r="D198" s="607">
        <f t="shared" si="56"/>
        <v>0</v>
      </c>
      <c r="E198" s="292"/>
      <c r="F198" s="345">
        <f t="shared" si="57"/>
        <v>0</v>
      </c>
      <c r="G198" s="346">
        <f t="shared" si="58"/>
        <v>0</v>
      </c>
    </row>
    <row r="199" spans="1:7" ht="18.95" customHeight="1" x14ac:dyDescent="0.2">
      <c r="A199" s="347" t="str">
        <f t="shared" si="54"/>
        <v/>
      </c>
      <c r="B199" s="289" t="str">
        <f t="shared" si="55"/>
        <v/>
      </c>
      <c r="C199" s="289"/>
      <c r="D199" s="607">
        <f t="shared" si="56"/>
        <v>0</v>
      </c>
      <c r="E199" s="292"/>
      <c r="F199" s="345">
        <f t="shared" si="57"/>
        <v>0</v>
      </c>
      <c r="G199" s="346">
        <f t="shared" si="58"/>
        <v>0</v>
      </c>
    </row>
    <row r="200" spans="1:7" ht="18.95" customHeight="1" x14ac:dyDescent="0.2">
      <c r="A200" s="347" t="str">
        <f t="shared" si="54"/>
        <v/>
      </c>
      <c r="B200" s="289" t="str">
        <f t="shared" si="55"/>
        <v/>
      </c>
      <c r="C200" s="289"/>
      <c r="D200" s="607">
        <f t="shared" si="56"/>
        <v>0</v>
      </c>
      <c r="E200" s="292"/>
      <c r="F200" s="345">
        <f t="shared" si="57"/>
        <v>0</v>
      </c>
      <c r="G200" s="346">
        <f t="shared" si="58"/>
        <v>0</v>
      </c>
    </row>
    <row r="201" spans="1:7" ht="18.95" customHeight="1" x14ac:dyDescent="0.2">
      <c r="A201" s="156"/>
      <c r="B201" s="142"/>
      <c r="C201" s="142"/>
      <c r="D201" s="150"/>
      <c r="E201" s="143"/>
      <c r="F201" s="355" t="s">
        <v>31</v>
      </c>
      <c r="G201" s="354">
        <f>SUBTOTAL(9,G189:G200)</f>
        <v>0</v>
      </c>
    </row>
    <row r="202" spans="1:7" ht="18.95" customHeight="1" x14ac:dyDescent="0.2">
      <c r="A202" s="156"/>
      <c r="B202" s="142"/>
      <c r="C202" s="157" t="s">
        <v>1048</v>
      </c>
      <c r="D202" s="150"/>
      <c r="E202" s="326"/>
      <c r="F202" s="326"/>
      <c r="G202" s="341"/>
    </row>
    <row r="203" spans="1:7" ht="18.95" customHeight="1" x14ac:dyDescent="0.2">
      <c r="A203" s="732" t="s">
        <v>582</v>
      </c>
      <c r="B203" s="733"/>
      <c r="C203" s="734" t="s">
        <v>0</v>
      </c>
      <c r="D203" s="736" t="s">
        <v>1750</v>
      </c>
      <c r="E203" s="740" t="s">
        <v>26</v>
      </c>
      <c r="F203" s="740" t="s">
        <v>27</v>
      </c>
      <c r="G203" s="741" t="s">
        <v>28</v>
      </c>
    </row>
    <row r="204" spans="1:7" ht="18.95" customHeight="1" x14ac:dyDescent="0.2">
      <c r="A204" s="154" t="s">
        <v>583</v>
      </c>
      <c r="B204" s="155" t="s">
        <v>584</v>
      </c>
      <c r="C204" s="735"/>
      <c r="D204" s="737"/>
      <c r="E204" s="739"/>
      <c r="F204" s="739"/>
      <c r="G204" s="742"/>
    </row>
    <row r="205" spans="1:7" ht="18.95" customHeight="1" x14ac:dyDescent="0.2">
      <c r="A205" s="347" t="str">
        <f>IFERROR(VLOOKUP(C205,Tabla_Insumos,4,FALSE),"")</f>
        <v/>
      </c>
      <c r="B205" s="289" t="s">
        <v>4</v>
      </c>
      <c r="C205" s="289"/>
      <c r="D205" s="292"/>
      <c r="E205" s="321"/>
      <c r="F205" s="323"/>
      <c r="G205" s="346">
        <f t="shared" ref="G205" si="59">ROUND(E205*F205,2)</f>
        <v>0</v>
      </c>
    </row>
    <row r="206" spans="1:7" ht="18.95" customHeight="1" x14ac:dyDescent="0.2">
      <c r="A206" s="156"/>
      <c r="B206" s="142"/>
      <c r="C206" s="142"/>
      <c r="D206" s="150"/>
      <c r="E206" s="143"/>
      <c r="F206" s="355" t="s">
        <v>1049</v>
      </c>
      <c r="G206" s="354">
        <f>SUBTOTAL(9,G205:G205)</f>
        <v>0</v>
      </c>
    </row>
    <row r="207" spans="1:7" ht="18.95" customHeight="1" thickBot="1" x14ac:dyDescent="0.25">
      <c r="A207" s="158"/>
      <c r="B207" s="159"/>
      <c r="C207" s="160"/>
      <c r="D207" s="161"/>
      <c r="E207" s="356"/>
      <c r="F207" s="356"/>
      <c r="G207" s="357"/>
    </row>
    <row r="208" spans="1:7" ht="18.95" customHeight="1" x14ac:dyDescent="0.2">
      <c r="A208" s="358">
        <f>B147</f>
        <v>3</v>
      </c>
      <c r="B208" s="359" t="str">
        <f>C147</f>
        <v>RIEGO DE LIGA</v>
      </c>
      <c r="C208" s="360"/>
      <c r="D208" s="360"/>
      <c r="E208" s="360" t="s">
        <v>1050</v>
      </c>
      <c r="F208" s="361" t="str">
        <f>CONCATENATE("$/",G147)</f>
        <v>$/m2</v>
      </c>
      <c r="G208" s="362">
        <f>SUBTOTAL(9,G167:G207)</f>
        <v>0</v>
      </c>
    </row>
    <row r="209" spans="1:8" ht="18.95" customHeight="1" thickBot="1" x14ac:dyDescent="0.25">
      <c r="A209" s="363"/>
      <c r="B209" s="364"/>
      <c r="C209" s="364"/>
      <c r="D209" s="364"/>
      <c r="E209" s="365" t="s">
        <v>1051</v>
      </c>
      <c r="F209" s="366" t="str">
        <f>CONCATENATE("$/",G147)</f>
        <v>$/m2</v>
      </c>
      <c r="G209" s="367" t="e">
        <f ca="1">PrecioUnitario(G208,GG_Porcentaje,Beneficio,Ingresos_Brutos,IVA)</f>
        <v>#NAME?</v>
      </c>
    </row>
    <row r="210" spans="1:8" ht="18.95" customHeight="1" thickTop="1" thickBot="1" x14ac:dyDescent="0.25">
      <c r="F210" s="293"/>
      <c r="G210" s="293"/>
    </row>
    <row r="211" spans="1:8" ht="18.95" customHeight="1" thickTop="1" x14ac:dyDescent="0.2">
      <c r="A211" s="193" t="s">
        <v>33</v>
      </c>
      <c r="B211" s="194"/>
      <c r="C211" s="194"/>
      <c r="D211" s="194"/>
      <c r="E211" s="194"/>
      <c r="F211" s="194"/>
      <c r="G211" s="195"/>
      <c r="H211" s="143">
        <f>COUNTIF($A$1:A217,"ANALISIS DE PRECIOS")</f>
        <v>4</v>
      </c>
    </row>
    <row r="212" spans="1:8" ht="18.95" customHeight="1" x14ac:dyDescent="0.2">
      <c r="A212" s="144" t="s">
        <v>720</v>
      </c>
      <c r="B212" s="145" t="str">
        <f>Comitente</f>
        <v>DIRECCIÓN PROVINCIAL DE VIALIDAD</v>
      </c>
      <c r="C212" s="139"/>
      <c r="D212" s="146"/>
      <c r="E212" s="324"/>
      <c r="F212" s="324"/>
      <c r="G212" s="325"/>
      <c r="H212" s="143"/>
    </row>
    <row r="213" spans="1:8" ht="18.95" customHeight="1" x14ac:dyDescent="0.2">
      <c r="A213" s="144" t="s">
        <v>721</v>
      </c>
      <c r="B213" s="145">
        <f>Contratista</f>
        <v>0</v>
      </c>
      <c r="C213" s="140"/>
      <c r="D213" s="140"/>
      <c r="E213" s="145"/>
      <c r="F213" s="145"/>
      <c r="G213" s="147"/>
      <c r="H213" s="143"/>
    </row>
    <row r="214" spans="1:8" ht="18.95" customHeight="1" x14ac:dyDescent="0.2">
      <c r="A214" s="144" t="s">
        <v>23</v>
      </c>
      <c r="B214" s="145" t="str">
        <f>Obra</f>
        <v>PAVIMENTACION RUTAS VARIAS</v>
      </c>
      <c r="C214" s="140"/>
      <c r="D214" s="140"/>
      <c r="E214" s="143"/>
      <c r="F214" s="145" t="s">
        <v>34</v>
      </c>
      <c r="G214" s="147">
        <f>Fecha_Base</f>
        <v>43411</v>
      </c>
      <c r="H214" s="143"/>
    </row>
    <row r="215" spans="1:8" ht="18.95" customHeight="1" x14ac:dyDescent="0.2">
      <c r="A215" s="148" t="s">
        <v>719</v>
      </c>
      <c r="B215" s="141" t="str">
        <f>Ubicación</f>
        <v>POCITO</v>
      </c>
      <c r="C215" s="141"/>
      <c r="D215" s="150"/>
      <c r="E215" s="143"/>
      <c r="F215" s="326"/>
      <c r="G215" s="327"/>
      <c r="H215" s="143"/>
    </row>
    <row r="216" spans="1:8" ht="18.95" customHeight="1" x14ac:dyDescent="0.2">
      <c r="A216" s="148" t="s">
        <v>35</v>
      </c>
      <c r="B216" s="151" t="str">
        <f>IFERROR(VALUE(LEFT(B217,FIND("-",B217)-1)),"")</f>
        <v/>
      </c>
      <c r="C216" s="142" t="str">
        <f>IFERROR(VLOOKUP(B216,Tabla_CyP,2,FALSE),"")</f>
        <v/>
      </c>
      <c r="D216" s="150"/>
      <c r="E216" s="143"/>
      <c r="F216" s="326"/>
      <c r="G216" s="327"/>
      <c r="H216" s="143"/>
    </row>
    <row r="217" spans="1:8" ht="18.95" customHeight="1" x14ac:dyDescent="0.2">
      <c r="A217" s="148" t="s">
        <v>24</v>
      </c>
      <c r="B217" s="152">
        <f>IFERROR(VLOOKUP(COUNTIF($A$1:A217,"ANALISIS DE PRECIOS"),Tabla_NumeroItem,4,FALSE),"")</f>
        <v>4</v>
      </c>
      <c r="C217" s="731" t="str">
        <f>IFERROR(VLOOKUP(B217,Tabla_CyP,2,FALSE),"")</f>
        <v>CARPETA CON MEZCLA BITUMINOSA TIPO CONCRETO ASFALTICO</v>
      </c>
      <c r="D217" s="731"/>
      <c r="E217" s="731"/>
      <c r="F217" s="141" t="s">
        <v>25</v>
      </c>
      <c r="G217" s="153" t="str">
        <f>IFERROR(VLOOKUP(B217,Tabla_CyP,4,FALSE),"")</f>
        <v>m2</v>
      </c>
      <c r="H217" s="143"/>
    </row>
    <row r="218" spans="1:8" ht="18.95" customHeight="1" x14ac:dyDescent="0.2">
      <c r="A218" s="148"/>
      <c r="B218" s="141"/>
      <c r="C218" s="142"/>
      <c r="D218" s="150"/>
      <c r="E218" s="142"/>
      <c r="F218" s="142"/>
      <c r="G218" s="328"/>
      <c r="H218" s="143"/>
    </row>
    <row r="219" spans="1:8" ht="18.95" customHeight="1" x14ac:dyDescent="0.2">
      <c r="A219" s="329"/>
      <c r="B219" s="330"/>
      <c r="C219" s="331" t="s">
        <v>1032</v>
      </c>
      <c r="D219" s="330"/>
      <c r="E219" s="330"/>
      <c r="F219" s="330"/>
      <c r="G219" s="332"/>
      <c r="H219" s="143"/>
    </row>
    <row r="220" spans="1:8" ht="18.95" customHeight="1" x14ac:dyDescent="0.2">
      <c r="A220" s="148"/>
      <c r="B220" s="333"/>
      <c r="C220" s="334" t="s">
        <v>1033</v>
      </c>
      <c r="D220" s="335" t="s">
        <v>26</v>
      </c>
      <c r="E220" s="335" t="s">
        <v>1034</v>
      </c>
      <c r="F220" s="335" t="s">
        <v>1035</v>
      </c>
      <c r="G220" s="336" t="s">
        <v>1036</v>
      </c>
      <c r="H220" s="143"/>
    </row>
    <row r="221" spans="1:8" ht="18.95" customHeight="1" x14ac:dyDescent="0.2">
      <c r="A221" s="342"/>
      <c r="B221" s="343"/>
      <c r="C221" s="289"/>
      <c r="D221" s="292"/>
      <c r="E221" s="344"/>
      <c r="F221" s="345"/>
      <c r="G221" s="346">
        <f t="shared" ref="G221:G230" si="60">ROUND(D221*F221,2)</f>
        <v>0</v>
      </c>
    </row>
    <row r="222" spans="1:8" ht="18.95" customHeight="1" x14ac:dyDescent="0.2">
      <c r="A222" s="342"/>
      <c r="B222" s="343"/>
      <c r="C222" s="289"/>
      <c r="D222" s="292"/>
      <c r="E222" s="344"/>
      <c r="F222" s="345"/>
      <c r="G222" s="346">
        <f t="shared" si="60"/>
        <v>0</v>
      </c>
    </row>
    <row r="223" spans="1:8" ht="18.95" customHeight="1" x14ac:dyDescent="0.2">
      <c r="A223" s="342"/>
      <c r="B223" s="343"/>
      <c r="C223" s="289"/>
      <c r="D223" s="292"/>
      <c r="E223" s="344">
        <f t="shared" ref="E223:E230" si="61">IFERROR(VLOOKUP(C223,T_Equipos,4,FALSE),0)</f>
        <v>0</v>
      </c>
      <c r="F223" s="345">
        <f t="shared" ref="F223:F230" si="62">IFERROR(VLOOKUP(C223,T_Equipos,11,FALSE),0)</f>
        <v>0</v>
      </c>
      <c r="G223" s="346">
        <f t="shared" si="60"/>
        <v>0</v>
      </c>
    </row>
    <row r="224" spans="1:8" ht="18.95" customHeight="1" x14ac:dyDescent="0.2">
      <c r="A224" s="342"/>
      <c r="B224" s="343"/>
      <c r="C224" s="289"/>
      <c r="D224" s="292"/>
      <c r="E224" s="344">
        <f t="shared" si="61"/>
        <v>0</v>
      </c>
      <c r="F224" s="345">
        <f t="shared" si="62"/>
        <v>0</v>
      </c>
      <c r="G224" s="346">
        <f t="shared" si="60"/>
        <v>0</v>
      </c>
    </row>
    <row r="225" spans="1:7" ht="18.95" customHeight="1" x14ac:dyDescent="0.2">
      <c r="A225" s="342"/>
      <c r="B225" s="343"/>
      <c r="C225" s="289"/>
      <c r="D225" s="292"/>
      <c r="E225" s="344">
        <f t="shared" si="61"/>
        <v>0</v>
      </c>
      <c r="F225" s="345">
        <f t="shared" si="62"/>
        <v>0</v>
      </c>
      <c r="G225" s="346">
        <f t="shared" si="60"/>
        <v>0</v>
      </c>
    </row>
    <row r="226" spans="1:7" ht="18.95" customHeight="1" x14ac:dyDescent="0.2">
      <c r="A226" s="342"/>
      <c r="B226" s="343"/>
      <c r="C226" s="289"/>
      <c r="D226" s="292"/>
      <c r="E226" s="344">
        <f t="shared" si="61"/>
        <v>0</v>
      </c>
      <c r="F226" s="345">
        <f t="shared" si="62"/>
        <v>0</v>
      </c>
      <c r="G226" s="346">
        <f t="shared" si="60"/>
        <v>0</v>
      </c>
    </row>
    <row r="227" spans="1:7" ht="18.95" customHeight="1" x14ac:dyDescent="0.2">
      <c r="A227" s="342"/>
      <c r="B227" s="343"/>
      <c r="C227" s="289"/>
      <c r="D227" s="292"/>
      <c r="E227" s="344">
        <f t="shared" si="61"/>
        <v>0</v>
      </c>
      <c r="F227" s="345">
        <f t="shared" si="62"/>
        <v>0</v>
      </c>
      <c r="G227" s="346">
        <f t="shared" si="60"/>
        <v>0</v>
      </c>
    </row>
    <row r="228" spans="1:7" ht="18.95" customHeight="1" x14ac:dyDescent="0.2">
      <c r="A228" s="342"/>
      <c r="B228" s="343"/>
      <c r="C228" s="289"/>
      <c r="D228" s="292"/>
      <c r="E228" s="344">
        <f t="shared" si="61"/>
        <v>0</v>
      </c>
      <c r="F228" s="345">
        <f t="shared" si="62"/>
        <v>0</v>
      </c>
      <c r="G228" s="346">
        <f t="shared" si="60"/>
        <v>0</v>
      </c>
    </row>
    <row r="229" spans="1:7" ht="18.95" customHeight="1" x14ac:dyDescent="0.2">
      <c r="A229" s="342"/>
      <c r="B229" s="343"/>
      <c r="C229" s="289"/>
      <c r="D229" s="292"/>
      <c r="E229" s="344">
        <f t="shared" si="61"/>
        <v>0</v>
      </c>
      <c r="F229" s="345">
        <f t="shared" si="62"/>
        <v>0</v>
      </c>
      <c r="G229" s="346">
        <f t="shared" si="60"/>
        <v>0</v>
      </c>
    </row>
    <row r="230" spans="1:7" ht="18.95" customHeight="1" thickBot="1" x14ac:dyDescent="0.25">
      <c r="A230" s="342"/>
      <c r="B230" s="343"/>
      <c r="C230" s="289"/>
      <c r="D230" s="292"/>
      <c r="E230" s="344">
        <f t="shared" si="61"/>
        <v>0</v>
      </c>
      <c r="F230" s="345">
        <f t="shared" si="62"/>
        <v>0</v>
      </c>
      <c r="G230" s="346">
        <f t="shared" si="60"/>
        <v>0</v>
      </c>
    </row>
    <row r="231" spans="1:7" ht="18.95" customHeight="1" thickBot="1" x14ac:dyDescent="0.25">
      <c r="A231" s="148"/>
      <c r="B231" s="333"/>
      <c r="C231" s="143"/>
      <c r="D231" s="146" t="s">
        <v>1037</v>
      </c>
      <c r="E231" s="337">
        <f>SUMPRODUCT(D221:D230,E221:E230)</f>
        <v>0</v>
      </c>
      <c r="F231" s="141" t="s">
        <v>1038</v>
      </c>
      <c r="G231" s="338">
        <f>SUM(G221:G230)</f>
        <v>0</v>
      </c>
    </row>
    <row r="232" spans="1:7" ht="18.95" customHeight="1" x14ac:dyDescent="0.2">
      <c r="A232" s="148"/>
      <c r="B232" s="333"/>
      <c r="C232" s="141" t="s">
        <v>1039</v>
      </c>
      <c r="D232" s="319"/>
      <c r="E232" s="339" t="str">
        <f>CONCATENATE(G217,"/día")</f>
        <v>m2/día</v>
      </c>
      <c r="F232" s="141"/>
      <c r="G232" s="340"/>
    </row>
    <row r="233" spans="1:7" ht="18.95" customHeight="1" x14ac:dyDescent="0.2">
      <c r="A233" s="148"/>
      <c r="B233" s="333"/>
      <c r="C233" s="142"/>
      <c r="D233" s="150"/>
      <c r="E233" s="141"/>
      <c r="F233" s="141"/>
      <c r="G233" s="340"/>
    </row>
    <row r="234" spans="1:7" ht="18.95" customHeight="1" x14ac:dyDescent="0.2">
      <c r="A234" s="732" t="s">
        <v>582</v>
      </c>
      <c r="B234" s="733"/>
      <c r="C234" s="734" t="s">
        <v>0</v>
      </c>
      <c r="D234" s="738" t="s">
        <v>1053</v>
      </c>
      <c r="E234" s="738" t="s">
        <v>1706</v>
      </c>
      <c r="F234" s="738" t="s">
        <v>1054</v>
      </c>
      <c r="G234" s="738" t="s">
        <v>1055</v>
      </c>
    </row>
    <row r="235" spans="1:7" ht="18.95" customHeight="1" x14ac:dyDescent="0.2">
      <c r="A235" s="154" t="s">
        <v>583</v>
      </c>
      <c r="B235" s="155" t="s">
        <v>584</v>
      </c>
      <c r="C235" s="735"/>
      <c r="D235" s="739"/>
      <c r="E235" s="739"/>
      <c r="F235" s="743"/>
      <c r="G235" s="739"/>
    </row>
    <row r="236" spans="1:7" ht="18.95" customHeight="1" x14ac:dyDescent="0.2">
      <c r="A236" s="156"/>
      <c r="B236" s="142"/>
      <c r="C236" s="157" t="s">
        <v>1041</v>
      </c>
      <c r="D236" s="150"/>
      <c r="E236" s="142"/>
      <c r="F236" s="142"/>
      <c r="G236" s="341"/>
    </row>
    <row r="237" spans="1:7" ht="18.95" customHeight="1" x14ac:dyDescent="0.2">
      <c r="A237" s="347" t="str">
        <f t="shared" ref="A237:A244" si="63">IFERROR(VLOOKUP(C237,Tabla_Insumos,4,FALSE),"")</f>
        <v/>
      </c>
      <c r="B237" s="289" t="str">
        <f t="shared" ref="B237:B244" si="64">IFERROR(VLOOKUP(C237,Tabla_Insumos,5,FALSE),"")</f>
        <v/>
      </c>
      <c r="C237" s="289"/>
      <c r="D237" s="606">
        <f t="shared" ref="D237:D244" si="65">IFERROR(VLOOKUP(C237,Tabla_Insumos,3,FALSE),0)</f>
        <v>0</v>
      </c>
      <c r="E237" s="348">
        <f>D237*$G$21</f>
        <v>0</v>
      </c>
      <c r="F237" s="349">
        <f>IF(C237="",0,D232)</f>
        <v>0</v>
      </c>
      <c r="G237" s="346">
        <f>IFERROR(ROUND(E237/F237,2),0)</f>
        <v>0</v>
      </c>
    </row>
    <row r="238" spans="1:7" ht="18.95" customHeight="1" x14ac:dyDescent="0.2">
      <c r="A238" s="347" t="str">
        <f t="shared" si="63"/>
        <v/>
      </c>
      <c r="B238" s="289" t="str">
        <f t="shared" si="64"/>
        <v/>
      </c>
      <c r="C238" s="320"/>
      <c r="D238" s="606">
        <f t="shared" si="65"/>
        <v>0</v>
      </c>
      <c r="E238" s="348">
        <f t="shared" ref="E238:E239" si="66">D238*$G$21</f>
        <v>0</v>
      </c>
      <c r="F238" s="349">
        <f t="shared" ref="F238:F241" si="67">IF(C238="",0,F237)</f>
        <v>0</v>
      </c>
      <c r="G238" s="346">
        <f t="shared" ref="G238:G244" si="68">IFERROR(ROUND(E238/F238,2),0)</f>
        <v>0</v>
      </c>
    </row>
    <row r="239" spans="1:7" ht="18.95" customHeight="1" x14ac:dyDescent="0.2">
      <c r="A239" s="347" t="str">
        <f t="shared" si="63"/>
        <v/>
      </c>
      <c r="B239" s="289" t="str">
        <f t="shared" si="64"/>
        <v/>
      </c>
      <c r="C239" s="320"/>
      <c r="D239" s="606">
        <f t="shared" si="65"/>
        <v>0</v>
      </c>
      <c r="E239" s="348">
        <f t="shared" si="66"/>
        <v>0</v>
      </c>
      <c r="F239" s="349">
        <f t="shared" si="67"/>
        <v>0</v>
      </c>
      <c r="G239" s="346">
        <f t="shared" si="68"/>
        <v>0</v>
      </c>
    </row>
    <row r="240" spans="1:7" ht="18.95" customHeight="1" x14ac:dyDescent="0.2">
      <c r="A240" s="347" t="str">
        <f t="shared" si="63"/>
        <v/>
      </c>
      <c r="B240" s="289" t="str">
        <f t="shared" si="64"/>
        <v/>
      </c>
      <c r="C240" s="320"/>
      <c r="D240" s="606">
        <f t="shared" si="65"/>
        <v>0</v>
      </c>
      <c r="E240" s="348">
        <f>D240*$E$21</f>
        <v>0</v>
      </c>
      <c r="F240" s="349">
        <f t="shared" si="67"/>
        <v>0</v>
      </c>
      <c r="G240" s="346">
        <f t="shared" si="68"/>
        <v>0</v>
      </c>
    </row>
    <row r="241" spans="1:7" ht="18.95" customHeight="1" x14ac:dyDescent="0.2">
      <c r="A241" s="347" t="str">
        <f t="shared" si="63"/>
        <v/>
      </c>
      <c r="B241" s="289" t="str">
        <f t="shared" si="64"/>
        <v/>
      </c>
      <c r="C241" s="320"/>
      <c r="D241" s="606">
        <f t="shared" si="65"/>
        <v>0</v>
      </c>
      <c r="E241" s="348">
        <f>D241*$E$21</f>
        <v>0</v>
      </c>
      <c r="F241" s="349">
        <f t="shared" si="67"/>
        <v>0</v>
      </c>
      <c r="G241" s="346">
        <f t="shared" si="68"/>
        <v>0</v>
      </c>
    </row>
    <row r="242" spans="1:7" ht="18.95" customHeight="1" x14ac:dyDescent="0.2">
      <c r="A242" s="347" t="str">
        <f t="shared" si="63"/>
        <v/>
      </c>
      <c r="B242" s="289" t="str">
        <f t="shared" si="64"/>
        <v/>
      </c>
      <c r="C242" s="320"/>
      <c r="D242" s="606">
        <f t="shared" si="65"/>
        <v>0</v>
      </c>
      <c r="E242" s="348"/>
      <c r="F242" s="349">
        <f>IF(C242="",0,F241)</f>
        <v>0</v>
      </c>
      <c r="G242" s="346">
        <f t="shared" si="68"/>
        <v>0</v>
      </c>
    </row>
    <row r="243" spans="1:7" ht="18.95" customHeight="1" x14ac:dyDescent="0.2">
      <c r="A243" s="347" t="str">
        <f t="shared" si="63"/>
        <v/>
      </c>
      <c r="B243" s="289" t="str">
        <f t="shared" si="64"/>
        <v/>
      </c>
      <c r="C243" s="320"/>
      <c r="D243" s="606">
        <f t="shared" si="65"/>
        <v>0</v>
      </c>
      <c r="E243" s="348"/>
      <c r="F243" s="349">
        <f t="shared" ref="F243:F244" si="69">IF(C243="",0,F242)</f>
        <v>0</v>
      </c>
      <c r="G243" s="346">
        <f t="shared" si="68"/>
        <v>0</v>
      </c>
    </row>
    <row r="244" spans="1:7" ht="18.95" customHeight="1" x14ac:dyDescent="0.2">
      <c r="A244" s="347" t="str">
        <f t="shared" si="63"/>
        <v/>
      </c>
      <c r="B244" s="289" t="str">
        <f t="shared" si="64"/>
        <v/>
      </c>
      <c r="C244" s="320"/>
      <c r="D244" s="606">
        <f t="shared" si="65"/>
        <v>0</v>
      </c>
      <c r="E244" s="348"/>
      <c r="F244" s="349">
        <f t="shared" si="69"/>
        <v>0</v>
      </c>
      <c r="G244" s="346">
        <f t="shared" si="68"/>
        <v>0</v>
      </c>
    </row>
    <row r="245" spans="1:7" ht="18.95" customHeight="1" x14ac:dyDescent="0.2">
      <c r="A245" s="352"/>
      <c r="B245" s="149"/>
      <c r="C245" s="142"/>
      <c r="D245" s="150"/>
      <c r="E245" s="143"/>
      <c r="F245" s="353" t="s">
        <v>29</v>
      </c>
      <c r="G245" s="354">
        <f>SUBTOTAL(9,G237:G244)</f>
        <v>0</v>
      </c>
    </row>
    <row r="246" spans="1:7" ht="18.95" customHeight="1" x14ac:dyDescent="0.2">
      <c r="A246" s="156"/>
      <c r="B246" s="142"/>
      <c r="C246" s="157" t="s">
        <v>722</v>
      </c>
      <c r="D246" s="150"/>
      <c r="E246" s="326"/>
      <c r="F246" s="326"/>
      <c r="G246" s="341"/>
    </row>
    <row r="247" spans="1:7" ht="18.95" customHeight="1" x14ac:dyDescent="0.2">
      <c r="A247" s="732" t="s">
        <v>582</v>
      </c>
      <c r="B247" s="733"/>
      <c r="C247" s="734" t="s">
        <v>0</v>
      </c>
      <c r="D247" s="736" t="s">
        <v>26</v>
      </c>
      <c r="E247" s="738" t="s">
        <v>1707</v>
      </c>
      <c r="F247" s="740" t="s">
        <v>1040</v>
      </c>
      <c r="G247" s="741" t="s">
        <v>28</v>
      </c>
    </row>
    <row r="248" spans="1:7" ht="18.95" customHeight="1" x14ac:dyDescent="0.2">
      <c r="A248" s="154" t="s">
        <v>583</v>
      </c>
      <c r="B248" s="155" t="s">
        <v>584</v>
      </c>
      <c r="C248" s="735"/>
      <c r="D248" s="737"/>
      <c r="E248" s="739"/>
      <c r="F248" s="739"/>
      <c r="G248" s="742"/>
    </row>
    <row r="249" spans="1:7" ht="18.95" customHeight="1" x14ac:dyDescent="0.2">
      <c r="A249" s="347" t="str">
        <f t="shared" ref="A249:A254" si="70">IFERROR(VLOOKUP(C249,Tabla_Insumos,4,FALSE),"")</f>
        <v/>
      </c>
      <c r="B249" s="289" t="str">
        <f t="shared" ref="B249:B254" si="71">IFERROR(VLOOKUP(C249,Tabla_Insumos,5,FALSE),"")</f>
        <v/>
      </c>
      <c r="C249" s="290"/>
      <c r="D249" s="292"/>
      <c r="E249" s="345">
        <f t="shared" ref="E249:E254" si="72">IFERROR(VLOOKUP(C249,Tabla_Insumos,3,FALSE),0)</f>
        <v>0</v>
      </c>
      <c r="F249" s="348">
        <f>IF(C249="",0,D232)</f>
        <v>0</v>
      </c>
      <c r="G249" s="346">
        <f t="shared" ref="G249:G254" si="73">IFERROR(ROUND(D249*E249/F249,2),0)</f>
        <v>0</v>
      </c>
    </row>
    <row r="250" spans="1:7" ht="18.95" customHeight="1" x14ac:dyDescent="0.2">
      <c r="A250" s="347" t="str">
        <f t="shared" si="70"/>
        <v/>
      </c>
      <c r="B250" s="289" t="str">
        <f t="shared" si="71"/>
        <v/>
      </c>
      <c r="C250" s="289"/>
      <c r="D250" s="292"/>
      <c r="E250" s="345">
        <f t="shared" si="72"/>
        <v>0</v>
      </c>
      <c r="F250" s="348">
        <f>IF(C250="",0,F249)</f>
        <v>0</v>
      </c>
      <c r="G250" s="346">
        <f t="shared" si="73"/>
        <v>0</v>
      </c>
    </row>
    <row r="251" spans="1:7" ht="18.95" customHeight="1" x14ac:dyDescent="0.2">
      <c r="A251" s="347" t="str">
        <f t="shared" si="70"/>
        <v/>
      </c>
      <c r="B251" s="289" t="str">
        <f t="shared" si="71"/>
        <v/>
      </c>
      <c r="C251" s="289"/>
      <c r="D251" s="292"/>
      <c r="E251" s="345">
        <f t="shared" si="72"/>
        <v>0</v>
      </c>
      <c r="F251" s="348">
        <f>IF(C251="",0,F250)</f>
        <v>0</v>
      </c>
      <c r="G251" s="346">
        <f t="shared" si="73"/>
        <v>0</v>
      </c>
    </row>
    <row r="252" spans="1:7" ht="18.95" customHeight="1" x14ac:dyDescent="0.2">
      <c r="A252" s="347" t="str">
        <f t="shared" si="70"/>
        <v/>
      </c>
      <c r="B252" s="289" t="str">
        <f t="shared" si="71"/>
        <v/>
      </c>
      <c r="C252" s="289"/>
      <c r="D252" s="292"/>
      <c r="E252" s="345">
        <f t="shared" si="72"/>
        <v>0</v>
      </c>
      <c r="F252" s="348">
        <f>IF(C252="",0,F251)</f>
        <v>0</v>
      </c>
      <c r="G252" s="346">
        <f t="shared" si="73"/>
        <v>0</v>
      </c>
    </row>
    <row r="253" spans="1:7" ht="18.95" customHeight="1" x14ac:dyDescent="0.2">
      <c r="A253" s="347" t="str">
        <f t="shared" si="70"/>
        <v/>
      </c>
      <c r="B253" s="289" t="str">
        <f t="shared" si="71"/>
        <v/>
      </c>
      <c r="C253" s="289"/>
      <c r="D253" s="350"/>
      <c r="E253" s="345">
        <f t="shared" si="72"/>
        <v>0</v>
      </c>
      <c r="F253" s="348">
        <f>IF(C253="",0,F252)</f>
        <v>0</v>
      </c>
      <c r="G253" s="346">
        <f t="shared" si="73"/>
        <v>0</v>
      </c>
    </row>
    <row r="254" spans="1:7" ht="18.95" customHeight="1" x14ac:dyDescent="0.2">
      <c r="A254" s="347" t="str">
        <f t="shared" si="70"/>
        <v/>
      </c>
      <c r="B254" s="289" t="str">
        <f t="shared" si="71"/>
        <v/>
      </c>
      <c r="C254" s="289"/>
      <c r="D254" s="292"/>
      <c r="E254" s="345">
        <f t="shared" si="72"/>
        <v>0</v>
      </c>
      <c r="F254" s="348">
        <f>IF(C254="",0,F253)</f>
        <v>0</v>
      </c>
      <c r="G254" s="346">
        <f t="shared" si="73"/>
        <v>0</v>
      </c>
    </row>
    <row r="255" spans="1:7" ht="18.95" customHeight="1" x14ac:dyDescent="0.2">
      <c r="A255" s="352"/>
      <c r="B255" s="149"/>
      <c r="C255" s="142"/>
      <c r="D255" s="150"/>
      <c r="E255" s="143"/>
      <c r="F255" s="355" t="s">
        <v>30</v>
      </c>
      <c r="G255" s="354">
        <f>SUBTOTAL(9,G249:G254)</f>
        <v>0</v>
      </c>
    </row>
    <row r="256" spans="1:7" ht="18.95" customHeight="1" x14ac:dyDescent="0.2">
      <c r="A256" s="156"/>
      <c r="B256" s="142"/>
      <c r="C256" s="157" t="s">
        <v>1047</v>
      </c>
      <c r="D256" s="150"/>
      <c r="E256" s="326"/>
      <c r="F256" s="326"/>
      <c r="G256" s="341"/>
    </row>
    <row r="257" spans="1:7" ht="18.95" customHeight="1" x14ac:dyDescent="0.2">
      <c r="A257" s="732" t="s">
        <v>582</v>
      </c>
      <c r="B257" s="733"/>
      <c r="C257" s="734" t="s">
        <v>0</v>
      </c>
      <c r="D257" s="734" t="s">
        <v>1655</v>
      </c>
      <c r="E257" s="734" t="s">
        <v>26</v>
      </c>
      <c r="F257" s="734" t="s">
        <v>27</v>
      </c>
      <c r="G257" s="741" t="s">
        <v>28</v>
      </c>
    </row>
    <row r="258" spans="1:7" ht="18.95" customHeight="1" x14ac:dyDescent="0.2">
      <c r="A258" s="154" t="s">
        <v>583</v>
      </c>
      <c r="B258" s="155" t="s">
        <v>584</v>
      </c>
      <c r="C258" s="735"/>
      <c r="D258" s="735"/>
      <c r="E258" s="735"/>
      <c r="F258" s="735"/>
      <c r="G258" s="742"/>
    </row>
    <row r="259" spans="1:7" ht="18.95" customHeight="1" x14ac:dyDescent="0.2">
      <c r="A259" s="347" t="str">
        <f t="shared" ref="A259:A270" si="74">IFERROR(VLOOKUP(C259,Tabla_Insumos,4,FALSE),"")</f>
        <v/>
      </c>
      <c r="B259" s="289" t="str">
        <f t="shared" ref="B259:B270" si="75">IFERROR(VLOOKUP(C259,Tabla_Insumos,5,FALSE),"")</f>
        <v/>
      </c>
      <c r="C259" s="289"/>
      <c r="D259" s="607">
        <f t="shared" ref="D259:D270" si="76">IFERROR(VLOOKUP(C259,Tabla_Insumos,2,FALSE),0)</f>
        <v>0</v>
      </c>
      <c r="E259" s="292"/>
      <c r="F259" s="345">
        <f t="shared" ref="F259:F270" si="77">IFERROR(VLOOKUP(C259,Tabla_Insumos,3,FALSE),0)</f>
        <v>0</v>
      </c>
      <c r="G259" s="346">
        <f t="shared" ref="G259:G270" si="78">ROUND(E259*F259,2)</f>
        <v>0</v>
      </c>
    </row>
    <row r="260" spans="1:7" ht="18.95" customHeight="1" x14ac:dyDescent="0.2">
      <c r="A260" s="347" t="str">
        <f t="shared" si="74"/>
        <v/>
      </c>
      <c r="B260" s="289" t="str">
        <f t="shared" si="75"/>
        <v/>
      </c>
      <c r="C260" s="126"/>
      <c r="D260" s="607">
        <f t="shared" si="76"/>
        <v>0</v>
      </c>
      <c r="E260" s="292"/>
      <c r="F260" s="345">
        <f t="shared" si="77"/>
        <v>0</v>
      </c>
      <c r="G260" s="346">
        <f t="shared" si="78"/>
        <v>0</v>
      </c>
    </row>
    <row r="261" spans="1:7" ht="18.95" customHeight="1" x14ac:dyDescent="0.2">
      <c r="A261" s="347" t="str">
        <f t="shared" si="74"/>
        <v/>
      </c>
      <c r="B261" s="289" t="str">
        <f t="shared" si="75"/>
        <v/>
      </c>
      <c r="C261" s="289"/>
      <c r="D261" s="607">
        <f t="shared" si="76"/>
        <v>0</v>
      </c>
      <c r="E261" s="292"/>
      <c r="F261" s="345">
        <f t="shared" si="77"/>
        <v>0</v>
      </c>
      <c r="G261" s="346">
        <f t="shared" si="78"/>
        <v>0</v>
      </c>
    </row>
    <row r="262" spans="1:7" ht="18.95" customHeight="1" x14ac:dyDescent="0.2">
      <c r="A262" s="347" t="str">
        <f t="shared" si="74"/>
        <v/>
      </c>
      <c r="B262" s="289" t="str">
        <f t="shared" si="75"/>
        <v/>
      </c>
      <c r="C262" s="289"/>
      <c r="D262" s="607">
        <f t="shared" si="76"/>
        <v>0</v>
      </c>
      <c r="E262" s="292"/>
      <c r="F262" s="345">
        <f t="shared" si="77"/>
        <v>0</v>
      </c>
      <c r="G262" s="346">
        <f t="shared" si="78"/>
        <v>0</v>
      </c>
    </row>
    <row r="263" spans="1:7" ht="18.95" customHeight="1" x14ac:dyDescent="0.2">
      <c r="A263" s="347" t="str">
        <f t="shared" si="74"/>
        <v/>
      </c>
      <c r="B263" s="289" t="str">
        <f t="shared" si="75"/>
        <v/>
      </c>
      <c r="C263" s="289"/>
      <c r="D263" s="607">
        <f t="shared" si="76"/>
        <v>0</v>
      </c>
      <c r="E263" s="292"/>
      <c r="F263" s="345">
        <f t="shared" si="77"/>
        <v>0</v>
      </c>
      <c r="G263" s="346">
        <f t="shared" si="78"/>
        <v>0</v>
      </c>
    </row>
    <row r="264" spans="1:7" ht="18.95" customHeight="1" x14ac:dyDescent="0.2">
      <c r="A264" s="347" t="str">
        <f t="shared" si="74"/>
        <v/>
      </c>
      <c r="B264" s="289" t="str">
        <f t="shared" si="75"/>
        <v/>
      </c>
      <c r="C264" s="289"/>
      <c r="D264" s="607">
        <f t="shared" si="76"/>
        <v>0</v>
      </c>
      <c r="E264" s="292"/>
      <c r="F264" s="345">
        <f t="shared" si="77"/>
        <v>0</v>
      </c>
      <c r="G264" s="346">
        <f t="shared" si="78"/>
        <v>0</v>
      </c>
    </row>
    <row r="265" spans="1:7" ht="18.95" customHeight="1" x14ac:dyDescent="0.2">
      <c r="A265" s="347" t="str">
        <f t="shared" si="74"/>
        <v/>
      </c>
      <c r="B265" s="289" t="str">
        <f t="shared" si="75"/>
        <v/>
      </c>
      <c r="C265" s="289"/>
      <c r="D265" s="607">
        <f t="shared" si="76"/>
        <v>0</v>
      </c>
      <c r="E265" s="292"/>
      <c r="F265" s="345">
        <f t="shared" si="77"/>
        <v>0</v>
      </c>
      <c r="G265" s="346">
        <f t="shared" si="78"/>
        <v>0</v>
      </c>
    </row>
    <row r="266" spans="1:7" s="294" customFormat="1" ht="18.95" customHeight="1" x14ac:dyDescent="0.2">
      <c r="A266" s="347" t="str">
        <f t="shared" si="74"/>
        <v/>
      </c>
      <c r="B266" s="289" t="str">
        <f t="shared" si="75"/>
        <v/>
      </c>
      <c r="C266" s="289"/>
      <c r="D266" s="607">
        <f t="shared" si="76"/>
        <v>0</v>
      </c>
      <c r="E266" s="322"/>
      <c r="F266" s="345">
        <f t="shared" si="77"/>
        <v>0</v>
      </c>
      <c r="G266" s="346">
        <f t="shared" si="78"/>
        <v>0</v>
      </c>
    </row>
    <row r="267" spans="1:7" ht="18.95" customHeight="1" x14ac:dyDescent="0.2">
      <c r="A267" s="347" t="str">
        <f t="shared" si="74"/>
        <v/>
      </c>
      <c r="B267" s="289" t="str">
        <f t="shared" si="75"/>
        <v/>
      </c>
      <c r="C267" s="289"/>
      <c r="D267" s="607">
        <f t="shared" si="76"/>
        <v>0</v>
      </c>
      <c r="E267" s="292"/>
      <c r="F267" s="345">
        <f t="shared" si="77"/>
        <v>0</v>
      </c>
      <c r="G267" s="346">
        <f t="shared" si="78"/>
        <v>0</v>
      </c>
    </row>
    <row r="268" spans="1:7" ht="18.95" customHeight="1" x14ac:dyDescent="0.2">
      <c r="A268" s="347" t="str">
        <f t="shared" si="74"/>
        <v/>
      </c>
      <c r="B268" s="289" t="str">
        <f t="shared" si="75"/>
        <v/>
      </c>
      <c r="C268" s="289"/>
      <c r="D268" s="607">
        <f t="shared" si="76"/>
        <v>0</v>
      </c>
      <c r="E268" s="292"/>
      <c r="F268" s="345">
        <f t="shared" si="77"/>
        <v>0</v>
      </c>
      <c r="G268" s="346">
        <f t="shared" si="78"/>
        <v>0</v>
      </c>
    </row>
    <row r="269" spans="1:7" ht="18.95" customHeight="1" x14ac:dyDescent="0.2">
      <c r="A269" s="347" t="str">
        <f t="shared" si="74"/>
        <v/>
      </c>
      <c r="B269" s="289" t="str">
        <f t="shared" si="75"/>
        <v/>
      </c>
      <c r="C269" s="289"/>
      <c r="D269" s="607">
        <f t="shared" si="76"/>
        <v>0</v>
      </c>
      <c r="E269" s="292"/>
      <c r="F269" s="345">
        <f t="shared" si="77"/>
        <v>0</v>
      </c>
      <c r="G269" s="346">
        <f t="shared" si="78"/>
        <v>0</v>
      </c>
    </row>
    <row r="270" spans="1:7" ht="18.95" customHeight="1" x14ac:dyDescent="0.2">
      <c r="A270" s="347" t="str">
        <f t="shared" si="74"/>
        <v/>
      </c>
      <c r="B270" s="289" t="str">
        <f t="shared" si="75"/>
        <v/>
      </c>
      <c r="C270" s="289"/>
      <c r="D270" s="607">
        <f t="shared" si="76"/>
        <v>0</v>
      </c>
      <c r="E270" s="292"/>
      <c r="F270" s="345">
        <f t="shared" si="77"/>
        <v>0</v>
      </c>
      <c r="G270" s="346">
        <f t="shared" si="78"/>
        <v>0</v>
      </c>
    </row>
    <row r="271" spans="1:7" ht="18.95" customHeight="1" x14ac:dyDescent="0.2">
      <c r="A271" s="156"/>
      <c r="B271" s="142"/>
      <c r="C271" s="142"/>
      <c r="D271" s="150"/>
      <c r="E271" s="143"/>
      <c r="F271" s="355" t="s">
        <v>31</v>
      </c>
      <c r="G271" s="354">
        <f>SUBTOTAL(9,G259:G270)</f>
        <v>0</v>
      </c>
    </row>
    <row r="272" spans="1:7" ht="18.95" customHeight="1" x14ac:dyDescent="0.2">
      <c r="A272" s="156"/>
      <c r="B272" s="142"/>
      <c r="C272" s="157" t="s">
        <v>1048</v>
      </c>
      <c r="D272" s="150"/>
      <c r="E272" s="326"/>
      <c r="F272" s="326"/>
      <c r="G272" s="341"/>
    </row>
    <row r="273" spans="1:8" ht="18.95" customHeight="1" x14ac:dyDescent="0.2">
      <c r="A273" s="732" t="s">
        <v>582</v>
      </c>
      <c r="B273" s="733"/>
      <c r="C273" s="734" t="s">
        <v>0</v>
      </c>
      <c r="D273" s="736" t="s">
        <v>1750</v>
      </c>
      <c r="E273" s="740" t="s">
        <v>26</v>
      </c>
      <c r="F273" s="740" t="s">
        <v>27</v>
      </c>
      <c r="G273" s="741" t="s">
        <v>28</v>
      </c>
    </row>
    <row r="274" spans="1:8" ht="18.95" customHeight="1" x14ac:dyDescent="0.2">
      <c r="A274" s="154" t="s">
        <v>583</v>
      </c>
      <c r="B274" s="155" t="s">
        <v>584</v>
      </c>
      <c r="C274" s="735"/>
      <c r="D274" s="737"/>
      <c r="E274" s="739"/>
      <c r="F274" s="739"/>
      <c r="G274" s="742"/>
    </row>
    <row r="275" spans="1:8" ht="18.95" customHeight="1" x14ac:dyDescent="0.2">
      <c r="A275" s="347" t="str">
        <f>IFERROR(VLOOKUP(C275,Tabla_Insumos,4,FALSE),"")</f>
        <v/>
      </c>
      <c r="B275" s="289" t="s">
        <v>4</v>
      </c>
      <c r="C275" s="289"/>
      <c r="D275" s="292"/>
      <c r="E275" s="321"/>
      <c r="F275" s="323"/>
      <c r="G275" s="346">
        <f t="shared" ref="G275" si="79">ROUND(E275*F275,2)</f>
        <v>0</v>
      </c>
    </row>
    <row r="276" spans="1:8" ht="18.95" customHeight="1" x14ac:dyDescent="0.2">
      <c r="A276" s="156"/>
      <c r="B276" s="142"/>
      <c r="C276" s="142"/>
      <c r="D276" s="150"/>
      <c r="E276" s="143"/>
      <c r="F276" s="355" t="s">
        <v>1049</v>
      </c>
      <c r="G276" s="354">
        <f>SUBTOTAL(9,G275:G275)</f>
        <v>0</v>
      </c>
    </row>
    <row r="277" spans="1:8" ht="18.95" customHeight="1" thickBot="1" x14ac:dyDescent="0.25">
      <c r="A277" s="158"/>
      <c r="B277" s="159"/>
      <c r="C277" s="160"/>
      <c r="D277" s="161"/>
      <c r="E277" s="356"/>
      <c r="F277" s="356"/>
      <c r="G277" s="357"/>
    </row>
    <row r="278" spans="1:8" ht="18.95" customHeight="1" x14ac:dyDescent="0.2">
      <c r="A278" s="358">
        <f>B217</f>
        <v>4</v>
      </c>
      <c r="B278" s="359" t="str">
        <f>C217</f>
        <v>CARPETA CON MEZCLA BITUMINOSA TIPO CONCRETO ASFALTICO</v>
      </c>
      <c r="C278" s="360"/>
      <c r="D278" s="360"/>
      <c r="E278" s="360" t="s">
        <v>1050</v>
      </c>
      <c r="F278" s="361" t="str">
        <f>CONCATENATE("$/",G217)</f>
        <v>$/m2</v>
      </c>
      <c r="G278" s="362">
        <f>SUBTOTAL(9,G237:G277)</f>
        <v>0</v>
      </c>
    </row>
    <row r="279" spans="1:8" ht="18.95" customHeight="1" thickBot="1" x14ac:dyDescent="0.25">
      <c r="A279" s="363"/>
      <c r="B279" s="364"/>
      <c r="C279" s="364"/>
      <c r="D279" s="364"/>
      <c r="E279" s="365" t="s">
        <v>1051</v>
      </c>
      <c r="F279" s="366" t="str">
        <f>CONCATENATE("$/",G217)</f>
        <v>$/m2</v>
      </c>
      <c r="G279" s="367" t="e">
        <f ca="1">PrecioUnitario(G278,GG_Porcentaje,Beneficio,Ingresos_Brutos,IVA)</f>
        <v>#NAME?</v>
      </c>
    </row>
    <row r="280" spans="1:8" ht="18.95" customHeight="1" thickTop="1" thickBot="1" x14ac:dyDescent="0.25">
      <c r="F280" s="293"/>
      <c r="G280" s="293"/>
    </row>
    <row r="281" spans="1:8" ht="18.95" customHeight="1" thickTop="1" x14ac:dyDescent="0.2">
      <c r="A281" s="193" t="s">
        <v>33</v>
      </c>
      <c r="B281" s="194"/>
      <c r="C281" s="194"/>
      <c r="D281" s="194"/>
      <c r="E281" s="194"/>
      <c r="F281" s="194"/>
      <c r="G281" s="195"/>
      <c r="H281" s="143">
        <f>COUNTIF($A$1:A287,"ANALISIS DE PRECIOS")</f>
        <v>5</v>
      </c>
    </row>
    <row r="282" spans="1:8" ht="18.95" customHeight="1" x14ac:dyDescent="0.2">
      <c r="A282" s="144" t="s">
        <v>720</v>
      </c>
      <c r="B282" s="145" t="str">
        <f>Comitente</f>
        <v>DIRECCIÓN PROVINCIAL DE VIALIDAD</v>
      </c>
      <c r="C282" s="139"/>
      <c r="D282" s="146"/>
      <c r="E282" s="324"/>
      <c r="F282" s="324"/>
      <c r="G282" s="325"/>
      <c r="H282" s="143"/>
    </row>
    <row r="283" spans="1:8" ht="18.95" customHeight="1" x14ac:dyDescent="0.2">
      <c r="A283" s="144" t="s">
        <v>721</v>
      </c>
      <c r="B283" s="145">
        <f>Contratista</f>
        <v>0</v>
      </c>
      <c r="C283" s="140"/>
      <c r="D283" s="140"/>
      <c r="E283" s="145"/>
      <c r="F283" s="145"/>
      <c r="G283" s="147"/>
      <c r="H283" s="143"/>
    </row>
    <row r="284" spans="1:8" ht="18.95" customHeight="1" x14ac:dyDescent="0.2">
      <c r="A284" s="144" t="s">
        <v>23</v>
      </c>
      <c r="B284" s="145" t="str">
        <f>Obra</f>
        <v>PAVIMENTACION RUTAS VARIAS</v>
      </c>
      <c r="C284" s="140"/>
      <c r="D284" s="140"/>
      <c r="E284" s="143"/>
      <c r="F284" s="145" t="s">
        <v>34</v>
      </c>
      <c r="G284" s="147">
        <f>Fecha_Base</f>
        <v>43411</v>
      </c>
      <c r="H284" s="143"/>
    </row>
    <row r="285" spans="1:8" ht="18.95" customHeight="1" x14ac:dyDescent="0.2">
      <c r="A285" s="148" t="s">
        <v>719</v>
      </c>
      <c r="B285" s="141" t="str">
        <f>Ubicación</f>
        <v>POCITO</v>
      </c>
      <c r="C285" s="141"/>
      <c r="D285" s="150"/>
      <c r="E285" s="143"/>
      <c r="F285" s="326"/>
      <c r="G285" s="327"/>
      <c r="H285" s="143"/>
    </row>
    <row r="286" spans="1:8" ht="18.95" customHeight="1" x14ac:dyDescent="0.2">
      <c r="A286" s="148" t="s">
        <v>35</v>
      </c>
      <c r="B286" s="151" t="str">
        <f>IFERROR(VALUE(LEFT(B287,FIND("-",B287)-1)),"")</f>
        <v/>
      </c>
      <c r="C286" s="142" t="str">
        <f>IFERROR(VLOOKUP(B286,Tabla_CyP,2,FALSE),"")</f>
        <v/>
      </c>
      <c r="D286" s="150"/>
      <c r="E286" s="143"/>
      <c r="F286" s="326"/>
      <c r="G286" s="327"/>
      <c r="H286" s="143"/>
    </row>
    <row r="287" spans="1:8" ht="18.95" customHeight="1" x14ac:dyDescent="0.2">
      <c r="A287" s="148" t="s">
        <v>24</v>
      </c>
      <c r="B287" s="152">
        <f>IFERROR(VLOOKUP(COUNTIF($A$1:A287,"ANALISIS DE PRECIOS"),Tabla_NumeroItem,4,FALSE),"")</f>
        <v>5</v>
      </c>
      <c r="C287" s="731" t="str">
        <f>IFERROR(VLOOKUP(B287,Tabla_CyP,2,FALSE),"")</f>
        <v>CONSTRUCCION DE BANQUINAS ENRIPIADAS</v>
      </c>
      <c r="D287" s="731"/>
      <c r="E287" s="731"/>
      <c r="F287" s="141" t="s">
        <v>25</v>
      </c>
      <c r="G287" s="153" t="str">
        <f>IFERROR(VLOOKUP(B287,Tabla_CyP,4,FALSE),"")</f>
        <v>m3</v>
      </c>
      <c r="H287" s="143"/>
    </row>
    <row r="288" spans="1:8" ht="18.95" customHeight="1" x14ac:dyDescent="0.2">
      <c r="A288" s="148"/>
      <c r="B288" s="141"/>
      <c r="C288" s="142"/>
      <c r="D288" s="150"/>
      <c r="E288" s="142"/>
      <c r="F288" s="142"/>
      <c r="G288" s="328"/>
      <c r="H288" s="143"/>
    </row>
    <row r="289" spans="1:8" ht="18.95" customHeight="1" x14ac:dyDescent="0.2">
      <c r="A289" s="329"/>
      <c r="B289" s="330"/>
      <c r="C289" s="331" t="s">
        <v>1032</v>
      </c>
      <c r="D289" s="330"/>
      <c r="E289" s="330"/>
      <c r="F289" s="330"/>
      <c r="G289" s="332"/>
      <c r="H289" s="143"/>
    </row>
    <row r="290" spans="1:8" ht="18.95" customHeight="1" x14ac:dyDescent="0.2">
      <c r="A290" s="148"/>
      <c r="B290" s="333"/>
      <c r="C290" s="334" t="s">
        <v>1033</v>
      </c>
      <c r="D290" s="335" t="s">
        <v>26</v>
      </c>
      <c r="E290" s="335" t="s">
        <v>1034</v>
      </c>
      <c r="F290" s="335" t="s">
        <v>1035</v>
      </c>
      <c r="G290" s="336" t="s">
        <v>1036</v>
      </c>
      <c r="H290" s="143"/>
    </row>
    <row r="291" spans="1:8" ht="18.95" customHeight="1" x14ac:dyDescent="0.2">
      <c r="A291" s="342"/>
      <c r="B291" s="343"/>
      <c r="C291" s="289"/>
      <c r="D291" s="292"/>
      <c r="E291" s="344"/>
      <c r="F291" s="345"/>
      <c r="G291" s="346">
        <f t="shared" ref="G291:G300" si="80">ROUND(D291*F291,2)</f>
        <v>0</v>
      </c>
    </row>
    <row r="292" spans="1:8" ht="18.95" customHeight="1" x14ac:dyDescent="0.2">
      <c r="A292" s="342"/>
      <c r="B292" s="343"/>
      <c r="C292" s="289"/>
      <c r="D292" s="292"/>
      <c r="E292" s="344"/>
      <c r="F292" s="345"/>
      <c r="G292" s="346">
        <f t="shared" si="80"/>
        <v>0</v>
      </c>
    </row>
    <row r="293" spans="1:8" ht="18.95" customHeight="1" x14ac:dyDescent="0.2">
      <c r="A293" s="342"/>
      <c r="B293" s="343"/>
      <c r="C293" s="289"/>
      <c r="D293" s="292"/>
      <c r="E293" s="344">
        <f t="shared" ref="E293:E300" si="81">IFERROR(VLOOKUP(C293,T_Equipos,4,FALSE),0)</f>
        <v>0</v>
      </c>
      <c r="F293" s="345">
        <f t="shared" ref="F293:F300" si="82">IFERROR(VLOOKUP(C293,T_Equipos,11,FALSE),0)</f>
        <v>0</v>
      </c>
      <c r="G293" s="346">
        <f t="shared" si="80"/>
        <v>0</v>
      </c>
    </row>
    <row r="294" spans="1:8" ht="18.95" customHeight="1" x14ac:dyDescent="0.2">
      <c r="A294" s="342"/>
      <c r="B294" s="343"/>
      <c r="C294" s="289"/>
      <c r="D294" s="292"/>
      <c r="E294" s="344">
        <f t="shared" si="81"/>
        <v>0</v>
      </c>
      <c r="F294" s="345">
        <f t="shared" si="82"/>
        <v>0</v>
      </c>
      <c r="G294" s="346">
        <f t="shared" si="80"/>
        <v>0</v>
      </c>
    </row>
    <row r="295" spans="1:8" ht="18.95" customHeight="1" x14ac:dyDescent="0.2">
      <c r="A295" s="342"/>
      <c r="B295" s="343"/>
      <c r="C295" s="289"/>
      <c r="D295" s="292"/>
      <c r="E295" s="344">
        <f t="shared" si="81"/>
        <v>0</v>
      </c>
      <c r="F295" s="345">
        <f t="shared" si="82"/>
        <v>0</v>
      </c>
      <c r="G295" s="346">
        <f t="shared" si="80"/>
        <v>0</v>
      </c>
    </row>
    <row r="296" spans="1:8" ht="18.95" customHeight="1" x14ac:dyDescent="0.2">
      <c r="A296" s="342"/>
      <c r="B296" s="343"/>
      <c r="C296" s="289"/>
      <c r="D296" s="292"/>
      <c r="E296" s="344">
        <f t="shared" si="81"/>
        <v>0</v>
      </c>
      <c r="F296" s="345">
        <f t="shared" si="82"/>
        <v>0</v>
      </c>
      <c r="G296" s="346">
        <f t="shared" si="80"/>
        <v>0</v>
      </c>
    </row>
    <row r="297" spans="1:8" ht="18.95" customHeight="1" x14ac:dyDescent="0.2">
      <c r="A297" s="342"/>
      <c r="B297" s="343"/>
      <c r="C297" s="289"/>
      <c r="D297" s="292"/>
      <c r="E297" s="344">
        <f t="shared" si="81"/>
        <v>0</v>
      </c>
      <c r="F297" s="345">
        <f t="shared" si="82"/>
        <v>0</v>
      </c>
      <c r="G297" s="346">
        <f t="shared" si="80"/>
        <v>0</v>
      </c>
    </row>
    <row r="298" spans="1:8" ht="18.95" customHeight="1" x14ac:dyDescent="0.2">
      <c r="A298" s="342"/>
      <c r="B298" s="343"/>
      <c r="C298" s="289"/>
      <c r="D298" s="292"/>
      <c r="E298" s="344">
        <f t="shared" si="81"/>
        <v>0</v>
      </c>
      <c r="F298" s="345">
        <f t="shared" si="82"/>
        <v>0</v>
      </c>
      <c r="G298" s="346">
        <f t="shared" si="80"/>
        <v>0</v>
      </c>
    </row>
    <row r="299" spans="1:8" ht="18.95" customHeight="1" x14ac:dyDescent="0.2">
      <c r="A299" s="342"/>
      <c r="B299" s="343"/>
      <c r="C299" s="289"/>
      <c r="D299" s="292"/>
      <c r="E299" s="344">
        <f t="shared" si="81"/>
        <v>0</v>
      </c>
      <c r="F299" s="345">
        <f t="shared" si="82"/>
        <v>0</v>
      </c>
      <c r="G299" s="346">
        <f t="shared" si="80"/>
        <v>0</v>
      </c>
    </row>
    <row r="300" spans="1:8" ht="18.95" customHeight="1" thickBot="1" x14ac:dyDescent="0.25">
      <c r="A300" s="342"/>
      <c r="B300" s="343"/>
      <c r="C300" s="289"/>
      <c r="D300" s="292"/>
      <c r="E300" s="344">
        <f t="shared" si="81"/>
        <v>0</v>
      </c>
      <c r="F300" s="345">
        <f t="shared" si="82"/>
        <v>0</v>
      </c>
      <c r="G300" s="346">
        <f t="shared" si="80"/>
        <v>0</v>
      </c>
    </row>
    <row r="301" spans="1:8" ht="18.95" customHeight="1" thickBot="1" x14ac:dyDescent="0.25">
      <c r="A301" s="148"/>
      <c r="B301" s="333"/>
      <c r="C301" s="143"/>
      <c r="D301" s="146" t="s">
        <v>1037</v>
      </c>
      <c r="E301" s="337">
        <f>SUMPRODUCT(D291:D300,E291:E300)</f>
        <v>0</v>
      </c>
      <c r="F301" s="141" t="s">
        <v>1038</v>
      </c>
      <c r="G301" s="338">
        <f>SUM(G291:G300)</f>
        <v>0</v>
      </c>
    </row>
    <row r="302" spans="1:8" ht="18.95" customHeight="1" x14ac:dyDescent="0.2">
      <c r="A302" s="148"/>
      <c r="B302" s="333"/>
      <c r="C302" s="141" t="s">
        <v>1039</v>
      </c>
      <c r="D302" s="319"/>
      <c r="E302" s="339" t="str">
        <f>CONCATENATE(G287,"/día")</f>
        <v>m3/día</v>
      </c>
      <c r="F302" s="141"/>
      <c r="G302" s="340"/>
    </row>
    <row r="303" spans="1:8" ht="18.95" customHeight="1" x14ac:dyDescent="0.2">
      <c r="A303" s="148"/>
      <c r="B303" s="333"/>
      <c r="C303" s="142"/>
      <c r="D303" s="150"/>
      <c r="E303" s="141"/>
      <c r="F303" s="141"/>
      <c r="G303" s="340"/>
    </row>
    <row r="304" spans="1:8" ht="18.95" customHeight="1" x14ac:dyDescent="0.2">
      <c r="A304" s="732" t="s">
        <v>582</v>
      </c>
      <c r="B304" s="733"/>
      <c r="C304" s="734" t="s">
        <v>0</v>
      </c>
      <c r="D304" s="738" t="s">
        <v>1053</v>
      </c>
      <c r="E304" s="738" t="s">
        <v>1706</v>
      </c>
      <c r="F304" s="738" t="s">
        <v>1054</v>
      </c>
      <c r="G304" s="738" t="s">
        <v>1055</v>
      </c>
    </row>
    <row r="305" spans="1:7" ht="18.95" customHeight="1" x14ac:dyDescent="0.2">
      <c r="A305" s="154" t="s">
        <v>583</v>
      </c>
      <c r="B305" s="155" t="s">
        <v>584</v>
      </c>
      <c r="C305" s="735"/>
      <c r="D305" s="739"/>
      <c r="E305" s="739"/>
      <c r="F305" s="743"/>
      <c r="G305" s="739"/>
    </row>
    <row r="306" spans="1:7" ht="18.95" customHeight="1" x14ac:dyDescent="0.2">
      <c r="A306" s="156"/>
      <c r="B306" s="142"/>
      <c r="C306" s="157" t="s">
        <v>1041</v>
      </c>
      <c r="D306" s="150"/>
      <c r="E306" s="142"/>
      <c r="F306" s="142"/>
      <c r="G306" s="341"/>
    </row>
    <row r="307" spans="1:7" ht="18.95" customHeight="1" x14ac:dyDescent="0.2">
      <c r="A307" s="347" t="str">
        <f t="shared" ref="A307:A314" si="83">IFERROR(VLOOKUP(C307,Tabla_Insumos,4,FALSE),"")</f>
        <v/>
      </c>
      <c r="B307" s="289" t="str">
        <f t="shared" ref="B307:B314" si="84">IFERROR(VLOOKUP(C307,Tabla_Insumos,5,FALSE),"")</f>
        <v/>
      </c>
      <c r="C307" s="289"/>
      <c r="D307" s="606">
        <f t="shared" ref="D307:D314" si="85">IFERROR(VLOOKUP(C307,Tabla_Insumos,3,FALSE),0)</f>
        <v>0</v>
      </c>
      <c r="E307" s="348">
        <f>D307*$G$21</f>
        <v>0</v>
      </c>
      <c r="F307" s="349">
        <f>IF(C307="",0,D302)</f>
        <v>0</v>
      </c>
      <c r="G307" s="346">
        <f>IFERROR(ROUND(E307/F307,2),0)</f>
        <v>0</v>
      </c>
    </row>
    <row r="308" spans="1:7" ht="18.95" customHeight="1" x14ac:dyDescent="0.2">
      <c r="A308" s="347" t="str">
        <f t="shared" si="83"/>
        <v/>
      </c>
      <c r="B308" s="289" t="str">
        <f t="shared" si="84"/>
        <v/>
      </c>
      <c r="C308" s="320"/>
      <c r="D308" s="606">
        <f t="shared" si="85"/>
        <v>0</v>
      </c>
      <c r="E308" s="348">
        <f t="shared" ref="E308:E309" si="86">D308*$G$21</f>
        <v>0</v>
      </c>
      <c r="F308" s="349">
        <f t="shared" ref="F308:F311" si="87">IF(C308="",0,F307)</f>
        <v>0</v>
      </c>
      <c r="G308" s="346">
        <f t="shared" ref="G308:G314" si="88">IFERROR(ROUND(E308/F308,2),0)</f>
        <v>0</v>
      </c>
    </row>
    <row r="309" spans="1:7" ht="18.95" customHeight="1" x14ac:dyDescent="0.2">
      <c r="A309" s="347" t="str">
        <f t="shared" si="83"/>
        <v/>
      </c>
      <c r="B309" s="289" t="str">
        <f t="shared" si="84"/>
        <v/>
      </c>
      <c r="C309" s="320"/>
      <c r="D309" s="606">
        <f t="shared" si="85"/>
        <v>0</v>
      </c>
      <c r="E309" s="348">
        <f t="shared" si="86"/>
        <v>0</v>
      </c>
      <c r="F309" s="349">
        <f t="shared" si="87"/>
        <v>0</v>
      </c>
      <c r="G309" s="346">
        <f t="shared" si="88"/>
        <v>0</v>
      </c>
    </row>
    <row r="310" spans="1:7" ht="18.95" customHeight="1" x14ac:dyDescent="0.2">
      <c r="A310" s="347" t="str">
        <f t="shared" si="83"/>
        <v/>
      </c>
      <c r="B310" s="289" t="str">
        <f t="shared" si="84"/>
        <v/>
      </c>
      <c r="C310" s="320"/>
      <c r="D310" s="606">
        <f t="shared" si="85"/>
        <v>0</v>
      </c>
      <c r="E310" s="348">
        <f>D310*$E$21</f>
        <v>0</v>
      </c>
      <c r="F310" s="349">
        <f t="shared" si="87"/>
        <v>0</v>
      </c>
      <c r="G310" s="346">
        <f t="shared" si="88"/>
        <v>0</v>
      </c>
    </row>
    <row r="311" spans="1:7" ht="18.95" customHeight="1" x14ac:dyDescent="0.2">
      <c r="A311" s="347" t="str">
        <f t="shared" si="83"/>
        <v/>
      </c>
      <c r="B311" s="289" t="str">
        <f t="shared" si="84"/>
        <v/>
      </c>
      <c r="C311" s="320"/>
      <c r="D311" s="606">
        <f t="shared" si="85"/>
        <v>0</v>
      </c>
      <c r="E311" s="348">
        <f>D311*$E$21</f>
        <v>0</v>
      </c>
      <c r="F311" s="349">
        <f t="shared" si="87"/>
        <v>0</v>
      </c>
      <c r="G311" s="346">
        <f t="shared" si="88"/>
        <v>0</v>
      </c>
    </row>
    <row r="312" spans="1:7" ht="18.95" customHeight="1" x14ac:dyDescent="0.2">
      <c r="A312" s="347" t="str">
        <f t="shared" si="83"/>
        <v/>
      </c>
      <c r="B312" s="289" t="str">
        <f t="shared" si="84"/>
        <v/>
      </c>
      <c r="C312" s="320"/>
      <c r="D312" s="606">
        <f t="shared" si="85"/>
        <v>0</v>
      </c>
      <c r="E312" s="348"/>
      <c r="F312" s="349">
        <f>IF(C312="",0,F311)</f>
        <v>0</v>
      </c>
      <c r="G312" s="346">
        <f t="shared" si="88"/>
        <v>0</v>
      </c>
    </row>
    <row r="313" spans="1:7" ht="18.95" customHeight="1" x14ac:dyDescent="0.2">
      <c r="A313" s="347" t="str">
        <f t="shared" si="83"/>
        <v/>
      </c>
      <c r="B313" s="289" t="str">
        <f t="shared" si="84"/>
        <v/>
      </c>
      <c r="C313" s="320"/>
      <c r="D313" s="606">
        <f t="shared" si="85"/>
        <v>0</v>
      </c>
      <c r="E313" s="348"/>
      <c r="F313" s="349">
        <f t="shared" ref="F313:F314" si="89">IF(C313="",0,F312)</f>
        <v>0</v>
      </c>
      <c r="G313" s="346">
        <f t="shared" si="88"/>
        <v>0</v>
      </c>
    </row>
    <row r="314" spans="1:7" ht="18.95" customHeight="1" x14ac:dyDescent="0.2">
      <c r="A314" s="347" t="str">
        <f t="shared" si="83"/>
        <v/>
      </c>
      <c r="B314" s="289" t="str">
        <f t="shared" si="84"/>
        <v/>
      </c>
      <c r="C314" s="320"/>
      <c r="D314" s="606">
        <f t="shared" si="85"/>
        <v>0</v>
      </c>
      <c r="E314" s="348"/>
      <c r="F314" s="349">
        <f t="shared" si="89"/>
        <v>0</v>
      </c>
      <c r="G314" s="346">
        <f t="shared" si="88"/>
        <v>0</v>
      </c>
    </row>
    <row r="315" spans="1:7" ht="18.95" customHeight="1" x14ac:dyDescent="0.2">
      <c r="A315" s="352"/>
      <c r="B315" s="149"/>
      <c r="C315" s="142"/>
      <c r="D315" s="150"/>
      <c r="E315" s="143"/>
      <c r="F315" s="353" t="s">
        <v>29</v>
      </c>
      <c r="G315" s="354">
        <f>SUBTOTAL(9,G307:G314)</f>
        <v>0</v>
      </c>
    </row>
    <row r="316" spans="1:7" ht="18.95" customHeight="1" x14ac:dyDescent="0.2">
      <c r="A316" s="156"/>
      <c r="B316" s="142"/>
      <c r="C316" s="157" t="s">
        <v>722</v>
      </c>
      <c r="D316" s="150"/>
      <c r="E316" s="326"/>
      <c r="F316" s="326"/>
      <c r="G316" s="341"/>
    </row>
    <row r="317" spans="1:7" ht="18.95" customHeight="1" x14ac:dyDescent="0.2">
      <c r="A317" s="732" t="s">
        <v>582</v>
      </c>
      <c r="B317" s="733"/>
      <c r="C317" s="734" t="s">
        <v>0</v>
      </c>
      <c r="D317" s="736" t="s">
        <v>26</v>
      </c>
      <c r="E317" s="738" t="s">
        <v>1707</v>
      </c>
      <c r="F317" s="740" t="s">
        <v>1040</v>
      </c>
      <c r="G317" s="741" t="s">
        <v>28</v>
      </c>
    </row>
    <row r="318" spans="1:7" ht="18.95" customHeight="1" x14ac:dyDescent="0.2">
      <c r="A318" s="154" t="s">
        <v>583</v>
      </c>
      <c r="B318" s="155" t="s">
        <v>584</v>
      </c>
      <c r="C318" s="735"/>
      <c r="D318" s="737"/>
      <c r="E318" s="739"/>
      <c r="F318" s="739"/>
      <c r="G318" s="742"/>
    </row>
    <row r="319" spans="1:7" ht="18.95" customHeight="1" x14ac:dyDescent="0.2">
      <c r="A319" s="347" t="str">
        <f t="shared" ref="A319:A324" si="90">IFERROR(VLOOKUP(C319,Tabla_Insumos,4,FALSE),"")</f>
        <v/>
      </c>
      <c r="B319" s="289" t="str">
        <f t="shared" ref="B319:B324" si="91">IFERROR(VLOOKUP(C319,Tabla_Insumos,5,FALSE),"")</f>
        <v/>
      </c>
      <c r="C319" s="290"/>
      <c r="D319" s="292"/>
      <c r="E319" s="345">
        <f t="shared" ref="E319:E324" si="92">IFERROR(VLOOKUP(C319,Tabla_Insumos,3,FALSE),0)</f>
        <v>0</v>
      </c>
      <c r="F319" s="348">
        <f>IF(C319="",0,D302)</f>
        <v>0</v>
      </c>
      <c r="G319" s="346">
        <f t="shared" ref="G319:G324" si="93">IFERROR(ROUND(D319*E319/F319,2),0)</f>
        <v>0</v>
      </c>
    </row>
    <row r="320" spans="1:7" ht="18.95" customHeight="1" x14ac:dyDescent="0.2">
      <c r="A320" s="347" t="str">
        <f t="shared" si="90"/>
        <v/>
      </c>
      <c r="B320" s="289" t="str">
        <f t="shared" si="91"/>
        <v/>
      </c>
      <c r="C320" s="289"/>
      <c r="D320" s="292"/>
      <c r="E320" s="345">
        <f t="shared" si="92"/>
        <v>0</v>
      </c>
      <c r="F320" s="348">
        <f>IF(C320="",0,F319)</f>
        <v>0</v>
      </c>
      <c r="G320" s="346">
        <f t="shared" si="93"/>
        <v>0</v>
      </c>
    </row>
    <row r="321" spans="1:7" ht="18.95" customHeight="1" x14ac:dyDescent="0.2">
      <c r="A321" s="347" t="str">
        <f t="shared" si="90"/>
        <v/>
      </c>
      <c r="B321" s="289" t="str">
        <f t="shared" si="91"/>
        <v/>
      </c>
      <c r="C321" s="289"/>
      <c r="D321" s="292"/>
      <c r="E321" s="345">
        <f t="shared" si="92"/>
        <v>0</v>
      </c>
      <c r="F321" s="348">
        <f>IF(C321="",0,F320)</f>
        <v>0</v>
      </c>
      <c r="G321" s="346">
        <f t="shared" si="93"/>
        <v>0</v>
      </c>
    </row>
    <row r="322" spans="1:7" ht="18.95" customHeight="1" x14ac:dyDescent="0.2">
      <c r="A322" s="347" t="str">
        <f t="shared" si="90"/>
        <v/>
      </c>
      <c r="B322" s="289" t="str">
        <f t="shared" si="91"/>
        <v/>
      </c>
      <c r="C322" s="289"/>
      <c r="D322" s="292"/>
      <c r="E322" s="345">
        <f t="shared" si="92"/>
        <v>0</v>
      </c>
      <c r="F322" s="348">
        <f>IF(C322="",0,F321)</f>
        <v>0</v>
      </c>
      <c r="G322" s="346">
        <f t="shared" si="93"/>
        <v>0</v>
      </c>
    </row>
    <row r="323" spans="1:7" ht="18.95" customHeight="1" x14ac:dyDescent="0.2">
      <c r="A323" s="347" t="str">
        <f t="shared" si="90"/>
        <v/>
      </c>
      <c r="B323" s="289" t="str">
        <f t="shared" si="91"/>
        <v/>
      </c>
      <c r="C323" s="289"/>
      <c r="D323" s="350"/>
      <c r="E323" s="345">
        <f t="shared" si="92"/>
        <v>0</v>
      </c>
      <c r="F323" s="348">
        <f>IF(C323="",0,F322)</f>
        <v>0</v>
      </c>
      <c r="G323" s="346">
        <f t="shared" si="93"/>
        <v>0</v>
      </c>
    </row>
    <row r="324" spans="1:7" ht="18.95" customHeight="1" x14ac:dyDescent="0.2">
      <c r="A324" s="347" t="str">
        <f t="shared" si="90"/>
        <v/>
      </c>
      <c r="B324" s="289" t="str">
        <f t="shared" si="91"/>
        <v/>
      </c>
      <c r="C324" s="289"/>
      <c r="D324" s="292"/>
      <c r="E324" s="345">
        <f t="shared" si="92"/>
        <v>0</v>
      </c>
      <c r="F324" s="348">
        <f>IF(C324="",0,F323)</f>
        <v>0</v>
      </c>
      <c r="G324" s="346">
        <f t="shared" si="93"/>
        <v>0</v>
      </c>
    </row>
    <row r="325" spans="1:7" ht="18.95" customHeight="1" x14ac:dyDescent="0.2">
      <c r="A325" s="352"/>
      <c r="B325" s="149"/>
      <c r="C325" s="142"/>
      <c r="D325" s="150"/>
      <c r="E325" s="143"/>
      <c r="F325" s="355" t="s">
        <v>30</v>
      </c>
      <c r="G325" s="354">
        <f>SUBTOTAL(9,G319:G324)</f>
        <v>0</v>
      </c>
    </row>
    <row r="326" spans="1:7" ht="18.95" customHeight="1" x14ac:dyDescent="0.2">
      <c r="A326" s="156"/>
      <c r="B326" s="142"/>
      <c r="C326" s="157" t="s">
        <v>1047</v>
      </c>
      <c r="D326" s="150"/>
      <c r="E326" s="326"/>
      <c r="F326" s="326"/>
      <c r="G326" s="341"/>
    </row>
    <row r="327" spans="1:7" ht="18.95" customHeight="1" x14ac:dyDescent="0.2">
      <c r="A327" s="732" t="s">
        <v>582</v>
      </c>
      <c r="B327" s="733"/>
      <c r="C327" s="734" t="s">
        <v>0</v>
      </c>
      <c r="D327" s="734" t="s">
        <v>1655</v>
      </c>
      <c r="E327" s="734" t="s">
        <v>26</v>
      </c>
      <c r="F327" s="734" t="s">
        <v>27</v>
      </c>
      <c r="G327" s="741" t="s">
        <v>28</v>
      </c>
    </row>
    <row r="328" spans="1:7" ht="18.95" customHeight="1" x14ac:dyDescent="0.2">
      <c r="A328" s="154" t="s">
        <v>583</v>
      </c>
      <c r="B328" s="155" t="s">
        <v>584</v>
      </c>
      <c r="C328" s="735"/>
      <c r="D328" s="735"/>
      <c r="E328" s="735"/>
      <c r="F328" s="735"/>
      <c r="G328" s="742"/>
    </row>
    <row r="329" spans="1:7" ht="18.95" customHeight="1" x14ac:dyDescent="0.2">
      <c r="A329" s="347" t="str">
        <f t="shared" ref="A329:A340" si="94">IFERROR(VLOOKUP(C329,Tabla_Insumos,4,FALSE),"")</f>
        <v/>
      </c>
      <c r="B329" s="289" t="str">
        <f t="shared" ref="B329:B340" si="95">IFERROR(VLOOKUP(C329,Tabla_Insumos,5,FALSE),"")</f>
        <v/>
      </c>
      <c r="C329" s="289"/>
      <c r="D329" s="607">
        <f t="shared" ref="D329:D340" si="96">IFERROR(VLOOKUP(C329,Tabla_Insumos,2,FALSE),0)</f>
        <v>0</v>
      </c>
      <c r="E329" s="292"/>
      <c r="F329" s="345">
        <f t="shared" ref="F329:F340" si="97">IFERROR(VLOOKUP(C329,Tabla_Insumos,3,FALSE),0)</f>
        <v>0</v>
      </c>
      <c r="G329" s="346">
        <f t="shared" ref="G329:G340" si="98">ROUND(E329*F329,2)</f>
        <v>0</v>
      </c>
    </row>
    <row r="330" spans="1:7" ht="18.95" customHeight="1" x14ac:dyDescent="0.2">
      <c r="A330" s="347" t="str">
        <f t="shared" si="94"/>
        <v/>
      </c>
      <c r="B330" s="289" t="str">
        <f t="shared" si="95"/>
        <v/>
      </c>
      <c r="C330" s="126"/>
      <c r="D330" s="607">
        <f t="shared" si="96"/>
        <v>0</v>
      </c>
      <c r="E330" s="292"/>
      <c r="F330" s="345">
        <f t="shared" si="97"/>
        <v>0</v>
      </c>
      <c r="G330" s="346">
        <f t="shared" si="98"/>
        <v>0</v>
      </c>
    </row>
    <row r="331" spans="1:7" ht="18.95" customHeight="1" x14ac:dyDescent="0.2">
      <c r="A331" s="347" t="str">
        <f t="shared" si="94"/>
        <v/>
      </c>
      <c r="B331" s="289" t="str">
        <f t="shared" si="95"/>
        <v/>
      </c>
      <c r="C331" s="289"/>
      <c r="D331" s="607">
        <f t="shared" si="96"/>
        <v>0</v>
      </c>
      <c r="E331" s="292"/>
      <c r="F331" s="345">
        <f t="shared" si="97"/>
        <v>0</v>
      </c>
      <c r="G331" s="346">
        <f t="shared" si="98"/>
        <v>0</v>
      </c>
    </row>
    <row r="332" spans="1:7" ht="18.95" customHeight="1" x14ac:dyDescent="0.2">
      <c r="A332" s="347" t="str">
        <f t="shared" si="94"/>
        <v/>
      </c>
      <c r="B332" s="289" t="str">
        <f t="shared" si="95"/>
        <v/>
      </c>
      <c r="C332" s="289"/>
      <c r="D332" s="607">
        <f t="shared" si="96"/>
        <v>0</v>
      </c>
      <c r="E332" s="292"/>
      <c r="F332" s="345">
        <f t="shared" si="97"/>
        <v>0</v>
      </c>
      <c r="G332" s="346">
        <f t="shared" si="98"/>
        <v>0</v>
      </c>
    </row>
    <row r="333" spans="1:7" ht="18.95" customHeight="1" x14ac:dyDescent="0.2">
      <c r="A333" s="347" t="str">
        <f t="shared" si="94"/>
        <v/>
      </c>
      <c r="B333" s="289" t="str">
        <f t="shared" si="95"/>
        <v/>
      </c>
      <c r="C333" s="289"/>
      <c r="D333" s="607">
        <f t="shared" si="96"/>
        <v>0</v>
      </c>
      <c r="E333" s="292"/>
      <c r="F333" s="345">
        <f t="shared" si="97"/>
        <v>0</v>
      </c>
      <c r="G333" s="346">
        <f t="shared" si="98"/>
        <v>0</v>
      </c>
    </row>
    <row r="334" spans="1:7" ht="18.95" customHeight="1" x14ac:dyDescent="0.2">
      <c r="A334" s="347" t="str">
        <f t="shared" si="94"/>
        <v/>
      </c>
      <c r="B334" s="289" t="str">
        <f t="shared" si="95"/>
        <v/>
      </c>
      <c r="C334" s="289"/>
      <c r="D334" s="607">
        <f t="shared" si="96"/>
        <v>0</v>
      </c>
      <c r="E334" s="292"/>
      <c r="F334" s="345">
        <f t="shared" si="97"/>
        <v>0</v>
      </c>
      <c r="G334" s="346">
        <f t="shared" si="98"/>
        <v>0</v>
      </c>
    </row>
    <row r="335" spans="1:7" ht="18.95" customHeight="1" x14ac:dyDescent="0.2">
      <c r="A335" s="347" t="str">
        <f t="shared" si="94"/>
        <v/>
      </c>
      <c r="B335" s="289" t="str">
        <f t="shared" si="95"/>
        <v/>
      </c>
      <c r="C335" s="289"/>
      <c r="D335" s="607">
        <f t="shared" si="96"/>
        <v>0</v>
      </c>
      <c r="E335" s="292"/>
      <c r="F335" s="345">
        <f t="shared" si="97"/>
        <v>0</v>
      </c>
      <c r="G335" s="346">
        <f t="shared" si="98"/>
        <v>0</v>
      </c>
    </row>
    <row r="336" spans="1:7" s="294" customFormat="1" ht="18.95" customHeight="1" x14ac:dyDescent="0.2">
      <c r="A336" s="347" t="str">
        <f t="shared" si="94"/>
        <v/>
      </c>
      <c r="B336" s="289" t="str">
        <f t="shared" si="95"/>
        <v/>
      </c>
      <c r="C336" s="289"/>
      <c r="D336" s="607">
        <f t="shared" si="96"/>
        <v>0</v>
      </c>
      <c r="E336" s="322"/>
      <c r="F336" s="345">
        <f t="shared" si="97"/>
        <v>0</v>
      </c>
      <c r="G336" s="346">
        <f t="shared" si="98"/>
        <v>0</v>
      </c>
    </row>
    <row r="337" spans="1:8" ht="18.95" customHeight="1" x14ac:dyDescent="0.2">
      <c r="A337" s="347" t="str">
        <f t="shared" si="94"/>
        <v/>
      </c>
      <c r="B337" s="289" t="str">
        <f t="shared" si="95"/>
        <v/>
      </c>
      <c r="C337" s="289"/>
      <c r="D337" s="607">
        <f t="shared" si="96"/>
        <v>0</v>
      </c>
      <c r="E337" s="292"/>
      <c r="F337" s="345">
        <f t="shared" si="97"/>
        <v>0</v>
      </c>
      <c r="G337" s="346">
        <f t="shared" si="98"/>
        <v>0</v>
      </c>
    </row>
    <row r="338" spans="1:8" ht="18.95" customHeight="1" x14ac:dyDescent="0.2">
      <c r="A338" s="347" t="str">
        <f t="shared" si="94"/>
        <v/>
      </c>
      <c r="B338" s="289" t="str">
        <f t="shared" si="95"/>
        <v/>
      </c>
      <c r="C338" s="289"/>
      <c r="D338" s="607">
        <f t="shared" si="96"/>
        <v>0</v>
      </c>
      <c r="E338" s="292"/>
      <c r="F338" s="345">
        <f t="shared" si="97"/>
        <v>0</v>
      </c>
      <c r="G338" s="346">
        <f t="shared" si="98"/>
        <v>0</v>
      </c>
    </row>
    <row r="339" spans="1:8" ht="18.95" customHeight="1" x14ac:dyDescent="0.2">
      <c r="A339" s="347" t="str">
        <f t="shared" si="94"/>
        <v/>
      </c>
      <c r="B339" s="289" t="str">
        <f t="shared" si="95"/>
        <v/>
      </c>
      <c r="C339" s="289"/>
      <c r="D339" s="607">
        <f t="shared" si="96"/>
        <v>0</v>
      </c>
      <c r="E339" s="292"/>
      <c r="F339" s="345">
        <f t="shared" si="97"/>
        <v>0</v>
      </c>
      <c r="G339" s="346">
        <f t="shared" si="98"/>
        <v>0</v>
      </c>
    </row>
    <row r="340" spans="1:8" ht="18.95" customHeight="1" x14ac:dyDescent="0.2">
      <c r="A340" s="347" t="str">
        <f t="shared" si="94"/>
        <v/>
      </c>
      <c r="B340" s="289" t="str">
        <f t="shared" si="95"/>
        <v/>
      </c>
      <c r="C340" s="289"/>
      <c r="D340" s="607">
        <f t="shared" si="96"/>
        <v>0</v>
      </c>
      <c r="E340" s="292"/>
      <c r="F340" s="345">
        <f t="shared" si="97"/>
        <v>0</v>
      </c>
      <c r="G340" s="346">
        <f t="shared" si="98"/>
        <v>0</v>
      </c>
    </row>
    <row r="341" spans="1:8" ht="18.95" customHeight="1" x14ac:dyDescent="0.2">
      <c r="A341" s="156"/>
      <c r="B341" s="142"/>
      <c r="C341" s="142"/>
      <c r="D341" s="150"/>
      <c r="E341" s="143"/>
      <c r="F341" s="355" t="s">
        <v>31</v>
      </c>
      <c r="G341" s="354">
        <f>SUBTOTAL(9,G329:G340)</f>
        <v>0</v>
      </c>
    </row>
    <row r="342" spans="1:8" ht="18.95" customHeight="1" x14ac:dyDescent="0.2">
      <c r="A342" s="156"/>
      <c r="B342" s="142"/>
      <c r="C342" s="157" t="s">
        <v>1048</v>
      </c>
      <c r="D342" s="150"/>
      <c r="E342" s="326"/>
      <c r="F342" s="326"/>
      <c r="G342" s="341"/>
    </row>
    <row r="343" spans="1:8" ht="18.95" customHeight="1" x14ac:dyDescent="0.2">
      <c r="A343" s="732" t="s">
        <v>582</v>
      </c>
      <c r="B343" s="733"/>
      <c r="C343" s="734" t="s">
        <v>0</v>
      </c>
      <c r="D343" s="736" t="s">
        <v>1750</v>
      </c>
      <c r="E343" s="740" t="s">
        <v>26</v>
      </c>
      <c r="F343" s="740" t="s">
        <v>27</v>
      </c>
      <c r="G343" s="741" t="s">
        <v>28</v>
      </c>
    </row>
    <row r="344" spans="1:8" ht="18.95" customHeight="1" x14ac:dyDescent="0.2">
      <c r="A344" s="154" t="s">
        <v>583</v>
      </c>
      <c r="B344" s="155" t="s">
        <v>584</v>
      </c>
      <c r="C344" s="735"/>
      <c r="D344" s="737"/>
      <c r="E344" s="739"/>
      <c r="F344" s="739"/>
      <c r="G344" s="742"/>
    </row>
    <row r="345" spans="1:8" ht="18.95" customHeight="1" x14ac:dyDescent="0.2">
      <c r="A345" s="347" t="str">
        <f>IFERROR(VLOOKUP(C345,Tabla_Insumos,4,FALSE),"")</f>
        <v/>
      </c>
      <c r="B345" s="289" t="s">
        <v>4</v>
      </c>
      <c r="C345" s="289"/>
      <c r="D345" s="292"/>
      <c r="E345" s="321"/>
      <c r="F345" s="323"/>
      <c r="G345" s="346">
        <f t="shared" ref="G345" si="99">ROUND(E345*F345,2)</f>
        <v>0</v>
      </c>
    </row>
    <row r="346" spans="1:8" ht="18.95" customHeight="1" x14ac:dyDescent="0.2">
      <c r="A346" s="156"/>
      <c r="B346" s="142"/>
      <c r="C346" s="142"/>
      <c r="D346" s="150"/>
      <c r="E346" s="143"/>
      <c r="F346" s="355" t="s">
        <v>1049</v>
      </c>
      <c r="G346" s="354">
        <f>SUBTOTAL(9,G345:G345)</f>
        <v>0</v>
      </c>
    </row>
    <row r="347" spans="1:8" ht="18.95" customHeight="1" thickBot="1" x14ac:dyDescent="0.25">
      <c r="A347" s="158"/>
      <c r="B347" s="159"/>
      <c r="C347" s="160"/>
      <c r="D347" s="161"/>
      <c r="E347" s="356"/>
      <c r="F347" s="356"/>
      <c r="G347" s="357"/>
    </row>
    <row r="348" spans="1:8" ht="18.95" customHeight="1" x14ac:dyDescent="0.2">
      <c r="A348" s="358">
        <f>B287</f>
        <v>5</v>
      </c>
      <c r="B348" s="359" t="str">
        <f>C287</f>
        <v>CONSTRUCCION DE BANQUINAS ENRIPIADAS</v>
      </c>
      <c r="C348" s="360"/>
      <c r="D348" s="360"/>
      <c r="E348" s="360" t="s">
        <v>1050</v>
      </c>
      <c r="F348" s="361" t="str">
        <f>CONCATENATE("$/",G287)</f>
        <v>$/m3</v>
      </c>
      <c r="G348" s="362">
        <f>SUBTOTAL(9,G307:G347)</f>
        <v>0</v>
      </c>
    </row>
    <row r="349" spans="1:8" ht="18.95" customHeight="1" thickBot="1" x14ac:dyDescent="0.25">
      <c r="A349" s="363"/>
      <c r="B349" s="364"/>
      <c r="C349" s="364"/>
      <c r="D349" s="364"/>
      <c r="E349" s="365" t="s">
        <v>1051</v>
      </c>
      <c r="F349" s="366" t="str">
        <f>CONCATENATE("$/",G287)</f>
        <v>$/m3</v>
      </c>
      <c r="G349" s="367" t="e">
        <f ca="1">PrecioUnitario(G348,GG_Porcentaje,Beneficio,Ingresos_Brutos,IVA)</f>
        <v>#NAME?</v>
      </c>
    </row>
    <row r="350" spans="1:8" ht="18.95" customHeight="1" thickTop="1" thickBot="1" x14ac:dyDescent="0.25">
      <c r="F350" s="293"/>
      <c r="G350" s="293"/>
    </row>
    <row r="351" spans="1:8" ht="18.95" customHeight="1" thickTop="1" x14ac:dyDescent="0.2">
      <c r="A351" s="193" t="s">
        <v>33</v>
      </c>
      <c r="B351" s="194"/>
      <c r="C351" s="194"/>
      <c r="D351" s="194"/>
      <c r="E351" s="194"/>
      <c r="F351" s="194"/>
      <c r="G351" s="195"/>
      <c r="H351" s="143">
        <f>COUNTIF($A$1:A357,"ANALISIS DE PRECIOS")</f>
        <v>6</v>
      </c>
    </row>
    <row r="352" spans="1:8" ht="18.95" customHeight="1" x14ac:dyDescent="0.2">
      <c r="A352" s="144" t="s">
        <v>720</v>
      </c>
      <c r="B352" s="145" t="str">
        <f>Comitente</f>
        <v>DIRECCIÓN PROVINCIAL DE VIALIDAD</v>
      </c>
      <c r="C352" s="139"/>
      <c r="D352" s="146"/>
      <c r="E352" s="324"/>
      <c r="F352" s="324"/>
      <c r="G352" s="325"/>
      <c r="H352" s="143"/>
    </row>
    <row r="353" spans="1:8" ht="18.95" customHeight="1" x14ac:dyDescent="0.2">
      <c r="A353" s="144" t="s">
        <v>721</v>
      </c>
      <c r="B353" s="145">
        <f>Contratista</f>
        <v>0</v>
      </c>
      <c r="C353" s="140"/>
      <c r="D353" s="140"/>
      <c r="E353" s="145"/>
      <c r="F353" s="145"/>
      <c r="G353" s="147"/>
      <c r="H353" s="143"/>
    </row>
    <row r="354" spans="1:8" ht="18.95" customHeight="1" x14ac:dyDescent="0.2">
      <c r="A354" s="144" t="s">
        <v>23</v>
      </c>
      <c r="B354" s="145" t="str">
        <f>Obra</f>
        <v>PAVIMENTACION RUTAS VARIAS</v>
      </c>
      <c r="C354" s="140"/>
      <c r="D354" s="140"/>
      <c r="E354" s="143"/>
      <c r="F354" s="145" t="s">
        <v>34</v>
      </c>
      <c r="G354" s="147">
        <f>Fecha_Base</f>
        <v>43411</v>
      </c>
      <c r="H354" s="143"/>
    </row>
    <row r="355" spans="1:8" ht="18.95" customHeight="1" x14ac:dyDescent="0.2">
      <c r="A355" s="148" t="s">
        <v>719</v>
      </c>
      <c r="B355" s="141" t="str">
        <f>Ubicación</f>
        <v>POCITO</v>
      </c>
      <c r="C355" s="141"/>
      <c r="D355" s="150"/>
      <c r="E355" s="143"/>
      <c r="F355" s="326"/>
      <c r="G355" s="327"/>
      <c r="H355" s="143"/>
    </row>
    <row r="356" spans="1:8" ht="18.95" customHeight="1" x14ac:dyDescent="0.2">
      <c r="A356" s="148" t="s">
        <v>35</v>
      </c>
      <c r="B356" s="151" t="str">
        <f>IFERROR(VALUE(LEFT(B357,FIND("-",B357)-1)),"")</f>
        <v/>
      </c>
      <c r="C356" s="142" t="str">
        <f>IFERROR(VLOOKUP(B356,Tabla_CyP,2,FALSE),"")</f>
        <v/>
      </c>
      <c r="D356" s="150"/>
      <c r="E356" s="143"/>
      <c r="F356" s="326"/>
      <c r="G356" s="327"/>
      <c r="H356" s="143"/>
    </row>
    <row r="357" spans="1:8" ht="18.95" customHeight="1" x14ac:dyDescent="0.2">
      <c r="A357" s="148" t="s">
        <v>24</v>
      </c>
      <c r="B357" s="152">
        <f>IFERROR(VLOOKUP(COUNTIF($A$1:A357,"ANALISIS DE PRECIOS"),Tabla_NumeroItem,4,FALSE),"")</f>
        <v>6</v>
      </c>
      <c r="C357" s="731" t="str">
        <f>IFERROR(VLOOKUP(B357,Tabla_CyP,2,FALSE),"")</f>
        <v>SEÑALAMIENTO VERTICAL</v>
      </c>
      <c r="D357" s="731"/>
      <c r="E357" s="731"/>
      <c r="F357" s="141" t="s">
        <v>25</v>
      </c>
      <c r="G357" s="153" t="str">
        <f>IFERROR(VLOOKUP(B357,Tabla_CyP,4,FALSE),"")</f>
        <v>m2</v>
      </c>
      <c r="H357" s="143"/>
    </row>
    <row r="358" spans="1:8" ht="18.95" customHeight="1" x14ac:dyDescent="0.2">
      <c r="A358" s="148"/>
      <c r="B358" s="141"/>
      <c r="C358" s="142"/>
      <c r="D358" s="150"/>
      <c r="E358" s="142"/>
      <c r="F358" s="142"/>
      <c r="G358" s="328"/>
      <c r="H358" s="143"/>
    </row>
    <row r="359" spans="1:8" ht="18.95" customHeight="1" x14ac:dyDescent="0.2">
      <c r="A359" s="329"/>
      <c r="B359" s="330"/>
      <c r="C359" s="331" t="s">
        <v>1032</v>
      </c>
      <c r="D359" s="330"/>
      <c r="E359" s="330"/>
      <c r="F359" s="330"/>
      <c r="G359" s="332"/>
      <c r="H359" s="143"/>
    </row>
    <row r="360" spans="1:8" ht="18.95" customHeight="1" x14ac:dyDescent="0.2">
      <c r="A360" s="148"/>
      <c r="B360" s="333"/>
      <c r="C360" s="334" t="s">
        <v>1033</v>
      </c>
      <c r="D360" s="335" t="s">
        <v>26</v>
      </c>
      <c r="E360" s="335" t="s">
        <v>1034</v>
      </c>
      <c r="F360" s="335" t="s">
        <v>1035</v>
      </c>
      <c r="G360" s="336" t="s">
        <v>1036</v>
      </c>
      <c r="H360" s="143"/>
    </row>
    <row r="361" spans="1:8" ht="18.95" customHeight="1" x14ac:dyDescent="0.2">
      <c r="A361" s="342"/>
      <c r="B361" s="343"/>
      <c r="C361" s="289"/>
      <c r="D361" s="292"/>
      <c r="E361" s="344"/>
      <c r="F361" s="345"/>
      <c r="G361" s="346">
        <f t="shared" ref="G361:G370" si="100">ROUND(D361*F361,2)</f>
        <v>0</v>
      </c>
    </row>
    <row r="362" spans="1:8" ht="18.95" customHeight="1" x14ac:dyDescent="0.2">
      <c r="A362" s="342"/>
      <c r="B362" s="343"/>
      <c r="C362" s="289"/>
      <c r="D362" s="292"/>
      <c r="E362" s="344"/>
      <c r="F362" s="345"/>
      <c r="G362" s="346">
        <f t="shared" si="100"/>
        <v>0</v>
      </c>
    </row>
    <row r="363" spans="1:8" ht="18.95" customHeight="1" x14ac:dyDescent="0.2">
      <c r="A363" s="342"/>
      <c r="B363" s="343"/>
      <c r="C363" s="289"/>
      <c r="D363" s="292"/>
      <c r="E363" s="344">
        <f t="shared" ref="E363:E370" si="101">IFERROR(VLOOKUP(C363,T_Equipos,4,FALSE),0)</f>
        <v>0</v>
      </c>
      <c r="F363" s="345">
        <f t="shared" ref="F363:F370" si="102">IFERROR(VLOOKUP(C363,T_Equipos,11,FALSE),0)</f>
        <v>0</v>
      </c>
      <c r="G363" s="346">
        <f t="shared" si="100"/>
        <v>0</v>
      </c>
    </row>
    <row r="364" spans="1:8" ht="18.95" customHeight="1" x14ac:dyDescent="0.2">
      <c r="A364" s="342"/>
      <c r="B364" s="343"/>
      <c r="C364" s="289"/>
      <c r="D364" s="292"/>
      <c r="E364" s="344">
        <f t="shared" si="101"/>
        <v>0</v>
      </c>
      <c r="F364" s="345">
        <f t="shared" si="102"/>
        <v>0</v>
      </c>
      <c r="G364" s="346">
        <f t="shared" si="100"/>
        <v>0</v>
      </c>
    </row>
    <row r="365" spans="1:8" ht="18.95" customHeight="1" x14ac:dyDescent="0.2">
      <c r="A365" s="342"/>
      <c r="B365" s="343"/>
      <c r="C365" s="289"/>
      <c r="D365" s="292"/>
      <c r="E365" s="344">
        <f t="shared" si="101"/>
        <v>0</v>
      </c>
      <c r="F365" s="345">
        <f t="shared" si="102"/>
        <v>0</v>
      </c>
      <c r="G365" s="346">
        <f t="shared" si="100"/>
        <v>0</v>
      </c>
    </row>
    <row r="366" spans="1:8" ht="18.95" customHeight="1" x14ac:dyDescent="0.2">
      <c r="A366" s="342"/>
      <c r="B366" s="343"/>
      <c r="C366" s="289"/>
      <c r="D366" s="292"/>
      <c r="E366" s="344">
        <f t="shared" si="101"/>
        <v>0</v>
      </c>
      <c r="F366" s="345">
        <f t="shared" si="102"/>
        <v>0</v>
      </c>
      <c r="G366" s="346">
        <f t="shared" si="100"/>
        <v>0</v>
      </c>
    </row>
    <row r="367" spans="1:8" ht="18.95" customHeight="1" x14ac:dyDescent="0.2">
      <c r="A367" s="342"/>
      <c r="B367" s="343"/>
      <c r="C367" s="289"/>
      <c r="D367" s="292"/>
      <c r="E367" s="344">
        <f t="shared" si="101"/>
        <v>0</v>
      </c>
      <c r="F367" s="345">
        <f t="shared" si="102"/>
        <v>0</v>
      </c>
      <c r="G367" s="346">
        <f t="shared" si="100"/>
        <v>0</v>
      </c>
    </row>
    <row r="368" spans="1:8" ht="18.95" customHeight="1" x14ac:dyDescent="0.2">
      <c r="A368" s="342"/>
      <c r="B368" s="343"/>
      <c r="C368" s="289"/>
      <c r="D368" s="292"/>
      <c r="E368" s="344">
        <f t="shared" si="101"/>
        <v>0</v>
      </c>
      <c r="F368" s="345">
        <f t="shared" si="102"/>
        <v>0</v>
      </c>
      <c r="G368" s="346">
        <f t="shared" si="100"/>
        <v>0</v>
      </c>
    </row>
    <row r="369" spans="1:7" ht="18.95" customHeight="1" x14ac:dyDescent="0.2">
      <c r="A369" s="342"/>
      <c r="B369" s="343"/>
      <c r="C369" s="289"/>
      <c r="D369" s="292"/>
      <c r="E369" s="344">
        <f t="shared" si="101"/>
        <v>0</v>
      </c>
      <c r="F369" s="345">
        <f t="shared" si="102"/>
        <v>0</v>
      </c>
      <c r="G369" s="346">
        <f t="shared" si="100"/>
        <v>0</v>
      </c>
    </row>
    <row r="370" spans="1:7" ht="18.95" customHeight="1" thickBot="1" x14ac:dyDescent="0.25">
      <c r="A370" s="342"/>
      <c r="B370" s="343"/>
      <c r="C370" s="289"/>
      <c r="D370" s="292"/>
      <c r="E370" s="344">
        <f t="shared" si="101"/>
        <v>0</v>
      </c>
      <c r="F370" s="345">
        <f t="shared" si="102"/>
        <v>0</v>
      </c>
      <c r="G370" s="346">
        <f t="shared" si="100"/>
        <v>0</v>
      </c>
    </row>
    <row r="371" spans="1:7" ht="18.95" customHeight="1" thickBot="1" x14ac:dyDescent="0.25">
      <c r="A371" s="148"/>
      <c r="B371" s="333"/>
      <c r="C371" s="143"/>
      <c r="D371" s="146" t="s">
        <v>1037</v>
      </c>
      <c r="E371" s="337">
        <f>SUMPRODUCT(D361:D370,E361:E370)</f>
        <v>0</v>
      </c>
      <c r="F371" s="141" t="s">
        <v>1038</v>
      </c>
      <c r="G371" s="338">
        <f>SUM(G361:G370)</f>
        <v>0</v>
      </c>
    </row>
    <row r="372" spans="1:7" ht="18.95" customHeight="1" x14ac:dyDescent="0.2">
      <c r="A372" s="148"/>
      <c r="B372" s="333"/>
      <c r="C372" s="141" t="s">
        <v>1039</v>
      </c>
      <c r="D372" s="319"/>
      <c r="E372" s="339" t="str">
        <f>CONCATENATE(G357,"/día")</f>
        <v>m2/día</v>
      </c>
      <c r="F372" s="141"/>
      <c r="G372" s="340"/>
    </row>
    <row r="373" spans="1:7" ht="18.95" customHeight="1" x14ac:dyDescent="0.2">
      <c r="A373" s="148"/>
      <c r="B373" s="333"/>
      <c r="C373" s="142"/>
      <c r="D373" s="150"/>
      <c r="E373" s="141"/>
      <c r="F373" s="141"/>
      <c r="G373" s="340"/>
    </row>
    <row r="374" spans="1:7" ht="18.95" customHeight="1" x14ac:dyDescent="0.2">
      <c r="A374" s="732" t="s">
        <v>582</v>
      </c>
      <c r="B374" s="733"/>
      <c r="C374" s="734" t="s">
        <v>0</v>
      </c>
      <c r="D374" s="738" t="s">
        <v>1053</v>
      </c>
      <c r="E374" s="738" t="s">
        <v>1706</v>
      </c>
      <c r="F374" s="738" t="s">
        <v>1054</v>
      </c>
      <c r="G374" s="738" t="s">
        <v>1055</v>
      </c>
    </row>
    <row r="375" spans="1:7" ht="18.95" customHeight="1" x14ac:dyDescent="0.2">
      <c r="A375" s="154" t="s">
        <v>583</v>
      </c>
      <c r="B375" s="155" t="s">
        <v>584</v>
      </c>
      <c r="C375" s="735"/>
      <c r="D375" s="739"/>
      <c r="E375" s="739"/>
      <c r="F375" s="743"/>
      <c r="G375" s="739"/>
    </row>
    <row r="376" spans="1:7" ht="18.95" customHeight="1" x14ac:dyDescent="0.2">
      <c r="A376" s="156"/>
      <c r="B376" s="142"/>
      <c r="C376" s="157" t="s">
        <v>1041</v>
      </c>
      <c r="D376" s="150"/>
      <c r="E376" s="142"/>
      <c r="F376" s="142"/>
      <c r="G376" s="341"/>
    </row>
    <row r="377" spans="1:7" ht="18.95" customHeight="1" x14ac:dyDescent="0.2">
      <c r="A377" s="347" t="str">
        <f t="shared" ref="A377:A384" si="103">IFERROR(VLOOKUP(C377,Tabla_Insumos,4,FALSE),"")</f>
        <v/>
      </c>
      <c r="B377" s="289" t="str">
        <f t="shared" ref="B377:B384" si="104">IFERROR(VLOOKUP(C377,Tabla_Insumos,5,FALSE),"")</f>
        <v/>
      </c>
      <c r="C377" s="289"/>
      <c r="D377" s="606">
        <f t="shared" ref="D377:D384" si="105">IFERROR(VLOOKUP(C377,Tabla_Insumos,3,FALSE),0)</f>
        <v>0</v>
      </c>
      <c r="E377" s="348">
        <f>D377*$G$21</f>
        <v>0</v>
      </c>
      <c r="F377" s="349">
        <f>IF(C377="",0,D372)</f>
        <v>0</v>
      </c>
      <c r="G377" s="346">
        <f>IFERROR(ROUND(E377/F377,2),0)</f>
        <v>0</v>
      </c>
    </row>
    <row r="378" spans="1:7" ht="18.95" customHeight="1" x14ac:dyDescent="0.2">
      <c r="A378" s="347" t="str">
        <f t="shared" si="103"/>
        <v/>
      </c>
      <c r="B378" s="289" t="str">
        <f t="shared" si="104"/>
        <v/>
      </c>
      <c r="C378" s="320"/>
      <c r="D378" s="606">
        <f t="shared" si="105"/>
        <v>0</v>
      </c>
      <c r="E378" s="348">
        <f t="shared" ref="E378:E379" si="106">D378*$G$21</f>
        <v>0</v>
      </c>
      <c r="F378" s="349">
        <f t="shared" ref="F378:F381" si="107">IF(C378="",0,F377)</f>
        <v>0</v>
      </c>
      <c r="G378" s="346">
        <f t="shared" ref="G378:G384" si="108">IFERROR(ROUND(E378/F378,2),0)</f>
        <v>0</v>
      </c>
    </row>
    <row r="379" spans="1:7" ht="18.95" customHeight="1" x14ac:dyDescent="0.2">
      <c r="A379" s="347" t="str">
        <f t="shared" si="103"/>
        <v/>
      </c>
      <c r="B379" s="289" t="str">
        <f t="shared" si="104"/>
        <v/>
      </c>
      <c r="C379" s="320"/>
      <c r="D379" s="606">
        <f t="shared" si="105"/>
        <v>0</v>
      </c>
      <c r="E379" s="348">
        <f t="shared" si="106"/>
        <v>0</v>
      </c>
      <c r="F379" s="349">
        <f t="shared" si="107"/>
        <v>0</v>
      </c>
      <c r="G379" s="346">
        <f t="shared" si="108"/>
        <v>0</v>
      </c>
    </row>
    <row r="380" spans="1:7" ht="18.95" customHeight="1" x14ac:dyDescent="0.2">
      <c r="A380" s="347" t="str">
        <f t="shared" si="103"/>
        <v/>
      </c>
      <c r="B380" s="289" t="str">
        <f t="shared" si="104"/>
        <v/>
      </c>
      <c r="C380" s="320"/>
      <c r="D380" s="606">
        <f t="shared" si="105"/>
        <v>0</v>
      </c>
      <c r="E380" s="348">
        <f>D380*$E$21</f>
        <v>0</v>
      </c>
      <c r="F380" s="349">
        <f t="shared" si="107"/>
        <v>0</v>
      </c>
      <c r="G380" s="346">
        <f t="shared" si="108"/>
        <v>0</v>
      </c>
    </row>
    <row r="381" spans="1:7" ht="18.95" customHeight="1" x14ac:dyDescent="0.2">
      <c r="A381" s="347" t="str">
        <f t="shared" si="103"/>
        <v/>
      </c>
      <c r="B381" s="289" t="str">
        <f t="shared" si="104"/>
        <v/>
      </c>
      <c r="C381" s="320"/>
      <c r="D381" s="606">
        <f t="shared" si="105"/>
        <v>0</v>
      </c>
      <c r="E381" s="348">
        <f>D381*$E$21</f>
        <v>0</v>
      </c>
      <c r="F381" s="349">
        <f t="shared" si="107"/>
        <v>0</v>
      </c>
      <c r="G381" s="346">
        <f t="shared" si="108"/>
        <v>0</v>
      </c>
    </row>
    <row r="382" spans="1:7" ht="18.95" customHeight="1" x14ac:dyDescent="0.2">
      <c r="A382" s="347" t="str">
        <f t="shared" si="103"/>
        <v/>
      </c>
      <c r="B382" s="289" t="str">
        <f t="shared" si="104"/>
        <v/>
      </c>
      <c r="C382" s="320"/>
      <c r="D382" s="606">
        <f t="shared" si="105"/>
        <v>0</v>
      </c>
      <c r="E382" s="348"/>
      <c r="F382" s="349">
        <f>IF(C382="",0,F381)</f>
        <v>0</v>
      </c>
      <c r="G382" s="346">
        <f t="shared" si="108"/>
        <v>0</v>
      </c>
    </row>
    <row r="383" spans="1:7" ht="18.95" customHeight="1" x14ac:dyDescent="0.2">
      <c r="A383" s="347" t="str">
        <f t="shared" si="103"/>
        <v/>
      </c>
      <c r="B383" s="289" t="str">
        <f t="shared" si="104"/>
        <v/>
      </c>
      <c r="C383" s="320"/>
      <c r="D383" s="606">
        <f t="shared" si="105"/>
        <v>0</v>
      </c>
      <c r="E383" s="348"/>
      <c r="F383" s="349">
        <f t="shared" ref="F383:F384" si="109">IF(C383="",0,F382)</f>
        <v>0</v>
      </c>
      <c r="G383" s="346">
        <f t="shared" si="108"/>
        <v>0</v>
      </c>
    </row>
    <row r="384" spans="1:7" ht="18.95" customHeight="1" x14ac:dyDescent="0.2">
      <c r="A384" s="347" t="str">
        <f t="shared" si="103"/>
        <v/>
      </c>
      <c r="B384" s="289" t="str">
        <f t="shared" si="104"/>
        <v/>
      </c>
      <c r="C384" s="320"/>
      <c r="D384" s="606">
        <f t="shared" si="105"/>
        <v>0</v>
      </c>
      <c r="E384" s="348"/>
      <c r="F384" s="349">
        <f t="shared" si="109"/>
        <v>0</v>
      </c>
      <c r="G384" s="346">
        <f t="shared" si="108"/>
        <v>0</v>
      </c>
    </row>
    <row r="385" spans="1:7" ht="18.95" customHeight="1" x14ac:dyDescent="0.2">
      <c r="A385" s="352"/>
      <c r="B385" s="149"/>
      <c r="C385" s="142"/>
      <c r="D385" s="150"/>
      <c r="E385" s="143"/>
      <c r="F385" s="353" t="s">
        <v>29</v>
      </c>
      <c r="G385" s="354">
        <f>SUBTOTAL(9,G377:G384)</f>
        <v>0</v>
      </c>
    </row>
    <row r="386" spans="1:7" ht="18.95" customHeight="1" x14ac:dyDescent="0.2">
      <c r="A386" s="156"/>
      <c r="B386" s="142"/>
      <c r="C386" s="157" t="s">
        <v>722</v>
      </c>
      <c r="D386" s="150"/>
      <c r="E386" s="326"/>
      <c r="F386" s="326"/>
      <c r="G386" s="341"/>
    </row>
    <row r="387" spans="1:7" ht="18.95" customHeight="1" x14ac:dyDescent="0.2">
      <c r="A387" s="732" t="s">
        <v>582</v>
      </c>
      <c r="B387" s="733"/>
      <c r="C387" s="734" t="s">
        <v>0</v>
      </c>
      <c r="D387" s="736" t="s">
        <v>26</v>
      </c>
      <c r="E387" s="738" t="s">
        <v>1707</v>
      </c>
      <c r="F387" s="740" t="s">
        <v>1040</v>
      </c>
      <c r="G387" s="741" t="s">
        <v>28</v>
      </c>
    </row>
    <row r="388" spans="1:7" ht="18.95" customHeight="1" x14ac:dyDescent="0.2">
      <c r="A388" s="154" t="s">
        <v>583</v>
      </c>
      <c r="B388" s="155" t="s">
        <v>584</v>
      </c>
      <c r="C388" s="735"/>
      <c r="D388" s="737"/>
      <c r="E388" s="739"/>
      <c r="F388" s="739"/>
      <c r="G388" s="742"/>
    </row>
    <row r="389" spans="1:7" ht="18.95" customHeight="1" x14ac:dyDescent="0.2">
      <c r="A389" s="347" t="str">
        <f t="shared" ref="A389:A394" si="110">IFERROR(VLOOKUP(C389,Tabla_Insumos,4,FALSE),"")</f>
        <v/>
      </c>
      <c r="B389" s="289" t="str">
        <f t="shared" ref="B389:B394" si="111">IFERROR(VLOOKUP(C389,Tabla_Insumos,5,FALSE),"")</f>
        <v/>
      </c>
      <c r="C389" s="290"/>
      <c r="D389" s="292"/>
      <c r="E389" s="345">
        <f t="shared" ref="E389:E394" si="112">IFERROR(VLOOKUP(C389,Tabla_Insumos,3,FALSE),0)</f>
        <v>0</v>
      </c>
      <c r="F389" s="348">
        <f>IF(C389="",0,D372)</f>
        <v>0</v>
      </c>
      <c r="G389" s="346">
        <f t="shared" ref="G389:G394" si="113">IFERROR(ROUND(D389*E389/F389,2),0)</f>
        <v>0</v>
      </c>
    </row>
    <row r="390" spans="1:7" ht="18.95" customHeight="1" x14ac:dyDescent="0.2">
      <c r="A390" s="347" t="str">
        <f t="shared" si="110"/>
        <v/>
      </c>
      <c r="B390" s="289" t="str">
        <f t="shared" si="111"/>
        <v/>
      </c>
      <c r="C390" s="289"/>
      <c r="D390" s="292"/>
      <c r="E390" s="345">
        <f t="shared" si="112"/>
        <v>0</v>
      </c>
      <c r="F390" s="348">
        <f>IF(C390="",0,F389)</f>
        <v>0</v>
      </c>
      <c r="G390" s="346">
        <f t="shared" si="113"/>
        <v>0</v>
      </c>
    </row>
    <row r="391" spans="1:7" ht="18.95" customHeight="1" x14ac:dyDescent="0.2">
      <c r="A391" s="347" t="str">
        <f t="shared" si="110"/>
        <v/>
      </c>
      <c r="B391" s="289" t="str">
        <f t="shared" si="111"/>
        <v/>
      </c>
      <c r="C391" s="289"/>
      <c r="D391" s="292"/>
      <c r="E391" s="345">
        <f t="shared" si="112"/>
        <v>0</v>
      </c>
      <c r="F391" s="348">
        <f>IF(C391="",0,F390)</f>
        <v>0</v>
      </c>
      <c r="G391" s="346">
        <f t="shared" si="113"/>
        <v>0</v>
      </c>
    </row>
    <row r="392" spans="1:7" ht="18.95" customHeight="1" x14ac:dyDescent="0.2">
      <c r="A392" s="347" t="str">
        <f t="shared" si="110"/>
        <v/>
      </c>
      <c r="B392" s="289" t="str">
        <f t="shared" si="111"/>
        <v/>
      </c>
      <c r="C392" s="289"/>
      <c r="D392" s="292"/>
      <c r="E392" s="345">
        <f t="shared" si="112"/>
        <v>0</v>
      </c>
      <c r="F392" s="348">
        <f>IF(C392="",0,F391)</f>
        <v>0</v>
      </c>
      <c r="G392" s="346">
        <f t="shared" si="113"/>
        <v>0</v>
      </c>
    </row>
    <row r="393" spans="1:7" ht="18.95" customHeight="1" x14ac:dyDescent="0.2">
      <c r="A393" s="347" t="str">
        <f t="shared" si="110"/>
        <v/>
      </c>
      <c r="B393" s="289" t="str">
        <f t="shared" si="111"/>
        <v/>
      </c>
      <c r="C393" s="289"/>
      <c r="D393" s="350"/>
      <c r="E393" s="345">
        <f t="shared" si="112"/>
        <v>0</v>
      </c>
      <c r="F393" s="348">
        <f>IF(C393="",0,F392)</f>
        <v>0</v>
      </c>
      <c r="G393" s="346">
        <f t="shared" si="113"/>
        <v>0</v>
      </c>
    </row>
    <row r="394" spans="1:7" ht="18.95" customHeight="1" x14ac:dyDescent="0.2">
      <c r="A394" s="347" t="str">
        <f t="shared" si="110"/>
        <v/>
      </c>
      <c r="B394" s="289" t="str">
        <f t="shared" si="111"/>
        <v/>
      </c>
      <c r="C394" s="289"/>
      <c r="D394" s="292"/>
      <c r="E394" s="345">
        <f t="shared" si="112"/>
        <v>0</v>
      </c>
      <c r="F394" s="348">
        <f>IF(C394="",0,F393)</f>
        <v>0</v>
      </c>
      <c r="G394" s="346">
        <f t="shared" si="113"/>
        <v>0</v>
      </c>
    </row>
    <row r="395" spans="1:7" ht="18.95" customHeight="1" x14ac:dyDescent="0.2">
      <c r="A395" s="352"/>
      <c r="B395" s="149"/>
      <c r="C395" s="142"/>
      <c r="D395" s="150"/>
      <c r="E395" s="143"/>
      <c r="F395" s="355" t="s">
        <v>30</v>
      </c>
      <c r="G395" s="354">
        <f>SUBTOTAL(9,G389:G394)</f>
        <v>0</v>
      </c>
    </row>
    <row r="396" spans="1:7" ht="18.95" customHeight="1" x14ac:dyDescent="0.2">
      <c r="A396" s="156"/>
      <c r="B396" s="142"/>
      <c r="C396" s="157" t="s">
        <v>1047</v>
      </c>
      <c r="D396" s="150"/>
      <c r="E396" s="326"/>
      <c r="F396" s="326"/>
      <c r="G396" s="341"/>
    </row>
    <row r="397" spans="1:7" ht="18.95" customHeight="1" x14ac:dyDescent="0.2">
      <c r="A397" s="732" t="s">
        <v>582</v>
      </c>
      <c r="B397" s="733"/>
      <c r="C397" s="734" t="s">
        <v>0</v>
      </c>
      <c r="D397" s="734" t="s">
        <v>1655</v>
      </c>
      <c r="E397" s="734" t="s">
        <v>26</v>
      </c>
      <c r="F397" s="734" t="s">
        <v>27</v>
      </c>
      <c r="G397" s="741" t="s">
        <v>28</v>
      </c>
    </row>
    <row r="398" spans="1:7" ht="18.95" customHeight="1" x14ac:dyDescent="0.2">
      <c r="A398" s="154" t="s">
        <v>583</v>
      </c>
      <c r="B398" s="155" t="s">
        <v>584</v>
      </c>
      <c r="C398" s="735"/>
      <c r="D398" s="735"/>
      <c r="E398" s="735"/>
      <c r="F398" s="735"/>
      <c r="G398" s="742"/>
    </row>
    <row r="399" spans="1:7" ht="18.95" customHeight="1" x14ac:dyDescent="0.2">
      <c r="A399" s="347" t="str">
        <f t="shared" ref="A399:A410" si="114">IFERROR(VLOOKUP(C399,Tabla_Insumos,4,FALSE),"")</f>
        <v/>
      </c>
      <c r="B399" s="289" t="str">
        <f t="shared" ref="B399:B410" si="115">IFERROR(VLOOKUP(C399,Tabla_Insumos,5,FALSE),"")</f>
        <v/>
      </c>
      <c r="C399" s="289"/>
      <c r="D399" s="607">
        <f t="shared" ref="D399:D410" si="116">IFERROR(VLOOKUP(C399,Tabla_Insumos,2,FALSE),0)</f>
        <v>0</v>
      </c>
      <c r="E399" s="292"/>
      <c r="F399" s="345">
        <f t="shared" ref="F399:F410" si="117">IFERROR(VLOOKUP(C399,Tabla_Insumos,3,FALSE),0)</f>
        <v>0</v>
      </c>
      <c r="G399" s="346">
        <f t="shared" ref="G399:G410" si="118">ROUND(E399*F399,2)</f>
        <v>0</v>
      </c>
    </row>
    <row r="400" spans="1:7" ht="18.95" customHeight="1" x14ac:dyDescent="0.2">
      <c r="A400" s="347" t="str">
        <f t="shared" si="114"/>
        <v/>
      </c>
      <c r="B400" s="289" t="str">
        <f t="shared" si="115"/>
        <v/>
      </c>
      <c r="C400" s="126"/>
      <c r="D400" s="607">
        <f t="shared" si="116"/>
        <v>0</v>
      </c>
      <c r="E400" s="292"/>
      <c r="F400" s="345">
        <f t="shared" si="117"/>
        <v>0</v>
      </c>
      <c r="G400" s="346">
        <f t="shared" si="118"/>
        <v>0</v>
      </c>
    </row>
    <row r="401" spans="1:7" ht="18.95" customHeight="1" x14ac:dyDescent="0.2">
      <c r="A401" s="347" t="str">
        <f t="shared" si="114"/>
        <v/>
      </c>
      <c r="B401" s="289" t="str">
        <f t="shared" si="115"/>
        <v/>
      </c>
      <c r="C401" s="289"/>
      <c r="D401" s="607">
        <f t="shared" si="116"/>
        <v>0</v>
      </c>
      <c r="E401" s="292"/>
      <c r="F401" s="345">
        <f t="shared" si="117"/>
        <v>0</v>
      </c>
      <c r="G401" s="346">
        <f t="shared" si="118"/>
        <v>0</v>
      </c>
    </row>
    <row r="402" spans="1:7" ht="18.95" customHeight="1" x14ac:dyDescent="0.2">
      <c r="A402" s="347" t="str">
        <f t="shared" si="114"/>
        <v/>
      </c>
      <c r="B402" s="289" t="str">
        <f t="shared" si="115"/>
        <v/>
      </c>
      <c r="C402" s="289"/>
      <c r="D402" s="607">
        <f t="shared" si="116"/>
        <v>0</v>
      </c>
      <c r="E402" s="292"/>
      <c r="F402" s="345">
        <f t="shared" si="117"/>
        <v>0</v>
      </c>
      <c r="G402" s="346">
        <f t="shared" si="118"/>
        <v>0</v>
      </c>
    </row>
    <row r="403" spans="1:7" ht="18.95" customHeight="1" x14ac:dyDescent="0.2">
      <c r="A403" s="347" t="str">
        <f t="shared" si="114"/>
        <v/>
      </c>
      <c r="B403" s="289" t="str">
        <f t="shared" si="115"/>
        <v/>
      </c>
      <c r="C403" s="289"/>
      <c r="D403" s="607">
        <f t="shared" si="116"/>
        <v>0</v>
      </c>
      <c r="E403" s="292"/>
      <c r="F403" s="345">
        <f t="shared" si="117"/>
        <v>0</v>
      </c>
      <c r="G403" s="346">
        <f t="shared" si="118"/>
        <v>0</v>
      </c>
    </row>
    <row r="404" spans="1:7" ht="18.95" customHeight="1" x14ac:dyDescent="0.2">
      <c r="A404" s="347" t="str">
        <f t="shared" si="114"/>
        <v/>
      </c>
      <c r="B404" s="289" t="str">
        <f t="shared" si="115"/>
        <v/>
      </c>
      <c r="C404" s="289"/>
      <c r="D404" s="607">
        <f t="shared" si="116"/>
        <v>0</v>
      </c>
      <c r="E404" s="292"/>
      <c r="F404" s="345">
        <f t="shared" si="117"/>
        <v>0</v>
      </c>
      <c r="G404" s="346">
        <f t="shared" si="118"/>
        <v>0</v>
      </c>
    </row>
    <row r="405" spans="1:7" ht="18.95" customHeight="1" x14ac:dyDescent="0.2">
      <c r="A405" s="347" t="str">
        <f t="shared" si="114"/>
        <v/>
      </c>
      <c r="B405" s="289" t="str">
        <f t="shared" si="115"/>
        <v/>
      </c>
      <c r="C405" s="289"/>
      <c r="D405" s="607">
        <f t="shared" si="116"/>
        <v>0</v>
      </c>
      <c r="E405" s="292"/>
      <c r="F405" s="345">
        <f t="shared" si="117"/>
        <v>0</v>
      </c>
      <c r="G405" s="346">
        <f t="shared" si="118"/>
        <v>0</v>
      </c>
    </row>
    <row r="406" spans="1:7" s="294" customFormat="1" ht="18.95" customHeight="1" x14ac:dyDescent="0.2">
      <c r="A406" s="347" t="str">
        <f t="shared" si="114"/>
        <v/>
      </c>
      <c r="B406" s="289" t="str">
        <f t="shared" si="115"/>
        <v/>
      </c>
      <c r="C406" s="289"/>
      <c r="D406" s="607">
        <f t="shared" si="116"/>
        <v>0</v>
      </c>
      <c r="E406" s="322"/>
      <c r="F406" s="345">
        <f t="shared" si="117"/>
        <v>0</v>
      </c>
      <c r="G406" s="346">
        <f t="shared" si="118"/>
        <v>0</v>
      </c>
    </row>
    <row r="407" spans="1:7" ht="18.95" customHeight="1" x14ac:dyDescent="0.2">
      <c r="A407" s="347" t="str">
        <f t="shared" si="114"/>
        <v/>
      </c>
      <c r="B407" s="289" t="str">
        <f t="shared" si="115"/>
        <v/>
      </c>
      <c r="C407" s="289"/>
      <c r="D407" s="607">
        <f t="shared" si="116"/>
        <v>0</v>
      </c>
      <c r="E407" s="292"/>
      <c r="F407" s="345">
        <f t="shared" si="117"/>
        <v>0</v>
      </c>
      <c r="G407" s="346">
        <f t="shared" si="118"/>
        <v>0</v>
      </c>
    </row>
    <row r="408" spans="1:7" ht="18.95" customHeight="1" x14ac:dyDescent="0.2">
      <c r="A408" s="347" t="str">
        <f t="shared" si="114"/>
        <v/>
      </c>
      <c r="B408" s="289" t="str">
        <f t="shared" si="115"/>
        <v/>
      </c>
      <c r="C408" s="289"/>
      <c r="D408" s="607">
        <f t="shared" si="116"/>
        <v>0</v>
      </c>
      <c r="E408" s="292"/>
      <c r="F408" s="345">
        <f t="shared" si="117"/>
        <v>0</v>
      </c>
      <c r="G408" s="346">
        <f t="shared" si="118"/>
        <v>0</v>
      </c>
    </row>
    <row r="409" spans="1:7" ht="18.95" customHeight="1" x14ac:dyDescent="0.2">
      <c r="A409" s="347" t="str">
        <f t="shared" si="114"/>
        <v/>
      </c>
      <c r="B409" s="289" t="str">
        <f t="shared" si="115"/>
        <v/>
      </c>
      <c r="C409" s="289"/>
      <c r="D409" s="607">
        <f t="shared" si="116"/>
        <v>0</v>
      </c>
      <c r="E409" s="292"/>
      <c r="F409" s="345">
        <f t="shared" si="117"/>
        <v>0</v>
      </c>
      <c r="G409" s="346">
        <f t="shared" si="118"/>
        <v>0</v>
      </c>
    </row>
    <row r="410" spans="1:7" ht="18.95" customHeight="1" x14ac:dyDescent="0.2">
      <c r="A410" s="347" t="str">
        <f t="shared" si="114"/>
        <v/>
      </c>
      <c r="B410" s="289" t="str">
        <f t="shared" si="115"/>
        <v/>
      </c>
      <c r="C410" s="289"/>
      <c r="D410" s="607">
        <f t="shared" si="116"/>
        <v>0</v>
      </c>
      <c r="E410" s="292"/>
      <c r="F410" s="345">
        <f t="shared" si="117"/>
        <v>0</v>
      </c>
      <c r="G410" s="346">
        <f t="shared" si="118"/>
        <v>0</v>
      </c>
    </row>
    <row r="411" spans="1:7" ht="18.95" customHeight="1" x14ac:dyDescent="0.2">
      <c r="A411" s="156"/>
      <c r="B411" s="142"/>
      <c r="C411" s="142"/>
      <c r="D411" s="150"/>
      <c r="E411" s="143"/>
      <c r="F411" s="355" t="s">
        <v>31</v>
      </c>
      <c r="G411" s="354">
        <f>SUBTOTAL(9,G399:G410)</f>
        <v>0</v>
      </c>
    </row>
    <row r="412" spans="1:7" ht="18.95" customHeight="1" x14ac:dyDescent="0.2">
      <c r="A412" s="156"/>
      <c r="B412" s="142"/>
      <c r="C412" s="157" t="s">
        <v>1048</v>
      </c>
      <c r="D412" s="150"/>
      <c r="E412" s="326"/>
      <c r="F412" s="326"/>
      <c r="G412" s="341"/>
    </row>
    <row r="413" spans="1:7" ht="18.95" customHeight="1" x14ac:dyDescent="0.2">
      <c r="A413" s="732" t="s">
        <v>582</v>
      </c>
      <c r="B413" s="733"/>
      <c r="C413" s="734" t="s">
        <v>0</v>
      </c>
      <c r="D413" s="736" t="s">
        <v>1750</v>
      </c>
      <c r="E413" s="740" t="s">
        <v>26</v>
      </c>
      <c r="F413" s="740" t="s">
        <v>27</v>
      </c>
      <c r="G413" s="741" t="s">
        <v>28</v>
      </c>
    </row>
    <row r="414" spans="1:7" ht="18.95" customHeight="1" x14ac:dyDescent="0.2">
      <c r="A414" s="154" t="s">
        <v>583</v>
      </c>
      <c r="B414" s="155" t="s">
        <v>584</v>
      </c>
      <c r="C414" s="735"/>
      <c r="D414" s="737"/>
      <c r="E414" s="739"/>
      <c r="F414" s="739"/>
      <c r="G414" s="742"/>
    </row>
    <row r="415" spans="1:7" ht="18.95" customHeight="1" x14ac:dyDescent="0.2">
      <c r="A415" s="347" t="str">
        <f>IFERROR(VLOOKUP(C415,Tabla_Insumos,4,FALSE),"")</f>
        <v/>
      </c>
      <c r="B415" s="289" t="s">
        <v>4</v>
      </c>
      <c r="C415" s="289"/>
      <c r="D415" s="292"/>
      <c r="E415" s="321"/>
      <c r="F415" s="323"/>
      <c r="G415" s="346">
        <f t="shared" ref="G415" si="119">ROUND(E415*F415,2)</f>
        <v>0</v>
      </c>
    </row>
    <row r="416" spans="1:7" ht="18.95" customHeight="1" x14ac:dyDescent="0.2">
      <c r="A416" s="156"/>
      <c r="B416" s="142"/>
      <c r="C416" s="142"/>
      <c r="D416" s="150"/>
      <c r="E416" s="143"/>
      <c r="F416" s="355" t="s">
        <v>1049</v>
      </c>
      <c r="G416" s="354">
        <f>SUBTOTAL(9,G415:G415)</f>
        <v>0</v>
      </c>
    </row>
    <row r="417" spans="1:8" ht="18.95" customHeight="1" thickBot="1" x14ac:dyDescent="0.25">
      <c r="A417" s="158"/>
      <c r="B417" s="159"/>
      <c r="C417" s="160"/>
      <c r="D417" s="161"/>
      <c r="E417" s="356"/>
      <c r="F417" s="356"/>
      <c r="G417" s="357"/>
    </row>
    <row r="418" spans="1:8" ht="18.95" customHeight="1" x14ac:dyDescent="0.2">
      <c r="A418" s="358">
        <f>B357</f>
        <v>6</v>
      </c>
      <c r="B418" s="359" t="str">
        <f>C357</f>
        <v>SEÑALAMIENTO VERTICAL</v>
      </c>
      <c r="C418" s="360"/>
      <c r="D418" s="360"/>
      <c r="E418" s="360" t="s">
        <v>1050</v>
      </c>
      <c r="F418" s="361" t="str">
        <f>CONCATENATE("$/",G357)</f>
        <v>$/m2</v>
      </c>
      <c r="G418" s="362">
        <f>SUBTOTAL(9,G377:G417)</f>
        <v>0</v>
      </c>
    </row>
    <row r="419" spans="1:8" ht="18.95" customHeight="1" thickBot="1" x14ac:dyDescent="0.25">
      <c r="A419" s="363"/>
      <c r="B419" s="364"/>
      <c r="C419" s="364"/>
      <c r="D419" s="364"/>
      <c r="E419" s="365" t="s">
        <v>1051</v>
      </c>
      <c r="F419" s="366" t="str">
        <f>CONCATENATE("$/",G357)</f>
        <v>$/m2</v>
      </c>
      <c r="G419" s="367" t="e">
        <f ca="1">PrecioUnitario(G418,GG_Porcentaje,Beneficio,Ingresos_Brutos,IVA)</f>
        <v>#NAME?</v>
      </c>
    </row>
    <row r="420" spans="1:8" ht="18.95" customHeight="1" thickTop="1" thickBot="1" x14ac:dyDescent="0.25">
      <c r="F420" s="293"/>
      <c r="G420" s="293"/>
    </row>
    <row r="421" spans="1:8" ht="18.95" customHeight="1" thickTop="1" x14ac:dyDescent="0.2">
      <c r="A421" s="193" t="s">
        <v>33</v>
      </c>
      <c r="B421" s="194"/>
      <c r="C421" s="194"/>
      <c r="D421" s="194"/>
      <c r="E421" s="194"/>
      <c r="F421" s="194"/>
      <c r="G421" s="195"/>
      <c r="H421" s="143">
        <f>COUNTIF($A$1:A427,"ANALISIS DE PRECIOS")</f>
        <v>7</v>
      </c>
    </row>
    <row r="422" spans="1:8" ht="18.95" customHeight="1" x14ac:dyDescent="0.2">
      <c r="A422" s="144" t="s">
        <v>720</v>
      </c>
      <c r="B422" s="145" t="str">
        <f>Comitente</f>
        <v>DIRECCIÓN PROVINCIAL DE VIALIDAD</v>
      </c>
      <c r="C422" s="139"/>
      <c r="D422" s="146"/>
      <c r="E422" s="324"/>
      <c r="F422" s="324"/>
      <c r="G422" s="325"/>
      <c r="H422" s="143"/>
    </row>
    <row r="423" spans="1:8" ht="18.95" customHeight="1" x14ac:dyDescent="0.2">
      <c r="A423" s="144" t="s">
        <v>721</v>
      </c>
      <c r="B423" s="145">
        <f>Contratista</f>
        <v>0</v>
      </c>
      <c r="C423" s="140"/>
      <c r="D423" s="140"/>
      <c r="E423" s="145"/>
      <c r="F423" s="145"/>
      <c r="G423" s="147"/>
      <c r="H423" s="143"/>
    </row>
    <row r="424" spans="1:8" ht="18.95" customHeight="1" x14ac:dyDescent="0.2">
      <c r="A424" s="144" t="s">
        <v>23</v>
      </c>
      <c r="B424" s="145" t="str">
        <f>Obra</f>
        <v>PAVIMENTACION RUTAS VARIAS</v>
      </c>
      <c r="C424" s="140"/>
      <c r="D424" s="140"/>
      <c r="E424" s="143"/>
      <c r="F424" s="145" t="s">
        <v>34</v>
      </c>
      <c r="G424" s="147">
        <f>Fecha_Base</f>
        <v>43411</v>
      </c>
      <c r="H424" s="143"/>
    </row>
    <row r="425" spans="1:8" ht="18.95" customHeight="1" x14ac:dyDescent="0.2">
      <c r="A425" s="148" t="s">
        <v>719</v>
      </c>
      <c r="B425" s="141" t="str">
        <f>Ubicación</f>
        <v>POCITO</v>
      </c>
      <c r="C425" s="141"/>
      <c r="D425" s="150"/>
      <c r="E425" s="143"/>
      <c r="F425" s="326"/>
      <c r="G425" s="327"/>
      <c r="H425" s="143"/>
    </row>
    <row r="426" spans="1:8" ht="18.95" customHeight="1" x14ac:dyDescent="0.2">
      <c r="A426" s="148" t="s">
        <v>35</v>
      </c>
      <c r="B426" s="151" t="str">
        <f>IFERROR(VALUE(LEFT(B427,FIND("-",B427)-1)),"")</f>
        <v/>
      </c>
      <c r="C426" s="142" t="str">
        <f>IFERROR(VLOOKUP(B426,Tabla_CyP,2,FALSE),"")</f>
        <v/>
      </c>
      <c r="D426" s="150"/>
      <c r="E426" s="143"/>
      <c r="F426" s="326"/>
      <c r="G426" s="327"/>
      <c r="H426" s="143"/>
    </row>
    <row r="427" spans="1:8" ht="18.95" customHeight="1" x14ac:dyDescent="0.2">
      <c r="A427" s="148" t="s">
        <v>24</v>
      </c>
      <c r="B427" s="152">
        <f>IFERROR(VLOOKUP(COUNTIF($A$1:A427,"ANALISIS DE PRECIOS"),Tabla_NumeroItem,4,FALSE),"")</f>
        <v>7</v>
      </c>
      <c r="C427" s="731" t="str">
        <f>IFERROR(VLOOKUP(B427,Tabla_CyP,2,FALSE),"")</f>
        <v>DEMARCACION HORIZONTAL CON PINTURA ACRILICA APLICADA EN FRIO</v>
      </c>
      <c r="D427" s="731"/>
      <c r="E427" s="731"/>
      <c r="F427" s="141" t="s">
        <v>25</v>
      </c>
      <c r="G427" s="153" t="str">
        <f>IFERROR(VLOOKUP(B427,Tabla_CyP,4,FALSE),"")</f>
        <v>m2</v>
      </c>
      <c r="H427" s="143"/>
    </row>
    <row r="428" spans="1:8" ht="18.95" customHeight="1" x14ac:dyDescent="0.2">
      <c r="A428" s="148"/>
      <c r="B428" s="141"/>
      <c r="C428" s="142"/>
      <c r="D428" s="150"/>
      <c r="E428" s="142"/>
      <c r="F428" s="142"/>
      <c r="G428" s="328"/>
      <c r="H428" s="143"/>
    </row>
    <row r="429" spans="1:8" ht="18.95" customHeight="1" x14ac:dyDescent="0.2">
      <c r="A429" s="329"/>
      <c r="B429" s="330"/>
      <c r="C429" s="331" t="s">
        <v>1032</v>
      </c>
      <c r="D429" s="330"/>
      <c r="E429" s="330"/>
      <c r="F429" s="330"/>
      <c r="G429" s="332"/>
      <c r="H429" s="143"/>
    </row>
    <row r="430" spans="1:8" ht="18.95" customHeight="1" x14ac:dyDescent="0.2">
      <c r="A430" s="148"/>
      <c r="B430" s="333"/>
      <c r="C430" s="334" t="s">
        <v>1033</v>
      </c>
      <c r="D430" s="335" t="s">
        <v>26</v>
      </c>
      <c r="E430" s="335" t="s">
        <v>1034</v>
      </c>
      <c r="F430" s="335" t="s">
        <v>1035</v>
      </c>
      <c r="G430" s="336" t="s">
        <v>1036</v>
      </c>
      <c r="H430" s="143"/>
    </row>
    <row r="431" spans="1:8" ht="18.95" customHeight="1" x14ac:dyDescent="0.2">
      <c r="A431" s="342"/>
      <c r="B431" s="343"/>
      <c r="C431" s="289"/>
      <c r="D431" s="292"/>
      <c r="E431" s="344"/>
      <c r="F431" s="345"/>
      <c r="G431" s="346">
        <f t="shared" ref="G431:G440" si="120">ROUND(D431*F431,2)</f>
        <v>0</v>
      </c>
    </row>
    <row r="432" spans="1:8" ht="18.95" customHeight="1" x14ac:dyDescent="0.2">
      <c r="A432" s="342"/>
      <c r="B432" s="343"/>
      <c r="C432" s="289"/>
      <c r="D432" s="292"/>
      <c r="E432" s="344"/>
      <c r="F432" s="345"/>
      <c r="G432" s="346">
        <f t="shared" si="120"/>
        <v>0</v>
      </c>
    </row>
    <row r="433" spans="1:7" ht="18.95" customHeight="1" x14ac:dyDescent="0.2">
      <c r="A433" s="342"/>
      <c r="B433" s="343"/>
      <c r="C433" s="289"/>
      <c r="D433" s="292"/>
      <c r="E433" s="344">
        <f t="shared" ref="E433:E440" si="121">IFERROR(VLOOKUP(C433,T_Equipos,4,FALSE),0)</f>
        <v>0</v>
      </c>
      <c r="F433" s="345">
        <f t="shared" ref="F433:F440" si="122">IFERROR(VLOOKUP(C433,T_Equipos,11,FALSE),0)</f>
        <v>0</v>
      </c>
      <c r="G433" s="346">
        <f t="shared" si="120"/>
        <v>0</v>
      </c>
    </row>
    <row r="434" spans="1:7" ht="18.95" customHeight="1" x14ac:dyDescent="0.2">
      <c r="A434" s="342"/>
      <c r="B434" s="343"/>
      <c r="C434" s="289"/>
      <c r="D434" s="292"/>
      <c r="E434" s="344">
        <f t="shared" si="121"/>
        <v>0</v>
      </c>
      <c r="F434" s="345">
        <f t="shared" si="122"/>
        <v>0</v>
      </c>
      <c r="G434" s="346">
        <f t="shared" si="120"/>
        <v>0</v>
      </c>
    </row>
    <row r="435" spans="1:7" ht="18.95" customHeight="1" x14ac:dyDescent="0.2">
      <c r="A435" s="342"/>
      <c r="B435" s="343"/>
      <c r="C435" s="289"/>
      <c r="D435" s="292"/>
      <c r="E435" s="344">
        <f t="shared" si="121"/>
        <v>0</v>
      </c>
      <c r="F435" s="345">
        <f t="shared" si="122"/>
        <v>0</v>
      </c>
      <c r="G435" s="346">
        <f t="shared" si="120"/>
        <v>0</v>
      </c>
    </row>
    <row r="436" spans="1:7" ht="18.95" customHeight="1" x14ac:dyDescent="0.2">
      <c r="A436" s="342"/>
      <c r="B436" s="343"/>
      <c r="C436" s="289"/>
      <c r="D436" s="292"/>
      <c r="E436" s="344">
        <f t="shared" si="121"/>
        <v>0</v>
      </c>
      <c r="F436" s="345">
        <f t="shared" si="122"/>
        <v>0</v>
      </c>
      <c r="G436" s="346">
        <f t="shared" si="120"/>
        <v>0</v>
      </c>
    </row>
    <row r="437" spans="1:7" ht="18.95" customHeight="1" x14ac:dyDescent="0.2">
      <c r="A437" s="342"/>
      <c r="B437" s="343"/>
      <c r="C437" s="289"/>
      <c r="D437" s="292"/>
      <c r="E437" s="344">
        <f t="shared" si="121"/>
        <v>0</v>
      </c>
      <c r="F437" s="345">
        <f t="shared" si="122"/>
        <v>0</v>
      </c>
      <c r="G437" s="346">
        <f t="shared" si="120"/>
        <v>0</v>
      </c>
    </row>
    <row r="438" spans="1:7" ht="18.95" customHeight="1" x14ac:dyDescent="0.2">
      <c r="A438" s="342"/>
      <c r="B438" s="343"/>
      <c r="C438" s="289"/>
      <c r="D438" s="292"/>
      <c r="E438" s="344">
        <f t="shared" si="121"/>
        <v>0</v>
      </c>
      <c r="F438" s="345">
        <f t="shared" si="122"/>
        <v>0</v>
      </c>
      <c r="G438" s="346">
        <f t="shared" si="120"/>
        <v>0</v>
      </c>
    </row>
    <row r="439" spans="1:7" ht="18.95" customHeight="1" x14ac:dyDescent="0.2">
      <c r="A439" s="342"/>
      <c r="B439" s="343"/>
      <c r="C439" s="289"/>
      <c r="D439" s="292"/>
      <c r="E439" s="344">
        <f t="shared" si="121"/>
        <v>0</v>
      </c>
      <c r="F439" s="345">
        <f t="shared" si="122"/>
        <v>0</v>
      </c>
      <c r="G439" s="346">
        <f t="shared" si="120"/>
        <v>0</v>
      </c>
    </row>
    <row r="440" spans="1:7" ht="18.95" customHeight="1" thickBot="1" x14ac:dyDescent="0.25">
      <c r="A440" s="342"/>
      <c r="B440" s="343"/>
      <c r="C440" s="289"/>
      <c r="D440" s="292"/>
      <c r="E440" s="344">
        <f t="shared" si="121"/>
        <v>0</v>
      </c>
      <c r="F440" s="345">
        <f t="shared" si="122"/>
        <v>0</v>
      </c>
      <c r="G440" s="346">
        <f t="shared" si="120"/>
        <v>0</v>
      </c>
    </row>
    <row r="441" spans="1:7" ht="18.95" customHeight="1" thickBot="1" x14ac:dyDescent="0.25">
      <c r="A441" s="148"/>
      <c r="B441" s="333"/>
      <c r="C441" s="143"/>
      <c r="D441" s="146" t="s">
        <v>1037</v>
      </c>
      <c r="E441" s="337">
        <f>SUMPRODUCT(D431:D440,E431:E440)</f>
        <v>0</v>
      </c>
      <c r="F441" s="141" t="s">
        <v>1038</v>
      </c>
      <c r="G441" s="338">
        <f>SUM(G431:G440)</f>
        <v>0</v>
      </c>
    </row>
    <row r="442" spans="1:7" ht="18.95" customHeight="1" x14ac:dyDescent="0.2">
      <c r="A442" s="148"/>
      <c r="B442" s="333"/>
      <c r="C442" s="141" t="s">
        <v>1039</v>
      </c>
      <c r="D442" s="319"/>
      <c r="E442" s="339" t="str">
        <f>CONCATENATE(G427,"/día")</f>
        <v>m2/día</v>
      </c>
      <c r="F442" s="141"/>
      <c r="G442" s="340"/>
    </row>
    <row r="443" spans="1:7" ht="18.95" customHeight="1" x14ac:dyDescent="0.2">
      <c r="A443" s="148"/>
      <c r="B443" s="333"/>
      <c r="C443" s="142"/>
      <c r="D443" s="150"/>
      <c r="E443" s="141"/>
      <c r="F443" s="141"/>
      <c r="G443" s="340"/>
    </row>
    <row r="444" spans="1:7" ht="18.95" customHeight="1" x14ac:dyDescent="0.2">
      <c r="A444" s="732" t="s">
        <v>582</v>
      </c>
      <c r="B444" s="733"/>
      <c r="C444" s="734" t="s">
        <v>0</v>
      </c>
      <c r="D444" s="738" t="s">
        <v>1053</v>
      </c>
      <c r="E444" s="738" t="s">
        <v>1706</v>
      </c>
      <c r="F444" s="738" t="s">
        <v>1054</v>
      </c>
      <c r="G444" s="738" t="s">
        <v>1055</v>
      </c>
    </row>
    <row r="445" spans="1:7" ht="18.95" customHeight="1" x14ac:dyDescent="0.2">
      <c r="A445" s="154" t="s">
        <v>583</v>
      </c>
      <c r="B445" s="155" t="s">
        <v>584</v>
      </c>
      <c r="C445" s="735"/>
      <c r="D445" s="739"/>
      <c r="E445" s="739"/>
      <c r="F445" s="743"/>
      <c r="G445" s="739"/>
    </row>
    <row r="446" spans="1:7" ht="18.95" customHeight="1" x14ac:dyDescent="0.2">
      <c r="A446" s="156"/>
      <c r="B446" s="142"/>
      <c r="C446" s="157" t="s">
        <v>1041</v>
      </c>
      <c r="D446" s="150"/>
      <c r="E446" s="142"/>
      <c r="F446" s="142"/>
      <c r="G446" s="341"/>
    </row>
    <row r="447" spans="1:7" ht="18.95" customHeight="1" x14ac:dyDescent="0.2">
      <c r="A447" s="347" t="str">
        <f t="shared" ref="A447:A454" si="123">IFERROR(VLOOKUP(C447,Tabla_Insumos,4,FALSE),"")</f>
        <v/>
      </c>
      <c r="B447" s="289" t="str">
        <f t="shared" ref="B447:B454" si="124">IFERROR(VLOOKUP(C447,Tabla_Insumos,5,FALSE),"")</f>
        <v/>
      </c>
      <c r="C447" s="289"/>
      <c r="D447" s="606">
        <f t="shared" ref="D447:D454" si="125">IFERROR(VLOOKUP(C447,Tabla_Insumos,3,FALSE),0)</f>
        <v>0</v>
      </c>
      <c r="E447" s="348">
        <f>D447*$G$21</f>
        <v>0</v>
      </c>
      <c r="F447" s="349">
        <f>IF(C447="",0,D442)</f>
        <v>0</v>
      </c>
      <c r="G447" s="346">
        <f>IFERROR(ROUND(E447/F447,2),0)</f>
        <v>0</v>
      </c>
    </row>
    <row r="448" spans="1:7" ht="18.95" customHeight="1" x14ac:dyDescent="0.2">
      <c r="A448" s="347" t="str">
        <f t="shared" si="123"/>
        <v/>
      </c>
      <c r="B448" s="289" t="str">
        <f t="shared" si="124"/>
        <v/>
      </c>
      <c r="C448" s="320"/>
      <c r="D448" s="606">
        <f t="shared" si="125"/>
        <v>0</v>
      </c>
      <c r="E448" s="348">
        <f t="shared" ref="E448:E449" si="126">D448*$G$21</f>
        <v>0</v>
      </c>
      <c r="F448" s="349">
        <f t="shared" ref="F448:F451" si="127">IF(C448="",0,F447)</f>
        <v>0</v>
      </c>
      <c r="G448" s="346">
        <f t="shared" ref="G448:G454" si="128">IFERROR(ROUND(E448/F448,2),0)</f>
        <v>0</v>
      </c>
    </row>
    <row r="449" spans="1:7" ht="18.95" customHeight="1" x14ac:dyDescent="0.2">
      <c r="A449" s="347" t="str">
        <f t="shared" si="123"/>
        <v/>
      </c>
      <c r="B449" s="289" t="str">
        <f t="shared" si="124"/>
        <v/>
      </c>
      <c r="C449" s="320"/>
      <c r="D449" s="606">
        <f t="shared" si="125"/>
        <v>0</v>
      </c>
      <c r="E449" s="348">
        <f t="shared" si="126"/>
        <v>0</v>
      </c>
      <c r="F449" s="349">
        <f t="shared" si="127"/>
        <v>0</v>
      </c>
      <c r="G449" s="346">
        <f t="shared" si="128"/>
        <v>0</v>
      </c>
    </row>
    <row r="450" spans="1:7" ht="18.95" customHeight="1" x14ac:dyDescent="0.2">
      <c r="A450" s="347" t="str">
        <f t="shared" si="123"/>
        <v/>
      </c>
      <c r="B450" s="289" t="str">
        <f t="shared" si="124"/>
        <v/>
      </c>
      <c r="C450" s="320"/>
      <c r="D450" s="606">
        <f t="shared" si="125"/>
        <v>0</v>
      </c>
      <c r="E450" s="348">
        <f>D450*$E$21</f>
        <v>0</v>
      </c>
      <c r="F450" s="349">
        <f t="shared" si="127"/>
        <v>0</v>
      </c>
      <c r="G450" s="346">
        <f t="shared" si="128"/>
        <v>0</v>
      </c>
    </row>
    <row r="451" spans="1:7" ht="18.95" customHeight="1" x14ac:dyDescent="0.2">
      <c r="A451" s="347" t="str">
        <f t="shared" si="123"/>
        <v/>
      </c>
      <c r="B451" s="289" t="str">
        <f t="shared" si="124"/>
        <v/>
      </c>
      <c r="C451" s="320"/>
      <c r="D451" s="606">
        <f t="shared" si="125"/>
        <v>0</v>
      </c>
      <c r="E451" s="348">
        <f>D451*$E$21</f>
        <v>0</v>
      </c>
      <c r="F451" s="349">
        <f t="shared" si="127"/>
        <v>0</v>
      </c>
      <c r="G451" s="346">
        <f t="shared" si="128"/>
        <v>0</v>
      </c>
    </row>
    <row r="452" spans="1:7" ht="18.95" customHeight="1" x14ac:dyDescent="0.2">
      <c r="A452" s="347" t="str">
        <f t="shared" si="123"/>
        <v/>
      </c>
      <c r="B452" s="289" t="str">
        <f t="shared" si="124"/>
        <v/>
      </c>
      <c r="C452" s="320"/>
      <c r="D452" s="606">
        <f t="shared" si="125"/>
        <v>0</v>
      </c>
      <c r="E452" s="348"/>
      <c r="F452" s="349">
        <f>IF(C452="",0,F451)</f>
        <v>0</v>
      </c>
      <c r="G452" s="346">
        <f t="shared" si="128"/>
        <v>0</v>
      </c>
    </row>
    <row r="453" spans="1:7" ht="18.95" customHeight="1" x14ac:dyDescent="0.2">
      <c r="A453" s="347" t="str">
        <f t="shared" si="123"/>
        <v/>
      </c>
      <c r="B453" s="289" t="str">
        <f t="shared" si="124"/>
        <v/>
      </c>
      <c r="C453" s="320"/>
      <c r="D453" s="606">
        <f t="shared" si="125"/>
        <v>0</v>
      </c>
      <c r="E453" s="348"/>
      <c r="F453" s="349">
        <f t="shared" ref="F453:F454" si="129">IF(C453="",0,F452)</f>
        <v>0</v>
      </c>
      <c r="G453" s="346">
        <f t="shared" si="128"/>
        <v>0</v>
      </c>
    </row>
    <row r="454" spans="1:7" ht="18.95" customHeight="1" x14ac:dyDescent="0.2">
      <c r="A454" s="347" t="str">
        <f t="shared" si="123"/>
        <v/>
      </c>
      <c r="B454" s="289" t="str">
        <f t="shared" si="124"/>
        <v/>
      </c>
      <c r="C454" s="320"/>
      <c r="D454" s="606">
        <f t="shared" si="125"/>
        <v>0</v>
      </c>
      <c r="E454" s="348"/>
      <c r="F454" s="349">
        <f t="shared" si="129"/>
        <v>0</v>
      </c>
      <c r="G454" s="346">
        <f t="shared" si="128"/>
        <v>0</v>
      </c>
    </row>
    <row r="455" spans="1:7" ht="18.95" customHeight="1" x14ac:dyDescent="0.2">
      <c r="A455" s="352"/>
      <c r="B455" s="149"/>
      <c r="C455" s="142"/>
      <c r="D455" s="150"/>
      <c r="E455" s="143"/>
      <c r="F455" s="353" t="s">
        <v>29</v>
      </c>
      <c r="G455" s="354">
        <f>SUBTOTAL(9,G447:G454)</f>
        <v>0</v>
      </c>
    </row>
    <row r="456" spans="1:7" ht="18.95" customHeight="1" x14ac:dyDescent="0.2">
      <c r="A456" s="156"/>
      <c r="B456" s="142"/>
      <c r="C456" s="157" t="s">
        <v>722</v>
      </c>
      <c r="D456" s="150"/>
      <c r="E456" s="326"/>
      <c r="F456" s="326"/>
      <c r="G456" s="341"/>
    </row>
    <row r="457" spans="1:7" ht="18.95" customHeight="1" x14ac:dyDescent="0.2">
      <c r="A457" s="732" t="s">
        <v>582</v>
      </c>
      <c r="B457" s="733"/>
      <c r="C457" s="734" t="s">
        <v>0</v>
      </c>
      <c r="D457" s="736" t="s">
        <v>26</v>
      </c>
      <c r="E457" s="738" t="s">
        <v>1707</v>
      </c>
      <c r="F457" s="740" t="s">
        <v>1040</v>
      </c>
      <c r="G457" s="741" t="s">
        <v>28</v>
      </c>
    </row>
    <row r="458" spans="1:7" ht="18.95" customHeight="1" x14ac:dyDescent="0.2">
      <c r="A458" s="154" t="s">
        <v>583</v>
      </c>
      <c r="B458" s="155" t="s">
        <v>584</v>
      </c>
      <c r="C458" s="735"/>
      <c r="D458" s="737"/>
      <c r="E458" s="739"/>
      <c r="F458" s="739"/>
      <c r="G458" s="742"/>
    </row>
    <row r="459" spans="1:7" ht="18.95" customHeight="1" x14ac:dyDescent="0.2">
      <c r="A459" s="347" t="str">
        <f t="shared" ref="A459:A464" si="130">IFERROR(VLOOKUP(C459,Tabla_Insumos,4,FALSE),"")</f>
        <v/>
      </c>
      <c r="B459" s="289" t="str">
        <f t="shared" ref="B459:B464" si="131">IFERROR(VLOOKUP(C459,Tabla_Insumos,5,FALSE),"")</f>
        <v/>
      </c>
      <c r="C459" s="290"/>
      <c r="D459" s="292"/>
      <c r="E459" s="345">
        <f t="shared" ref="E459:E464" si="132">IFERROR(VLOOKUP(C459,Tabla_Insumos,3,FALSE),0)</f>
        <v>0</v>
      </c>
      <c r="F459" s="348">
        <f>IF(C459="",0,D442)</f>
        <v>0</v>
      </c>
      <c r="G459" s="346">
        <f t="shared" ref="G459:G464" si="133">IFERROR(ROUND(D459*E459/F459,2),0)</f>
        <v>0</v>
      </c>
    </row>
    <row r="460" spans="1:7" ht="18.95" customHeight="1" x14ac:dyDescent="0.2">
      <c r="A460" s="347" t="str">
        <f t="shared" si="130"/>
        <v/>
      </c>
      <c r="B460" s="289" t="str">
        <f t="shared" si="131"/>
        <v/>
      </c>
      <c r="C460" s="289"/>
      <c r="D460" s="292"/>
      <c r="E460" s="345">
        <f t="shared" si="132"/>
        <v>0</v>
      </c>
      <c r="F460" s="348">
        <f>IF(C460="",0,F459)</f>
        <v>0</v>
      </c>
      <c r="G460" s="346">
        <f t="shared" si="133"/>
        <v>0</v>
      </c>
    </row>
    <row r="461" spans="1:7" ht="18.95" customHeight="1" x14ac:dyDescent="0.2">
      <c r="A461" s="347" t="str">
        <f t="shared" si="130"/>
        <v/>
      </c>
      <c r="B461" s="289" t="str">
        <f t="shared" si="131"/>
        <v/>
      </c>
      <c r="C461" s="289"/>
      <c r="D461" s="292"/>
      <c r="E461" s="345">
        <f t="shared" si="132"/>
        <v>0</v>
      </c>
      <c r="F461" s="348">
        <f>IF(C461="",0,F460)</f>
        <v>0</v>
      </c>
      <c r="G461" s="346">
        <f t="shared" si="133"/>
        <v>0</v>
      </c>
    </row>
    <row r="462" spans="1:7" ht="18.95" customHeight="1" x14ac:dyDescent="0.2">
      <c r="A462" s="347" t="str">
        <f t="shared" si="130"/>
        <v/>
      </c>
      <c r="B462" s="289" t="str">
        <f t="shared" si="131"/>
        <v/>
      </c>
      <c r="C462" s="289"/>
      <c r="D462" s="292"/>
      <c r="E462" s="345">
        <f t="shared" si="132"/>
        <v>0</v>
      </c>
      <c r="F462" s="348">
        <f>IF(C462="",0,F461)</f>
        <v>0</v>
      </c>
      <c r="G462" s="346">
        <f t="shared" si="133"/>
        <v>0</v>
      </c>
    </row>
    <row r="463" spans="1:7" ht="18.95" customHeight="1" x14ac:dyDescent="0.2">
      <c r="A463" s="347" t="str">
        <f t="shared" si="130"/>
        <v/>
      </c>
      <c r="B463" s="289" t="str">
        <f t="shared" si="131"/>
        <v/>
      </c>
      <c r="C463" s="289"/>
      <c r="D463" s="350"/>
      <c r="E463" s="345">
        <f t="shared" si="132"/>
        <v>0</v>
      </c>
      <c r="F463" s="348">
        <f>IF(C463="",0,F462)</f>
        <v>0</v>
      </c>
      <c r="G463" s="346">
        <f t="shared" si="133"/>
        <v>0</v>
      </c>
    </row>
    <row r="464" spans="1:7" ht="18.95" customHeight="1" x14ac:dyDescent="0.2">
      <c r="A464" s="347" t="str">
        <f t="shared" si="130"/>
        <v/>
      </c>
      <c r="B464" s="289" t="str">
        <f t="shared" si="131"/>
        <v/>
      </c>
      <c r="C464" s="289"/>
      <c r="D464" s="292"/>
      <c r="E464" s="345">
        <f t="shared" si="132"/>
        <v>0</v>
      </c>
      <c r="F464" s="348">
        <f>IF(C464="",0,F463)</f>
        <v>0</v>
      </c>
      <c r="G464" s="346">
        <f t="shared" si="133"/>
        <v>0</v>
      </c>
    </row>
    <row r="465" spans="1:7" ht="18.95" customHeight="1" x14ac:dyDescent="0.2">
      <c r="A465" s="352"/>
      <c r="B465" s="149"/>
      <c r="C465" s="142"/>
      <c r="D465" s="150"/>
      <c r="E465" s="143"/>
      <c r="F465" s="355" t="s">
        <v>30</v>
      </c>
      <c r="G465" s="354">
        <f>SUBTOTAL(9,G459:G464)</f>
        <v>0</v>
      </c>
    </row>
    <row r="466" spans="1:7" ht="18.95" customHeight="1" x14ac:dyDescent="0.2">
      <c r="A466" s="156"/>
      <c r="B466" s="142"/>
      <c r="C466" s="157" t="s">
        <v>1047</v>
      </c>
      <c r="D466" s="150"/>
      <c r="E466" s="326"/>
      <c r="F466" s="326"/>
      <c r="G466" s="341"/>
    </row>
    <row r="467" spans="1:7" ht="18.95" customHeight="1" x14ac:dyDescent="0.2">
      <c r="A467" s="732" t="s">
        <v>582</v>
      </c>
      <c r="B467" s="733"/>
      <c r="C467" s="734" t="s">
        <v>0</v>
      </c>
      <c r="D467" s="734" t="s">
        <v>1655</v>
      </c>
      <c r="E467" s="734" t="s">
        <v>26</v>
      </c>
      <c r="F467" s="734" t="s">
        <v>27</v>
      </c>
      <c r="G467" s="741" t="s">
        <v>28</v>
      </c>
    </row>
    <row r="468" spans="1:7" ht="18.95" customHeight="1" x14ac:dyDescent="0.2">
      <c r="A468" s="154" t="s">
        <v>583</v>
      </c>
      <c r="B468" s="155" t="s">
        <v>584</v>
      </c>
      <c r="C468" s="735"/>
      <c r="D468" s="735"/>
      <c r="E468" s="735"/>
      <c r="F468" s="735"/>
      <c r="G468" s="742"/>
    </row>
    <row r="469" spans="1:7" ht="18.95" customHeight="1" x14ac:dyDescent="0.2">
      <c r="A469" s="347" t="str">
        <f t="shared" ref="A469:A480" si="134">IFERROR(VLOOKUP(C469,Tabla_Insumos,4,FALSE),"")</f>
        <v/>
      </c>
      <c r="B469" s="289" t="str">
        <f t="shared" ref="B469:B480" si="135">IFERROR(VLOOKUP(C469,Tabla_Insumos,5,FALSE),"")</f>
        <v/>
      </c>
      <c r="C469" s="289"/>
      <c r="D469" s="607">
        <f t="shared" ref="D469:D480" si="136">IFERROR(VLOOKUP(C469,Tabla_Insumos,2,FALSE),0)</f>
        <v>0</v>
      </c>
      <c r="E469" s="292"/>
      <c r="F469" s="345">
        <f t="shared" ref="F469:F480" si="137">IFERROR(VLOOKUP(C469,Tabla_Insumos,3,FALSE),0)</f>
        <v>0</v>
      </c>
      <c r="G469" s="346">
        <f t="shared" ref="G469:G480" si="138">ROUND(E469*F469,2)</f>
        <v>0</v>
      </c>
    </row>
    <row r="470" spans="1:7" ht="18.95" customHeight="1" x14ac:dyDescent="0.2">
      <c r="A470" s="347" t="str">
        <f t="shared" si="134"/>
        <v/>
      </c>
      <c r="B470" s="289" t="str">
        <f t="shared" si="135"/>
        <v/>
      </c>
      <c r="C470" s="126"/>
      <c r="D470" s="607">
        <f t="shared" si="136"/>
        <v>0</v>
      </c>
      <c r="E470" s="292"/>
      <c r="F470" s="345">
        <f t="shared" si="137"/>
        <v>0</v>
      </c>
      <c r="G470" s="346">
        <f t="shared" si="138"/>
        <v>0</v>
      </c>
    </row>
    <row r="471" spans="1:7" ht="18.95" customHeight="1" x14ac:dyDescent="0.2">
      <c r="A471" s="347" t="str">
        <f t="shared" si="134"/>
        <v/>
      </c>
      <c r="B471" s="289" t="str">
        <f t="shared" si="135"/>
        <v/>
      </c>
      <c r="C471" s="289"/>
      <c r="D471" s="607">
        <f t="shared" si="136"/>
        <v>0</v>
      </c>
      <c r="E471" s="292"/>
      <c r="F471" s="345">
        <f t="shared" si="137"/>
        <v>0</v>
      </c>
      <c r="G471" s="346">
        <f t="shared" si="138"/>
        <v>0</v>
      </c>
    </row>
    <row r="472" spans="1:7" ht="18.95" customHeight="1" x14ac:dyDescent="0.2">
      <c r="A472" s="347" t="str">
        <f t="shared" si="134"/>
        <v/>
      </c>
      <c r="B472" s="289" t="str">
        <f t="shared" si="135"/>
        <v/>
      </c>
      <c r="C472" s="289"/>
      <c r="D472" s="607">
        <f t="shared" si="136"/>
        <v>0</v>
      </c>
      <c r="E472" s="292"/>
      <c r="F472" s="345">
        <f t="shared" si="137"/>
        <v>0</v>
      </c>
      <c r="G472" s="346">
        <f t="shared" si="138"/>
        <v>0</v>
      </c>
    </row>
    <row r="473" spans="1:7" ht="18.95" customHeight="1" x14ac:dyDescent="0.2">
      <c r="A473" s="347" t="str">
        <f t="shared" si="134"/>
        <v/>
      </c>
      <c r="B473" s="289" t="str">
        <f t="shared" si="135"/>
        <v/>
      </c>
      <c r="C473" s="289"/>
      <c r="D473" s="607">
        <f t="shared" si="136"/>
        <v>0</v>
      </c>
      <c r="E473" s="292"/>
      <c r="F473" s="345">
        <f t="shared" si="137"/>
        <v>0</v>
      </c>
      <c r="G473" s="346">
        <f t="shared" si="138"/>
        <v>0</v>
      </c>
    </row>
    <row r="474" spans="1:7" ht="18.95" customHeight="1" x14ac:dyDescent="0.2">
      <c r="A474" s="347" t="str">
        <f t="shared" si="134"/>
        <v/>
      </c>
      <c r="B474" s="289" t="str">
        <f t="shared" si="135"/>
        <v/>
      </c>
      <c r="C474" s="289"/>
      <c r="D474" s="607">
        <f t="shared" si="136"/>
        <v>0</v>
      </c>
      <c r="E474" s="292"/>
      <c r="F474" s="345">
        <f t="shared" si="137"/>
        <v>0</v>
      </c>
      <c r="G474" s="346">
        <f t="shared" si="138"/>
        <v>0</v>
      </c>
    </row>
    <row r="475" spans="1:7" ht="18.95" customHeight="1" x14ac:dyDescent="0.2">
      <c r="A475" s="347" t="str">
        <f t="shared" si="134"/>
        <v/>
      </c>
      <c r="B475" s="289" t="str">
        <f t="shared" si="135"/>
        <v/>
      </c>
      <c r="C475" s="289"/>
      <c r="D475" s="607">
        <f t="shared" si="136"/>
        <v>0</v>
      </c>
      <c r="E475" s="292"/>
      <c r="F475" s="345">
        <f t="shared" si="137"/>
        <v>0</v>
      </c>
      <c r="G475" s="346">
        <f t="shared" si="138"/>
        <v>0</v>
      </c>
    </row>
    <row r="476" spans="1:7" s="294" customFormat="1" ht="18.95" customHeight="1" x14ac:dyDescent="0.2">
      <c r="A476" s="347" t="str">
        <f t="shared" si="134"/>
        <v/>
      </c>
      <c r="B476" s="289" t="str">
        <f t="shared" si="135"/>
        <v/>
      </c>
      <c r="C476" s="289"/>
      <c r="D476" s="607">
        <f t="shared" si="136"/>
        <v>0</v>
      </c>
      <c r="E476" s="322"/>
      <c r="F476" s="345">
        <f t="shared" si="137"/>
        <v>0</v>
      </c>
      <c r="G476" s="346">
        <f t="shared" si="138"/>
        <v>0</v>
      </c>
    </row>
    <row r="477" spans="1:7" ht="18.95" customHeight="1" x14ac:dyDescent="0.2">
      <c r="A477" s="347" t="str">
        <f t="shared" si="134"/>
        <v/>
      </c>
      <c r="B477" s="289" t="str">
        <f t="shared" si="135"/>
        <v/>
      </c>
      <c r="C477" s="289"/>
      <c r="D477" s="607">
        <f t="shared" si="136"/>
        <v>0</v>
      </c>
      <c r="E477" s="292"/>
      <c r="F477" s="345">
        <f t="shared" si="137"/>
        <v>0</v>
      </c>
      <c r="G477" s="346">
        <f t="shared" si="138"/>
        <v>0</v>
      </c>
    </row>
    <row r="478" spans="1:7" ht="18.95" customHeight="1" x14ac:dyDescent="0.2">
      <c r="A478" s="347" t="str">
        <f t="shared" si="134"/>
        <v/>
      </c>
      <c r="B478" s="289" t="str">
        <f t="shared" si="135"/>
        <v/>
      </c>
      <c r="C478" s="289"/>
      <c r="D478" s="607">
        <f t="shared" si="136"/>
        <v>0</v>
      </c>
      <c r="E478" s="292"/>
      <c r="F478" s="345">
        <f t="shared" si="137"/>
        <v>0</v>
      </c>
      <c r="G478" s="346">
        <f t="shared" si="138"/>
        <v>0</v>
      </c>
    </row>
    <row r="479" spans="1:7" ht="18.95" customHeight="1" x14ac:dyDescent="0.2">
      <c r="A479" s="347" t="str">
        <f t="shared" si="134"/>
        <v/>
      </c>
      <c r="B479" s="289" t="str">
        <f t="shared" si="135"/>
        <v/>
      </c>
      <c r="C479" s="289"/>
      <c r="D479" s="607">
        <f t="shared" si="136"/>
        <v>0</v>
      </c>
      <c r="E479" s="292"/>
      <c r="F479" s="345">
        <f t="shared" si="137"/>
        <v>0</v>
      </c>
      <c r="G479" s="346">
        <f t="shared" si="138"/>
        <v>0</v>
      </c>
    </row>
    <row r="480" spans="1:7" ht="18.95" customHeight="1" x14ac:dyDescent="0.2">
      <c r="A480" s="347" t="str">
        <f t="shared" si="134"/>
        <v/>
      </c>
      <c r="B480" s="289" t="str">
        <f t="shared" si="135"/>
        <v/>
      </c>
      <c r="C480" s="289"/>
      <c r="D480" s="607">
        <f t="shared" si="136"/>
        <v>0</v>
      </c>
      <c r="E480" s="292"/>
      <c r="F480" s="345">
        <f t="shared" si="137"/>
        <v>0</v>
      </c>
      <c r="G480" s="346">
        <f t="shared" si="138"/>
        <v>0</v>
      </c>
    </row>
    <row r="481" spans="1:8" ht="18.95" customHeight="1" x14ac:dyDescent="0.2">
      <c r="A481" s="156"/>
      <c r="B481" s="142"/>
      <c r="C481" s="142"/>
      <c r="D481" s="150"/>
      <c r="E481" s="143"/>
      <c r="F481" s="355" t="s">
        <v>31</v>
      </c>
      <c r="G481" s="354">
        <f>SUBTOTAL(9,G469:G480)</f>
        <v>0</v>
      </c>
    </row>
    <row r="482" spans="1:8" ht="18.95" customHeight="1" x14ac:dyDescent="0.2">
      <c r="A482" s="156"/>
      <c r="B482" s="142"/>
      <c r="C482" s="157" t="s">
        <v>1048</v>
      </c>
      <c r="D482" s="150"/>
      <c r="E482" s="326"/>
      <c r="F482" s="326"/>
      <c r="G482" s="341"/>
    </row>
    <row r="483" spans="1:8" ht="18.95" customHeight="1" x14ac:dyDescent="0.2">
      <c r="A483" s="732" t="s">
        <v>582</v>
      </c>
      <c r="B483" s="733"/>
      <c r="C483" s="734" t="s">
        <v>0</v>
      </c>
      <c r="D483" s="736" t="s">
        <v>1750</v>
      </c>
      <c r="E483" s="740" t="s">
        <v>26</v>
      </c>
      <c r="F483" s="740" t="s">
        <v>27</v>
      </c>
      <c r="G483" s="741" t="s">
        <v>28</v>
      </c>
    </row>
    <row r="484" spans="1:8" ht="18.95" customHeight="1" x14ac:dyDescent="0.2">
      <c r="A484" s="154" t="s">
        <v>583</v>
      </c>
      <c r="B484" s="155" t="s">
        <v>584</v>
      </c>
      <c r="C484" s="735"/>
      <c r="D484" s="737"/>
      <c r="E484" s="739"/>
      <c r="F484" s="739"/>
      <c r="G484" s="742"/>
    </row>
    <row r="485" spans="1:8" ht="18.95" customHeight="1" x14ac:dyDescent="0.2">
      <c r="A485" s="347" t="str">
        <f>IFERROR(VLOOKUP(C485,Tabla_Insumos,4,FALSE),"")</f>
        <v/>
      </c>
      <c r="B485" s="289" t="s">
        <v>4</v>
      </c>
      <c r="C485" s="289"/>
      <c r="D485" s="292"/>
      <c r="E485" s="321"/>
      <c r="F485" s="323"/>
      <c r="G485" s="346">
        <f t="shared" ref="G485" si="139">ROUND(E485*F485,2)</f>
        <v>0</v>
      </c>
    </row>
    <row r="486" spans="1:8" ht="18.95" customHeight="1" x14ac:dyDescent="0.2">
      <c r="A486" s="156"/>
      <c r="B486" s="142"/>
      <c r="C486" s="142"/>
      <c r="D486" s="150"/>
      <c r="E486" s="143"/>
      <c r="F486" s="355" t="s">
        <v>1049</v>
      </c>
      <c r="G486" s="354">
        <f>SUBTOTAL(9,G485:G485)</f>
        <v>0</v>
      </c>
    </row>
    <row r="487" spans="1:8" ht="18.95" customHeight="1" thickBot="1" x14ac:dyDescent="0.25">
      <c r="A487" s="158"/>
      <c r="B487" s="159"/>
      <c r="C487" s="160"/>
      <c r="D487" s="161"/>
      <c r="E487" s="356"/>
      <c r="F487" s="356"/>
      <c r="G487" s="357"/>
    </row>
    <row r="488" spans="1:8" ht="18.95" customHeight="1" x14ac:dyDescent="0.2">
      <c r="A488" s="358">
        <f>B427</f>
        <v>7</v>
      </c>
      <c r="B488" s="359" t="str">
        <f>C427</f>
        <v>DEMARCACION HORIZONTAL CON PINTURA ACRILICA APLICADA EN FRIO</v>
      </c>
      <c r="C488" s="360"/>
      <c r="D488" s="360"/>
      <c r="E488" s="360" t="s">
        <v>1050</v>
      </c>
      <c r="F488" s="361" t="str">
        <f>CONCATENATE("$/",G427)</f>
        <v>$/m2</v>
      </c>
      <c r="G488" s="362">
        <f>SUBTOTAL(9,G447:G487)</f>
        <v>0</v>
      </c>
    </row>
    <row r="489" spans="1:8" ht="18.95" customHeight="1" thickBot="1" x14ac:dyDescent="0.25">
      <c r="A489" s="363"/>
      <c r="B489" s="364"/>
      <c r="C489" s="364"/>
      <c r="D489" s="364"/>
      <c r="E489" s="365" t="s">
        <v>1051</v>
      </c>
      <c r="F489" s="366" t="str">
        <f>CONCATENATE("$/",G427)</f>
        <v>$/m2</v>
      </c>
      <c r="G489" s="367" t="e">
        <f ca="1">PrecioUnitario(G488,GG_Porcentaje,Beneficio,Ingresos_Brutos,IVA)</f>
        <v>#NAME?</v>
      </c>
    </row>
    <row r="490" spans="1:8" ht="18.95" customHeight="1" thickTop="1" thickBot="1" x14ac:dyDescent="0.25">
      <c r="F490" s="293"/>
      <c r="G490" s="293"/>
    </row>
    <row r="491" spans="1:8" ht="18.95" customHeight="1" thickTop="1" x14ac:dyDescent="0.2">
      <c r="A491" s="193" t="s">
        <v>33</v>
      </c>
      <c r="B491" s="194"/>
      <c r="C491" s="194"/>
      <c r="D491" s="194"/>
      <c r="E491" s="194"/>
      <c r="F491" s="194"/>
      <c r="G491" s="195"/>
      <c r="H491" s="143">
        <f>COUNTIF($A$1:A497,"ANALISIS DE PRECIOS")</f>
        <v>8</v>
      </c>
    </row>
    <row r="492" spans="1:8" ht="18.95" customHeight="1" x14ac:dyDescent="0.2">
      <c r="A492" s="144" t="s">
        <v>720</v>
      </c>
      <c r="B492" s="145" t="str">
        <f>Comitente</f>
        <v>DIRECCIÓN PROVINCIAL DE VIALIDAD</v>
      </c>
      <c r="C492" s="139"/>
      <c r="D492" s="146"/>
      <c r="E492" s="324"/>
      <c r="F492" s="324"/>
      <c r="G492" s="325"/>
      <c r="H492" s="143"/>
    </row>
    <row r="493" spans="1:8" ht="18.95" customHeight="1" x14ac:dyDescent="0.2">
      <c r="A493" s="144" t="s">
        <v>721</v>
      </c>
      <c r="B493" s="145">
        <f>Contratista</f>
        <v>0</v>
      </c>
      <c r="C493" s="140"/>
      <c r="D493" s="140"/>
      <c r="E493" s="145"/>
      <c r="F493" s="145"/>
      <c r="G493" s="147"/>
      <c r="H493" s="143"/>
    </row>
    <row r="494" spans="1:8" ht="18.95" customHeight="1" x14ac:dyDescent="0.2">
      <c r="A494" s="144" t="s">
        <v>23</v>
      </c>
      <c r="B494" s="145" t="str">
        <f>Obra</f>
        <v>PAVIMENTACION RUTAS VARIAS</v>
      </c>
      <c r="C494" s="140"/>
      <c r="D494" s="140"/>
      <c r="E494" s="143"/>
      <c r="F494" s="145" t="s">
        <v>34</v>
      </c>
      <c r="G494" s="147">
        <f>Fecha_Base</f>
        <v>43411</v>
      </c>
      <c r="H494" s="143"/>
    </row>
    <row r="495" spans="1:8" ht="18.95" customHeight="1" x14ac:dyDescent="0.2">
      <c r="A495" s="148" t="s">
        <v>719</v>
      </c>
      <c r="B495" s="141" t="str">
        <f>Ubicación</f>
        <v>POCITO</v>
      </c>
      <c r="C495" s="141"/>
      <c r="D495" s="150"/>
      <c r="E495" s="143"/>
      <c r="F495" s="326"/>
      <c r="G495" s="327"/>
      <c r="H495" s="143"/>
    </row>
    <row r="496" spans="1:8" ht="18.95" customHeight="1" x14ac:dyDescent="0.2">
      <c r="A496" s="148" t="s">
        <v>35</v>
      </c>
      <c r="B496" s="151" t="str">
        <f>IFERROR(VALUE(LEFT(B497,FIND("-",B497)-1)),"")</f>
        <v/>
      </c>
      <c r="C496" s="142" t="str">
        <f>IFERROR(VLOOKUP(B496,Tabla_CyP,2,FALSE),"")</f>
        <v/>
      </c>
      <c r="D496" s="150"/>
      <c r="E496" s="143"/>
      <c r="F496" s="326"/>
      <c r="G496" s="327"/>
      <c r="H496" s="143"/>
    </row>
    <row r="497" spans="1:8" ht="18.95" customHeight="1" x14ac:dyDescent="0.2">
      <c r="A497" s="148" t="s">
        <v>24</v>
      </c>
      <c r="B497" s="152">
        <f>IFERROR(VLOOKUP(COUNTIF($A$1:A497,"ANALISIS DE PRECIOS"),Tabla_NumeroItem,4,FALSE),"")</f>
        <v>8</v>
      </c>
      <c r="C497" s="731" t="str">
        <f>IFERROR(VLOOKUP(B497,Tabla_CyP,2,FALSE),"")</f>
        <v>CUMPLIMIENTO DE MANEJO AMBIENTAL</v>
      </c>
      <c r="D497" s="731"/>
      <c r="E497" s="731"/>
      <c r="F497" s="141" t="s">
        <v>25</v>
      </c>
      <c r="G497" s="153" t="str">
        <f>IFERROR(VLOOKUP(B497,Tabla_CyP,4,FALSE),"")</f>
        <v>mes</v>
      </c>
      <c r="H497" s="143"/>
    </row>
    <row r="498" spans="1:8" ht="18.95" customHeight="1" x14ac:dyDescent="0.2">
      <c r="A498" s="148"/>
      <c r="B498" s="141"/>
      <c r="C498" s="142"/>
      <c r="D498" s="150"/>
      <c r="E498" s="142"/>
      <c r="F498" s="142"/>
      <c r="G498" s="328"/>
      <c r="H498" s="143"/>
    </row>
    <row r="499" spans="1:8" ht="18.95" customHeight="1" x14ac:dyDescent="0.2">
      <c r="A499" s="329"/>
      <c r="B499" s="330"/>
      <c r="C499" s="331" t="s">
        <v>1032</v>
      </c>
      <c r="D499" s="330"/>
      <c r="E499" s="330"/>
      <c r="F499" s="330"/>
      <c r="G499" s="332"/>
      <c r="H499" s="143"/>
    </row>
    <row r="500" spans="1:8" ht="18.95" customHeight="1" x14ac:dyDescent="0.2">
      <c r="A500" s="148"/>
      <c r="B500" s="333"/>
      <c r="C500" s="334" t="s">
        <v>1033</v>
      </c>
      <c r="D500" s="335" t="s">
        <v>26</v>
      </c>
      <c r="E500" s="335" t="s">
        <v>1034</v>
      </c>
      <c r="F500" s="335" t="s">
        <v>1035</v>
      </c>
      <c r="G500" s="336" t="s">
        <v>1036</v>
      </c>
      <c r="H500" s="143"/>
    </row>
    <row r="501" spans="1:8" ht="18.95" customHeight="1" x14ac:dyDescent="0.2">
      <c r="A501" s="342"/>
      <c r="B501" s="343"/>
      <c r="C501" s="289"/>
      <c r="D501" s="292"/>
      <c r="E501" s="344"/>
      <c r="F501" s="345"/>
      <c r="G501" s="346">
        <f t="shared" ref="G501:G510" si="140">ROUND(D501*F501,2)</f>
        <v>0</v>
      </c>
    </row>
    <row r="502" spans="1:8" ht="18.95" customHeight="1" x14ac:dyDescent="0.2">
      <c r="A502" s="342"/>
      <c r="B502" s="343"/>
      <c r="C502" s="289"/>
      <c r="D502" s="292"/>
      <c r="E502" s="344"/>
      <c r="F502" s="345"/>
      <c r="G502" s="346">
        <f t="shared" si="140"/>
        <v>0</v>
      </c>
    </row>
    <row r="503" spans="1:8" ht="18.95" customHeight="1" x14ac:dyDescent="0.2">
      <c r="A503" s="342"/>
      <c r="B503" s="343"/>
      <c r="C503" s="289"/>
      <c r="D503" s="292"/>
      <c r="E503" s="344">
        <f t="shared" ref="E503:E510" si="141">IFERROR(VLOOKUP(C503,T_Equipos,4,FALSE),0)</f>
        <v>0</v>
      </c>
      <c r="F503" s="345">
        <f t="shared" ref="F503:F510" si="142">IFERROR(VLOOKUP(C503,T_Equipos,11,FALSE),0)</f>
        <v>0</v>
      </c>
      <c r="G503" s="346">
        <f t="shared" si="140"/>
        <v>0</v>
      </c>
    </row>
    <row r="504" spans="1:8" ht="18.95" customHeight="1" x14ac:dyDescent="0.2">
      <c r="A504" s="342"/>
      <c r="B504" s="343"/>
      <c r="C504" s="289"/>
      <c r="D504" s="292"/>
      <c r="E504" s="344">
        <f t="shared" si="141"/>
        <v>0</v>
      </c>
      <c r="F504" s="345">
        <f t="shared" si="142"/>
        <v>0</v>
      </c>
      <c r="G504" s="346">
        <f t="shared" si="140"/>
        <v>0</v>
      </c>
    </row>
    <row r="505" spans="1:8" ht="18.95" customHeight="1" x14ac:dyDescent="0.2">
      <c r="A505" s="342"/>
      <c r="B505" s="343"/>
      <c r="C505" s="289"/>
      <c r="D505" s="292"/>
      <c r="E505" s="344">
        <f t="shared" si="141"/>
        <v>0</v>
      </c>
      <c r="F505" s="345">
        <f t="shared" si="142"/>
        <v>0</v>
      </c>
      <c r="G505" s="346">
        <f t="shared" si="140"/>
        <v>0</v>
      </c>
    </row>
    <row r="506" spans="1:8" ht="18.95" customHeight="1" x14ac:dyDescent="0.2">
      <c r="A506" s="342"/>
      <c r="B506" s="343"/>
      <c r="C506" s="289"/>
      <c r="D506" s="292"/>
      <c r="E506" s="344">
        <f t="shared" si="141"/>
        <v>0</v>
      </c>
      <c r="F506" s="345">
        <f t="shared" si="142"/>
        <v>0</v>
      </c>
      <c r="G506" s="346">
        <f t="shared" si="140"/>
        <v>0</v>
      </c>
    </row>
    <row r="507" spans="1:8" ht="18.95" customHeight="1" x14ac:dyDescent="0.2">
      <c r="A507" s="342"/>
      <c r="B507" s="343"/>
      <c r="C507" s="289"/>
      <c r="D507" s="292"/>
      <c r="E507" s="344">
        <f t="shared" si="141"/>
        <v>0</v>
      </c>
      <c r="F507" s="345">
        <f t="shared" si="142"/>
        <v>0</v>
      </c>
      <c r="G507" s="346">
        <f t="shared" si="140"/>
        <v>0</v>
      </c>
    </row>
    <row r="508" spans="1:8" ht="18.95" customHeight="1" x14ac:dyDescent="0.2">
      <c r="A508" s="342"/>
      <c r="B508" s="343"/>
      <c r="C508" s="289"/>
      <c r="D508" s="292"/>
      <c r="E508" s="344">
        <f t="shared" si="141"/>
        <v>0</v>
      </c>
      <c r="F508" s="345">
        <f t="shared" si="142"/>
        <v>0</v>
      </c>
      <c r="G508" s="346">
        <f t="shared" si="140"/>
        <v>0</v>
      </c>
    </row>
    <row r="509" spans="1:8" ht="18.95" customHeight="1" x14ac:dyDescent="0.2">
      <c r="A509" s="342"/>
      <c r="B509" s="343"/>
      <c r="C509" s="289"/>
      <c r="D509" s="292"/>
      <c r="E509" s="344">
        <f t="shared" si="141"/>
        <v>0</v>
      </c>
      <c r="F509" s="345">
        <f t="shared" si="142"/>
        <v>0</v>
      </c>
      <c r="G509" s="346">
        <f t="shared" si="140"/>
        <v>0</v>
      </c>
    </row>
    <row r="510" spans="1:8" ht="18.95" customHeight="1" thickBot="1" x14ac:dyDescent="0.25">
      <c r="A510" s="342"/>
      <c r="B510" s="343"/>
      <c r="C510" s="289"/>
      <c r="D510" s="292"/>
      <c r="E510" s="344">
        <f t="shared" si="141"/>
        <v>0</v>
      </c>
      <c r="F510" s="345">
        <f t="shared" si="142"/>
        <v>0</v>
      </c>
      <c r="G510" s="346">
        <f t="shared" si="140"/>
        <v>0</v>
      </c>
    </row>
    <row r="511" spans="1:8" ht="18.95" customHeight="1" thickBot="1" x14ac:dyDescent="0.25">
      <c r="A511" s="148"/>
      <c r="B511" s="333"/>
      <c r="C511" s="143"/>
      <c r="D511" s="146" t="s">
        <v>1037</v>
      </c>
      <c r="E511" s="337">
        <f>SUMPRODUCT(D501:D510,E501:E510)</f>
        <v>0</v>
      </c>
      <c r="F511" s="141" t="s">
        <v>1038</v>
      </c>
      <c r="G511" s="338">
        <f>SUM(G501:G510)</f>
        <v>0</v>
      </c>
    </row>
    <row r="512" spans="1:8" ht="18.95" customHeight="1" x14ac:dyDescent="0.2">
      <c r="A512" s="148"/>
      <c r="B512" s="333"/>
      <c r="C512" s="141" t="s">
        <v>1039</v>
      </c>
      <c r="D512" s="319"/>
      <c r="E512" s="339" t="str">
        <f>CONCATENATE(G497,"/día")</f>
        <v>mes/día</v>
      </c>
      <c r="F512" s="141"/>
      <c r="G512" s="340"/>
    </row>
    <row r="513" spans="1:7" ht="18.95" customHeight="1" x14ac:dyDescent="0.2">
      <c r="A513" s="148"/>
      <c r="B513" s="333"/>
      <c r="C513" s="142"/>
      <c r="D513" s="150"/>
      <c r="E513" s="141"/>
      <c r="F513" s="141"/>
      <c r="G513" s="340"/>
    </row>
    <row r="514" spans="1:7" ht="18.95" customHeight="1" x14ac:dyDescent="0.2">
      <c r="A514" s="732" t="s">
        <v>582</v>
      </c>
      <c r="B514" s="733"/>
      <c r="C514" s="734" t="s">
        <v>0</v>
      </c>
      <c r="D514" s="738" t="s">
        <v>1053</v>
      </c>
      <c r="E514" s="738" t="s">
        <v>1706</v>
      </c>
      <c r="F514" s="738" t="s">
        <v>1054</v>
      </c>
      <c r="G514" s="738" t="s">
        <v>1055</v>
      </c>
    </row>
    <row r="515" spans="1:7" ht="18.95" customHeight="1" x14ac:dyDescent="0.2">
      <c r="A515" s="154" t="s">
        <v>583</v>
      </c>
      <c r="B515" s="155" t="s">
        <v>584</v>
      </c>
      <c r="C515" s="735"/>
      <c r="D515" s="739"/>
      <c r="E515" s="739"/>
      <c r="F515" s="743"/>
      <c r="G515" s="739"/>
    </row>
    <row r="516" spans="1:7" ht="18.95" customHeight="1" x14ac:dyDescent="0.2">
      <c r="A516" s="156"/>
      <c r="B516" s="142"/>
      <c r="C516" s="157" t="s">
        <v>1041</v>
      </c>
      <c r="D516" s="150"/>
      <c r="E516" s="142"/>
      <c r="F516" s="142"/>
      <c r="G516" s="341"/>
    </row>
    <row r="517" spans="1:7" ht="18.95" customHeight="1" x14ac:dyDescent="0.2">
      <c r="A517" s="347" t="str">
        <f t="shared" ref="A517:A524" si="143">IFERROR(VLOOKUP(C517,Tabla_Insumos,4,FALSE),"")</f>
        <v/>
      </c>
      <c r="B517" s="289" t="str">
        <f t="shared" ref="B517:B524" si="144">IFERROR(VLOOKUP(C517,Tabla_Insumos,5,FALSE),"")</f>
        <v/>
      </c>
      <c r="C517" s="289"/>
      <c r="D517" s="606">
        <f t="shared" ref="D517:D524" si="145">IFERROR(VLOOKUP(C517,Tabla_Insumos,3,FALSE),0)</f>
        <v>0</v>
      </c>
      <c r="E517" s="348">
        <f>D517*$G$21</f>
        <v>0</v>
      </c>
      <c r="F517" s="349">
        <f>IF(C517="",0,D512)</f>
        <v>0</v>
      </c>
      <c r="G517" s="346">
        <f>IFERROR(ROUND(E517/F517,2),0)</f>
        <v>0</v>
      </c>
    </row>
    <row r="518" spans="1:7" ht="18.95" customHeight="1" x14ac:dyDescent="0.2">
      <c r="A518" s="347" t="str">
        <f t="shared" si="143"/>
        <v/>
      </c>
      <c r="B518" s="289" t="str">
        <f t="shared" si="144"/>
        <v/>
      </c>
      <c r="C518" s="320"/>
      <c r="D518" s="606">
        <f t="shared" si="145"/>
        <v>0</v>
      </c>
      <c r="E518" s="348">
        <f t="shared" ref="E518:E519" si="146">D518*$G$21</f>
        <v>0</v>
      </c>
      <c r="F518" s="349">
        <f t="shared" ref="F518:F521" si="147">IF(C518="",0,F517)</f>
        <v>0</v>
      </c>
      <c r="G518" s="346">
        <f t="shared" ref="G518:G524" si="148">IFERROR(ROUND(E518/F518,2),0)</f>
        <v>0</v>
      </c>
    </row>
    <row r="519" spans="1:7" ht="18.95" customHeight="1" x14ac:dyDescent="0.2">
      <c r="A519" s="347" t="str">
        <f t="shared" si="143"/>
        <v/>
      </c>
      <c r="B519" s="289" t="str">
        <f t="shared" si="144"/>
        <v/>
      </c>
      <c r="C519" s="320"/>
      <c r="D519" s="606">
        <f t="shared" si="145"/>
        <v>0</v>
      </c>
      <c r="E519" s="348">
        <f t="shared" si="146"/>
        <v>0</v>
      </c>
      <c r="F519" s="349">
        <f t="shared" si="147"/>
        <v>0</v>
      </c>
      <c r="G519" s="346">
        <f t="shared" si="148"/>
        <v>0</v>
      </c>
    </row>
    <row r="520" spans="1:7" ht="18.95" customHeight="1" x14ac:dyDescent="0.2">
      <c r="A520" s="347" t="str">
        <f t="shared" si="143"/>
        <v/>
      </c>
      <c r="B520" s="289" t="str">
        <f t="shared" si="144"/>
        <v/>
      </c>
      <c r="C520" s="320"/>
      <c r="D520" s="606">
        <f t="shared" si="145"/>
        <v>0</v>
      </c>
      <c r="E520" s="348">
        <f>D520*$E$21</f>
        <v>0</v>
      </c>
      <c r="F520" s="349">
        <f t="shared" si="147"/>
        <v>0</v>
      </c>
      <c r="G520" s="346">
        <f t="shared" si="148"/>
        <v>0</v>
      </c>
    </row>
    <row r="521" spans="1:7" ht="18.95" customHeight="1" x14ac:dyDescent="0.2">
      <c r="A521" s="347" t="str">
        <f t="shared" si="143"/>
        <v/>
      </c>
      <c r="B521" s="289" t="str">
        <f t="shared" si="144"/>
        <v/>
      </c>
      <c r="C521" s="320"/>
      <c r="D521" s="606">
        <f t="shared" si="145"/>
        <v>0</v>
      </c>
      <c r="E521" s="348">
        <f>D521*$E$21</f>
        <v>0</v>
      </c>
      <c r="F521" s="349">
        <f t="shared" si="147"/>
        <v>0</v>
      </c>
      <c r="G521" s="346">
        <f t="shared" si="148"/>
        <v>0</v>
      </c>
    </row>
    <row r="522" spans="1:7" ht="18.95" customHeight="1" x14ac:dyDescent="0.2">
      <c r="A522" s="347" t="str">
        <f t="shared" si="143"/>
        <v/>
      </c>
      <c r="B522" s="289" t="str">
        <f t="shared" si="144"/>
        <v/>
      </c>
      <c r="C522" s="320"/>
      <c r="D522" s="606">
        <f t="shared" si="145"/>
        <v>0</v>
      </c>
      <c r="E522" s="348"/>
      <c r="F522" s="349">
        <f>IF(C522="",0,F521)</f>
        <v>0</v>
      </c>
      <c r="G522" s="346">
        <f t="shared" si="148"/>
        <v>0</v>
      </c>
    </row>
    <row r="523" spans="1:7" ht="18.95" customHeight="1" x14ac:dyDescent="0.2">
      <c r="A523" s="347" t="str">
        <f t="shared" si="143"/>
        <v/>
      </c>
      <c r="B523" s="289" t="str">
        <f t="shared" si="144"/>
        <v/>
      </c>
      <c r="C523" s="320"/>
      <c r="D523" s="606">
        <f t="shared" si="145"/>
        <v>0</v>
      </c>
      <c r="E523" s="348"/>
      <c r="F523" s="349">
        <f t="shared" ref="F523:F524" si="149">IF(C523="",0,F522)</f>
        <v>0</v>
      </c>
      <c r="G523" s="346">
        <f t="shared" si="148"/>
        <v>0</v>
      </c>
    </row>
    <row r="524" spans="1:7" ht="18.95" customHeight="1" x14ac:dyDescent="0.2">
      <c r="A524" s="347" t="str">
        <f t="shared" si="143"/>
        <v/>
      </c>
      <c r="B524" s="289" t="str">
        <f t="shared" si="144"/>
        <v/>
      </c>
      <c r="C524" s="320"/>
      <c r="D524" s="606">
        <f t="shared" si="145"/>
        <v>0</v>
      </c>
      <c r="E524" s="348"/>
      <c r="F524" s="349">
        <f t="shared" si="149"/>
        <v>0</v>
      </c>
      <c r="G524" s="346">
        <f t="shared" si="148"/>
        <v>0</v>
      </c>
    </row>
    <row r="525" spans="1:7" ht="18.95" customHeight="1" x14ac:dyDescent="0.2">
      <c r="A525" s="352"/>
      <c r="B525" s="149"/>
      <c r="C525" s="142"/>
      <c r="D525" s="150"/>
      <c r="E525" s="143"/>
      <c r="F525" s="353" t="s">
        <v>29</v>
      </c>
      <c r="G525" s="354">
        <f>SUBTOTAL(9,G517:G524)</f>
        <v>0</v>
      </c>
    </row>
    <row r="526" spans="1:7" ht="18.95" customHeight="1" x14ac:dyDescent="0.2">
      <c r="A526" s="156"/>
      <c r="B526" s="142"/>
      <c r="C526" s="157" t="s">
        <v>722</v>
      </c>
      <c r="D526" s="150"/>
      <c r="E526" s="326"/>
      <c r="F526" s="326"/>
      <c r="G526" s="341"/>
    </row>
    <row r="527" spans="1:7" ht="18.95" customHeight="1" x14ac:dyDescent="0.2">
      <c r="A527" s="732" t="s">
        <v>582</v>
      </c>
      <c r="B527" s="733"/>
      <c r="C527" s="734" t="s">
        <v>0</v>
      </c>
      <c r="D527" s="736" t="s">
        <v>26</v>
      </c>
      <c r="E527" s="738" t="s">
        <v>1707</v>
      </c>
      <c r="F527" s="740" t="s">
        <v>1040</v>
      </c>
      <c r="G527" s="741" t="s">
        <v>28</v>
      </c>
    </row>
    <row r="528" spans="1:7" ht="18.95" customHeight="1" x14ac:dyDescent="0.2">
      <c r="A528" s="154" t="s">
        <v>583</v>
      </c>
      <c r="B528" s="155" t="s">
        <v>584</v>
      </c>
      <c r="C528" s="735"/>
      <c r="D528" s="737"/>
      <c r="E528" s="739"/>
      <c r="F528" s="739"/>
      <c r="G528" s="742"/>
    </row>
    <row r="529" spans="1:7" ht="18.95" customHeight="1" x14ac:dyDescent="0.2">
      <c r="A529" s="347" t="str">
        <f t="shared" ref="A529:A534" si="150">IFERROR(VLOOKUP(C529,Tabla_Insumos,4,FALSE),"")</f>
        <v/>
      </c>
      <c r="B529" s="289" t="str">
        <f t="shared" ref="B529:B534" si="151">IFERROR(VLOOKUP(C529,Tabla_Insumos,5,FALSE),"")</f>
        <v/>
      </c>
      <c r="C529" s="290"/>
      <c r="D529" s="292"/>
      <c r="E529" s="345">
        <f t="shared" ref="E529:E534" si="152">IFERROR(VLOOKUP(C529,Tabla_Insumos,3,FALSE),0)</f>
        <v>0</v>
      </c>
      <c r="F529" s="348">
        <f>IF(C529="",0,D512)</f>
        <v>0</v>
      </c>
      <c r="G529" s="346">
        <f t="shared" ref="G529:G534" si="153">IFERROR(ROUND(D529*E529/F529,2),0)</f>
        <v>0</v>
      </c>
    </row>
    <row r="530" spans="1:7" ht="18.95" customHeight="1" x14ac:dyDescent="0.2">
      <c r="A530" s="347" t="str">
        <f t="shared" si="150"/>
        <v/>
      </c>
      <c r="B530" s="289" t="str">
        <f t="shared" si="151"/>
        <v/>
      </c>
      <c r="C530" s="289"/>
      <c r="D530" s="292"/>
      <c r="E530" s="345">
        <f t="shared" si="152"/>
        <v>0</v>
      </c>
      <c r="F530" s="348">
        <f>IF(C530="",0,F529)</f>
        <v>0</v>
      </c>
      <c r="G530" s="346">
        <f t="shared" si="153"/>
        <v>0</v>
      </c>
    </row>
    <row r="531" spans="1:7" ht="18.95" customHeight="1" x14ac:dyDescent="0.2">
      <c r="A531" s="347" t="str">
        <f t="shared" si="150"/>
        <v/>
      </c>
      <c r="B531" s="289" t="str">
        <f t="shared" si="151"/>
        <v/>
      </c>
      <c r="C531" s="289"/>
      <c r="D531" s="292"/>
      <c r="E531" s="345">
        <f t="shared" si="152"/>
        <v>0</v>
      </c>
      <c r="F531" s="348">
        <f>IF(C531="",0,F530)</f>
        <v>0</v>
      </c>
      <c r="G531" s="346">
        <f t="shared" si="153"/>
        <v>0</v>
      </c>
    </row>
    <row r="532" spans="1:7" ht="18.95" customHeight="1" x14ac:dyDescent="0.2">
      <c r="A532" s="347" t="str">
        <f t="shared" si="150"/>
        <v/>
      </c>
      <c r="B532" s="289" t="str">
        <f t="shared" si="151"/>
        <v/>
      </c>
      <c r="C532" s="289"/>
      <c r="D532" s="292"/>
      <c r="E532" s="345">
        <f t="shared" si="152"/>
        <v>0</v>
      </c>
      <c r="F532" s="348">
        <f>IF(C532="",0,F531)</f>
        <v>0</v>
      </c>
      <c r="G532" s="346">
        <f t="shared" si="153"/>
        <v>0</v>
      </c>
    </row>
    <row r="533" spans="1:7" ht="18.95" customHeight="1" x14ac:dyDescent="0.2">
      <c r="A533" s="347" t="str">
        <f t="shared" si="150"/>
        <v/>
      </c>
      <c r="B533" s="289" t="str">
        <f t="shared" si="151"/>
        <v/>
      </c>
      <c r="C533" s="289"/>
      <c r="D533" s="350"/>
      <c r="E533" s="345">
        <f t="shared" si="152"/>
        <v>0</v>
      </c>
      <c r="F533" s="348">
        <f>IF(C533="",0,F532)</f>
        <v>0</v>
      </c>
      <c r="G533" s="346">
        <f t="shared" si="153"/>
        <v>0</v>
      </c>
    </row>
    <row r="534" spans="1:7" ht="18.95" customHeight="1" x14ac:dyDescent="0.2">
      <c r="A534" s="347" t="str">
        <f t="shared" si="150"/>
        <v/>
      </c>
      <c r="B534" s="289" t="str">
        <f t="shared" si="151"/>
        <v/>
      </c>
      <c r="C534" s="289"/>
      <c r="D534" s="292"/>
      <c r="E534" s="345">
        <f t="shared" si="152"/>
        <v>0</v>
      </c>
      <c r="F534" s="348">
        <f>IF(C534="",0,F533)</f>
        <v>0</v>
      </c>
      <c r="G534" s="346">
        <f t="shared" si="153"/>
        <v>0</v>
      </c>
    </row>
    <row r="535" spans="1:7" ht="18.95" customHeight="1" x14ac:dyDescent="0.2">
      <c r="A535" s="352"/>
      <c r="B535" s="149"/>
      <c r="C535" s="142"/>
      <c r="D535" s="150"/>
      <c r="E535" s="143"/>
      <c r="F535" s="355" t="s">
        <v>30</v>
      </c>
      <c r="G535" s="354">
        <f>SUBTOTAL(9,G529:G534)</f>
        <v>0</v>
      </c>
    </row>
    <row r="536" spans="1:7" ht="18.95" customHeight="1" x14ac:dyDescent="0.2">
      <c r="A536" s="156"/>
      <c r="B536" s="142"/>
      <c r="C536" s="157" t="s">
        <v>1047</v>
      </c>
      <c r="D536" s="150"/>
      <c r="E536" s="326"/>
      <c r="F536" s="326"/>
      <c r="G536" s="341"/>
    </row>
    <row r="537" spans="1:7" ht="18.95" customHeight="1" x14ac:dyDescent="0.2">
      <c r="A537" s="732" t="s">
        <v>582</v>
      </c>
      <c r="B537" s="733"/>
      <c r="C537" s="734" t="s">
        <v>0</v>
      </c>
      <c r="D537" s="734" t="s">
        <v>1655</v>
      </c>
      <c r="E537" s="734" t="s">
        <v>26</v>
      </c>
      <c r="F537" s="734" t="s">
        <v>27</v>
      </c>
      <c r="G537" s="741" t="s">
        <v>28</v>
      </c>
    </row>
    <row r="538" spans="1:7" ht="18.95" customHeight="1" x14ac:dyDescent="0.2">
      <c r="A538" s="154" t="s">
        <v>583</v>
      </c>
      <c r="B538" s="155" t="s">
        <v>584</v>
      </c>
      <c r="C538" s="735"/>
      <c r="D538" s="735"/>
      <c r="E538" s="735"/>
      <c r="F538" s="735"/>
      <c r="G538" s="742"/>
    </row>
    <row r="539" spans="1:7" ht="18.95" customHeight="1" x14ac:dyDescent="0.2">
      <c r="A539" s="347" t="str">
        <f t="shared" ref="A539:A550" si="154">IFERROR(VLOOKUP(C539,Tabla_Insumos,4,FALSE),"")</f>
        <v/>
      </c>
      <c r="B539" s="289" t="str">
        <f t="shared" ref="B539:B550" si="155">IFERROR(VLOOKUP(C539,Tabla_Insumos,5,FALSE),"")</f>
        <v/>
      </c>
      <c r="C539" s="289"/>
      <c r="D539" s="607">
        <f t="shared" ref="D539:D550" si="156">IFERROR(VLOOKUP(C539,Tabla_Insumos,2,FALSE),0)</f>
        <v>0</v>
      </c>
      <c r="E539" s="292"/>
      <c r="F539" s="345">
        <f t="shared" ref="F539:F550" si="157">IFERROR(VLOOKUP(C539,Tabla_Insumos,3,FALSE),0)</f>
        <v>0</v>
      </c>
      <c r="G539" s="346">
        <f t="shared" ref="G539:G550" si="158">ROUND(E539*F539,2)</f>
        <v>0</v>
      </c>
    </row>
    <row r="540" spans="1:7" ht="18.95" customHeight="1" x14ac:dyDescent="0.2">
      <c r="A540" s="347" t="str">
        <f t="shared" si="154"/>
        <v/>
      </c>
      <c r="B540" s="289" t="str">
        <f t="shared" si="155"/>
        <v/>
      </c>
      <c r="C540" s="126"/>
      <c r="D540" s="607">
        <f t="shared" si="156"/>
        <v>0</v>
      </c>
      <c r="E540" s="292"/>
      <c r="F540" s="345">
        <f t="shared" si="157"/>
        <v>0</v>
      </c>
      <c r="G540" s="346">
        <f t="shared" si="158"/>
        <v>0</v>
      </c>
    </row>
    <row r="541" spans="1:7" ht="18.95" customHeight="1" x14ac:dyDescent="0.2">
      <c r="A541" s="347" t="str">
        <f t="shared" si="154"/>
        <v/>
      </c>
      <c r="B541" s="289" t="str">
        <f t="shared" si="155"/>
        <v/>
      </c>
      <c r="C541" s="289"/>
      <c r="D541" s="607">
        <f t="shared" si="156"/>
        <v>0</v>
      </c>
      <c r="E541" s="292"/>
      <c r="F541" s="345">
        <f t="shared" si="157"/>
        <v>0</v>
      </c>
      <c r="G541" s="346">
        <f t="shared" si="158"/>
        <v>0</v>
      </c>
    </row>
    <row r="542" spans="1:7" ht="18.95" customHeight="1" x14ac:dyDescent="0.2">
      <c r="A542" s="347" t="str">
        <f t="shared" si="154"/>
        <v/>
      </c>
      <c r="B542" s="289" t="str">
        <f t="shared" si="155"/>
        <v/>
      </c>
      <c r="C542" s="289"/>
      <c r="D542" s="607">
        <f t="shared" si="156"/>
        <v>0</v>
      </c>
      <c r="E542" s="292"/>
      <c r="F542" s="345">
        <f t="shared" si="157"/>
        <v>0</v>
      </c>
      <c r="G542" s="346">
        <f t="shared" si="158"/>
        <v>0</v>
      </c>
    </row>
    <row r="543" spans="1:7" ht="18.95" customHeight="1" x14ac:dyDescent="0.2">
      <c r="A543" s="347" t="str">
        <f t="shared" si="154"/>
        <v/>
      </c>
      <c r="B543" s="289" t="str">
        <f t="shared" si="155"/>
        <v/>
      </c>
      <c r="C543" s="289"/>
      <c r="D543" s="607">
        <f t="shared" si="156"/>
        <v>0</v>
      </c>
      <c r="E543" s="292"/>
      <c r="F543" s="345">
        <f t="shared" si="157"/>
        <v>0</v>
      </c>
      <c r="G543" s="346">
        <f t="shared" si="158"/>
        <v>0</v>
      </c>
    </row>
    <row r="544" spans="1:7" ht="18.95" customHeight="1" x14ac:dyDescent="0.2">
      <c r="A544" s="347" t="str">
        <f t="shared" si="154"/>
        <v/>
      </c>
      <c r="B544" s="289" t="str">
        <f t="shared" si="155"/>
        <v/>
      </c>
      <c r="C544" s="289"/>
      <c r="D544" s="607">
        <f t="shared" si="156"/>
        <v>0</v>
      </c>
      <c r="E544" s="292"/>
      <c r="F544" s="345">
        <f t="shared" si="157"/>
        <v>0</v>
      </c>
      <c r="G544" s="346">
        <f t="shared" si="158"/>
        <v>0</v>
      </c>
    </row>
    <row r="545" spans="1:7" ht="18.95" customHeight="1" x14ac:dyDescent="0.2">
      <c r="A545" s="347" t="str">
        <f t="shared" si="154"/>
        <v/>
      </c>
      <c r="B545" s="289" t="str">
        <f t="shared" si="155"/>
        <v/>
      </c>
      <c r="C545" s="289"/>
      <c r="D545" s="607">
        <f t="shared" si="156"/>
        <v>0</v>
      </c>
      <c r="E545" s="292"/>
      <c r="F545" s="345">
        <f t="shared" si="157"/>
        <v>0</v>
      </c>
      <c r="G545" s="346">
        <f t="shared" si="158"/>
        <v>0</v>
      </c>
    </row>
    <row r="546" spans="1:7" s="294" customFormat="1" ht="18.95" customHeight="1" x14ac:dyDescent="0.2">
      <c r="A546" s="347" t="str">
        <f t="shared" si="154"/>
        <v/>
      </c>
      <c r="B546" s="289" t="str">
        <f t="shared" si="155"/>
        <v/>
      </c>
      <c r="C546" s="289"/>
      <c r="D546" s="607">
        <f t="shared" si="156"/>
        <v>0</v>
      </c>
      <c r="E546" s="322"/>
      <c r="F546" s="345">
        <f t="shared" si="157"/>
        <v>0</v>
      </c>
      <c r="G546" s="346">
        <f t="shared" si="158"/>
        <v>0</v>
      </c>
    </row>
    <row r="547" spans="1:7" ht="18.95" customHeight="1" x14ac:dyDescent="0.2">
      <c r="A547" s="347" t="str">
        <f t="shared" si="154"/>
        <v/>
      </c>
      <c r="B547" s="289" t="str">
        <f t="shared" si="155"/>
        <v/>
      </c>
      <c r="C547" s="289"/>
      <c r="D547" s="607">
        <f t="shared" si="156"/>
        <v>0</v>
      </c>
      <c r="E547" s="292"/>
      <c r="F547" s="345">
        <f t="shared" si="157"/>
        <v>0</v>
      </c>
      <c r="G547" s="346">
        <f t="shared" si="158"/>
        <v>0</v>
      </c>
    </row>
    <row r="548" spans="1:7" ht="18.95" customHeight="1" x14ac:dyDescent="0.2">
      <c r="A548" s="347" t="str">
        <f t="shared" si="154"/>
        <v/>
      </c>
      <c r="B548" s="289" t="str">
        <f t="shared" si="155"/>
        <v/>
      </c>
      <c r="C548" s="289"/>
      <c r="D548" s="607">
        <f t="shared" si="156"/>
        <v>0</v>
      </c>
      <c r="E548" s="292"/>
      <c r="F548" s="345">
        <f t="shared" si="157"/>
        <v>0</v>
      </c>
      <c r="G548" s="346">
        <f t="shared" si="158"/>
        <v>0</v>
      </c>
    </row>
    <row r="549" spans="1:7" ht="18.95" customHeight="1" x14ac:dyDescent="0.2">
      <c r="A549" s="347" t="str">
        <f t="shared" si="154"/>
        <v/>
      </c>
      <c r="B549" s="289" t="str">
        <f t="shared" si="155"/>
        <v/>
      </c>
      <c r="C549" s="289"/>
      <c r="D549" s="607">
        <f t="shared" si="156"/>
        <v>0</v>
      </c>
      <c r="E549" s="292"/>
      <c r="F549" s="345">
        <f t="shared" si="157"/>
        <v>0</v>
      </c>
      <c r="G549" s="346">
        <f t="shared" si="158"/>
        <v>0</v>
      </c>
    </row>
    <row r="550" spans="1:7" ht="18.95" customHeight="1" x14ac:dyDescent="0.2">
      <c r="A550" s="347" t="str">
        <f t="shared" si="154"/>
        <v/>
      </c>
      <c r="B550" s="289" t="str">
        <f t="shared" si="155"/>
        <v/>
      </c>
      <c r="C550" s="289"/>
      <c r="D550" s="607">
        <f t="shared" si="156"/>
        <v>0</v>
      </c>
      <c r="E550" s="292"/>
      <c r="F550" s="345">
        <f t="shared" si="157"/>
        <v>0</v>
      </c>
      <c r="G550" s="346">
        <f t="shared" si="158"/>
        <v>0</v>
      </c>
    </row>
    <row r="551" spans="1:7" ht="18.95" customHeight="1" x14ac:dyDescent="0.2">
      <c r="A551" s="156"/>
      <c r="B551" s="142"/>
      <c r="C551" s="142"/>
      <c r="D551" s="150"/>
      <c r="E551" s="143"/>
      <c r="F551" s="355" t="s">
        <v>31</v>
      </c>
      <c r="G551" s="354">
        <f>SUBTOTAL(9,G539:G550)</f>
        <v>0</v>
      </c>
    </row>
    <row r="552" spans="1:7" ht="18.95" customHeight="1" x14ac:dyDescent="0.2">
      <c r="A552" s="156"/>
      <c r="B552" s="142"/>
      <c r="C552" s="157" t="s">
        <v>1048</v>
      </c>
      <c r="D552" s="150"/>
      <c r="E552" s="326"/>
      <c r="F552" s="326"/>
      <c r="G552" s="341"/>
    </row>
    <row r="553" spans="1:7" ht="18.95" customHeight="1" x14ac:dyDescent="0.2">
      <c r="A553" s="732" t="s">
        <v>582</v>
      </c>
      <c r="B553" s="733"/>
      <c r="C553" s="734" t="s">
        <v>0</v>
      </c>
      <c r="D553" s="736" t="s">
        <v>1750</v>
      </c>
      <c r="E553" s="740" t="s">
        <v>26</v>
      </c>
      <c r="F553" s="740" t="s">
        <v>27</v>
      </c>
      <c r="G553" s="741" t="s">
        <v>28</v>
      </c>
    </row>
    <row r="554" spans="1:7" ht="18.95" customHeight="1" x14ac:dyDescent="0.2">
      <c r="A554" s="154" t="s">
        <v>583</v>
      </c>
      <c r="B554" s="155" t="s">
        <v>584</v>
      </c>
      <c r="C554" s="735"/>
      <c r="D554" s="737"/>
      <c r="E554" s="739"/>
      <c r="F554" s="739"/>
      <c r="G554" s="742"/>
    </row>
    <row r="555" spans="1:7" ht="18.95" customHeight="1" x14ac:dyDescent="0.2">
      <c r="A555" s="347" t="str">
        <f>IFERROR(VLOOKUP(C555,Tabla_Insumos,4,FALSE),"")</f>
        <v/>
      </c>
      <c r="B555" s="289" t="s">
        <v>4</v>
      </c>
      <c r="C555" s="289"/>
      <c r="D555" s="292"/>
      <c r="E555" s="321"/>
      <c r="F555" s="323"/>
      <c r="G555" s="346">
        <f t="shared" ref="G555" si="159">ROUND(E555*F555,2)</f>
        <v>0</v>
      </c>
    </row>
    <row r="556" spans="1:7" ht="18.95" customHeight="1" x14ac:dyDescent="0.2">
      <c r="A556" s="156"/>
      <c r="B556" s="142"/>
      <c r="C556" s="142"/>
      <c r="D556" s="150"/>
      <c r="E556" s="143"/>
      <c r="F556" s="355" t="s">
        <v>1049</v>
      </c>
      <c r="G556" s="354">
        <f>SUBTOTAL(9,G555:G555)</f>
        <v>0</v>
      </c>
    </row>
    <row r="557" spans="1:7" ht="18.95" customHeight="1" thickBot="1" x14ac:dyDescent="0.25">
      <c r="A557" s="158"/>
      <c r="B557" s="159"/>
      <c r="C557" s="160"/>
      <c r="D557" s="161"/>
      <c r="E557" s="356"/>
      <c r="F557" s="356"/>
      <c r="G557" s="357"/>
    </row>
    <row r="558" spans="1:7" ht="18.95" customHeight="1" x14ac:dyDescent="0.2">
      <c r="A558" s="358">
        <f>B497</f>
        <v>8</v>
      </c>
      <c r="B558" s="359" t="str">
        <f>C497</f>
        <v>CUMPLIMIENTO DE MANEJO AMBIENTAL</v>
      </c>
      <c r="C558" s="360"/>
      <c r="D558" s="360"/>
      <c r="E558" s="360" t="s">
        <v>1050</v>
      </c>
      <c r="F558" s="361" t="str">
        <f>CONCATENATE("$/",G497)</f>
        <v>$/mes</v>
      </c>
      <c r="G558" s="362">
        <f>SUBTOTAL(9,G517:G557)</f>
        <v>0</v>
      </c>
    </row>
    <row r="559" spans="1:7" ht="18.95" customHeight="1" thickBot="1" x14ac:dyDescent="0.25">
      <c r="A559" s="363"/>
      <c r="B559" s="364"/>
      <c r="C559" s="364"/>
      <c r="D559" s="364"/>
      <c r="E559" s="365" t="s">
        <v>1051</v>
      </c>
      <c r="F559" s="366" t="str">
        <f>CONCATENATE("$/",G497)</f>
        <v>$/mes</v>
      </c>
      <c r="G559" s="367" t="e">
        <f ca="1">PrecioUnitario(G558,GG_Porcentaje,Beneficio,Ingresos_Brutos,IVA)</f>
        <v>#NAME?</v>
      </c>
    </row>
    <row r="560" spans="1:7" ht="18.95" customHeight="1" thickTop="1" thickBot="1" x14ac:dyDescent="0.25">
      <c r="F560" s="293"/>
      <c r="G560" s="293"/>
    </row>
    <row r="561" spans="1:8" ht="18.95" customHeight="1" thickTop="1" x14ac:dyDescent="0.2">
      <c r="A561" s="193" t="s">
        <v>33</v>
      </c>
      <c r="B561" s="194"/>
      <c r="C561" s="194"/>
      <c r="D561" s="194"/>
      <c r="E561" s="194"/>
      <c r="F561" s="194"/>
      <c r="G561" s="195"/>
      <c r="H561" s="143">
        <f>COUNTIF($A$1:A567,"ANALISIS DE PRECIOS")</f>
        <v>9</v>
      </c>
    </row>
    <row r="562" spans="1:8" ht="18.95" customHeight="1" x14ac:dyDescent="0.2">
      <c r="A562" s="144" t="s">
        <v>720</v>
      </c>
      <c r="B562" s="145" t="str">
        <f>Comitente</f>
        <v>DIRECCIÓN PROVINCIAL DE VIALIDAD</v>
      </c>
      <c r="C562" s="139"/>
      <c r="D562" s="146"/>
      <c r="E562" s="324"/>
      <c r="F562" s="324"/>
      <c r="G562" s="325"/>
      <c r="H562" s="143"/>
    </row>
    <row r="563" spans="1:8" ht="18.95" customHeight="1" x14ac:dyDescent="0.2">
      <c r="A563" s="144" t="s">
        <v>721</v>
      </c>
      <c r="B563" s="145">
        <f>Contratista</f>
        <v>0</v>
      </c>
      <c r="C563" s="140"/>
      <c r="D563" s="140"/>
      <c r="E563" s="145"/>
      <c r="F563" s="145"/>
      <c r="G563" s="147"/>
      <c r="H563" s="143"/>
    </row>
    <row r="564" spans="1:8" ht="18.95" customHeight="1" x14ac:dyDescent="0.2">
      <c r="A564" s="144" t="s">
        <v>23</v>
      </c>
      <c r="B564" s="145" t="str">
        <f>Obra</f>
        <v>PAVIMENTACION RUTAS VARIAS</v>
      </c>
      <c r="C564" s="140"/>
      <c r="D564" s="140"/>
      <c r="E564" s="143"/>
      <c r="F564" s="145" t="s">
        <v>34</v>
      </c>
      <c r="G564" s="147">
        <f>Fecha_Base</f>
        <v>43411</v>
      </c>
      <c r="H564" s="143"/>
    </row>
    <row r="565" spans="1:8" ht="18.95" customHeight="1" x14ac:dyDescent="0.2">
      <c r="A565" s="148" t="s">
        <v>719</v>
      </c>
      <c r="B565" s="141" t="str">
        <f>Ubicación</f>
        <v>POCITO</v>
      </c>
      <c r="C565" s="141"/>
      <c r="D565" s="150"/>
      <c r="E565" s="143"/>
      <c r="F565" s="326"/>
      <c r="G565" s="327"/>
      <c r="H565" s="143"/>
    </row>
    <row r="566" spans="1:8" ht="18.95" customHeight="1" x14ac:dyDescent="0.2">
      <c r="A566" s="148" t="s">
        <v>35</v>
      </c>
      <c r="B566" s="151" t="str">
        <f>IFERROR(VALUE(LEFT(B567,FIND("-",B567)-1)),"")</f>
        <v/>
      </c>
      <c r="C566" s="142" t="str">
        <f>IFERROR(VLOOKUP(B566,Tabla_CyP,2,FALSE),"")</f>
        <v/>
      </c>
      <c r="D566" s="150"/>
      <c r="E566" s="143"/>
      <c r="F566" s="326"/>
      <c r="G566" s="327"/>
      <c r="H566" s="143"/>
    </row>
    <row r="567" spans="1:8" ht="18.95" customHeight="1" x14ac:dyDescent="0.2">
      <c r="A567" s="148" t="s">
        <v>24</v>
      </c>
      <c r="B567" s="152" t="str">
        <f>IFERROR(VLOOKUP(COUNTIF($A$1:A567,"ANALISIS DE PRECIOS"),Tabla_NumeroItem,4,FALSE),"")</f>
        <v>9,a</v>
      </c>
      <c r="C567" s="731" t="str">
        <f>IFERROR(VLOOKUP(B567,Tabla_CyP,2,FALSE),"")</f>
        <v>Cuota Fija</v>
      </c>
      <c r="D567" s="731"/>
      <c r="E567" s="731"/>
      <c r="F567" s="141" t="s">
        <v>25</v>
      </c>
      <c r="G567" s="153" t="str">
        <f>IFERROR(VLOOKUP(B567,Tabla_CyP,4,FALSE),"")</f>
        <v>mes</v>
      </c>
      <c r="H567" s="143"/>
    </row>
    <row r="568" spans="1:8" ht="18.95" customHeight="1" x14ac:dyDescent="0.2">
      <c r="A568" s="148"/>
      <c r="B568" s="141"/>
      <c r="C568" s="142"/>
      <c r="D568" s="150"/>
      <c r="E568" s="142"/>
      <c r="F568" s="142"/>
      <c r="G568" s="328"/>
      <c r="H568" s="143"/>
    </row>
    <row r="569" spans="1:8" ht="18.95" customHeight="1" x14ac:dyDescent="0.2">
      <c r="A569" s="329"/>
      <c r="B569" s="330"/>
      <c r="C569" s="331" t="s">
        <v>1032</v>
      </c>
      <c r="D569" s="330"/>
      <c r="E569" s="330"/>
      <c r="F569" s="330"/>
      <c r="G569" s="332"/>
      <c r="H569" s="143"/>
    </row>
    <row r="570" spans="1:8" ht="18.95" customHeight="1" x14ac:dyDescent="0.2">
      <c r="A570" s="148"/>
      <c r="B570" s="333"/>
      <c r="C570" s="334" t="s">
        <v>1033</v>
      </c>
      <c r="D570" s="335" t="s">
        <v>26</v>
      </c>
      <c r="E570" s="335" t="s">
        <v>1034</v>
      </c>
      <c r="F570" s="335" t="s">
        <v>1035</v>
      </c>
      <c r="G570" s="336" t="s">
        <v>1036</v>
      </c>
      <c r="H570" s="143"/>
    </row>
    <row r="571" spans="1:8" ht="18.95" customHeight="1" x14ac:dyDescent="0.2">
      <c r="A571" s="342"/>
      <c r="B571" s="343"/>
      <c r="C571" s="289"/>
      <c r="D571" s="292"/>
      <c r="E571" s="344"/>
      <c r="F571" s="345"/>
      <c r="G571" s="346">
        <f t="shared" ref="G571:G580" si="160">ROUND(D571*F571,2)</f>
        <v>0</v>
      </c>
    </row>
    <row r="572" spans="1:8" ht="18.95" customHeight="1" x14ac:dyDescent="0.2">
      <c r="A572" s="342"/>
      <c r="B572" s="343"/>
      <c r="C572" s="289"/>
      <c r="D572" s="292"/>
      <c r="E572" s="344"/>
      <c r="F572" s="345"/>
      <c r="G572" s="346">
        <f t="shared" si="160"/>
        <v>0</v>
      </c>
    </row>
    <row r="573" spans="1:8" ht="18.95" customHeight="1" x14ac:dyDescent="0.2">
      <c r="A573" s="342"/>
      <c r="B573" s="343"/>
      <c r="C573" s="289"/>
      <c r="D573" s="292"/>
      <c r="E573" s="344">
        <f t="shared" ref="E573:E580" si="161">IFERROR(VLOOKUP(C573,T_Equipos,4,FALSE),0)</f>
        <v>0</v>
      </c>
      <c r="F573" s="345">
        <f t="shared" ref="F573:F580" si="162">IFERROR(VLOOKUP(C573,T_Equipos,11,FALSE),0)</f>
        <v>0</v>
      </c>
      <c r="G573" s="346">
        <f t="shared" si="160"/>
        <v>0</v>
      </c>
    </row>
    <row r="574" spans="1:8" ht="18.95" customHeight="1" x14ac:dyDescent="0.2">
      <c r="A574" s="342"/>
      <c r="B574" s="343"/>
      <c r="C574" s="289"/>
      <c r="D574" s="292"/>
      <c r="E574" s="344">
        <f t="shared" si="161"/>
        <v>0</v>
      </c>
      <c r="F574" s="345">
        <f t="shared" si="162"/>
        <v>0</v>
      </c>
      <c r="G574" s="346">
        <f t="shared" si="160"/>
        <v>0</v>
      </c>
    </row>
    <row r="575" spans="1:8" ht="18.95" customHeight="1" x14ac:dyDescent="0.2">
      <c r="A575" s="342"/>
      <c r="B575" s="343"/>
      <c r="C575" s="289"/>
      <c r="D575" s="292"/>
      <c r="E575" s="344">
        <f t="shared" si="161"/>
        <v>0</v>
      </c>
      <c r="F575" s="345">
        <f t="shared" si="162"/>
        <v>0</v>
      </c>
      <c r="G575" s="346">
        <f t="shared" si="160"/>
        <v>0</v>
      </c>
    </row>
    <row r="576" spans="1:8" ht="18.95" customHeight="1" x14ac:dyDescent="0.2">
      <c r="A576" s="342"/>
      <c r="B576" s="343"/>
      <c r="C576" s="289"/>
      <c r="D576" s="292"/>
      <c r="E576" s="344">
        <f t="shared" si="161"/>
        <v>0</v>
      </c>
      <c r="F576" s="345">
        <f t="shared" si="162"/>
        <v>0</v>
      </c>
      <c r="G576" s="346">
        <f t="shared" si="160"/>
        <v>0</v>
      </c>
    </row>
    <row r="577" spans="1:7" ht="18.95" customHeight="1" x14ac:dyDescent="0.2">
      <c r="A577" s="342"/>
      <c r="B577" s="343"/>
      <c r="C577" s="289"/>
      <c r="D577" s="292"/>
      <c r="E577" s="344">
        <f t="shared" si="161"/>
        <v>0</v>
      </c>
      <c r="F577" s="345">
        <f t="shared" si="162"/>
        <v>0</v>
      </c>
      <c r="G577" s="346">
        <f t="shared" si="160"/>
        <v>0</v>
      </c>
    </row>
    <row r="578" spans="1:7" ht="18.95" customHeight="1" x14ac:dyDescent="0.2">
      <c r="A578" s="342"/>
      <c r="B578" s="343"/>
      <c r="C578" s="289"/>
      <c r="D578" s="292"/>
      <c r="E578" s="344">
        <f t="shared" si="161"/>
        <v>0</v>
      </c>
      <c r="F578" s="345">
        <f t="shared" si="162"/>
        <v>0</v>
      </c>
      <c r="G578" s="346">
        <f t="shared" si="160"/>
        <v>0</v>
      </c>
    </row>
    <row r="579" spans="1:7" ht="18.95" customHeight="1" x14ac:dyDescent="0.2">
      <c r="A579" s="342"/>
      <c r="B579" s="343"/>
      <c r="C579" s="289"/>
      <c r="D579" s="292"/>
      <c r="E579" s="344">
        <f t="shared" si="161"/>
        <v>0</v>
      </c>
      <c r="F579" s="345">
        <f t="shared" si="162"/>
        <v>0</v>
      </c>
      <c r="G579" s="346">
        <f t="shared" si="160"/>
        <v>0</v>
      </c>
    </row>
    <row r="580" spans="1:7" ht="18.95" customHeight="1" thickBot="1" x14ac:dyDescent="0.25">
      <c r="A580" s="342"/>
      <c r="B580" s="343"/>
      <c r="C580" s="289"/>
      <c r="D580" s="292"/>
      <c r="E580" s="344">
        <f t="shared" si="161"/>
        <v>0</v>
      </c>
      <c r="F580" s="345">
        <f t="shared" si="162"/>
        <v>0</v>
      </c>
      <c r="G580" s="346">
        <f t="shared" si="160"/>
        <v>0</v>
      </c>
    </row>
    <row r="581" spans="1:7" ht="18.95" customHeight="1" thickBot="1" x14ac:dyDescent="0.25">
      <c r="A581" s="148"/>
      <c r="B581" s="333"/>
      <c r="C581" s="143"/>
      <c r="D581" s="146" t="s">
        <v>1037</v>
      </c>
      <c r="E581" s="337">
        <f>SUMPRODUCT(D571:D580,E571:E580)</f>
        <v>0</v>
      </c>
      <c r="F581" s="141" t="s">
        <v>1038</v>
      </c>
      <c r="G581" s="338">
        <f>SUM(G571:G580)</f>
        <v>0</v>
      </c>
    </row>
    <row r="582" spans="1:7" ht="18.95" customHeight="1" x14ac:dyDescent="0.2">
      <c r="A582" s="148"/>
      <c r="B582" s="333"/>
      <c r="C582" s="141" t="s">
        <v>1039</v>
      </c>
      <c r="D582" s="319"/>
      <c r="E582" s="339" t="str">
        <f>CONCATENATE(G567,"/día")</f>
        <v>mes/día</v>
      </c>
      <c r="F582" s="141"/>
      <c r="G582" s="340"/>
    </row>
    <row r="583" spans="1:7" ht="18.95" customHeight="1" x14ac:dyDescent="0.2">
      <c r="A583" s="148"/>
      <c r="B583" s="333"/>
      <c r="C583" s="142"/>
      <c r="D583" s="150"/>
      <c r="E583" s="141"/>
      <c r="F583" s="141"/>
      <c r="G583" s="340"/>
    </row>
    <row r="584" spans="1:7" ht="18.95" customHeight="1" x14ac:dyDescent="0.2">
      <c r="A584" s="732" t="s">
        <v>582</v>
      </c>
      <c r="B584" s="733"/>
      <c r="C584" s="734" t="s">
        <v>0</v>
      </c>
      <c r="D584" s="738" t="s">
        <v>1053</v>
      </c>
      <c r="E584" s="738" t="s">
        <v>1706</v>
      </c>
      <c r="F584" s="738" t="s">
        <v>1054</v>
      </c>
      <c r="G584" s="738" t="s">
        <v>1055</v>
      </c>
    </row>
    <row r="585" spans="1:7" ht="18.95" customHeight="1" x14ac:dyDescent="0.2">
      <c r="A585" s="154" t="s">
        <v>583</v>
      </c>
      <c r="B585" s="155" t="s">
        <v>584</v>
      </c>
      <c r="C585" s="735"/>
      <c r="D585" s="739"/>
      <c r="E585" s="739"/>
      <c r="F585" s="743"/>
      <c r="G585" s="739"/>
    </row>
    <row r="586" spans="1:7" ht="18.95" customHeight="1" x14ac:dyDescent="0.2">
      <c r="A586" s="156"/>
      <c r="B586" s="142"/>
      <c r="C586" s="157" t="s">
        <v>1041</v>
      </c>
      <c r="D586" s="150"/>
      <c r="E586" s="142"/>
      <c r="F586" s="142"/>
      <c r="G586" s="341"/>
    </row>
    <row r="587" spans="1:7" ht="18.95" customHeight="1" x14ac:dyDescent="0.2">
      <c r="A587" s="347" t="str">
        <f t="shared" ref="A587:A594" si="163">IFERROR(VLOOKUP(C587,Tabla_Insumos,4,FALSE),"")</f>
        <v/>
      </c>
      <c r="B587" s="289" t="str">
        <f t="shared" ref="B587:B594" si="164">IFERROR(VLOOKUP(C587,Tabla_Insumos,5,FALSE),"")</f>
        <v/>
      </c>
      <c r="C587" s="289"/>
      <c r="D587" s="606">
        <f t="shared" ref="D587:D594" si="165">IFERROR(VLOOKUP(C587,Tabla_Insumos,3,FALSE),0)</f>
        <v>0</v>
      </c>
      <c r="E587" s="348">
        <f>D587*$G$21</f>
        <v>0</v>
      </c>
      <c r="F587" s="349">
        <f>IF(C587="",0,D582)</f>
        <v>0</v>
      </c>
      <c r="G587" s="346">
        <f>IFERROR(ROUND(E587/F587,2),0)</f>
        <v>0</v>
      </c>
    </row>
    <row r="588" spans="1:7" ht="18.95" customHeight="1" x14ac:dyDescent="0.2">
      <c r="A588" s="347" t="str">
        <f t="shared" si="163"/>
        <v/>
      </c>
      <c r="B588" s="289" t="str">
        <f t="shared" si="164"/>
        <v/>
      </c>
      <c r="C588" s="320"/>
      <c r="D588" s="606">
        <f t="shared" si="165"/>
        <v>0</v>
      </c>
      <c r="E588" s="348">
        <f t="shared" ref="E588:E589" si="166">D588*$G$21</f>
        <v>0</v>
      </c>
      <c r="F588" s="349">
        <f t="shared" ref="F588:F591" si="167">IF(C588="",0,F587)</f>
        <v>0</v>
      </c>
      <c r="G588" s="346">
        <f t="shared" ref="G588:G594" si="168">IFERROR(ROUND(E588/F588,2),0)</f>
        <v>0</v>
      </c>
    </row>
    <row r="589" spans="1:7" ht="18.95" customHeight="1" x14ac:dyDescent="0.2">
      <c r="A589" s="347" t="str">
        <f t="shared" si="163"/>
        <v/>
      </c>
      <c r="B589" s="289" t="str">
        <f t="shared" si="164"/>
        <v/>
      </c>
      <c r="C589" s="320"/>
      <c r="D589" s="606">
        <f t="shared" si="165"/>
        <v>0</v>
      </c>
      <c r="E589" s="348">
        <f t="shared" si="166"/>
        <v>0</v>
      </c>
      <c r="F589" s="349">
        <f t="shared" si="167"/>
        <v>0</v>
      </c>
      <c r="G589" s="346">
        <f t="shared" si="168"/>
        <v>0</v>
      </c>
    </row>
    <row r="590" spans="1:7" ht="18.95" customHeight="1" x14ac:dyDescent="0.2">
      <c r="A590" s="347" t="str">
        <f t="shared" si="163"/>
        <v/>
      </c>
      <c r="B590" s="289" t="str">
        <f t="shared" si="164"/>
        <v/>
      </c>
      <c r="C590" s="320"/>
      <c r="D590" s="606">
        <f t="shared" si="165"/>
        <v>0</v>
      </c>
      <c r="E590" s="348">
        <f>D590*$E$21</f>
        <v>0</v>
      </c>
      <c r="F590" s="349">
        <f t="shared" si="167"/>
        <v>0</v>
      </c>
      <c r="G590" s="346">
        <f t="shared" si="168"/>
        <v>0</v>
      </c>
    </row>
    <row r="591" spans="1:7" ht="18.95" customHeight="1" x14ac:dyDescent="0.2">
      <c r="A591" s="347" t="str">
        <f t="shared" si="163"/>
        <v/>
      </c>
      <c r="B591" s="289" t="str">
        <f t="shared" si="164"/>
        <v/>
      </c>
      <c r="C591" s="320"/>
      <c r="D591" s="606">
        <f t="shared" si="165"/>
        <v>0</v>
      </c>
      <c r="E591" s="348">
        <f>D591*$E$21</f>
        <v>0</v>
      </c>
      <c r="F591" s="349">
        <f t="shared" si="167"/>
        <v>0</v>
      </c>
      <c r="G591" s="346">
        <f t="shared" si="168"/>
        <v>0</v>
      </c>
    </row>
    <row r="592" spans="1:7" ht="18.95" customHeight="1" x14ac:dyDescent="0.2">
      <c r="A592" s="347" t="str">
        <f t="shared" si="163"/>
        <v/>
      </c>
      <c r="B592" s="289" t="str">
        <f t="shared" si="164"/>
        <v/>
      </c>
      <c r="C592" s="320"/>
      <c r="D592" s="606">
        <f t="shared" si="165"/>
        <v>0</v>
      </c>
      <c r="E592" s="348"/>
      <c r="F592" s="349">
        <f>IF(C592="",0,F591)</f>
        <v>0</v>
      </c>
      <c r="G592" s="346">
        <f t="shared" si="168"/>
        <v>0</v>
      </c>
    </row>
    <row r="593" spans="1:7" ht="18.95" customHeight="1" x14ac:dyDescent="0.2">
      <c r="A593" s="347" t="str">
        <f t="shared" si="163"/>
        <v/>
      </c>
      <c r="B593" s="289" t="str">
        <f t="shared" si="164"/>
        <v/>
      </c>
      <c r="C593" s="320"/>
      <c r="D593" s="606">
        <f t="shared" si="165"/>
        <v>0</v>
      </c>
      <c r="E593" s="348"/>
      <c r="F593" s="349">
        <f t="shared" ref="F593:F594" si="169">IF(C593="",0,F592)</f>
        <v>0</v>
      </c>
      <c r="G593" s="346">
        <f t="shared" si="168"/>
        <v>0</v>
      </c>
    </row>
    <row r="594" spans="1:7" ht="18.95" customHeight="1" x14ac:dyDescent="0.2">
      <c r="A594" s="347" t="str">
        <f t="shared" si="163"/>
        <v/>
      </c>
      <c r="B594" s="289" t="str">
        <f t="shared" si="164"/>
        <v/>
      </c>
      <c r="C594" s="320"/>
      <c r="D594" s="606">
        <f t="shared" si="165"/>
        <v>0</v>
      </c>
      <c r="E594" s="348"/>
      <c r="F594" s="349">
        <f t="shared" si="169"/>
        <v>0</v>
      </c>
      <c r="G594" s="346">
        <f t="shared" si="168"/>
        <v>0</v>
      </c>
    </row>
    <row r="595" spans="1:7" ht="18.95" customHeight="1" x14ac:dyDescent="0.2">
      <c r="A595" s="352"/>
      <c r="B595" s="149"/>
      <c r="C595" s="142"/>
      <c r="D595" s="150"/>
      <c r="E595" s="143"/>
      <c r="F595" s="353" t="s">
        <v>29</v>
      </c>
      <c r="G595" s="354">
        <f>SUBTOTAL(9,G587:G594)</f>
        <v>0</v>
      </c>
    </row>
    <row r="596" spans="1:7" ht="18.95" customHeight="1" x14ac:dyDescent="0.2">
      <c r="A596" s="156"/>
      <c r="B596" s="142"/>
      <c r="C596" s="157" t="s">
        <v>722</v>
      </c>
      <c r="D596" s="150"/>
      <c r="E596" s="326"/>
      <c r="F596" s="326"/>
      <c r="G596" s="341"/>
    </row>
    <row r="597" spans="1:7" ht="18.95" customHeight="1" x14ac:dyDescent="0.2">
      <c r="A597" s="732" t="s">
        <v>582</v>
      </c>
      <c r="B597" s="733"/>
      <c r="C597" s="734" t="s">
        <v>0</v>
      </c>
      <c r="D597" s="736" t="s">
        <v>26</v>
      </c>
      <c r="E597" s="738" t="s">
        <v>1707</v>
      </c>
      <c r="F597" s="740" t="s">
        <v>1040</v>
      </c>
      <c r="G597" s="741" t="s">
        <v>28</v>
      </c>
    </row>
    <row r="598" spans="1:7" ht="18.95" customHeight="1" x14ac:dyDescent="0.2">
      <c r="A598" s="154" t="s">
        <v>583</v>
      </c>
      <c r="B598" s="155" t="s">
        <v>584</v>
      </c>
      <c r="C598" s="735"/>
      <c r="D598" s="737"/>
      <c r="E598" s="739"/>
      <c r="F598" s="739"/>
      <c r="G598" s="742"/>
    </row>
    <row r="599" spans="1:7" ht="18.95" customHeight="1" x14ac:dyDescent="0.2">
      <c r="A599" s="347" t="str">
        <f t="shared" ref="A599:A604" si="170">IFERROR(VLOOKUP(C599,Tabla_Insumos,4,FALSE),"")</f>
        <v/>
      </c>
      <c r="B599" s="289" t="str">
        <f t="shared" ref="B599:B604" si="171">IFERROR(VLOOKUP(C599,Tabla_Insumos,5,FALSE),"")</f>
        <v/>
      </c>
      <c r="C599" s="290"/>
      <c r="D599" s="292"/>
      <c r="E599" s="345">
        <f t="shared" ref="E599:E604" si="172">IFERROR(VLOOKUP(C599,Tabla_Insumos,3,FALSE),0)</f>
        <v>0</v>
      </c>
      <c r="F599" s="348">
        <f>IF(C599="",0,D582)</f>
        <v>0</v>
      </c>
      <c r="G599" s="346">
        <f t="shared" ref="G599:G604" si="173">IFERROR(ROUND(D599*E599/F599,2),0)</f>
        <v>0</v>
      </c>
    </row>
    <row r="600" spans="1:7" ht="18.95" customHeight="1" x14ac:dyDescent="0.2">
      <c r="A600" s="347" t="str">
        <f t="shared" si="170"/>
        <v/>
      </c>
      <c r="B600" s="289" t="str">
        <f t="shared" si="171"/>
        <v/>
      </c>
      <c r="C600" s="289"/>
      <c r="D600" s="292"/>
      <c r="E600" s="345">
        <f t="shared" si="172"/>
        <v>0</v>
      </c>
      <c r="F600" s="348">
        <f>IF(C600="",0,F599)</f>
        <v>0</v>
      </c>
      <c r="G600" s="346">
        <f t="shared" si="173"/>
        <v>0</v>
      </c>
    </row>
    <row r="601" spans="1:7" ht="18.95" customHeight="1" x14ac:dyDescent="0.2">
      <c r="A601" s="347" t="str">
        <f t="shared" si="170"/>
        <v/>
      </c>
      <c r="B601" s="289" t="str">
        <f t="shared" si="171"/>
        <v/>
      </c>
      <c r="C601" s="289"/>
      <c r="D601" s="292"/>
      <c r="E601" s="345">
        <f t="shared" si="172"/>
        <v>0</v>
      </c>
      <c r="F601" s="348">
        <f>IF(C601="",0,F600)</f>
        <v>0</v>
      </c>
      <c r="G601" s="346">
        <f t="shared" si="173"/>
        <v>0</v>
      </c>
    </row>
    <row r="602" spans="1:7" ht="18.95" customHeight="1" x14ac:dyDescent="0.2">
      <c r="A602" s="347" t="str">
        <f t="shared" si="170"/>
        <v/>
      </c>
      <c r="B602" s="289" t="str">
        <f t="shared" si="171"/>
        <v/>
      </c>
      <c r="C602" s="289"/>
      <c r="D602" s="292"/>
      <c r="E602" s="345">
        <f t="shared" si="172"/>
        <v>0</v>
      </c>
      <c r="F602" s="348">
        <f>IF(C602="",0,F601)</f>
        <v>0</v>
      </c>
      <c r="G602" s="346">
        <f t="shared" si="173"/>
        <v>0</v>
      </c>
    </row>
    <row r="603" spans="1:7" ht="18.95" customHeight="1" x14ac:dyDescent="0.2">
      <c r="A603" s="347" t="str">
        <f t="shared" si="170"/>
        <v/>
      </c>
      <c r="B603" s="289" t="str">
        <f t="shared" si="171"/>
        <v/>
      </c>
      <c r="C603" s="289"/>
      <c r="D603" s="350"/>
      <c r="E603" s="345">
        <f t="shared" si="172"/>
        <v>0</v>
      </c>
      <c r="F603" s="348">
        <f>IF(C603="",0,F602)</f>
        <v>0</v>
      </c>
      <c r="G603" s="346">
        <f t="shared" si="173"/>
        <v>0</v>
      </c>
    </row>
    <row r="604" spans="1:7" ht="18.95" customHeight="1" x14ac:dyDescent="0.2">
      <c r="A604" s="347" t="str">
        <f t="shared" si="170"/>
        <v/>
      </c>
      <c r="B604" s="289" t="str">
        <f t="shared" si="171"/>
        <v/>
      </c>
      <c r="C604" s="289"/>
      <c r="D604" s="292"/>
      <c r="E604" s="345">
        <f t="shared" si="172"/>
        <v>0</v>
      </c>
      <c r="F604" s="348">
        <f>IF(C604="",0,F603)</f>
        <v>0</v>
      </c>
      <c r="G604" s="346">
        <f t="shared" si="173"/>
        <v>0</v>
      </c>
    </row>
    <row r="605" spans="1:7" ht="18.95" customHeight="1" x14ac:dyDescent="0.2">
      <c r="A605" s="352"/>
      <c r="B605" s="149"/>
      <c r="C605" s="142"/>
      <c r="D605" s="150"/>
      <c r="E605" s="143"/>
      <c r="F605" s="355" t="s">
        <v>30</v>
      </c>
      <c r="G605" s="354">
        <f>SUBTOTAL(9,G599:G604)</f>
        <v>0</v>
      </c>
    </row>
    <row r="606" spans="1:7" ht="18.95" customHeight="1" x14ac:dyDescent="0.2">
      <c r="A606" s="156"/>
      <c r="B606" s="142"/>
      <c r="C606" s="157" t="s">
        <v>1047</v>
      </c>
      <c r="D606" s="150"/>
      <c r="E606" s="326"/>
      <c r="F606" s="326"/>
      <c r="G606" s="341"/>
    </row>
    <row r="607" spans="1:7" ht="18.95" customHeight="1" x14ac:dyDescent="0.2">
      <c r="A607" s="732" t="s">
        <v>582</v>
      </c>
      <c r="B607" s="733"/>
      <c r="C607" s="734" t="s">
        <v>0</v>
      </c>
      <c r="D607" s="734" t="s">
        <v>1655</v>
      </c>
      <c r="E607" s="734" t="s">
        <v>26</v>
      </c>
      <c r="F607" s="734" t="s">
        <v>27</v>
      </c>
      <c r="G607" s="741" t="s">
        <v>28</v>
      </c>
    </row>
    <row r="608" spans="1:7" ht="18.95" customHeight="1" x14ac:dyDescent="0.2">
      <c r="A608" s="154" t="s">
        <v>583</v>
      </c>
      <c r="B608" s="155" t="s">
        <v>584</v>
      </c>
      <c r="C608" s="735"/>
      <c r="D608" s="735"/>
      <c r="E608" s="735"/>
      <c r="F608" s="735"/>
      <c r="G608" s="742"/>
    </row>
    <row r="609" spans="1:7" ht="18.95" customHeight="1" x14ac:dyDescent="0.2">
      <c r="A609" s="347" t="str">
        <f t="shared" ref="A609:A620" si="174">IFERROR(VLOOKUP(C609,Tabla_Insumos,4,FALSE),"")</f>
        <v/>
      </c>
      <c r="B609" s="289" t="str">
        <f t="shared" ref="B609:B620" si="175">IFERROR(VLOOKUP(C609,Tabla_Insumos,5,FALSE),"")</f>
        <v/>
      </c>
      <c r="C609" s="289"/>
      <c r="D609" s="607">
        <f t="shared" ref="D609:D620" si="176">IFERROR(VLOOKUP(C609,Tabla_Insumos,2,FALSE),0)</f>
        <v>0</v>
      </c>
      <c r="E609" s="292"/>
      <c r="F609" s="345">
        <f t="shared" ref="F609:F620" si="177">IFERROR(VLOOKUP(C609,Tabla_Insumos,3,FALSE),0)</f>
        <v>0</v>
      </c>
      <c r="G609" s="346">
        <f t="shared" ref="G609:G620" si="178">ROUND(E609*F609,2)</f>
        <v>0</v>
      </c>
    </row>
    <row r="610" spans="1:7" ht="18.95" customHeight="1" x14ac:dyDescent="0.2">
      <c r="A610" s="347" t="str">
        <f t="shared" si="174"/>
        <v/>
      </c>
      <c r="B610" s="289" t="str">
        <f t="shared" si="175"/>
        <v/>
      </c>
      <c r="C610" s="126"/>
      <c r="D610" s="607">
        <f t="shared" si="176"/>
        <v>0</v>
      </c>
      <c r="E610" s="292"/>
      <c r="F610" s="345">
        <f t="shared" si="177"/>
        <v>0</v>
      </c>
      <c r="G610" s="346">
        <f t="shared" si="178"/>
        <v>0</v>
      </c>
    </row>
    <row r="611" spans="1:7" ht="18.95" customHeight="1" x14ac:dyDescent="0.2">
      <c r="A611" s="347" t="str">
        <f t="shared" si="174"/>
        <v/>
      </c>
      <c r="B611" s="289" t="str">
        <f t="shared" si="175"/>
        <v/>
      </c>
      <c r="C611" s="289"/>
      <c r="D611" s="607">
        <f t="shared" si="176"/>
        <v>0</v>
      </c>
      <c r="E611" s="292"/>
      <c r="F611" s="345">
        <f t="shared" si="177"/>
        <v>0</v>
      </c>
      <c r="G611" s="346">
        <f t="shared" si="178"/>
        <v>0</v>
      </c>
    </row>
    <row r="612" spans="1:7" ht="18.95" customHeight="1" x14ac:dyDescent="0.2">
      <c r="A612" s="347" t="str">
        <f t="shared" si="174"/>
        <v/>
      </c>
      <c r="B612" s="289" t="str">
        <f t="shared" si="175"/>
        <v/>
      </c>
      <c r="C612" s="289"/>
      <c r="D612" s="607">
        <f t="shared" si="176"/>
        <v>0</v>
      </c>
      <c r="E612" s="292"/>
      <c r="F612" s="345">
        <f t="shared" si="177"/>
        <v>0</v>
      </c>
      <c r="G612" s="346">
        <f t="shared" si="178"/>
        <v>0</v>
      </c>
    </row>
    <row r="613" spans="1:7" ht="18.95" customHeight="1" x14ac:dyDescent="0.2">
      <c r="A613" s="347" t="str">
        <f t="shared" si="174"/>
        <v/>
      </c>
      <c r="B613" s="289" t="str">
        <f t="shared" si="175"/>
        <v/>
      </c>
      <c r="C613" s="289"/>
      <c r="D613" s="607">
        <f t="shared" si="176"/>
        <v>0</v>
      </c>
      <c r="E613" s="292"/>
      <c r="F613" s="345">
        <f t="shared" si="177"/>
        <v>0</v>
      </c>
      <c r="G613" s="346">
        <f t="shared" si="178"/>
        <v>0</v>
      </c>
    </row>
    <row r="614" spans="1:7" ht="18.95" customHeight="1" x14ac:dyDescent="0.2">
      <c r="A614" s="347" t="str">
        <f t="shared" si="174"/>
        <v/>
      </c>
      <c r="B614" s="289" t="str">
        <f t="shared" si="175"/>
        <v/>
      </c>
      <c r="C614" s="289"/>
      <c r="D614" s="607">
        <f t="shared" si="176"/>
        <v>0</v>
      </c>
      <c r="E614" s="292"/>
      <c r="F614" s="345">
        <f t="shared" si="177"/>
        <v>0</v>
      </c>
      <c r="G614" s="346">
        <f t="shared" si="178"/>
        <v>0</v>
      </c>
    </row>
    <row r="615" spans="1:7" ht="18.95" customHeight="1" x14ac:dyDescent="0.2">
      <c r="A615" s="347" t="str">
        <f t="shared" si="174"/>
        <v/>
      </c>
      <c r="B615" s="289" t="str">
        <f t="shared" si="175"/>
        <v/>
      </c>
      <c r="C615" s="289"/>
      <c r="D615" s="607">
        <f t="shared" si="176"/>
        <v>0</v>
      </c>
      <c r="E615" s="292"/>
      <c r="F615" s="345">
        <f t="shared" si="177"/>
        <v>0</v>
      </c>
      <c r="G615" s="346">
        <f t="shared" si="178"/>
        <v>0</v>
      </c>
    </row>
    <row r="616" spans="1:7" s="294" customFormat="1" ht="18.95" customHeight="1" x14ac:dyDescent="0.2">
      <c r="A616" s="347" t="str">
        <f t="shared" si="174"/>
        <v/>
      </c>
      <c r="B616" s="289" t="str">
        <f t="shared" si="175"/>
        <v/>
      </c>
      <c r="C616" s="289"/>
      <c r="D616" s="607">
        <f t="shared" si="176"/>
        <v>0</v>
      </c>
      <c r="E616" s="322"/>
      <c r="F616" s="345">
        <f t="shared" si="177"/>
        <v>0</v>
      </c>
      <c r="G616" s="346">
        <f t="shared" si="178"/>
        <v>0</v>
      </c>
    </row>
    <row r="617" spans="1:7" ht="18.95" customHeight="1" x14ac:dyDescent="0.2">
      <c r="A617" s="347" t="str">
        <f t="shared" si="174"/>
        <v/>
      </c>
      <c r="B617" s="289" t="str">
        <f t="shared" si="175"/>
        <v/>
      </c>
      <c r="C617" s="289"/>
      <c r="D617" s="607">
        <f t="shared" si="176"/>
        <v>0</v>
      </c>
      <c r="E617" s="292"/>
      <c r="F617" s="345">
        <f t="shared" si="177"/>
        <v>0</v>
      </c>
      <c r="G617" s="346">
        <f t="shared" si="178"/>
        <v>0</v>
      </c>
    </row>
    <row r="618" spans="1:7" ht="18.95" customHeight="1" x14ac:dyDescent="0.2">
      <c r="A618" s="347" t="str">
        <f t="shared" si="174"/>
        <v/>
      </c>
      <c r="B618" s="289" t="str">
        <f t="shared" si="175"/>
        <v/>
      </c>
      <c r="C618" s="289"/>
      <c r="D618" s="607">
        <f t="shared" si="176"/>
        <v>0</v>
      </c>
      <c r="E618" s="292"/>
      <c r="F618" s="345">
        <f t="shared" si="177"/>
        <v>0</v>
      </c>
      <c r="G618" s="346">
        <f t="shared" si="178"/>
        <v>0</v>
      </c>
    </row>
    <row r="619" spans="1:7" ht="18.95" customHeight="1" x14ac:dyDescent="0.2">
      <c r="A619" s="347" t="str">
        <f t="shared" si="174"/>
        <v/>
      </c>
      <c r="B619" s="289" t="str">
        <f t="shared" si="175"/>
        <v/>
      </c>
      <c r="C619" s="289"/>
      <c r="D619" s="607">
        <f t="shared" si="176"/>
        <v>0</v>
      </c>
      <c r="E619" s="292"/>
      <c r="F619" s="345">
        <f t="shared" si="177"/>
        <v>0</v>
      </c>
      <c r="G619" s="346">
        <f t="shared" si="178"/>
        <v>0</v>
      </c>
    </row>
    <row r="620" spans="1:7" ht="18.95" customHeight="1" x14ac:dyDescent="0.2">
      <c r="A620" s="347" t="str">
        <f t="shared" si="174"/>
        <v/>
      </c>
      <c r="B620" s="289" t="str">
        <f t="shared" si="175"/>
        <v/>
      </c>
      <c r="C620" s="289"/>
      <c r="D620" s="607">
        <f t="shared" si="176"/>
        <v>0</v>
      </c>
      <c r="E620" s="292"/>
      <c r="F620" s="345">
        <f t="shared" si="177"/>
        <v>0</v>
      </c>
      <c r="G620" s="346">
        <f t="shared" si="178"/>
        <v>0</v>
      </c>
    </row>
    <row r="621" spans="1:7" ht="18.95" customHeight="1" x14ac:dyDescent="0.2">
      <c r="A621" s="156"/>
      <c r="B621" s="142"/>
      <c r="C621" s="142"/>
      <c r="D621" s="150"/>
      <c r="E621" s="143"/>
      <c r="F621" s="355" t="s">
        <v>31</v>
      </c>
      <c r="G621" s="354">
        <f>SUBTOTAL(9,G609:G620)</f>
        <v>0</v>
      </c>
    </row>
    <row r="622" spans="1:7" ht="18.95" customHeight="1" x14ac:dyDescent="0.2">
      <c r="A622" s="156"/>
      <c r="B622" s="142"/>
      <c r="C622" s="157" t="s">
        <v>1048</v>
      </c>
      <c r="D622" s="150"/>
      <c r="E622" s="326"/>
      <c r="F622" s="326"/>
      <c r="G622" s="341"/>
    </row>
    <row r="623" spans="1:7" ht="18.95" customHeight="1" x14ac:dyDescent="0.2">
      <c r="A623" s="732" t="s">
        <v>582</v>
      </c>
      <c r="B623" s="733"/>
      <c r="C623" s="734" t="s">
        <v>0</v>
      </c>
      <c r="D623" s="736" t="s">
        <v>1750</v>
      </c>
      <c r="E623" s="740" t="s">
        <v>26</v>
      </c>
      <c r="F623" s="740" t="s">
        <v>27</v>
      </c>
      <c r="G623" s="741" t="s">
        <v>28</v>
      </c>
    </row>
    <row r="624" spans="1:7" ht="18.95" customHeight="1" x14ac:dyDescent="0.2">
      <c r="A624" s="154" t="s">
        <v>583</v>
      </c>
      <c r="B624" s="155" t="s">
        <v>584</v>
      </c>
      <c r="C624" s="735"/>
      <c r="D624" s="737"/>
      <c r="E624" s="739"/>
      <c r="F624" s="739"/>
      <c r="G624" s="742"/>
    </row>
    <row r="625" spans="1:8" ht="18.95" customHeight="1" x14ac:dyDescent="0.2">
      <c r="A625" s="347" t="str">
        <f>IFERROR(VLOOKUP(C625,Tabla_Insumos,4,FALSE),"")</f>
        <v/>
      </c>
      <c r="B625" s="289" t="s">
        <v>4</v>
      </c>
      <c r="C625" s="289"/>
      <c r="D625" s="292"/>
      <c r="E625" s="321"/>
      <c r="F625" s="323"/>
      <c r="G625" s="346">
        <f t="shared" ref="G625" si="179">ROUND(E625*F625,2)</f>
        <v>0</v>
      </c>
    </row>
    <row r="626" spans="1:8" ht="18.95" customHeight="1" x14ac:dyDescent="0.2">
      <c r="A626" s="156"/>
      <c r="B626" s="142"/>
      <c r="C626" s="142"/>
      <c r="D626" s="150"/>
      <c r="E626" s="143"/>
      <c r="F626" s="355" t="s">
        <v>1049</v>
      </c>
      <c r="G626" s="354">
        <f>SUBTOTAL(9,G625:G625)</f>
        <v>0</v>
      </c>
    </row>
    <row r="627" spans="1:8" ht="18.95" customHeight="1" thickBot="1" x14ac:dyDescent="0.25">
      <c r="A627" s="158"/>
      <c r="B627" s="159"/>
      <c r="C627" s="160"/>
      <c r="D627" s="161"/>
      <c r="E627" s="356"/>
      <c r="F627" s="356"/>
      <c r="G627" s="357"/>
    </row>
    <row r="628" spans="1:8" ht="18.95" customHeight="1" x14ac:dyDescent="0.2">
      <c r="A628" s="358" t="str">
        <f>B567</f>
        <v>9,a</v>
      </c>
      <c r="B628" s="359" t="str">
        <f>C567</f>
        <v>Cuota Fija</v>
      </c>
      <c r="C628" s="360"/>
      <c r="D628" s="360"/>
      <c r="E628" s="360" t="s">
        <v>1050</v>
      </c>
      <c r="F628" s="361" t="str">
        <f>CONCATENATE("$/",G567)</f>
        <v>$/mes</v>
      </c>
      <c r="G628" s="362">
        <f>SUBTOTAL(9,G587:G627)</f>
        <v>0</v>
      </c>
    </row>
    <row r="629" spans="1:8" ht="18.95" customHeight="1" thickBot="1" x14ac:dyDescent="0.25">
      <c r="A629" s="363"/>
      <c r="B629" s="364"/>
      <c r="C629" s="364"/>
      <c r="D629" s="364"/>
      <c r="E629" s="365" t="s">
        <v>1051</v>
      </c>
      <c r="F629" s="366" t="str">
        <f>CONCATENATE("$/",G567)</f>
        <v>$/mes</v>
      </c>
      <c r="G629" s="367" t="e">
        <f ca="1">PrecioUnitario(G628,GG_Porcentaje,Beneficio,Ingresos_Brutos,IVA)</f>
        <v>#NAME?</v>
      </c>
    </row>
    <row r="630" spans="1:8" ht="18.95" customHeight="1" thickTop="1" thickBot="1" x14ac:dyDescent="0.25">
      <c r="F630" s="293"/>
      <c r="G630" s="293"/>
    </row>
    <row r="631" spans="1:8" ht="18.95" customHeight="1" thickTop="1" x14ac:dyDescent="0.2">
      <c r="A631" s="193" t="s">
        <v>33</v>
      </c>
      <c r="B631" s="194"/>
      <c r="C631" s="194"/>
      <c r="D631" s="194"/>
      <c r="E631" s="194"/>
      <c r="F631" s="194"/>
      <c r="G631" s="195"/>
      <c r="H631" s="143">
        <f>COUNTIF($A$1:A637,"ANALISIS DE PRECIOS")</f>
        <v>10</v>
      </c>
    </row>
    <row r="632" spans="1:8" ht="18.95" customHeight="1" x14ac:dyDescent="0.2">
      <c r="A632" s="144" t="s">
        <v>720</v>
      </c>
      <c r="B632" s="145" t="str">
        <f>Comitente</f>
        <v>DIRECCIÓN PROVINCIAL DE VIALIDAD</v>
      </c>
      <c r="C632" s="139"/>
      <c r="D632" s="146"/>
      <c r="E632" s="324"/>
      <c r="F632" s="324"/>
      <c r="G632" s="325"/>
      <c r="H632" s="143"/>
    </row>
    <row r="633" spans="1:8" ht="18.95" customHeight="1" x14ac:dyDescent="0.2">
      <c r="A633" s="144" t="s">
        <v>721</v>
      </c>
      <c r="B633" s="145">
        <f>Contratista</f>
        <v>0</v>
      </c>
      <c r="C633" s="140"/>
      <c r="D633" s="140"/>
      <c r="E633" s="145"/>
      <c r="F633" s="145"/>
      <c r="G633" s="147"/>
      <c r="H633" s="143"/>
    </row>
    <row r="634" spans="1:8" ht="18.95" customHeight="1" x14ac:dyDescent="0.2">
      <c r="A634" s="144" t="s">
        <v>23</v>
      </c>
      <c r="B634" s="145" t="str">
        <f>Obra</f>
        <v>PAVIMENTACION RUTAS VARIAS</v>
      </c>
      <c r="C634" s="140"/>
      <c r="D634" s="140"/>
      <c r="E634" s="143"/>
      <c r="F634" s="145" t="s">
        <v>34</v>
      </c>
      <c r="G634" s="147">
        <f>Fecha_Base</f>
        <v>43411</v>
      </c>
      <c r="H634" s="143"/>
    </row>
    <row r="635" spans="1:8" ht="18.95" customHeight="1" x14ac:dyDescent="0.2">
      <c r="A635" s="148" t="s">
        <v>719</v>
      </c>
      <c r="B635" s="141" t="str">
        <f>Ubicación</f>
        <v>POCITO</v>
      </c>
      <c r="C635" s="141"/>
      <c r="D635" s="150"/>
      <c r="E635" s="143"/>
      <c r="F635" s="326"/>
      <c r="G635" s="327"/>
      <c r="H635" s="143"/>
    </row>
    <row r="636" spans="1:8" ht="18.95" customHeight="1" x14ac:dyDescent="0.2">
      <c r="A636" s="148" t="s">
        <v>35</v>
      </c>
      <c r="B636" s="151" t="str">
        <f>IFERROR(VALUE(LEFT(B637,FIND("-",B637)-1)),"")</f>
        <v/>
      </c>
      <c r="C636" s="142" t="str">
        <f>IFERROR(VLOOKUP(B636,Tabla_CyP,2,FALSE),"")</f>
        <v/>
      </c>
      <c r="D636" s="150"/>
      <c r="E636" s="143"/>
      <c r="F636" s="326"/>
      <c r="G636" s="327"/>
      <c r="H636" s="143"/>
    </row>
    <row r="637" spans="1:8" ht="18.95" customHeight="1" x14ac:dyDescent="0.2">
      <c r="A637" s="148" t="s">
        <v>24</v>
      </c>
      <c r="B637" s="152" t="str">
        <f>IFERROR(VLOOKUP(COUNTIF($A$1:A637,"ANALISIS DE PRECIOS"),Tabla_NumeroItem,4,FALSE),"")</f>
        <v>9,b</v>
      </c>
      <c r="C637" s="731" t="str">
        <f>IFERROR(VLOOKUP(B637,Tabla_CyP,2,FALSE),"")</f>
        <v>Adicional por kilómetro</v>
      </c>
      <c r="D637" s="731"/>
      <c r="E637" s="731"/>
      <c r="F637" s="141" t="s">
        <v>25</v>
      </c>
      <c r="G637" s="153" t="str">
        <f>IFERROR(VLOOKUP(B637,Tabla_CyP,4,FALSE),"")</f>
        <v>km</v>
      </c>
      <c r="H637" s="143"/>
    </row>
    <row r="638" spans="1:8" ht="18.95" customHeight="1" x14ac:dyDescent="0.2">
      <c r="A638" s="148"/>
      <c r="B638" s="141"/>
      <c r="C638" s="142"/>
      <c r="D638" s="150"/>
      <c r="E638" s="142"/>
      <c r="F638" s="142"/>
      <c r="G638" s="328"/>
      <c r="H638" s="143"/>
    </row>
    <row r="639" spans="1:8" ht="18.95" customHeight="1" x14ac:dyDescent="0.2">
      <c r="A639" s="329"/>
      <c r="B639" s="330"/>
      <c r="C639" s="331" t="s">
        <v>1032</v>
      </c>
      <c r="D639" s="330"/>
      <c r="E639" s="330"/>
      <c r="F639" s="330"/>
      <c r="G639" s="332"/>
      <c r="H639" s="143"/>
    </row>
    <row r="640" spans="1:8" ht="18.95" customHeight="1" x14ac:dyDescent="0.2">
      <c r="A640" s="148"/>
      <c r="B640" s="333"/>
      <c r="C640" s="334" t="s">
        <v>1033</v>
      </c>
      <c r="D640" s="335" t="s">
        <v>26</v>
      </c>
      <c r="E640" s="335" t="s">
        <v>1034</v>
      </c>
      <c r="F640" s="335" t="s">
        <v>1035</v>
      </c>
      <c r="G640" s="336" t="s">
        <v>1036</v>
      </c>
      <c r="H640" s="143"/>
    </row>
    <row r="641" spans="1:7" ht="18.95" customHeight="1" x14ac:dyDescent="0.2">
      <c r="A641" s="342"/>
      <c r="B641" s="343"/>
      <c r="C641" s="289"/>
      <c r="D641" s="292"/>
      <c r="E641" s="344"/>
      <c r="F641" s="345"/>
      <c r="G641" s="346">
        <f t="shared" ref="G641:G650" si="180">ROUND(D641*F641,2)</f>
        <v>0</v>
      </c>
    </row>
    <row r="642" spans="1:7" ht="18.95" customHeight="1" x14ac:dyDescent="0.2">
      <c r="A642" s="342"/>
      <c r="B642" s="343"/>
      <c r="C642" s="289"/>
      <c r="D642" s="292"/>
      <c r="E642" s="344"/>
      <c r="F642" s="345"/>
      <c r="G642" s="346">
        <f t="shared" si="180"/>
        <v>0</v>
      </c>
    </row>
    <row r="643" spans="1:7" ht="18.95" customHeight="1" x14ac:dyDescent="0.2">
      <c r="A643" s="342"/>
      <c r="B643" s="343"/>
      <c r="C643" s="289"/>
      <c r="D643" s="292"/>
      <c r="E643" s="344">
        <f t="shared" ref="E643:E650" si="181">IFERROR(VLOOKUP(C643,T_Equipos,4,FALSE),0)</f>
        <v>0</v>
      </c>
      <c r="F643" s="345">
        <f t="shared" ref="F643:F650" si="182">IFERROR(VLOOKUP(C643,T_Equipos,11,FALSE),0)</f>
        <v>0</v>
      </c>
      <c r="G643" s="346">
        <f t="shared" si="180"/>
        <v>0</v>
      </c>
    </row>
    <row r="644" spans="1:7" ht="18.95" customHeight="1" x14ac:dyDescent="0.2">
      <c r="A644" s="342"/>
      <c r="B644" s="343"/>
      <c r="C644" s="289"/>
      <c r="D644" s="292"/>
      <c r="E644" s="344">
        <f t="shared" si="181"/>
        <v>0</v>
      </c>
      <c r="F644" s="345">
        <f t="shared" si="182"/>
        <v>0</v>
      </c>
      <c r="G644" s="346">
        <f t="shared" si="180"/>
        <v>0</v>
      </c>
    </row>
    <row r="645" spans="1:7" ht="18.95" customHeight="1" x14ac:dyDescent="0.2">
      <c r="A645" s="342"/>
      <c r="B645" s="343"/>
      <c r="C645" s="289"/>
      <c r="D645" s="292"/>
      <c r="E645" s="344">
        <f t="shared" si="181"/>
        <v>0</v>
      </c>
      <c r="F645" s="345">
        <f t="shared" si="182"/>
        <v>0</v>
      </c>
      <c r="G645" s="346">
        <f t="shared" si="180"/>
        <v>0</v>
      </c>
    </row>
    <row r="646" spans="1:7" ht="18.95" customHeight="1" x14ac:dyDescent="0.2">
      <c r="A646" s="342"/>
      <c r="B646" s="343"/>
      <c r="C646" s="289"/>
      <c r="D646" s="292"/>
      <c r="E646" s="344">
        <f t="shared" si="181"/>
        <v>0</v>
      </c>
      <c r="F646" s="345">
        <f t="shared" si="182"/>
        <v>0</v>
      </c>
      <c r="G646" s="346">
        <f t="shared" si="180"/>
        <v>0</v>
      </c>
    </row>
    <row r="647" spans="1:7" ht="18.95" customHeight="1" x14ac:dyDescent="0.2">
      <c r="A647" s="342"/>
      <c r="B647" s="343"/>
      <c r="C647" s="289"/>
      <c r="D647" s="292"/>
      <c r="E647" s="344">
        <f t="shared" si="181"/>
        <v>0</v>
      </c>
      <c r="F647" s="345">
        <f t="shared" si="182"/>
        <v>0</v>
      </c>
      <c r="G647" s="346">
        <f t="shared" si="180"/>
        <v>0</v>
      </c>
    </row>
    <row r="648" spans="1:7" ht="18.95" customHeight="1" x14ac:dyDescent="0.2">
      <c r="A648" s="342"/>
      <c r="B648" s="343"/>
      <c r="C648" s="289"/>
      <c r="D648" s="292"/>
      <c r="E648" s="344">
        <f t="shared" si="181"/>
        <v>0</v>
      </c>
      <c r="F648" s="345">
        <f t="shared" si="182"/>
        <v>0</v>
      </c>
      <c r="G648" s="346">
        <f t="shared" si="180"/>
        <v>0</v>
      </c>
    </row>
    <row r="649" spans="1:7" ht="18.95" customHeight="1" x14ac:dyDescent="0.2">
      <c r="A649" s="342"/>
      <c r="B649" s="343"/>
      <c r="C649" s="289"/>
      <c r="D649" s="292"/>
      <c r="E649" s="344">
        <f t="shared" si="181"/>
        <v>0</v>
      </c>
      <c r="F649" s="345">
        <f t="shared" si="182"/>
        <v>0</v>
      </c>
      <c r="G649" s="346">
        <f t="shared" si="180"/>
        <v>0</v>
      </c>
    </row>
    <row r="650" spans="1:7" ht="18.95" customHeight="1" thickBot="1" x14ac:dyDescent="0.25">
      <c r="A650" s="342"/>
      <c r="B650" s="343"/>
      <c r="C650" s="289"/>
      <c r="D650" s="292"/>
      <c r="E650" s="344">
        <f t="shared" si="181"/>
        <v>0</v>
      </c>
      <c r="F650" s="345">
        <f t="shared" si="182"/>
        <v>0</v>
      </c>
      <c r="G650" s="346">
        <f t="shared" si="180"/>
        <v>0</v>
      </c>
    </row>
    <row r="651" spans="1:7" ht="18.95" customHeight="1" thickBot="1" x14ac:dyDescent="0.25">
      <c r="A651" s="148"/>
      <c r="B651" s="333"/>
      <c r="C651" s="143"/>
      <c r="D651" s="146" t="s">
        <v>1037</v>
      </c>
      <c r="E651" s="337">
        <f>SUMPRODUCT(D641:D650,E641:E650)</f>
        <v>0</v>
      </c>
      <c r="F651" s="141" t="s">
        <v>1038</v>
      </c>
      <c r="G651" s="338">
        <f>SUM(G641:G650)</f>
        <v>0</v>
      </c>
    </row>
    <row r="652" spans="1:7" ht="18.95" customHeight="1" x14ac:dyDescent="0.2">
      <c r="A652" s="148"/>
      <c r="B652" s="333"/>
      <c r="C652" s="141" t="s">
        <v>1039</v>
      </c>
      <c r="D652" s="319"/>
      <c r="E652" s="339" t="str">
        <f>CONCATENATE(G637,"/día")</f>
        <v>km/día</v>
      </c>
      <c r="F652" s="141"/>
      <c r="G652" s="340"/>
    </row>
    <row r="653" spans="1:7" ht="18.95" customHeight="1" x14ac:dyDescent="0.2">
      <c r="A653" s="148"/>
      <c r="B653" s="333"/>
      <c r="C653" s="142"/>
      <c r="D653" s="150"/>
      <c r="E653" s="141"/>
      <c r="F653" s="141"/>
      <c r="G653" s="340"/>
    </row>
    <row r="654" spans="1:7" ht="18.95" customHeight="1" x14ac:dyDescent="0.2">
      <c r="A654" s="732" t="s">
        <v>582</v>
      </c>
      <c r="B654" s="733"/>
      <c r="C654" s="734" t="s">
        <v>0</v>
      </c>
      <c r="D654" s="738" t="s">
        <v>1053</v>
      </c>
      <c r="E654" s="738" t="s">
        <v>1706</v>
      </c>
      <c r="F654" s="738" t="s">
        <v>1054</v>
      </c>
      <c r="G654" s="738" t="s">
        <v>1055</v>
      </c>
    </row>
    <row r="655" spans="1:7" ht="18.95" customHeight="1" x14ac:dyDescent="0.2">
      <c r="A655" s="154" t="s">
        <v>583</v>
      </c>
      <c r="B655" s="155" t="s">
        <v>584</v>
      </c>
      <c r="C655" s="735"/>
      <c r="D655" s="739"/>
      <c r="E655" s="739"/>
      <c r="F655" s="743"/>
      <c r="G655" s="739"/>
    </row>
    <row r="656" spans="1:7" ht="18.95" customHeight="1" x14ac:dyDescent="0.2">
      <c r="A656" s="156"/>
      <c r="B656" s="142"/>
      <c r="C656" s="157" t="s">
        <v>1041</v>
      </c>
      <c r="D656" s="150"/>
      <c r="E656" s="142"/>
      <c r="F656" s="142"/>
      <c r="G656" s="341"/>
    </row>
    <row r="657" spans="1:7" ht="18.95" customHeight="1" x14ac:dyDescent="0.2">
      <c r="A657" s="347" t="str">
        <f t="shared" ref="A657:A664" si="183">IFERROR(VLOOKUP(C657,Tabla_Insumos,4,FALSE),"")</f>
        <v/>
      </c>
      <c r="B657" s="289" t="str">
        <f t="shared" ref="B657:B664" si="184">IFERROR(VLOOKUP(C657,Tabla_Insumos,5,FALSE),"")</f>
        <v/>
      </c>
      <c r="C657" s="289"/>
      <c r="D657" s="606">
        <f t="shared" ref="D657:D664" si="185">IFERROR(VLOOKUP(C657,Tabla_Insumos,3,FALSE),0)</f>
        <v>0</v>
      </c>
      <c r="E657" s="348">
        <f>D657*$G$21</f>
        <v>0</v>
      </c>
      <c r="F657" s="349">
        <f>IF(C657="",0,D652)</f>
        <v>0</v>
      </c>
      <c r="G657" s="346">
        <f>IFERROR(ROUND(E657/F657,2),0)</f>
        <v>0</v>
      </c>
    </row>
    <row r="658" spans="1:7" ht="18.95" customHeight="1" x14ac:dyDescent="0.2">
      <c r="A658" s="347" t="str">
        <f t="shared" si="183"/>
        <v/>
      </c>
      <c r="B658" s="289" t="str">
        <f t="shared" si="184"/>
        <v/>
      </c>
      <c r="C658" s="320"/>
      <c r="D658" s="606">
        <f t="shared" si="185"/>
        <v>0</v>
      </c>
      <c r="E658" s="348">
        <f t="shared" ref="E658:E659" si="186">D658*$G$21</f>
        <v>0</v>
      </c>
      <c r="F658" s="349">
        <f t="shared" ref="F658:F661" si="187">IF(C658="",0,F657)</f>
        <v>0</v>
      </c>
      <c r="G658" s="346">
        <f t="shared" ref="G658:G664" si="188">IFERROR(ROUND(E658/F658,2),0)</f>
        <v>0</v>
      </c>
    </row>
    <row r="659" spans="1:7" ht="18.95" customHeight="1" x14ac:dyDescent="0.2">
      <c r="A659" s="347" t="str">
        <f t="shared" si="183"/>
        <v/>
      </c>
      <c r="B659" s="289" t="str">
        <f t="shared" si="184"/>
        <v/>
      </c>
      <c r="C659" s="320"/>
      <c r="D659" s="606">
        <f t="shared" si="185"/>
        <v>0</v>
      </c>
      <c r="E659" s="348">
        <f t="shared" si="186"/>
        <v>0</v>
      </c>
      <c r="F659" s="349">
        <f t="shared" si="187"/>
        <v>0</v>
      </c>
      <c r="G659" s="346">
        <f t="shared" si="188"/>
        <v>0</v>
      </c>
    </row>
    <row r="660" spans="1:7" ht="18.95" customHeight="1" x14ac:dyDescent="0.2">
      <c r="A660" s="347" t="str">
        <f t="shared" si="183"/>
        <v/>
      </c>
      <c r="B660" s="289" t="str">
        <f t="shared" si="184"/>
        <v/>
      </c>
      <c r="C660" s="320"/>
      <c r="D660" s="606">
        <f t="shared" si="185"/>
        <v>0</v>
      </c>
      <c r="E660" s="348">
        <f>D660*$E$21</f>
        <v>0</v>
      </c>
      <c r="F660" s="349">
        <f t="shared" si="187"/>
        <v>0</v>
      </c>
      <c r="G660" s="346">
        <f t="shared" si="188"/>
        <v>0</v>
      </c>
    </row>
    <row r="661" spans="1:7" ht="18.95" customHeight="1" x14ac:dyDescent="0.2">
      <c r="A661" s="347" t="str">
        <f t="shared" si="183"/>
        <v/>
      </c>
      <c r="B661" s="289" t="str">
        <f t="shared" si="184"/>
        <v/>
      </c>
      <c r="C661" s="320"/>
      <c r="D661" s="606">
        <f t="shared" si="185"/>
        <v>0</v>
      </c>
      <c r="E661" s="348">
        <f>D661*$E$21</f>
        <v>0</v>
      </c>
      <c r="F661" s="349">
        <f t="shared" si="187"/>
        <v>0</v>
      </c>
      <c r="G661" s="346">
        <f t="shared" si="188"/>
        <v>0</v>
      </c>
    </row>
    <row r="662" spans="1:7" ht="18.95" customHeight="1" x14ac:dyDescent="0.2">
      <c r="A662" s="347" t="str">
        <f t="shared" si="183"/>
        <v/>
      </c>
      <c r="B662" s="289" t="str">
        <f t="shared" si="184"/>
        <v/>
      </c>
      <c r="C662" s="320"/>
      <c r="D662" s="606">
        <f t="shared" si="185"/>
        <v>0</v>
      </c>
      <c r="E662" s="348"/>
      <c r="F662" s="349">
        <f>IF(C662="",0,F661)</f>
        <v>0</v>
      </c>
      <c r="G662" s="346">
        <f t="shared" si="188"/>
        <v>0</v>
      </c>
    </row>
    <row r="663" spans="1:7" ht="18.95" customHeight="1" x14ac:dyDescent="0.2">
      <c r="A663" s="347" t="str">
        <f t="shared" si="183"/>
        <v/>
      </c>
      <c r="B663" s="289" t="str">
        <f t="shared" si="184"/>
        <v/>
      </c>
      <c r="C663" s="320"/>
      <c r="D663" s="606">
        <f t="shared" si="185"/>
        <v>0</v>
      </c>
      <c r="E663" s="348"/>
      <c r="F663" s="349">
        <f t="shared" ref="F663:F664" si="189">IF(C663="",0,F662)</f>
        <v>0</v>
      </c>
      <c r="G663" s="346">
        <f t="shared" si="188"/>
        <v>0</v>
      </c>
    </row>
    <row r="664" spans="1:7" ht="18.95" customHeight="1" x14ac:dyDescent="0.2">
      <c r="A664" s="347" t="str">
        <f t="shared" si="183"/>
        <v/>
      </c>
      <c r="B664" s="289" t="str">
        <f t="shared" si="184"/>
        <v/>
      </c>
      <c r="C664" s="320"/>
      <c r="D664" s="606">
        <f t="shared" si="185"/>
        <v>0</v>
      </c>
      <c r="E664" s="348"/>
      <c r="F664" s="349">
        <f t="shared" si="189"/>
        <v>0</v>
      </c>
      <c r="G664" s="346">
        <f t="shared" si="188"/>
        <v>0</v>
      </c>
    </row>
    <row r="665" spans="1:7" ht="18.95" customHeight="1" x14ac:dyDescent="0.2">
      <c r="A665" s="352"/>
      <c r="B665" s="149"/>
      <c r="C665" s="142"/>
      <c r="D665" s="150"/>
      <c r="E665" s="143"/>
      <c r="F665" s="353" t="s">
        <v>29</v>
      </c>
      <c r="G665" s="354">
        <f>SUBTOTAL(9,G657:G664)</f>
        <v>0</v>
      </c>
    </row>
    <row r="666" spans="1:7" ht="18.95" customHeight="1" x14ac:dyDescent="0.2">
      <c r="A666" s="156"/>
      <c r="B666" s="142"/>
      <c r="C666" s="157" t="s">
        <v>722</v>
      </c>
      <c r="D666" s="150"/>
      <c r="E666" s="326"/>
      <c r="F666" s="326"/>
      <c r="G666" s="341"/>
    </row>
    <row r="667" spans="1:7" ht="18.95" customHeight="1" x14ac:dyDescent="0.2">
      <c r="A667" s="732" t="s">
        <v>582</v>
      </c>
      <c r="B667" s="733"/>
      <c r="C667" s="734" t="s">
        <v>0</v>
      </c>
      <c r="D667" s="736" t="s">
        <v>26</v>
      </c>
      <c r="E667" s="738" t="s">
        <v>1707</v>
      </c>
      <c r="F667" s="740" t="s">
        <v>1040</v>
      </c>
      <c r="G667" s="741" t="s">
        <v>28</v>
      </c>
    </row>
    <row r="668" spans="1:7" ht="18.95" customHeight="1" x14ac:dyDescent="0.2">
      <c r="A668" s="154" t="s">
        <v>583</v>
      </c>
      <c r="B668" s="155" t="s">
        <v>584</v>
      </c>
      <c r="C668" s="735"/>
      <c r="D668" s="737"/>
      <c r="E668" s="739"/>
      <c r="F668" s="739"/>
      <c r="G668" s="742"/>
    </row>
    <row r="669" spans="1:7" ht="18.95" customHeight="1" x14ac:dyDescent="0.2">
      <c r="A669" s="347" t="str">
        <f t="shared" ref="A669:A674" si="190">IFERROR(VLOOKUP(C669,Tabla_Insumos,4,FALSE),"")</f>
        <v/>
      </c>
      <c r="B669" s="289" t="str">
        <f t="shared" ref="B669:B674" si="191">IFERROR(VLOOKUP(C669,Tabla_Insumos,5,FALSE),"")</f>
        <v/>
      </c>
      <c r="C669" s="290"/>
      <c r="D669" s="292"/>
      <c r="E669" s="345">
        <f t="shared" ref="E669:E674" si="192">IFERROR(VLOOKUP(C669,Tabla_Insumos,3,FALSE),0)</f>
        <v>0</v>
      </c>
      <c r="F669" s="348">
        <f>IF(C669="",0,D652)</f>
        <v>0</v>
      </c>
      <c r="G669" s="346">
        <f t="shared" ref="G669:G674" si="193">IFERROR(ROUND(D669*E669/F669,2),0)</f>
        <v>0</v>
      </c>
    </row>
    <row r="670" spans="1:7" ht="18.95" customHeight="1" x14ac:dyDescent="0.2">
      <c r="A670" s="347" t="str">
        <f t="shared" si="190"/>
        <v/>
      </c>
      <c r="B670" s="289" t="str">
        <f t="shared" si="191"/>
        <v/>
      </c>
      <c r="C670" s="289"/>
      <c r="D670" s="292"/>
      <c r="E670" s="345">
        <f t="shared" si="192"/>
        <v>0</v>
      </c>
      <c r="F670" s="348">
        <f>IF(C670="",0,F669)</f>
        <v>0</v>
      </c>
      <c r="G670" s="346">
        <f t="shared" si="193"/>
        <v>0</v>
      </c>
    </row>
    <row r="671" spans="1:7" ht="18.95" customHeight="1" x14ac:dyDescent="0.2">
      <c r="A671" s="347" t="str">
        <f t="shared" si="190"/>
        <v/>
      </c>
      <c r="B671" s="289" t="str">
        <f t="shared" si="191"/>
        <v/>
      </c>
      <c r="C671" s="289"/>
      <c r="D671" s="292"/>
      <c r="E671" s="345">
        <f t="shared" si="192"/>
        <v>0</v>
      </c>
      <c r="F671" s="348">
        <f>IF(C671="",0,F670)</f>
        <v>0</v>
      </c>
      <c r="G671" s="346">
        <f t="shared" si="193"/>
        <v>0</v>
      </c>
    </row>
    <row r="672" spans="1:7" ht="18.95" customHeight="1" x14ac:dyDescent="0.2">
      <c r="A672" s="347" t="str">
        <f t="shared" si="190"/>
        <v/>
      </c>
      <c r="B672" s="289" t="str">
        <f t="shared" si="191"/>
        <v/>
      </c>
      <c r="C672" s="289"/>
      <c r="D672" s="292"/>
      <c r="E672" s="345">
        <f t="shared" si="192"/>
        <v>0</v>
      </c>
      <c r="F672" s="348">
        <f>IF(C672="",0,F671)</f>
        <v>0</v>
      </c>
      <c r="G672" s="346">
        <f t="shared" si="193"/>
        <v>0</v>
      </c>
    </row>
    <row r="673" spans="1:7" ht="18.95" customHeight="1" x14ac:dyDescent="0.2">
      <c r="A673" s="347" t="str">
        <f t="shared" si="190"/>
        <v/>
      </c>
      <c r="B673" s="289" t="str">
        <f t="shared" si="191"/>
        <v/>
      </c>
      <c r="C673" s="289"/>
      <c r="D673" s="350"/>
      <c r="E673" s="345">
        <f t="shared" si="192"/>
        <v>0</v>
      </c>
      <c r="F673" s="348">
        <f>IF(C673="",0,F672)</f>
        <v>0</v>
      </c>
      <c r="G673" s="346">
        <f t="shared" si="193"/>
        <v>0</v>
      </c>
    </row>
    <row r="674" spans="1:7" ht="18.95" customHeight="1" x14ac:dyDescent="0.2">
      <c r="A674" s="347" t="str">
        <f t="shared" si="190"/>
        <v/>
      </c>
      <c r="B674" s="289" t="str">
        <f t="shared" si="191"/>
        <v/>
      </c>
      <c r="C674" s="289"/>
      <c r="D674" s="292"/>
      <c r="E674" s="345">
        <f t="shared" si="192"/>
        <v>0</v>
      </c>
      <c r="F674" s="348">
        <f>IF(C674="",0,F673)</f>
        <v>0</v>
      </c>
      <c r="G674" s="346">
        <f t="shared" si="193"/>
        <v>0</v>
      </c>
    </row>
    <row r="675" spans="1:7" ht="18.95" customHeight="1" x14ac:dyDescent="0.2">
      <c r="A675" s="352"/>
      <c r="B675" s="149"/>
      <c r="C675" s="142"/>
      <c r="D675" s="150"/>
      <c r="E675" s="143"/>
      <c r="F675" s="355" t="s">
        <v>30</v>
      </c>
      <c r="G675" s="354">
        <f>SUBTOTAL(9,G669:G674)</f>
        <v>0</v>
      </c>
    </row>
    <row r="676" spans="1:7" ht="18.95" customHeight="1" x14ac:dyDescent="0.2">
      <c r="A676" s="156"/>
      <c r="B676" s="142"/>
      <c r="C676" s="157" t="s">
        <v>1047</v>
      </c>
      <c r="D676" s="150"/>
      <c r="E676" s="326"/>
      <c r="F676" s="326"/>
      <c r="G676" s="341"/>
    </row>
    <row r="677" spans="1:7" ht="18.95" customHeight="1" x14ac:dyDescent="0.2">
      <c r="A677" s="732" t="s">
        <v>582</v>
      </c>
      <c r="B677" s="733"/>
      <c r="C677" s="734" t="s">
        <v>0</v>
      </c>
      <c r="D677" s="734" t="s">
        <v>1655</v>
      </c>
      <c r="E677" s="734" t="s">
        <v>26</v>
      </c>
      <c r="F677" s="734" t="s">
        <v>27</v>
      </c>
      <c r="G677" s="741" t="s">
        <v>28</v>
      </c>
    </row>
    <row r="678" spans="1:7" ht="18.95" customHeight="1" x14ac:dyDescent="0.2">
      <c r="A678" s="154" t="s">
        <v>583</v>
      </c>
      <c r="B678" s="155" t="s">
        <v>584</v>
      </c>
      <c r="C678" s="735"/>
      <c r="D678" s="735"/>
      <c r="E678" s="735"/>
      <c r="F678" s="735"/>
      <c r="G678" s="742"/>
    </row>
    <row r="679" spans="1:7" ht="18.95" customHeight="1" x14ac:dyDescent="0.2">
      <c r="A679" s="347" t="str">
        <f t="shared" ref="A679:A690" si="194">IFERROR(VLOOKUP(C679,Tabla_Insumos,4,FALSE),"")</f>
        <v/>
      </c>
      <c r="B679" s="289" t="str">
        <f t="shared" ref="B679:B690" si="195">IFERROR(VLOOKUP(C679,Tabla_Insumos,5,FALSE),"")</f>
        <v/>
      </c>
      <c r="C679" s="289"/>
      <c r="D679" s="607">
        <f t="shared" ref="D679:D690" si="196">IFERROR(VLOOKUP(C679,Tabla_Insumos,2,FALSE),0)</f>
        <v>0</v>
      </c>
      <c r="E679" s="292"/>
      <c r="F679" s="345">
        <f t="shared" ref="F679:F690" si="197">IFERROR(VLOOKUP(C679,Tabla_Insumos,3,FALSE),0)</f>
        <v>0</v>
      </c>
      <c r="G679" s="346">
        <f t="shared" ref="G679:G690" si="198">ROUND(E679*F679,2)</f>
        <v>0</v>
      </c>
    </row>
    <row r="680" spans="1:7" ht="18.95" customHeight="1" x14ac:dyDescent="0.2">
      <c r="A680" s="347" t="str">
        <f t="shared" si="194"/>
        <v/>
      </c>
      <c r="B680" s="289" t="str">
        <f t="shared" si="195"/>
        <v/>
      </c>
      <c r="C680" s="126"/>
      <c r="D680" s="607">
        <f t="shared" si="196"/>
        <v>0</v>
      </c>
      <c r="E680" s="292"/>
      <c r="F680" s="345">
        <f t="shared" si="197"/>
        <v>0</v>
      </c>
      <c r="G680" s="346">
        <f t="shared" si="198"/>
        <v>0</v>
      </c>
    </row>
    <row r="681" spans="1:7" ht="18.95" customHeight="1" x14ac:dyDescent="0.2">
      <c r="A681" s="347" t="str">
        <f t="shared" si="194"/>
        <v/>
      </c>
      <c r="B681" s="289" t="str">
        <f t="shared" si="195"/>
        <v/>
      </c>
      <c r="C681" s="289"/>
      <c r="D681" s="607">
        <f t="shared" si="196"/>
        <v>0</v>
      </c>
      <c r="E681" s="292"/>
      <c r="F681" s="345">
        <f t="shared" si="197"/>
        <v>0</v>
      </c>
      <c r="G681" s="346">
        <f t="shared" si="198"/>
        <v>0</v>
      </c>
    </row>
    <row r="682" spans="1:7" ht="18.95" customHeight="1" x14ac:dyDescent="0.2">
      <c r="A682" s="347" t="str">
        <f t="shared" si="194"/>
        <v/>
      </c>
      <c r="B682" s="289" t="str">
        <f t="shared" si="195"/>
        <v/>
      </c>
      <c r="C682" s="289"/>
      <c r="D682" s="607">
        <f t="shared" si="196"/>
        <v>0</v>
      </c>
      <c r="E682" s="292"/>
      <c r="F682" s="345">
        <f t="shared" si="197"/>
        <v>0</v>
      </c>
      <c r="G682" s="346">
        <f t="shared" si="198"/>
        <v>0</v>
      </c>
    </row>
    <row r="683" spans="1:7" ht="18.95" customHeight="1" x14ac:dyDescent="0.2">
      <c r="A683" s="347" t="str">
        <f t="shared" si="194"/>
        <v/>
      </c>
      <c r="B683" s="289" t="str">
        <f t="shared" si="195"/>
        <v/>
      </c>
      <c r="C683" s="289"/>
      <c r="D683" s="607">
        <f t="shared" si="196"/>
        <v>0</v>
      </c>
      <c r="E683" s="292"/>
      <c r="F683" s="345">
        <f t="shared" si="197"/>
        <v>0</v>
      </c>
      <c r="G683" s="346">
        <f t="shared" si="198"/>
        <v>0</v>
      </c>
    </row>
    <row r="684" spans="1:7" ht="18.95" customHeight="1" x14ac:dyDescent="0.2">
      <c r="A684" s="347" t="str">
        <f t="shared" si="194"/>
        <v/>
      </c>
      <c r="B684" s="289" t="str">
        <f t="shared" si="195"/>
        <v/>
      </c>
      <c r="C684" s="289"/>
      <c r="D684" s="607">
        <f t="shared" si="196"/>
        <v>0</v>
      </c>
      <c r="E684" s="292"/>
      <c r="F684" s="345">
        <f t="shared" si="197"/>
        <v>0</v>
      </c>
      <c r="G684" s="346">
        <f t="shared" si="198"/>
        <v>0</v>
      </c>
    </row>
    <row r="685" spans="1:7" ht="18.95" customHeight="1" x14ac:dyDescent="0.2">
      <c r="A685" s="347" t="str">
        <f t="shared" si="194"/>
        <v/>
      </c>
      <c r="B685" s="289" t="str">
        <f t="shared" si="195"/>
        <v/>
      </c>
      <c r="C685" s="289"/>
      <c r="D685" s="607">
        <f t="shared" si="196"/>
        <v>0</v>
      </c>
      <c r="E685" s="292"/>
      <c r="F685" s="345">
        <f t="shared" si="197"/>
        <v>0</v>
      </c>
      <c r="G685" s="346">
        <f t="shared" si="198"/>
        <v>0</v>
      </c>
    </row>
    <row r="686" spans="1:7" s="294" customFormat="1" ht="18.95" customHeight="1" x14ac:dyDescent="0.2">
      <c r="A686" s="347" t="str">
        <f t="shared" si="194"/>
        <v/>
      </c>
      <c r="B686" s="289" t="str">
        <f t="shared" si="195"/>
        <v/>
      </c>
      <c r="C686" s="289"/>
      <c r="D686" s="607">
        <f t="shared" si="196"/>
        <v>0</v>
      </c>
      <c r="E686" s="322"/>
      <c r="F686" s="345">
        <f t="shared" si="197"/>
        <v>0</v>
      </c>
      <c r="G686" s="346">
        <f t="shared" si="198"/>
        <v>0</v>
      </c>
    </row>
    <row r="687" spans="1:7" ht="18.95" customHeight="1" x14ac:dyDescent="0.2">
      <c r="A687" s="347" t="str">
        <f t="shared" si="194"/>
        <v/>
      </c>
      <c r="B687" s="289" t="str">
        <f t="shared" si="195"/>
        <v/>
      </c>
      <c r="C687" s="289"/>
      <c r="D687" s="607">
        <f t="shared" si="196"/>
        <v>0</v>
      </c>
      <c r="E687" s="292"/>
      <c r="F687" s="345">
        <f t="shared" si="197"/>
        <v>0</v>
      </c>
      <c r="G687" s="346">
        <f t="shared" si="198"/>
        <v>0</v>
      </c>
    </row>
    <row r="688" spans="1:7" ht="18.95" customHeight="1" x14ac:dyDescent="0.2">
      <c r="A688" s="347" t="str">
        <f t="shared" si="194"/>
        <v/>
      </c>
      <c r="B688" s="289" t="str">
        <f t="shared" si="195"/>
        <v/>
      </c>
      <c r="C688" s="289"/>
      <c r="D688" s="607">
        <f t="shared" si="196"/>
        <v>0</v>
      </c>
      <c r="E688" s="292"/>
      <c r="F688" s="345">
        <f t="shared" si="197"/>
        <v>0</v>
      </c>
      <c r="G688" s="346">
        <f t="shared" si="198"/>
        <v>0</v>
      </c>
    </row>
    <row r="689" spans="1:8" ht="18.95" customHeight="1" x14ac:dyDescent="0.2">
      <c r="A689" s="347" t="str">
        <f t="shared" si="194"/>
        <v/>
      </c>
      <c r="B689" s="289" t="str">
        <f t="shared" si="195"/>
        <v/>
      </c>
      <c r="C689" s="289"/>
      <c r="D689" s="607">
        <f t="shared" si="196"/>
        <v>0</v>
      </c>
      <c r="E689" s="292"/>
      <c r="F689" s="345">
        <f t="shared" si="197"/>
        <v>0</v>
      </c>
      <c r="G689" s="346">
        <f t="shared" si="198"/>
        <v>0</v>
      </c>
    </row>
    <row r="690" spans="1:8" ht="18.95" customHeight="1" x14ac:dyDescent="0.2">
      <c r="A690" s="347" t="str">
        <f t="shared" si="194"/>
        <v/>
      </c>
      <c r="B690" s="289" t="str">
        <f t="shared" si="195"/>
        <v/>
      </c>
      <c r="C690" s="289"/>
      <c r="D690" s="607">
        <f t="shared" si="196"/>
        <v>0</v>
      </c>
      <c r="E690" s="292"/>
      <c r="F690" s="345">
        <f t="shared" si="197"/>
        <v>0</v>
      </c>
      <c r="G690" s="346">
        <f t="shared" si="198"/>
        <v>0</v>
      </c>
    </row>
    <row r="691" spans="1:8" ht="18.95" customHeight="1" x14ac:dyDescent="0.2">
      <c r="A691" s="156"/>
      <c r="B691" s="142"/>
      <c r="C691" s="142"/>
      <c r="D691" s="150"/>
      <c r="E691" s="143"/>
      <c r="F691" s="355" t="s">
        <v>31</v>
      </c>
      <c r="G691" s="354">
        <f>SUBTOTAL(9,G679:G690)</f>
        <v>0</v>
      </c>
    </row>
    <row r="692" spans="1:8" ht="18.95" customHeight="1" x14ac:dyDescent="0.2">
      <c r="A692" s="156"/>
      <c r="B692" s="142"/>
      <c r="C692" s="157" t="s">
        <v>1048</v>
      </c>
      <c r="D692" s="150"/>
      <c r="E692" s="326"/>
      <c r="F692" s="326"/>
      <c r="G692" s="341"/>
    </row>
    <row r="693" spans="1:8" ht="18.95" customHeight="1" x14ac:dyDescent="0.2">
      <c r="A693" s="732" t="s">
        <v>582</v>
      </c>
      <c r="B693" s="733"/>
      <c r="C693" s="734" t="s">
        <v>0</v>
      </c>
      <c r="D693" s="736" t="s">
        <v>1750</v>
      </c>
      <c r="E693" s="740" t="s">
        <v>26</v>
      </c>
      <c r="F693" s="740" t="s">
        <v>27</v>
      </c>
      <c r="G693" s="741" t="s">
        <v>28</v>
      </c>
    </row>
    <row r="694" spans="1:8" ht="18.95" customHeight="1" x14ac:dyDescent="0.2">
      <c r="A694" s="154" t="s">
        <v>583</v>
      </c>
      <c r="B694" s="155" t="s">
        <v>584</v>
      </c>
      <c r="C694" s="735"/>
      <c r="D694" s="737"/>
      <c r="E694" s="739"/>
      <c r="F694" s="739"/>
      <c r="G694" s="742"/>
    </row>
    <row r="695" spans="1:8" ht="18.95" customHeight="1" x14ac:dyDescent="0.2">
      <c r="A695" s="347" t="str">
        <f>IFERROR(VLOOKUP(C695,Tabla_Insumos,4,FALSE),"")</f>
        <v/>
      </c>
      <c r="B695" s="289" t="s">
        <v>4</v>
      </c>
      <c r="C695" s="289"/>
      <c r="D695" s="292"/>
      <c r="E695" s="321"/>
      <c r="F695" s="323"/>
      <c r="G695" s="346">
        <f t="shared" ref="G695" si="199">ROUND(E695*F695,2)</f>
        <v>0</v>
      </c>
    </row>
    <row r="696" spans="1:8" ht="18.95" customHeight="1" x14ac:dyDescent="0.2">
      <c r="A696" s="156"/>
      <c r="B696" s="142"/>
      <c r="C696" s="142"/>
      <c r="D696" s="150"/>
      <c r="E696" s="143"/>
      <c r="F696" s="355" t="s">
        <v>1049</v>
      </c>
      <c r="G696" s="354">
        <f>SUBTOTAL(9,G695:G695)</f>
        <v>0</v>
      </c>
    </row>
    <row r="697" spans="1:8" ht="18.95" customHeight="1" thickBot="1" x14ac:dyDescent="0.25">
      <c r="A697" s="158"/>
      <c r="B697" s="159"/>
      <c r="C697" s="160"/>
      <c r="D697" s="161"/>
      <c r="E697" s="356"/>
      <c r="F697" s="356"/>
      <c r="G697" s="357"/>
    </row>
    <row r="698" spans="1:8" ht="18.95" customHeight="1" x14ac:dyDescent="0.2">
      <c r="A698" s="358" t="str">
        <f>B637</f>
        <v>9,b</v>
      </c>
      <c r="B698" s="359" t="str">
        <f>C637</f>
        <v>Adicional por kilómetro</v>
      </c>
      <c r="C698" s="360"/>
      <c r="D698" s="360"/>
      <c r="E698" s="360" t="s">
        <v>1050</v>
      </c>
      <c r="F698" s="361" t="str">
        <f>CONCATENATE("$/",G637)</f>
        <v>$/km</v>
      </c>
      <c r="G698" s="362">
        <f>SUBTOTAL(9,G657:G697)</f>
        <v>0</v>
      </c>
    </row>
    <row r="699" spans="1:8" ht="18.95" customHeight="1" thickBot="1" x14ac:dyDescent="0.25">
      <c r="A699" s="363"/>
      <c r="B699" s="364"/>
      <c r="C699" s="364"/>
      <c r="D699" s="364"/>
      <c r="E699" s="365" t="s">
        <v>1051</v>
      </c>
      <c r="F699" s="366" t="str">
        <f>CONCATENATE("$/",G637)</f>
        <v>$/km</v>
      </c>
      <c r="G699" s="367" t="e">
        <f ca="1">PrecioUnitario(G698,GG_Porcentaje,Beneficio,Ingresos_Brutos,IVA)</f>
        <v>#NAME?</v>
      </c>
    </row>
    <row r="700" spans="1:8" ht="18.95" customHeight="1" thickTop="1" thickBot="1" x14ac:dyDescent="0.25">
      <c r="F700" s="293"/>
      <c r="G700" s="293"/>
    </row>
    <row r="701" spans="1:8" ht="18.95" customHeight="1" thickTop="1" x14ac:dyDescent="0.2">
      <c r="A701" s="193" t="s">
        <v>33</v>
      </c>
      <c r="B701" s="194"/>
      <c r="C701" s="194"/>
      <c r="D701" s="194"/>
      <c r="E701" s="194"/>
      <c r="F701" s="194"/>
      <c r="G701" s="195"/>
      <c r="H701" s="143">
        <f>COUNTIF($A$1:A707,"ANALISIS DE PRECIOS")</f>
        <v>11</v>
      </c>
    </row>
    <row r="702" spans="1:8" ht="18.95" customHeight="1" x14ac:dyDescent="0.2">
      <c r="A702" s="144" t="s">
        <v>720</v>
      </c>
      <c r="B702" s="145" t="str">
        <f>Comitente</f>
        <v>DIRECCIÓN PROVINCIAL DE VIALIDAD</v>
      </c>
      <c r="C702" s="139"/>
      <c r="D702" s="146"/>
      <c r="E702" s="324"/>
      <c r="F702" s="324"/>
      <c r="G702" s="325"/>
      <c r="H702" s="143"/>
    </row>
    <row r="703" spans="1:8" ht="18.95" customHeight="1" x14ac:dyDescent="0.2">
      <c r="A703" s="144" t="s">
        <v>721</v>
      </c>
      <c r="B703" s="145">
        <f>Contratista</f>
        <v>0</v>
      </c>
      <c r="C703" s="140"/>
      <c r="D703" s="140"/>
      <c r="E703" s="145"/>
      <c r="F703" s="145"/>
      <c r="G703" s="147"/>
      <c r="H703" s="143"/>
    </row>
    <row r="704" spans="1:8" ht="18.95" customHeight="1" x14ac:dyDescent="0.2">
      <c r="A704" s="144" t="s">
        <v>23</v>
      </c>
      <c r="B704" s="145" t="str">
        <f>Obra</f>
        <v>PAVIMENTACION RUTAS VARIAS</v>
      </c>
      <c r="C704" s="140"/>
      <c r="D704" s="140"/>
      <c r="E704" s="143"/>
      <c r="F704" s="145" t="s">
        <v>34</v>
      </c>
      <c r="G704" s="147">
        <f>Fecha_Base</f>
        <v>43411</v>
      </c>
      <c r="H704" s="143"/>
    </row>
    <row r="705" spans="1:8" ht="18.95" customHeight="1" x14ac:dyDescent="0.2">
      <c r="A705" s="148" t="s">
        <v>719</v>
      </c>
      <c r="B705" s="141" t="str">
        <f>Ubicación</f>
        <v>POCITO</v>
      </c>
      <c r="C705" s="141"/>
      <c r="D705" s="150"/>
      <c r="E705" s="143"/>
      <c r="F705" s="326"/>
      <c r="G705" s="327"/>
      <c r="H705" s="143"/>
    </row>
    <row r="706" spans="1:8" ht="18.95" customHeight="1" x14ac:dyDescent="0.2">
      <c r="A706" s="148" t="s">
        <v>35</v>
      </c>
      <c r="B706" s="151" t="str">
        <f>IFERROR(VALUE(LEFT(B707,FIND("-",B707)-1)),"")</f>
        <v/>
      </c>
      <c r="C706" s="142" t="str">
        <f>IFERROR(VLOOKUP(B706,Tabla_CyP,2,FALSE),"")</f>
        <v/>
      </c>
      <c r="D706" s="150"/>
      <c r="E706" s="143"/>
      <c r="F706" s="326"/>
      <c r="G706" s="327"/>
      <c r="H706" s="143"/>
    </row>
    <row r="707" spans="1:8" ht="18.95" customHeight="1" x14ac:dyDescent="0.2">
      <c r="A707" s="148" t="s">
        <v>24</v>
      </c>
      <c r="B707" s="152">
        <f>IFERROR(VLOOKUP(COUNTIF($A$1:A707,"ANALISIS DE PRECIOS"),Tabla_NumeroItem,4,FALSE),"")</f>
        <v>10</v>
      </c>
      <c r="C707" s="731" t="str">
        <f>IFERROR(VLOOKUP(B707,Tabla_CyP,2,FALSE),"")</f>
        <v>MOVILIZACION DE OBRA</v>
      </c>
      <c r="D707" s="731"/>
      <c r="E707" s="731"/>
      <c r="F707" s="141" t="s">
        <v>25</v>
      </c>
      <c r="G707" s="153" t="str">
        <f>IFERROR(VLOOKUP(B707,Tabla_CyP,4,FALSE),"")</f>
        <v>Gl</v>
      </c>
      <c r="H707" s="143"/>
    </row>
    <row r="708" spans="1:8" ht="18.95" customHeight="1" x14ac:dyDescent="0.2">
      <c r="A708" s="148"/>
      <c r="B708" s="141"/>
      <c r="C708" s="142"/>
      <c r="D708" s="150"/>
      <c r="E708" s="142"/>
      <c r="F708" s="142"/>
      <c r="G708" s="328"/>
      <c r="H708" s="143"/>
    </row>
    <row r="709" spans="1:8" ht="18.95" customHeight="1" x14ac:dyDescent="0.2">
      <c r="A709" s="329"/>
      <c r="B709" s="330"/>
      <c r="C709" s="331" t="s">
        <v>1032</v>
      </c>
      <c r="D709" s="330"/>
      <c r="E709" s="330"/>
      <c r="F709" s="330"/>
      <c r="G709" s="332"/>
      <c r="H709" s="143"/>
    </row>
    <row r="710" spans="1:8" ht="18.95" customHeight="1" x14ac:dyDescent="0.2">
      <c r="A710" s="148"/>
      <c r="B710" s="333"/>
      <c r="C710" s="334" t="s">
        <v>1033</v>
      </c>
      <c r="D710" s="335" t="s">
        <v>26</v>
      </c>
      <c r="E710" s="335" t="s">
        <v>1034</v>
      </c>
      <c r="F710" s="335" t="s">
        <v>1035</v>
      </c>
      <c r="G710" s="336" t="s">
        <v>1036</v>
      </c>
      <c r="H710" s="143"/>
    </row>
    <row r="711" spans="1:8" ht="18.95" customHeight="1" x14ac:dyDescent="0.2">
      <c r="A711" s="342"/>
      <c r="B711" s="343"/>
      <c r="C711" s="289"/>
      <c r="D711" s="292"/>
      <c r="E711" s="344"/>
      <c r="F711" s="345"/>
      <c r="G711" s="346">
        <f t="shared" ref="G711:G720" si="200">ROUND(D711*F711,2)</f>
        <v>0</v>
      </c>
    </row>
    <row r="712" spans="1:8" ht="18.95" customHeight="1" x14ac:dyDescent="0.2">
      <c r="A712" s="342"/>
      <c r="B712" s="343"/>
      <c r="C712" s="289"/>
      <c r="D712" s="292"/>
      <c r="E712" s="344"/>
      <c r="F712" s="345"/>
      <c r="G712" s="346">
        <f t="shared" si="200"/>
        <v>0</v>
      </c>
    </row>
    <row r="713" spans="1:8" ht="18.95" customHeight="1" x14ac:dyDescent="0.2">
      <c r="A713" s="342"/>
      <c r="B713" s="343"/>
      <c r="C713" s="289"/>
      <c r="D713" s="292"/>
      <c r="E713" s="344">
        <f t="shared" ref="E713:E720" si="201">IFERROR(VLOOKUP(C713,T_Equipos,4,FALSE),0)</f>
        <v>0</v>
      </c>
      <c r="F713" s="345">
        <f t="shared" ref="F713:F720" si="202">IFERROR(VLOOKUP(C713,T_Equipos,11,FALSE),0)</f>
        <v>0</v>
      </c>
      <c r="G713" s="346">
        <f t="shared" si="200"/>
        <v>0</v>
      </c>
    </row>
    <row r="714" spans="1:8" ht="18.95" customHeight="1" x14ac:dyDescent="0.2">
      <c r="A714" s="342"/>
      <c r="B714" s="343"/>
      <c r="C714" s="289"/>
      <c r="D714" s="292"/>
      <c r="E714" s="344">
        <f t="shared" si="201"/>
        <v>0</v>
      </c>
      <c r="F714" s="345">
        <f t="shared" si="202"/>
        <v>0</v>
      </c>
      <c r="G714" s="346">
        <f t="shared" si="200"/>
        <v>0</v>
      </c>
    </row>
    <row r="715" spans="1:8" ht="18.95" customHeight="1" x14ac:dyDescent="0.2">
      <c r="A715" s="342"/>
      <c r="B715" s="343"/>
      <c r="C715" s="289"/>
      <c r="D715" s="292"/>
      <c r="E715" s="344">
        <f t="shared" si="201"/>
        <v>0</v>
      </c>
      <c r="F715" s="345">
        <f t="shared" si="202"/>
        <v>0</v>
      </c>
      <c r="G715" s="346">
        <f t="shared" si="200"/>
        <v>0</v>
      </c>
    </row>
    <row r="716" spans="1:8" ht="18.95" customHeight="1" x14ac:dyDescent="0.2">
      <c r="A716" s="342"/>
      <c r="B716" s="343"/>
      <c r="C716" s="289"/>
      <c r="D716" s="292"/>
      <c r="E716" s="344">
        <f t="shared" si="201"/>
        <v>0</v>
      </c>
      <c r="F716" s="345">
        <f t="shared" si="202"/>
        <v>0</v>
      </c>
      <c r="G716" s="346">
        <f t="shared" si="200"/>
        <v>0</v>
      </c>
    </row>
    <row r="717" spans="1:8" ht="18.95" customHeight="1" x14ac:dyDescent="0.2">
      <c r="A717" s="342"/>
      <c r="B717" s="343"/>
      <c r="C717" s="289"/>
      <c r="D717" s="292"/>
      <c r="E717" s="344">
        <f t="shared" si="201"/>
        <v>0</v>
      </c>
      <c r="F717" s="345">
        <f t="shared" si="202"/>
        <v>0</v>
      </c>
      <c r="G717" s="346">
        <f t="shared" si="200"/>
        <v>0</v>
      </c>
    </row>
    <row r="718" spans="1:8" ht="18.95" customHeight="1" x14ac:dyDescent="0.2">
      <c r="A718" s="342"/>
      <c r="B718" s="343"/>
      <c r="C718" s="289"/>
      <c r="D718" s="292"/>
      <c r="E718" s="344">
        <f t="shared" si="201"/>
        <v>0</v>
      </c>
      <c r="F718" s="345">
        <f t="shared" si="202"/>
        <v>0</v>
      </c>
      <c r="G718" s="346">
        <f t="shared" si="200"/>
        <v>0</v>
      </c>
    </row>
    <row r="719" spans="1:8" ht="18.95" customHeight="1" x14ac:dyDescent="0.2">
      <c r="A719" s="342"/>
      <c r="B719" s="343"/>
      <c r="C719" s="289"/>
      <c r="D719" s="292"/>
      <c r="E719" s="344">
        <f t="shared" si="201"/>
        <v>0</v>
      </c>
      <c r="F719" s="345">
        <f t="shared" si="202"/>
        <v>0</v>
      </c>
      <c r="G719" s="346">
        <f t="shared" si="200"/>
        <v>0</v>
      </c>
    </row>
    <row r="720" spans="1:8" ht="18.95" customHeight="1" thickBot="1" x14ac:dyDescent="0.25">
      <c r="A720" s="342"/>
      <c r="B720" s="343"/>
      <c r="C720" s="289"/>
      <c r="D720" s="292"/>
      <c r="E720" s="344">
        <f t="shared" si="201"/>
        <v>0</v>
      </c>
      <c r="F720" s="345">
        <f t="shared" si="202"/>
        <v>0</v>
      </c>
      <c r="G720" s="346">
        <f t="shared" si="200"/>
        <v>0</v>
      </c>
    </row>
    <row r="721" spans="1:7" ht="18.95" customHeight="1" thickBot="1" x14ac:dyDescent="0.25">
      <c r="A721" s="148"/>
      <c r="B721" s="333"/>
      <c r="C721" s="143"/>
      <c r="D721" s="146" t="s">
        <v>1037</v>
      </c>
      <c r="E721" s="337">
        <f>SUMPRODUCT(D711:D720,E711:E720)</f>
        <v>0</v>
      </c>
      <c r="F721" s="141" t="s">
        <v>1038</v>
      </c>
      <c r="G721" s="338">
        <f>SUM(G711:G720)</f>
        <v>0</v>
      </c>
    </row>
    <row r="722" spans="1:7" ht="18.95" customHeight="1" x14ac:dyDescent="0.2">
      <c r="A722" s="148"/>
      <c r="B722" s="333"/>
      <c r="C722" s="141" t="s">
        <v>1039</v>
      </c>
      <c r="D722" s="319"/>
      <c r="E722" s="339" t="str">
        <f>CONCATENATE(G707,"/día")</f>
        <v>Gl/día</v>
      </c>
      <c r="F722" s="141"/>
      <c r="G722" s="340"/>
    </row>
    <row r="723" spans="1:7" ht="18.95" customHeight="1" x14ac:dyDescent="0.2">
      <c r="A723" s="148"/>
      <c r="B723" s="333"/>
      <c r="C723" s="142"/>
      <c r="D723" s="150"/>
      <c r="E723" s="141"/>
      <c r="F723" s="141"/>
      <c r="G723" s="340"/>
    </row>
    <row r="724" spans="1:7" ht="18.95" customHeight="1" x14ac:dyDescent="0.2">
      <c r="A724" s="732" t="s">
        <v>582</v>
      </c>
      <c r="B724" s="733"/>
      <c r="C724" s="734" t="s">
        <v>0</v>
      </c>
      <c r="D724" s="738" t="s">
        <v>1053</v>
      </c>
      <c r="E724" s="738" t="s">
        <v>1706</v>
      </c>
      <c r="F724" s="738" t="s">
        <v>1054</v>
      </c>
      <c r="G724" s="738" t="s">
        <v>1055</v>
      </c>
    </row>
    <row r="725" spans="1:7" ht="18.95" customHeight="1" x14ac:dyDescent="0.2">
      <c r="A725" s="154" t="s">
        <v>583</v>
      </c>
      <c r="B725" s="155" t="s">
        <v>584</v>
      </c>
      <c r="C725" s="735"/>
      <c r="D725" s="739"/>
      <c r="E725" s="739"/>
      <c r="F725" s="743"/>
      <c r="G725" s="739"/>
    </row>
    <row r="726" spans="1:7" ht="18.95" customHeight="1" x14ac:dyDescent="0.2">
      <c r="A726" s="156"/>
      <c r="B726" s="142"/>
      <c r="C726" s="157" t="s">
        <v>1041</v>
      </c>
      <c r="D726" s="150"/>
      <c r="E726" s="142"/>
      <c r="F726" s="142"/>
      <c r="G726" s="341"/>
    </row>
    <row r="727" spans="1:7" ht="18.95" customHeight="1" x14ac:dyDescent="0.2">
      <c r="A727" s="347" t="str">
        <f t="shared" ref="A727:A734" si="203">IFERROR(VLOOKUP(C727,Tabla_Insumos,4,FALSE),"")</f>
        <v/>
      </c>
      <c r="B727" s="289" t="str">
        <f t="shared" ref="B727:B734" si="204">IFERROR(VLOOKUP(C727,Tabla_Insumos,5,FALSE),"")</f>
        <v/>
      </c>
      <c r="C727" s="289"/>
      <c r="D727" s="606">
        <f t="shared" ref="D727:D734" si="205">IFERROR(VLOOKUP(C727,Tabla_Insumos,3,FALSE),0)</f>
        <v>0</v>
      </c>
      <c r="E727" s="348">
        <f>D727*$G$21</f>
        <v>0</v>
      </c>
      <c r="F727" s="349">
        <f>IF(C727="",0,D722)</f>
        <v>0</v>
      </c>
      <c r="G727" s="346">
        <f>IFERROR(ROUND(E727/F727,2),0)</f>
        <v>0</v>
      </c>
    </row>
    <row r="728" spans="1:7" ht="18.95" customHeight="1" x14ac:dyDescent="0.2">
      <c r="A728" s="347" t="str">
        <f t="shared" si="203"/>
        <v/>
      </c>
      <c r="B728" s="289" t="str">
        <f t="shared" si="204"/>
        <v/>
      </c>
      <c r="C728" s="320"/>
      <c r="D728" s="606">
        <f t="shared" si="205"/>
        <v>0</v>
      </c>
      <c r="E728" s="348">
        <f t="shared" ref="E728:E729" si="206">D728*$G$21</f>
        <v>0</v>
      </c>
      <c r="F728" s="349">
        <f t="shared" ref="F728:F731" si="207">IF(C728="",0,F727)</f>
        <v>0</v>
      </c>
      <c r="G728" s="346">
        <f t="shared" ref="G728:G734" si="208">IFERROR(ROUND(E728/F728,2),0)</f>
        <v>0</v>
      </c>
    </row>
    <row r="729" spans="1:7" ht="18.95" customHeight="1" x14ac:dyDescent="0.2">
      <c r="A729" s="347" t="str">
        <f t="shared" si="203"/>
        <v/>
      </c>
      <c r="B729" s="289" t="str">
        <f t="shared" si="204"/>
        <v/>
      </c>
      <c r="C729" s="320"/>
      <c r="D729" s="606">
        <f t="shared" si="205"/>
        <v>0</v>
      </c>
      <c r="E729" s="348">
        <f t="shared" si="206"/>
        <v>0</v>
      </c>
      <c r="F729" s="349">
        <f t="shared" si="207"/>
        <v>0</v>
      </c>
      <c r="G729" s="346">
        <f t="shared" si="208"/>
        <v>0</v>
      </c>
    </row>
    <row r="730" spans="1:7" ht="18.95" customHeight="1" x14ac:dyDescent="0.2">
      <c r="A730" s="347" t="str">
        <f t="shared" si="203"/>
        <v/>
      </c>
      <c r="B730" s="289" t="str">
        <f t="shared" si="204"/>
        <v/>
      </c>
      <c r="C730" s="320"/>
      <c r="D730" s="606">
        <f t="shared" si="205"/>
        <v>0</v>
      </c>
      <c r="E730" s="348">
        <f>D730*$E$21</f>
        <v>0</v>
      </c>
      <c r="F730" s="349">
        <f t="shared" si="207"/>
        <v>0</v>
      </c>
      <c r="G730" s="346">
        <f t="shared" si="208"/>
        <v>0</v>
      </c>
    </row>
    <row r="731" spans="1:7" ht="18.95" customHeight="1" x14ac:dyDescent="0.2">
      <c r="A731" s="347" t="str">
        <f t="shared" si="203"/>
        <v/>
      </c>
      <c r="B731" s="289" t="str">
        <f t="shared" si="204"/>
        <v/>
      </c>
      <c r="C731" s="320"/>
      <c r="D731" s="606">
        <f t="shared" si="205"/>
        <v>0</v>
      </c>
      <c r="E731" s="348">
        <f>D731*$E$21</f>
        <v>0</v>
      </c>
      <c r="F731" s="349">
        <f t="shared" si="207"/>
        <v>0</v>
      </c>
      <c r="G731" s="346">
        <f t="shared" si="208"/>
        <v>0</v>
      </c>
    </row>
    <row r="732" spans="1:7" ht="18.95" customHeight="1" x14ac:dyDescent="0.2">
      <c r="A732" s="347" t="str">
        <f t="shared" si="203"/>
        <v/>
      </c>
      <c r="B732" s="289" t="str">
        <f t="shared" si="204"/>
        <v/>
      </c>
      <c r="C732" s="320"/>
      <c r="D732" s="606">
        <f t="shared" si="205"/>
        <v>0</v>
      </c>
      <c r="E732" s="348"/>
      <c r="F732" s="349">
        <f>IF(C732="",0,F731)</f>
        <v>0</v>
      </c>
      <c r="G732" s="346">
        <f t="shared" si="208"/>
        <v>0</v>
      </c>
    </row>
    <row r="733" spans="1:7" ht="18.95" customHeight="1" x14ac:dyDescent="0.2">
      <c r="A733" s="347" t="str">
        <f t="shared" si="203"/>
        <v/>
      </c>
      <c r="B733" s="289" t="str">
        <f t="shared" si="204"/>
        <v/>
      </c>
      <c r="C733" s="320"/>
      <c r="D733" s="606">
        <f t="shared" si="205"/>
        <v>0</v>
      </c>
      <c r="E733" s="348"/>
      <c r="F733" s="349">
        <f t="shared" ref="F733:F734" si="209">IF(C733="",0,F732)</f>
        <v>0</v>
      </c>
      <c r="G733" s="346">
        <f t="shared" si="208"/>
        <v>0</v>
      </c>
    </row>
    <row r="734" spans="1:7" ht="18.95" customHeight="1" x14ac:dyDescent="0.2">
      <c r="A734" s="347" t="str">
        <f t="shared" si="203"/>
        <v/>
      </c>
      <c r="B734" s="289" t="str">
        <f t="shared" si="204"/>
        <v/>
      </c>
      <c r="C734" s="320"/>
      <c r="D734" s="606">
        <f t="shared" si="205"/>
        <v>0</v>
      </c>
      <c r="E734" s="348"/>
      <c r="F734" s="349">
        <f t="shared" si="209"/>
        <v>0</v>
      </c>
      <c r="G734" s="346">
        <f t="shared" si="208"/>
        <v>0</v>
      </c>
    </row>
    <row r="735" spans="1:7" ht="18.95" customHeight="1" x14ac:dyDescent="0.2">
      <c r="A735" s="352"/>
      <c r="B735" s="149"/>
      <c r="C735" s="142"/>
      <c r="D735" s="150"/>
      <c r="E735" s="143"/>
      <c r="F735" s="353" t="s">
        <v>29</v>
      </c>
      <c r="G735" s="354">
        <f>SUBTOTAL(9,G727:G734)</f>
        <v>0</v>
      </c>
    </row>
    <row r="736" spans="1:7" ht="18.95" customHeight="1" x14ac:dyDescent="0.2">
      <c r="A736" s="156"/>
      <c r="B736" s="142"/>
      <c r="C736" s="157" t="s">
        <v>722</v>
      </c>
      <c r="D736" s="150"/>
      <c r="E736" s="326"/>
      <c r="F736" s="326"/>
      <c r="G736" s="341"/>
    </row>
    <row r="737" spans="1:7" ht="18.95" customHeight="1" x14ac:dyDescent="0.2">
      <c r="A737" s="732" t="s">
        <v>582</v>
      </c>
      <c r="B737" s="733"/>
      <c r="C737" s="734" t="s">
        <v>0</v>
      </c>
      <c r="D737" s="736" t="s">
        <v>26</v>
      </c>
      <c r="E737" s="738" t="s">
        <v>1707</v>
      </c>
      <c r="F737" s="740" t="s">
        <v>1040</v>
      </c>
      <c r="G737" s="741" t="s">
        <v>28</v>
      </c>
    </row>
    <row r="738" spans="1:7" ht="18.95" customHeight="1" x14ac:dyDescent="0.2">
      <c r="A738" s="154" t="s">
        <v>583</v>
      </c>
      <c r="B738" s="155" t="s">
        <v>584</v>
      </c>
      <c r="C738" s="735"/>
      <c r="D738" s="737"/>
      <c r="E738" s="739"/>
      <c r="F738" s="739"/>
      <c r="G738" s="742"/>
    </row>
    <row r="739" spans="1:7" ht="18.95" customHeight="1" x14ac:dyDescent="0.2">
      <c r="A739" s="347" t="str">
        <f t="shared" ref="A739:A744" si="210">IFERROR(VLOOKUP(C739,Tabla_Insumos,4,FALSE),"")</f>
        <v/>
      </c>
      <c r="B739" s="289" t="str">
        <f t="shared" ref="B739:B744" si="211">IFERROR(VLOOKUP(C739,Tabla_Insumos,5,FALSE),"")</f>
        <v/>
      </c>
      <c r="C739" s="290"/>
      <c r="D739" s="292"/>
      <c r="E739" s="345">
        <f t="shared" ref="E739:E744" si="212">IFERROR(VLOOKUP(C739,Tabla_Insumos,3,FALSE),0)</f>
        <v>0</v>
      </c>
      <c r="F739" s="348">
        <f>IF(C739="",0,D722)</f>
        <v>0</v>
      </c>
      <c r="G739" s="346">
        <f t="shared" ref="G739:G744" si="213">IFERROR(ROUND(D739*E739/F739,2),0)</f>
        <v>0</v>
      </c>
    </row>
    <row r="740" spans="1:7" ht="18.95" customHeight="1" x14ac:dyDescent="0.2">
      <c r="A740" s="347" t="str">
        <f t="shared" si="210"/>
        <v/>
      </c>
      <c r="B740" s="289" t="str">
        <f t="shared" si="211"/>
        <v/>
      </c>
      <c r="C740" s="289"/>
      <c r="D740" s="292"/>
      <c r="E740" s="345">
        <f t="shared" si="212"/>
        <v>0</v>
      </c>
      <c r="F740" s="348">
        <f>IF(C740="",0,F739)</f>
        <v>0</v>
      </c>
      <c r="G740" s="346">
        <f t="shared" si="213"/>
        <v>0</v>
      </c>
    </row>
    <row r="741" spans="1:7" ht="18.95" customHeight="1" x14ac:dyDescent="0.2">
      <c r="A741" s="347" t="str">
        <f t="shared" si="210"/>
        <v/>
      </c>
      <c r="B741" s="289" t="str">
        <f t="shared" si="211"/>
        <v/>
      </c>
      <c r="C741" s="289"/>
      <c r="D741" s="292"/>
      <c r="E741" s="345">
        <f t="shared" si="212"/>
        <v>0</v>
      </c>
      <c r="F741" s="348">
        <f>IF(C741="",0,F740)</f>
        <v>0</v>
      </c>
      <c r="G741" s="346">
        <f t="shared" si="213"/>
        <v>0</v>
      </c>
    </row>
    <row r="742" spans="1:7" ht="18.95" customHeight="1" x14ac:dyDescent="0.2">
      <c r="A742" s="347" t="str">
        <f t="shared" si="210"/>
        <v/>
      </c>
      <c r="B742" s="289" t="str">
        <f t="shared" si="211"/>
        <v/>
      </c>
      <c r="C742" s="289"/>
      <c r="D742" s="292"/>
      <c r="E742" s="345">
        <f t="shared" si="212"/>
        <v>0</v>
      </c>
      <c r="F742" s="348">
        <f>IF(C742="",0,F741)</f>
        <v>0</v>
      </c>
      <c r="G742" s="346">
        <f t="shared" si="213"/>
        <v>0</v>
      </c>
    </row>
    <row r="743" spans="1:7" ht="18.95" customHeight="1" x14ac:dyDescent="0.2">
      <c r="A743" s="347" t="str">
        <f t="shared" si="210"/>
        <v/>
      </c>
      <c r="B743" s="289" t="str">
        <f t="shared" si="211"/>
        <v/>
      </c>
      <c r="C743" s="289"/>
      <c r="D743" s="350"/>
      <c r="E743" s="345">
        <f t="shared" si="212"/>
        <v>0</v>
      </c>
      <c r="F743" s="348">
        <f>IF(C743="",0,F742)</f>
        <v>0</v>
      </c>
      <c r="G743" s="346">
        <f t="shared" si="213"/>
        <v>0</v>
      </c>
    </row>
    <row r="744" spans="1:7" ht="18.95" customHeight="1" x14ac:dyDescent="0.2">
      <c r="A744" s="347" t="str">
        <f t="shared" si="210"/>
        <v/>
      </c>
      <c r="B744" s="289" t="str">
        <f t="shared" si="211"/>
        <v/>
      </c>
      <c r="C744" s="289"/>
      <c r="D744" s="292"/>
      <c r="E744" s="345">
        <f t="shared" si="212"/>
        <v>0</v>
      </c>
      <c r="F744" s="348">
        <f>IF(C744="",0,F743)</f>
        <v>0</v>
      </c>
      <c r="G744" s="346">
        <f t="shared" si="213"/>
        <v>0</v>
      </c>
    </row>
    <row r="745" spans="1:7" ht="18.95" customHeight="1" x14ac:dyDescent="0.2">
      <c r="A745" s="352"/>
      <c r="B745" s="149"/>
      <c r="C745" s="142"/>
      <c r="D745" s="150"/>
      <c r="E745" s="143"/>
      <c r="F745" s="355" t="s">
        <v>30</v>
      </c>
      <c r="G745" s="354">
        <f>SUBTOTAL(9,G739:G744)</f>
        <v>0</v>
      </c>
    </row>
    <row r="746" spans="1:7" ht="18.95" customHeight="1" x14ac:dyDescent="0.2">
      <c r="A746" s="156"/>
      <c r="B746" s="142"/>
      <c r="C746" s="157" t="s">
        <v>1047</v>
      </c>
      <c r="D746" s="150"/>
      <c r="E746" s="326"/>
      <c r="F746" s="326"/>
      <c r="G746" s="341"/>
    </row>
    <row r="747" spans="1:7" ht="18.95" customHeight="1" x14ac:dyDescent="0.2">
      <c r="A747" s="732" t="s">
        <v>582</v>
      </c>
      <c r="B747" s="733"/>
      <c r="C747" s="734" t="s">
        <v>0</v>
      </c>
      <c r="D747" s="734" t="s">
        <v>1655</v>
      </c>
      <c r="E747" s="734" t="s">
        <v>26</v>
      </c>
      <c r="F747" s="734" t="s">
        <v>27</v>
      </c>
      <c r="G747" s="741" t="s">
        <v>28</v>
      </c>
    </row>
    <row r="748" spans="1:7" ht="18.95" customHeight="1" x14ac:dyDescent="0.2">
      <c r="A748" s="154" t="s">
        <v>583</v>
      </c>
      <c r="B748" s="155" t="s">
        <v>584</v>
      </c>
      <c r="C748" s="735"/>
      <c r="D748" s="735"/>
      <c r="E748" s="735"/>
      <c r="F748" s="735"/>
      <c r="G748" s="742"/>
    </row>
    <row r="749" spans="1:7" ht="18.95" customHeight="1" x14ac:dyDescent="0.2">
      <c r="A749" s="347" t="str">
        <f t="shared" ref="A749:A760" si="214">IFERROR(VLOOKUP(C749,Tabla_Insumos,4,FALSE),"")</f>
        <v/>
      </c>
      <c r="B749" s="289" t="str">
        <f t="shared" ref="B749:B760" si="215">IFERROR(VLOOKUP(C749,Tabla_Insumos,5,FALSE),"")</f>
        <v/>
      </c>
      <c r="C749" s="289"/>
      <c r="D749" s="607">
        <f t="shared" ref="D749:D760" si="216">IFERROR(VLOOKUP(C749,Tabla_Insumos,2,FALSE),0)</f>
        <v>0</v>
      </c>
      <c r="E749" s="292"/>
      <c r="F749" s="345">
        <f t="shared" ref="F749:F760" si="217">IFERROR(VLOOKUP(C749,Tabla_Insumos,3,FALSE),0)</f>
        <v>0</v>
      </c>
      <c r="G749" s="346">
        <f t="shared" ref="G749:G760" si="218">ROUND(E749*F749,2)</f>
        <v>0</v>
      </c>
    </row>
    <row r="750" spans="1:7" ht="18.95" customHeight="1" x14ac:dyDescent="0.2">
      <c r="A750" s="347" t="str">
        <f t="shared" si="214"/>
        <v/>
      </c>
      <c r="B750" s="289" t="str">
        <f t="shared" si="215"/>
        <v/>
      </c>
      <c r="C750" s="126"/>
      <c r="D750" s="607">
        <f t="shared" si="216"/>
        <v>0</v>
      </c>
      <c r="E750" s="292"/>
      <c r="F750" s="345">
        <f t="shared" si="217"/>
        <v>0</v>
      </c>
      <c r="G750" s="346">
        <f t="shared" si="218"/>
        <v>0</v>
      </c>
    </row>
    <row r="751" spans="1:7" ht="18.95" customHeight="1" x14ac:dyDescent="0.2">
      <c r="A751" s="347" t="str">
        <f t="shared" si="214"/>
        <v/>
      </c>
      <c r="B751" s="289" t="str">
        <f t="shared" si="215"/>
        <v/>
      </c>
      <c r="C751" s="289"/>
      <c r="D751" s="607">
        <f t="shared" si="216"/>
        <v>0</v>
      </c>
      <c r="E751" s="292"/>
      <c r="F751" s="345">
        <f t="shared" si="217"/>
        <v>0</v>
      </c>
      <c r="G751" s="346">
        <f t="shared" si="218"/>
        <v>0</v>
      </c>
    </row>
    <row r="752" spans="1:7" ht="18.95" customHeight="1" x14ac:dyDescent="0.2">
      <c r="A752" s="347" t="str">
        <f t="shared" si="214"/>
        <v/>
      </c>
      <c r="B752" s="289" t="str">
        <f t="shared" si="215"/>
        <v/>
      </c>
      <c r="C752" s="289"/>
      <c r="D752" s="607">
        <f t="shared" si="216"/>
        <v>0</v>
      </c>
      <c r="E752" s="292"/>
      <c r="F752" s="345">
        <f t="shared" si="217"/>
        <v>0</v>
      </c>
      <c r="G752" s="346">
        <f t="shared" si="218"/>
        <v>0</v>
      </c>
    </row>
    <row r="753" spans="1:7" ht="18.95" customHeight="1" x14ac:dyDescent="0.2">
      <c r="A753" s="347" t="str">
        <f t="shared" si="214"/>
        <v/>
      </c>
      <c r="B753" s="289" t="str">
        <f t="shared" si="215"/>
        <v/>
      </c>
      <c r="C753" s="289"/>
      <c r="D753" s="607">
        <f t="shared" si="216"/>
        <v>0</v>
      </c>
      <c r="E753" s="292"/>
      <c r="F753" s="345">
        <f t="shared" si="217"/>
        <v>0</v>
      </c>
      <c r="G753" s="346">
        <f t="shared" si="218"/>
        <v>0</v>
      </c>
    </row>
    <row r="754" spans="1:7" ht="18.95" customHeight="1" x14ac:dyDescent="0.2">
      <c r="A754" s="347" t="str">
        <f t="shared" si="214"/>
        <v/>
      </c>
      <c r="B754" s="289" t="str">
        <f t="shared" si="215"/>
        <v/>
      </c>
      <c r="C754" s="289"/>
      <c r="D754" s="607">
        <f t="shared" si="216"/>
        <v>0</v>
      </c>
      <c r="E754" s="292"/>
      <c r="F754" s="345">
        <f t="shared" si="217"/>
        <v>0</v>
      </c>
      <c r="G754" s="346">
        <f t="shared" si="218"/>
        <v>0</v>
      </c>
    </row>
    <row r="755" spans="1:7" ht="18.95" customHeight="1" x14ac:dyDescent="0.2">
      <c r="A755" s="347" t="str">
        <f t="shared" si="214"/>
        <v/>
      </c>
      <c r="B755" s="289" t="str">
        <f t="shared" si="215"/>
        <v/>
      </c>
      <c r="C755" s="289"/>
      <c r="D755" s="607">
        <f t="shared" si="216"/>
        <v>0</v>
      </c>
      <c r="E755" s="292"/>
      <c r="F755" s="345">
        <f t="shared" si="217"/>
        <v>0</v>
      </c>
      <c r="G755" s="346">
        <f t="shared" si="218"/>
        <v>0</v>
      </c>
    </row>
    <row r="756" spans="1:7" s="294" customFormat="1" ht="18.95" customHeight="1" x14ac:dyDescent="0.2">
      <c r="A756" s="347" t="str">
        <f t="shared" si="214"/>
        <v/>
      </c>
      <c r="B756" s="289" t="str">
        <f t="shared" si="215"/>
        <v/>
      </c>
      <c r="C756" s="289"/>
      <c r="D756" s="607">
        <f t="shared" si="216"/>
        <v>0</v>
      </c>
      <c r="E756" s="322"/>
      <c r="F756" s="345">
        <f t="shared" si="217"/>
        <v>0</v>
      </c>
      <c r="G756" s="346">
        <f t="shared" si="218"/>
        <v>0</v>
      </c>
    </row>
    <row r="757" spans="1:7" ht="18.95" customHeight="1" x14ac:dyDescent="0.2">
      <c r="A757" s="347" t="str">
        <f t="shared" si="214"/>
        <v/>
      </c>
      <c r="B757" s="289" t="str">
        <f t="shared" si="215"/>
        <v/>
      </c>
      <c r="C757" s="289"/>
      <c r="D757" s="607">
        <f t="shared" si="216"/>
        <v>0</v>
      </c>
      <c r="E757" s="292"/>
      <c r="F757" s="345">
        <f t="shared" si="217"/>
        <v>0</v>
      </c>
      <c r="G757" s="346">
        <f t="shared" si="218"/>
        <v>0</v>
      </c>
    </row>
    <row r="758" spans="1:7" ht="18.95" customHeight="1" x14ac:dyDescent="0.2">
      <c r="A758" s="347" t="str">
        <f t="shared" si="214"/>
        <v/>
      </c>
      <c r="B758" s="289" t="str">
        <f t="shared" si="215"/>
        <v/>
      </c>
      <c r="C758" s="289"/>
      <c r="D758" s="607">
        <f t="shared" si="216"/>
        <v>0</v>
      </c>
      <c r="E758" s="292"/>
      <c r="F758" s="345">
        <f t="shared" si="217"/>
        <v>0</v>
      </c>
      <c r="G758" s="346">
        <f t="shared" si="218"/>
        <v>0</v>
      </c>
    </row>
    <row r="759" spans="1:7" ht="18.95" customHeight="1" x14ac:dyDescent="0.2">
      <c r="A759" s="347" t="str">
        <f t="shared" si="214"/>
        <v/>
      </c>
      <c r="B759" s="289" t="str">
        <f t="shared" si="215"/>
        <v/>
      </c>
      <c r="C759" s="289"/>
      <c r="D759" s="607">
        <f t="shared" si="216"/>
        <v>0</v>
      </c>
      <c r="E759" s="292"/>
      <c r="F759" s="345">
        <f t="shared" si="217"/>
        <v>0</v>
      </c>
      <c r="G759" s="346">
        <f t="shared" si="218"/>
        <v>0</v>
      </c>
    </row>
    <row r="760" spans="1:7" ht="18.95" customHeight="1" x14ac:dyDescent="0.2">
      <c r="A760" s="347" t="str">
        <f t="shared" si="214"/>
        <v/>
      </c>
      <c r="B760" s="289" t="str">
        <f t="shared" si="215"/>
        <v/>
      </c>
      <c r="C760" s="289"/>
      <c r="D760" s="607">
        <f t="shared" si="216"/>
        <v>0</v>
      </c>
      <c r="E760" s="292"/>
      <c r="F760" s="345">
        <f t="shared" si="217"/>
        <v>0</v>
      </c>
      <c r="G760" s="346">
        <f t="shared" si="218"/>
        <v>0</v>
      </c>
    </row>
    <row r="761" spans="1:7" ht="18.95" customHeight="1" x14ac:dyDescent="0.2">
      <c r="A761" s="156"/>
      <c r="B761" s="142"/>
      <c r="C761" s="142"/>
      <c r="D761" s="150"/>
      <c r="E761" s="143"/>
      <c r="F761" s="355" t="s">
        <v>31</v>
      </c>
      <c r="G761" s="354">
        <f>SUBTOTAL(9,G749:G760)</f>
        <v>0</v>
      </c>
    </row>
    <row r="762" spans="1:7" ht="18.95" customHeight="1" x14ac:dyDescent="0.2">
      <c r="A762" s="156"/>
      <c r="B762" s="142"/>
      <c r="C762" s="157" t="s">
        <v>1048</v>
      </c>
      <c r="D762" s="150"/>
      <c r="E762" s="326"/>
      <c r="F762" s="326"/>
      <c r="G762" s="341"/>
    </row>
    <row r="763" spans="1:7" ht="18.95" customHeight="1" x14ac:dyDescent="0.2">
      <c r="A763" s="732" t="s">
        <v>582</v>
      </c>
      <c r="B763" s="733"/>
      <c r="C763" s="734" t="s">
        <v>0</v>
      </c>
      <c r="D763" s="736" t="s">
        <v>1750</v>
      </c>
      <c r="E763" s="740" t="s">
        <v>26</v>
      </c>
      <c r="F763" s="740" t="s">
        <v>27</v>
      </c>
      <c r="G763" s="741" t="s">
        <v>28</v>
      </c>
    </row>
    <row r="764" spans="1:7" ht="18.95" customHeight="1" x14ac:dyDescent="0.2">
      <c r="A764" s="154" t="s">
        <v>583</v>
      </c>
      <c r="B764" s="155" t="s">
        <v>584</v>
      </c>
      <c r="C764" s="735"/>
      <c r="D764" s="737"/>
      <c r="E764" s="739"/>
      <c r="F764" s="739"/>
      <c r="G764" s="742"/>
    </row>
    <row r="765" spans="1:7" ht="18.95" customHeight="1" x14ac:dyDescent="0.2">
      <c r="A765" s="347" t="str">
        <f>IFERROR(VLOOKUP(C765,Tabla_Insumos,4,FALSE),"")</f>
        <v/>
      </c>
      <c r="B765" s="289" t="s">
        <v>4</v>
      </c>
      <c r="C765" s="289"/>
      <c r="D765" s="292"/>
      <c r="E765" s="321"/>
      <c r="F765" s="323"/>
      <c r="G765" s="346">
        <f t="shared" ref="G765" si="219">ROUND(E765*F765,2)</f>
        <v>0</v>
      </c>
    </row>
    <row r="766" spans="1:7" ht="18.95" customHeight="1" x14ac:dyDescent="0.2">
      <c r="A766" s="156"/>
      <c r="B766" s="142"/>
      <c r="C766" s="142"/>
      <c r="D766" s="150"/>
      <c r="E766" s="143"/>
      <c r="F766" s="355" t="s">
        <v>1049</v>
      </c>
      <c r="G766" s="354">
        <f>SUBTOTAL(9,G765:G765)</f>
        <v>0</v>
      </c>
    </row>
    <row r="767" spans="1:7" ht="18.95" customHeight="1" thickBot="1" x14ac:dyDescent="0.25">
      <c r="A767" s="158"/>
      <c r="B767" s="159"/>
      <c r="C767" s="160"/>
      <c r="D767" s="161"/>
      <c r="E767" s="356"/>
      <c r="F767" s="356"/>
      <c r="G767" s="357"/>
    </row>
    <row r="768" spans="1:7" ht="18.95" customHeight="1" x14ac:dyDescent="0.2">
      <c r="A768" s="358">
        <f>B707</f>
        <v>10</v>
      </c>
      <c r="B768" s="359" t="str">
        <f>C707</f>
        <v>MOVILIZACION DE OBRA</v>
      </c>
      <c r="C768" s="360"/>
      <c r="D768" s="360"/>
      <c r="E768" s="360" t="s">
        <v>1050</v>
      </c>
      <c r="F768" s="361" t="str">
        <f>CONCATENATE("$/",G707)</f>
        <v>$/Gl</v>
      </c>
      <c r="G768" s="362">
        <f>SUBTOTAL(9,G727:G767)</f>
        <v>0</v>
      </c>
    </row>
    <row r="769" spans="1:7" ht="18.95" customHeight="1" thickBot="1" x14ac:dyDescent="0.25">
      <c r="A769" s="363"/>
      <c r="B769" s="364"/>
      <c r="C769" s="364"/>
      <c r="D769" s="364"/>
      <c r="E769" s="365" t="s">
        <v>1051</v>
      </c>
      <c r="F769" s="366" t="str">
        <f>CONCATENATE("$/",G707)</f>
        <v>$/Gl</v>
      </c>
      <c r="G769" s="367" t="e">
        <f ca="1">PrecioUnitario(G768,GG_Porcentaje,Beneficio,Ingresos_Brutos,IVA)</f>
        <v>#NAME?</v>
      </c>
    </row>
    <row r="770" spans="1:7" ht="18.95" customHeight="1" thickTop="1" x14ac:dyDescent="0.2">
      <c r="F770" s="293"/>
      <c r="G770" s="293"/>
    </row>
  </sheetData>
  <sheetProtection insertRows="0" deleteRows="0"/>
  <mergeCells count="275">
    <mergeCell ref="A24:B24"/>
    <mergeCell ref="C24:C25"/>
    <mergeCell ref="D24:D25"/>
    <mergeCell ref="E24:E25"/>
    <mergeCell ref="F24:F25"/>
    <mergeCell ref="G24:G25"/>
    <mergeCell ref="A37:B37"/>
    <mergeCell ref="C37:C38"/>
    <mergeCell ref="A304:B304"/>
    <mergeCell ref="C304:C305"/>
    <mergeCell ref="D304:D305"/>
    <mergeCell ref="E304:E305"/>
    <mergeCell ref="F304:F305"/>
    <mergeCell ref="G304:G305"/>
    <mergeCell ref="D177:D178"/>
    <mergeCell ref="E177:E178"/>
    <mergeCell ref="F177:F178"/>
    <mergeCell ref="G177:G178"/>
    <mergeCell ref="A187:B187"/>
    <mergeCell ref="C187:C188"/>
    <mergeCell ref="D187:D188"/>
    <mergeCell ref="E187:E188"/>
    <mergeCell ref="F187:F188"/>
    <mergeCell ref="G187:G188"/>
    <mergeCell ref="A747:B747"/>
    <mergeCell ref="C747:C748"/>
    <mergeCell ref="D747:D748"/>
    <mergeCell ref="E747:E748"/>
    <mergeCell ref="F747:F748"/>
    <mergeCell ref="G747:G748"/>
    <mergeCell ref="D257:D258"/>
    <mergeCell ref="E257:E258"/>
    <mergeCell ref="F257:F258"/>
    <mergeCell ref="G257:G258"/>
    <mergeCell ref="A317:B317"/>
    <mergeCell ref="C317:C318"/>
    <mergeCell ref="D317:D318"/>
    <mergeCell ref="E317:E318"/>
    <mergeCell ref="F317:F318"/>
    <mergeCell ref="G317:G318"/>
    <mergeCell ref="A327:B327"/>
    <mergeCell ref="C327:C328"/>
    <mergeCell ref="D327:D328"/>
    <mergeCell ref="E327:E328"/>
    <mergeCell ref="F327:F328"/>
    <mergeCell ref="G327:G328"/>
    <mergeCell ref="A374:B374"/>
    <mergeCell ref="C374:C375"/>
    <mergeCell ref="A763:B763"/>
    <mergeCell ref="C763:C764"/>
    <mergeCell ref="D763:D764"/>
    <mergeCell ref="E763:E764"/>
    <mergeCell ref="F763:F764"/>
    <mergeCell ref="G763:G764"/>
    <mergeCell ref="A107:B107"/>
    <mergeCell ref="C107:C108"/>
    <mergeCell ref="D107:D108"/>
    <mergeCell ref="E107:E108"/>
    <mergeCell ref="A203:B203"/>
    <mergeCell ref="C203:C204"/>
    <mergeCell ref="D203:D204"/>
    <mergeCell ref="E203:E204"/>
    <mergeCell ref="F203:F204"/>
    <mergeCell ref="G203:G204"/>
    <mergeCell ref="A234:B234"/>
    <mergeCell ref="C234:C235"/>
    <mergeCell ref="D234:D235"/>
    <mergeCell ref="E234:E235"/>
    <mergeCell ref="F234:F235"/>
    <mergeCell ref="G234:G235"/>
    <mergeCell ref="A133:B133"/>
    <mergeCell ref="C133:C134"/>
    <mergeCell ref="D37:D38"/>
    <mergeCell ref="E37:E38"/>
    <mergeCell ref="F37:F38"/>
    <mergeCell ref="G37:G38"/>
    <mergeCell ref="A47:B47"/>
    <mergeCell ref="C47:C48"/>
    <mergeCell ref="D47:D48"/>
    <mergeCell ref="E47:E48"/>
    <mergeCell ref="F47:F48"/>
    <mergeCell ref="G47:G48"/>
    <mergeCell ref="A63:B63"/>
    <mergeCell ref="C63:C64"/>
    <mergeCell ref="D63:D64"/>
    <mergeCell ref="E63:E64"/>
    <mergeCell ref="F63:F64"/>
    <mergeCell ref="G63:G64"/>
    <mergeCell ref="A94:B94"/>
    <mergeCell ref="C94:C95"/>
    <mergeCell ref="D94:D95"/>
    <mergeCell ref="E94:E95"/>
    <mergeCell ref="F94:F95"/>
    <mergeCell ref="G94:G95"/>
    <mergeCell ref="D133:D134"/>
    <mergeCell ref="E133:E134"/>
    <mergeCell ref="F133:F134"/>
    <mergeCell ref="G133:G134"/>
    <mergeCell ref="F107:F108"/>
    <mergeCell ref="G107:G108"/>
    <mergeCell ref="A117:B117"/>
    <mergeCell ref="C117:C118"/>
    <mergeCell ref="D117:D118"/>
    <mergeCell ref="E117:E118"/>
    <mergeCell ref="F117:F118"/>
    <mergeCell ref="G117:G118"/>
    <mergeCell ref="A164:B164"/>
    <mergeCell ref="C164:C165"/>
    <mergeCell ref="D164:D165"/>
    <mergeCell ref="E164:E165"/>
    <mergeCell ref="F164:F165"/>
    <mergeCell ref="G164:G165"/>
    <mergeCell ref="A177:B177"/>
    <mergeCell ref="C177:C178"/>
    <mergeCell ref="A273:B273"/>
    <mergeCell ref="C273:C274"/>
    <mergeCell ref="D273:D274"/>
    <mergeCell ref="E273:E274"/>
    <mergeCell ref="F273:F274"/>
    <mergeCell ref="G273:G274"/>
    <mergeCell ref="A247:B247"/>
    <mergeCell ref="C247:C248"/>
    <mergeCell ref="D247:D248"/>
    <mergeCell ref="E247:E248"/>
    <mergeCell ref="F247:F248"/>
    <mergeCell ref="G247:G248"/>
    <mergeCell ref="A257:B257"/>
    <mergeCell ref="C257:C258"/>
    <mergeCell ref="A343:B343"/>
    <mergeCell ref="C343:C344"/>
    <mergeCell ref="D343:D344"/>
    <mergeCell ref="E343:E344"/>
    <mergeCell ref="F343:F344"/>
    <mergeCell ref="G343:G344"/>
    <mergeCell ref="C357:E357"/>
    <mergeCell ref="A397:B397"/>
    <mergeCell ref="C397:C398"/>
    <mergeCell ref="D397:D398"/>
    <mergeCell ref="E397:E398"/>
    <mergeCell ref="F397:F398"/>
    <mergeCell ref="G397:G398"/>
    <mergeCell ref="D374:D375"/>
    <mergeCell ref="E374:E375"/>
    <mergeCell ref="F374:F375"/>
    <mergeCell ref="G374:G375"/>
    <mergeCell ref="A387:B387"/>
    <mergeCell ref="C387:C388"/>
    <mergeCell ref="D387:D388"/>
    <mergeCell ref="E387:E388"/>
    <mergeCell ref="F387:F388"/>
    <mergeCell ref="G387:G388"/>
    <mergeCell ref="A444:B444"/>
    <mergeCell ref="C444:C445"/>
    <mergeCell ref="D444:D445"/>
    <mergeCell ref="E444:E445"/>
    <mergeCell ref="F444:F445"/>
    <mergeCell ref="G444:G445"/>
    <mergeCell ref="A413:B413"/>
    <mergeCell ref="C413:C414"/>
    <mergeCell ref="D413:D414"/>
    <mergeCell ref="E413:E414"/>
    <mergeCell ref="F413:F414"/>
    <mergeCell ref="G413:G414"/>
    <mergeCell ref="C427:E427"/>
    <mergeCell ref="A457:B457"/>
    <mergeCell ref="C457:C458"/>
    <mergeCell ref="D457:D458"/>
    <mergeCell ref="E457:E458"/>
    <mergeCell ref="F457:F458"/>
    <mergeCell ref="G457:G458"/>
    <mergeCell ref="A467:B467"/>
    <mergeCell ref="C467:C468"/>
    <mergeCell ref="D467:D468"/>
    <mergeCell ref="E467:E468"/>
    <mergeCell ref="F467:F468"/>
    <mergeCell ref="G467:G468"/>
    <mergeCell ref="F483:F484"/>
    <mergeCell ref="G483:G484"/>
    <mergeCell ref="A514:B514"/>
    <mergeCell ref="C514:C515"/>
    <mergeCell ref="D514:D515"/>
    <mergeCell ref="E514:E515"/>
    <mergeCell ref="F514:F515"/>
    <mergeCell ref="G514:G515"/>
    <mergeCell ref="C497:E497"/>
    <mergeCell ref="F537:F538"/>
    <mergeCell ref="G537:G538"/>
    <mergeCell ref="A553:B553"/>
    <mergeCell ref="C553:C554"/>
    <mergeCell ref="A527:B527"/>
    <mergeCell ref="C527:C528"/>
    <mergeCell ref="D527:D528"/>
    <mergeCell ref="E527:E528"/>
    <mergeCell ref="F527:F528"/>
    <mergeCell ref="G527:G528"/>
    <mergeCell ref="D553:D554"/>
    <mergeCell ref="E553:E554"/>
    <mergeCell ref="F553:F554"/>
    <mergeCell ref="G553:G554"/>
    <mergeCell ref="F597:F598"/>
    <mergeCell ref="G597:G598"/>
    <mergeCell ref="A607:B607"/>
    <mergeCell ref="C607:C608"/>
    <mergeCell ref="D607:D608"/>
    <mergeCell ref="E607:E608"/>
    <mergeCell ref="F607:F608"/>
    <mergeCell ref="G607:G608"/>
    <mergeCell ref="A584:B584"/>
    <mergeCell ref="C584:C585"/>
    <mergeCell ref="D584:D585"/>
    <mergeCell ref="E584:E585"/>
    <mergeCell ref="F584:F585"/>
    <mergeCell ref="G584:G585"/>
    <mergeCell ref="F654:F655"/>
    <mergeCell ref="G654:G655"/>
    <mergeCell ref="A623:B623"/>
    <mergeCell ref="C623:C624"/>
    <mergeCell ref="D623:D624"/>
    <mergeCell ref="E623:E624"/>
    <mergeCell ref="F623:F624"/>
    <mergeCell ref="G623:G624"/>
    <mergeCell ref="A667:B667"/>
    <mergeCell ref="C667:C668"/>
    <mergeCell ref="D667:D668"/>
    <mergeCell ref="E667:E668"/>
    <mergeCell ref="F667:F668"/>
    <mergeCell ref="G667:G668"/>
    <mergeCell ref="F737:F738"/>
    <mergeCell ref="G737:G738"/>
    <mergeCell ref="C707:E707"/>
    <mergeCell ref="C637:E637"/>
    <mergeCell ref="C567:E567"/>
    <mergeCell ref="A693:B693"/>
    <mergeCell ref="C693:C694"/>
    <mergeCell ref="D693:D694"/>
    <mergeCell ref="E693:E694"/>
    <mergeCell ref="F693:F694"/>
    <mergeCell ref="G693:G694"/>
    <mergeCell ref="A724:B724"/>
    <mergeCell ref="C724:C725"/>
    <mergeCell ref="D724:D725"/>
    <mergeCell ref="E724:E725"/>
    <mergeCell ref="F724:F725"/>
    <mergeCell ref="G724:G725"/>
    <mergeCell ref="A677:B677"/>
    <mergeCell ref="C677:C678"/>
    <mergeCell ref="D677:D678"/>
    <mergeCell ref="E677:E678"/>
    <mergeCell ref="F677:F678"/>
    <mergeCell ref="G677:G678"/>
    <mergeCell ref="A654:B654"/>
    <mergeCell ref="C287:E287"/>
    <mergeCell ref="C217:E217"/>
    <mergeCell ref="C147:E147"/>
    <mergeCell ref="C77:E77"/>
    <mergeCell ref="C7:E7"/>
    <mergeCell ref="A737:B737"/>
    <mergeCell ref="C737:C738"/>
    <mergeCell ref="D737:D738"/>
    <mergeCell ref="E737:E738"/>
    <mergeCell ref="C654:C655"/>
    <mergeCell ref="D654:D655"/>
    <mergeCell ref="E654:E655"/>
    <mergeCell ref="A597:B597"/>
    <mergeCell ref="C597:C598"/>
    <mergeCell ref="D597:D598"/>
    <mergeCell ref="E597:E598"/>
    <mergeCell ref="A537:B537"/>
    <mergeCell ref="C537:C538"/>
    <mergeCell ref="D537:D538"/>
    <mergeCell ref="E537:E538"/>
    <mergeCell ref="A483:B483"/>
    <mergeCell ref="C483:C484"/>
    <mergeCell ref="D483:D484"/>
    <mergeCell ref="E483:E484"/>
  </mergeCells>
  <pageMargins left="1.1811023622047245" right="0.78740157480314965" top="1.1811023622047245" bottom="0.78740157480314965" header="0.39370078740157483" footer="0.39370078740157483"/>
  <pageSetup paperSize="9" scale="54" fitToHeight="0" orientation="portrait" r:id="rId1"/>
  <headerFooter>
    <oddHeader>&amp;L&amp;G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DT34"/>
  <sheetViews>
    <sheetView showZeros="0" view="pageBreakPreview" topLeftCell="A14" zoomScaleNormal="100" zoomScaleSheetLayoutView="100" workbookViewId="0">
      <selection activeCell="C31" sqref="C31"/>
    </sheetView>
  </sheetViews>
  <sheetFormatPr baseColWidth="10" defaultColWidth="11.42578125" defaultRowHeight="20.100000000000001" customHeight="1" x14ac:dyDescent="0.2"/>
  <cols>
    <col min="1" max="1" width="8.7109375" style="9" customWidth="1"/>
    <col min="2" max="2" width="30.7109375" style="9" customWidth="1"/>
    <col min="3" max="3" width="20.7109375" style="9" customWidth="1"/>
    <col min="4" max="4" width="18.7109375" style="9" customWidth="1"/>
    <col min="5" max="5" width="15.7109375" style="10" customWidth="1"/>
    <col min="6" max="53" width="15.7109375" style="9" customWidth="1"/>
    <col min="54" max="54" width="10.7109375" style="10" customWidth="1"/>
    <col min="55" max="55" width="10.7109375" style="9" customWidth="1"/>
    <col min="56" max="75" width="10.7109375" style="168" customWidth="1"/>
    <col min="76" max="124" width="11.42578125" style="168"/>
    <col min="125" max="16384" width="11.42578125" style="9"/>
  </cols>
  <sheetData>
    <row r="1" spans="1:124" s="5" customFormat="1" ht="20.100000000000001" customHeight="1" x14ac:dyDescent="0.2">
      <c r="A1" s="3" t="s">
        <v>8</v>
      </c>
      <c r="B1" s="3"/>
      <c r="C1" s="3" t="str">
        <f>Comitente</f>
        <v>DIRECCIÓN PROVINCIAL DE VIALIDAD</v>
      </c>
      <c r="D1" s="4"/>
      <c r="BD1" s="165"/>
      <c r="BE1" s="165"/>
      <c r="BF1" s="165"/>
      <c r="BG1" s="165"/>
      <c r="BH1" s="165"/>
      <c r="BI1" s="165"/>
      <c r="BJ1" s="165"/>
      <c r="BK1" s="165"/>
      <c r="BL1" s="165"/>
      <c r="BM1" s="165"/>
      <c r="BN1" s="165"/>
      <c r="BO1" s="165"/>
      <c r="BP1" s="165"/>
      <c r="BQ1" s="165"/>
      <c r="BR1" s="165"/>
      <c r="BS1" s="165"/>
      <c r="BT1" s="165"/>
      <c r="BU1" s="165"/>
      <c r="BV1" s="165"/>
      <c r="BW1" s="165"/>
      <c r="BX1" s="165"/>
      <c r="BY1" s="165"/>
      <c r="BZ1" s="165"/>
      <c r="CA1" s="165"/>
      <c r="CB1" s="165"/>
      <c r="CC1" s="165"/>
      <c r="CD1" s="165"/>
      <c r="CE1" s="165"/>
      <c r="CF1" s="165"/>
      <c r="CG1" s="165"/>
      <c r="CH1" s="165"/>
      <c r="CI1" s="165"/>
      <c r="CJ1" s="165"/>
      <c r="CK1" s="165"/>
      <c r="CL1" s="165"/>
      <c r="CM1" s="165"/>
      <c r="CN1" s="165"/>
      <c r="CO1" s="165"/>
      <c r="CP1" s="165"/>
      <c r="CQ1" s="165"/>
      <c r="CR1" s="165"/>
      <c r="CS1" s="165"/>
      <c r="CT1" s="165"/>
      <c r="CU1" s="165"/>
      <c r="CV1" s="165"/>
      <c r="CW1" s="165"/>
      <c r="CX1" s="165"/>
      <c r="CY1" s="165"/>
      <c r="CZ1" s="165"/>
      <c r="DA1" s="165"/>
      <c r="DB1" s="165"/>
      <c r="DC1" s="165"/>
      <c r="DD1" s="165"/>
      <c r="DE1" s="165"/>
      <c r="DF1" s="165"/>
      <c r="DG1" s="165"/>
      <c r="DH1" s="165"/>
      <c r="DI1" s="165"/>
      <c r="DJ1" s="165"/>
      <c r="DK1" s="165"/>
      <c r="DL1" s="165"/>
      <c r="DM1" s="165"/>
      <c r="DN1" s="165"/>
      <c r="DO1" s="165"/>
      <c r="DP1" s="165"/>
      <c r="DQ1" s="165"/>
      <c r="DR1" s="165"/>
      <c r="DS1" s="165"/>
      <c r="DT1" s="165"/>
    </row>
    <row r="2" spans="1:124" s="6" customFormat="1" ht="20.100000000000001" customHeight="1" x14ac:dyDescent="0.2">
      <c r="A2" s="13" t="s">
        <v>9</v>
      </c>
      <c r="B2" s="13"/>
      <c r="C2" s="13" t="str">
        <f>Obra</f>
        <v>PAVIMENTACION RUTAS VARIAS</v>
      </c>
      <c r="BD2" s="166"/>
      <c r="BE2" s="166"/>
      <c r="BF2" s="166"/>
      <c r="BG2" s="166"/>
      <c r="BH2" s="166"/>
      <c r="BI2" s="166"/>
      <c r="BJ2" s="166"/>
      <c r="BK2" s="166"/>
      <c r="BL2" s="166"/>
      <c r="BM2" s="166"/>
      <c r="BN2" s="166"/>
      <c r="BO2" s="166"/>
      <c r="BP2" s="166"/>
      <c r="BQ2" s="166"/>
      <c r="BR2" s="166"/>
      <c r="BS2" s="166"/>
      <c r="BT2" s="166"/>
      <c r="BU2" s="166"/>
      <c r="BV2" s="166"/>
      <c r="BW2" s="166"/>
      <c r="BX2" s="166"/>
      <c r="BY2" s="166"/>
      <c r="BZ2" s="166"/>
      <c r="CA2" s="166"/>
      <c r="CB2" s="166"/>
      <c r="CC2" s="166"/>
      <c r="CD2" s="166"/>
      <c r="CE2" s="166"/>
      <c r="CF2" s="166"/>
      <c r="CG2" s="166"/>
      <c r="CH2" s="166"/>
      <c r="CI2" s="166"/>
      <c r="CJ2" s="166"/>
      <c r="CK2" s="166"/>
      <c r="CL2" s="166"/>
      <c r="CM2" s="166"/>
      <c r="CN2" s="166"/>
      <c r="CO2" s="166"/>
      <c r="CP2" s="166"/>
      <c r="CQ2" s="166"/>
      <c r="CR2" s="166"/>
      <c r="CS2" s="166"/>
      <c r="CT2" s="166"/>
      <c r="CU2" s="166"/>
      <c r="CV2" s="166"/>
      <c r="CW2" s="166"/>
      <c r="CX2" s="166"/>
      <c r="CY2" s="166"/>
      <c r="CZ2" s="166"/>
      <c r="DA2" s="166"/>
      <c r="DB2" s="166"/>
      <c r="DC2" s="166"/>
      <c r="DD2" s="166"/>
      <c r="DE2" s="166"/>
      <c r="DF2" s="166"/>
      <c r="DG2" s="166"/>
      <c r="DH2" s="166"/>
      <c r="DI2" s="166"/>
      <c r="DJ2" s="166"/>
      <c r="DK2" s="166"/>
      <c r="DL2" s="166"/>
      <c r="DM2" s="166"/>
      <c r="DN2" s="166"/>
      <c r="DO2" s="166"/>
      <c r="DP2" s="166"/>
      <c r="DQ2" s="166"/>
      <c r="DR2" s="166"/>
      <c r="DS2" s="166"/>
      <c r="DT2" s="166"/>
    </row>
    <row r="3" spans="1:124" s="6" customFormat="1" ht="20.100000000000001" customHeight="1" x14ac:dyDescent="0.2">
      <c r="A3" s="13" t="s">
        <v>15</v>
      </c>
      <c r="B3" s="13"/>
      <c r="C3" s="13" t="str">
        <f>Ubicación</f>
        <v>POCITO</v>
      </c>
      <c r="BD3" s="166"/>
      <c r="BE3" s="166"/>
      <c r="BF3" s="166"/>
      <c r="BG3" s="166"/>
      <c r="BH3" s="166"/>
      <c r="BI3" s="166"/>
      <c r="BJ3" s="166"/>
      <c r="BK3" s="166"/>
      <c r="BL3" s="166"/>
      <c r="BM3" s="166"/>
      <c r="BN3" s="166"/>
      <c r="BO3" s="166"/>
      <c r="BP3" s="166"/>
      <c r="BQ3" s="166"/>
      <c r="BR3" s="166"/>
      <c r="BS3" s="166"/>
      <c r="BT3" s="166"/>
      <c r="BU3" s="166"/>
      <c r="BV3" s="166"/>
      <c r="BW3" s="166"/>
      <c r="BX3" s="166"/>
      <c r="BY3" s="166"/>
      <c r="BZ3" s="166"/>
      <c r="CA3" s="166"/>
      <c r="CB3" s="166"/>
      <c r="CC3" s="166"/>
      <c r="CD3" s="166"/>
      <c r="CE3" s="166"/>
      <c r="CF3" s="166"/>
      <c r="CG3" s="166"/>
      <c r="CH3" s="166"/>
      <c r="CI3" s="166"/>
      <c r="CJ3" s="166"/>
      <c r="CK3" s="166"/>
      <c r="CL3" s="166"/>
      <c r="CM3" s="166"/>
      <c r="CN3" s="166"/>
      <c r="CO3" s="166"/>
      <c r="CP3" s="166"/>
      <c r="CQ3" s="166"/>
      <c r="CR3" s="166"/>
      <c r="CS3" s="166"/>
      <c r="CT3" s="166"/>
      <c r="CU3" s="166"/>
      <c r="CV3" s="166"/>
      <c r="CW3" s="166"/>
      <c r="CX3" s="166"/>
      <c r="CY3" s="166"/>
      <c r="CZ3" s="166"/>
      <c r="DA3" s="166"/>
      <c r="DB3" s="166"/>
      <c r="DC3" s="166"/>
      <c r="DD3" s="166"/>
      <c r="DE3" s="166"/>
      <c r="DF3" s="166"/>
      <c r="DG3" s="166"/>
      <c r="DH3" s="166"/>
      <c r="DI3" s="166"/>
      <c r="DJ3" s="166"/>
      <c r="DK3" s="166"/>
      <c r="DL3" s="166"/>
      <c r="DM3" s="166"/>
      <c r="DN3" s="166"/>
      <c r="DO3" s="166"/>
      <c r="DP3" s="166"/>
      <c r="DQ3" s="166"/>
      <c r="DR3" s="166"/>
      <c r="DS3" s="166"/>
      <c r="DT3" s="166"/>
    </row>
    <row r="4" spans="1:124" s="6" customFormat="1" ht="20.100000000000001" customHeight="1" x14ac:dyDescent="0.2">
      <c r="A4" s="13" t="s">
        <v>14</v>
      </c>
      <c r="B4" s="14"/>
      <c r="C4" s="120" t="str">
        <f>Licitación_N°</f>
        <v>26/18</v>
      </c>
      <c r="BD4" s="166"/>
      <c r="BE4" s="166"/>
      <c r="BF4" s="166"/>
      <c r="BG4" s="166"/>
      <c r="BH4" s="166"/>
      <c r="BI4" s="166"/>
      <c r="BJ4" s="166"/>
      <c r="BK4" s="166"/>
      <c r="BL4" s="166"/>
      <c r="BM4" s="166"/>
      <c r="BN4" s="166"/>
      <c r="BO4" s="166"/>
      <c r="BP4" s="166"/>
      <c r="BQ4" s="166"/>
      <c r="BR4" s="166"/>
      <c r="BS4" s="166"/>
      <c r="BT4" s="166"/>
      <c r="BU4" s="166"/>
      <c r="BV4" s="166"/>
      <c r="BW4" s="166"/>
      <c r="BX4" s="166"/>
      <c r="BY4" s="166"/>
      <c r="BZ4" s="166"/>
      <c r="CA4" s="166"/>
      <c r="CB4" s="166"/>
      <c r="CC4" s="166"/>
      <c r="CD4" s="166"/>
      <c r="CE4" s="166"/>
      <c r="CF4" s="166"/>
      <c r="CG4" s="166"/>
      <c r="CH4" s="166"/>
      <c r="CI4" s="166"/>
      <c r="CJ4" s="166"/>
      <c r="CK4" s="166"/>
      <c r="CL4" s="166"/>
      <c r="CM4" s="166"/>
      <c r="CN4" s="166"/>
      <c r="CO4" s="166"/>
      <c r="CP4" s="166"/>
      <c r="CQ4" s="166"/>
      <c r="CR4" s="166"/>
      <c r="CS4" s="166"/>
      <c r="CT4" s="166"/>
      <c r="CU4" s="166"/>
      <c r="CV4" s="166"/>
      <c r="CW4" s="166"/>
      <c r="CX4" s="166"/>
      <c r="CY4" s="166"/>
      <c r="CZ4" s="166"/>
      <c r="DA4" s="166"/>
      <c r="DB4" s="166"/>
      <c r="DC4" s="166"/>
      <c r="DD4" s="166"/>
      <c r="DE4" s="166"/>
      <c r="DF4" s="166"/>
      <c r="DG4" s="166"/>
      <c r="DH4" s="166"/>
      <c r="DI4" s="166"/>
      <c r="DJ4" s="166"/>
      <c r="DK4" s="166"/>
      <c r="DL4" s="166"/>
      <c r="DM4" s="166"/>
      <c r="DN4" s="166"/>
      <c r="DO4" s="166"/>
      <c r="DP4" s="166"/>
      <c r="DQ4" s="166"/>
      <c r="DR4" s="166"/>
      <c r="DS4" s="166"/>
      <c r="DT4" s="166"/>
    </row>
    <row r="5" spans="1:124" s="6" customFormat="1" ht="20.100000000000001" customHeight="1" x14ac:dyDescent="0.2">
      <c r="A5" s="13" t="s">
        <v>16</v>
      </c>
      <c r="B5" s="14"/>
      <c r="C5" s="121" t="str">
        <f>Plazo_Obra</f>
        <v>180 DIAS</v>
      </c>
      <c r="BD5" s="166"/>
      <c r="BE5" s="166"/>
      <c r="BF5" s="166"/>
      <c r="BG5" s="166"/>
      <c r="BH5" s="166"/>
      <c r="BI5" s="166"/>
      <c r="BJ5" s="166"/>
      <c r="BK5" s="166"/>
      <c r="BL5" s="166"/>
      <c r="BM5" s="166"/>
      <c r="BN5" s="166"/>
      <c r="BO5" s="166"/>
      <c r="BP5" s="166"/>
      <c r="BQ5" s="166"/>
      <c r="BR5" s="166"/>
      <c r="BS5" s="166"/>
      <c r="BT5" s="166"/>
      <c r="BU5" s="166"/>
      <c r="BV5" s="166"/>
      <c r="BW5" s="166"/>
      <c r="BX5" s="166"/>
      <c r="BY5" s="166"/>
      <c r="BZ5" s="166"/>
      <c r="CA5" s="166"/>
      <c r="CB5" s="166"/>
      <c r="CC5" s="166"/>
      <c r="CD5" s="166"/>
      <c r="CE5" s="166"/>
      <c r="CF5" s="166"/>
      <c r="CG5" s="166"/>
      <c r="CH5" s="166"/>
      <c r="CI5" s="166"/>
      <c r="CJ5" s="166"/>
      <c r="CK5" s="166"/>
      <c r="CL5" s="166"/>
      <c r="CM5" s="166"/>
      <c r="CN5" s="166"/>
      <c r="CO5" s="166"/>
      <c r="CP5" s="166"/>
      <c r="CQ5" s="166"/>
      <c r="CR5" s="166"/>
      <c r="CS5" s="166"/>
      <c r="CT5" s="166"/>
      <c r="CU5" s="166"/>
      <c r="CV5" s="166"/>
      <c r="CW5" s="166"/>
      <c r="CX5" s="166"/>
      <c r="CY5" s="166"/>
      <c r="CZ5" s="166"/>
      <c r="DA5" s="166"/>
      <c r="DB5" s="166"/>
      <c r="DC5" s="166"/>
      <c r="DD5" s="166"/>
      <c r="DE5" s="166"/>
      <c r="DF5" s="166"/>
      <c r="DG5" s="166"/>
      <c r="DH5" s="166"/>
      <c r="DI5" s="166"/>
      <c r="DJ5" s="166"/>
      <c r="DK5" s="166"/>
      <c r="DL5" s="166"/>
      <c r="DM5" s="166"/>
      <c r="DN5" s="166"/>
      <c r="DO5" s="166"/>
      <c r="DP5" s="166"/>
      <c r="DQ5" s="166"/>
      <c r="DR5" s="166"/>
      <c r="DS5" s="166"/>
      <c r="DT5" s="166"/>
    </row>
    <row r="6" spans="1:124" s="6" customFormat="1" ht="20.100000000000001" customHeight="1" x14ac:dyDescent="0.2">
      <c r="A6" s="13" t="s">
        <v>10</v>
      </c>
      <c r="B6" s="13"/>
      <c r="C6" s="13">
        <f>Contratista</f>
        <v>0</v>
      </c>
      <c r="BD6" s="166"/>
      <c r="BE6" s="166"/>
      <c r="BF6" s="166"/>
      <c r="BG6" s="166"/>
      <c r="BH6" s="166"/>
      <c r="BI6" s="166"/>
      <c r="BJ6" s="166"/>
      <c r="BK6" s="166"/>
      <c r="BL6" s="166"/>
      <c r="BM6" s="166"/>
      <c r="BN6" s="166"/>
      <c r="BO6" s="166"/>
      <c r="BP6" s="166"/>
      <c r="BQ6" s="166"/>
      <c r="BR6" s="166"/>
      <c r="BS6" s="166"/>
      <c r="BT6" s="166"/>
      <c r="BU6" s="166"/>
      <c r="BV6" s="166"/>
      <c r="BW6" s="166"/>
      <c r="BX6" s="166"/>
      <c r="BY6" s="166"/>
      <c r="BZ6" s="166"/>
      <c r="CA6" s="166"/>
      <c r="CB6" s="166"/>
      <c r="CC6" s="166"/>
      <c r="CD6" s="166"/>
      <c r="CE6" s="166"/>
      <c r="CF6" s="166"/>
      <c r="CG6" s="166"/>
      <c r="CH6" s="166"/>
      <c r="CI6" s="166"/>
      <c r="CJ6" s="166"/>
      <c r="CK6" s="166"/>
      <c r="CL6" s="166"/>
      <c r="CM6" s="166"/>
      <c r="CN6" s="166"/>
      <c r="CO6" s="166"/>
      <c r="CP6" s="166"/>
      <c r="CQ6" s="166"/>
      <c r="CR6" s="166"/>
      <c r="CS6" s="166"/>
      <c r="CT6" s="166"/>
      <c r="CU6" s="166"/>
      <c r="CV6" s="166"/>
      <c r="CW6" s="166"/>
      <c r="CX6" s="166"/>
      <c r="CY6" s="166"/>
      <c r="CZ6" s="166"/>
      <c r="DA6" s="166"/>
      <c r="DB6" s="166"/>
      <c r="DC6" s="166"/>
      <c r="DD6" s="166"/>
      <c r="DE6" s="166"/>
      <c r="DF6" s="166"/>
      <c r="DG6" s="166"/>
      <c r="DH6" s="166"/>
      <c r="DI6" s="166"/>
      <c r="DJ6" s="166"/>
      <c r="DK6" s="166"/>
      <c r="DL6" s="166"/>
      <c r="DM6" s="166"/>
      <c r="DN6" s="166"/>
      <c r="DO6" s="166"/>
      <c r="DP6" s="166"/>
      <c r="DQ6" s="166"/>
      <c r="DR6" s="166"/>
      <c r="DS6" s="166"/>
      <c r="DT6" s="166"/>
    </row>
    <row r="7" spans="1:124" s="2" customFormat="1" ht="20.100000000000001" customHeight="1" x14ac:dyDescent="0.2">
      <c r="BD7" s="167"/>
      <c r="BE7" s="167"/>
      <c r="BF7" s="167"/>
      <c r="BG7" s="167"/>
      <c r="BH7" s="167"/>
      <c r="BI7" s="167"/>
      <c r="BJ7" s="167"/>
      <c r="BK7" s="167"/>
      <c r="BL7" s="167"/>
      <c r="BM7" s="167"/>
      <c r="BN7" s="167"/>
      <c r="BO7" s="167"/>
      <c r="BP7" s="167"/>
      <c r="BQ7" s="167"/>
      <c r="BR7" s="167"/>
      <c r="BS7" s="167"/>
      <c r="BT7" s="167"/>
      <c r="BU7" s="167"/>
      <c r="BV7" s="167"/>
      <c r="BW7" s="167"/>
      <c r="BX7" s="167"/>
      <c r="BY7" s="167"/>
      <c r="BZ7" s="167"/>
      <c r="CA7" s="167"/>
      <c r="CB7" s="167"/>
      <c r="CC7" s="167"/>
      <c r="CD7" s="167"/>
      <c r="CE7" s="167"/>
      <c r="CF7" s="167"/>
      <c r="CG7" s="167"/>
      <c r="CH7" s="167"/>
      <c r="CI7" s="167"/>
      <c r="CJ7" s="167"/>
      <c r="CK7" s="167"/>
      <c r="CL7" s="167"/>
      <c r="CM7" s="167"/>
      <c r="CN7" s="167"/>
      <c r="CO7" s="167"/>
      <c r="CP7" s="167"/>
      <c r="CQ7" s="167"/>
      <c r="CR7" s="167"/>
      <c r="CS7" s="167"/>
      <c r="CT7" s="167"/>
      <c r="CU7" s="167"/>
      <c r="CV7" s="167"/>
      <c r="CW7" s="167"/>
      <c r="CX7" s="167"/>
      <c r="CY7" s="167"/>
      <c r="CZ7" s="167"/>
      <c r="DA7" s="167"/>
      <c r="DB7" s="167"/>
      <c r="DC7" s="167"/>
      <c r="DD7" s="167"/>
      <c r="DE7" s="167"/>
      <c r="DF7" s="167"/>
      <c r="DG7" s="167"/>
      <c r="DH7" s="167"/>
      <c r="DI7" s="167"/>
      <c r="DJ7" s="167"/>
      <c r="DK7" s="167"/>
      <c r="DL7" s="167"/>
      <c r="DM7" s="167"/>
      <c r="DN7" s="167"/>
      <c r="DO7" s="167"/>
      <c r="DP7" s="167"/>
      <c r="DQ7" s="167"/>
      <c r="DR7" s="167"/>
      <c r="DS7" s="167"/>
      <c r="DT7" s="167"/>
    </row>
    <row r="8" spans="1:124" s="2" customFormat="1" ht="20.100000000000001" customHeight="1" x14ac:dyDescent="0.2">
      <c r="A8" s="744" t="s">
        <v>41</v>
      </c>
      <c r="B8" s="745"/>
      <c r="C8" s="745"/>
      <c r="D8" s="746"/>
      <c r="E8" s="8"/>
      <c r="F8" s="8"/>
      <c r="G8" s="8"/>
      <c r="H8" s="8"/>
      <c r="BD8" s="167"/>
      <c r="BE8" s="167"/>
      <c r="BF8" s="167"/>
      <c r="BG8" s="167"/>
      <c r="BH8" s="167"/>
      <c r="BI8" s="167"/>
      <c r="BJ8" s="167"/>
      <c r="BK8" s="167"/>
      <c r="BL8" s="167"/>
      <c r="BM8" s="167"/>
      <c r="BN8" s="167"/>
      <c r="BO8" s="167"/>
      <c r="BP8" s="167"/>
      <c r="BQ8" s="167"/>
      <c r="BR8" s="167"/>
      <c r="BS8" s="167"/>
      <c r="BT8" s="167"/>
      <c r="BU8" s="167"/>
      <c r="BV8" s="167"/>
      <c r="BW8" s="167"/>
      <c r="BX8" s="167"/>
      <c r="BY8" s="167"/>
      <c r="BZ8" s="167"/>
      <c r="CA8" s="167"/>
      <c r="CB8" s="167"/>
      <c r="CC8" s="167"/>
      <c r="CD8" s="167"/>
      <c r="CE8" s="167"/>
      <c r="CF8" s="167"/>
      <c r="CG8" s="167"/>
      <c r="CH8" s="167"/>
      <c r="CI8" s="167"/>
      <c r="CJ8" s="167"/>
      <c r="CK8" s="167"/>
      <c r="CL8" s="167"/>
      <c r="CM8" s="167"/>
      <c r="CN8" s="167"/>
      <c r="CO8" s="167"/>
      <c r="CP8" s="167"/>
      <c r="CQ8" s="167"/>
      <c r="CR8" s="167"/>
      <c r="CS8" s="167"/>
      <c r="CT8" s="167"/>
      <c r="CU8" s="167"/>
      <c r="CV8" s="167"/>
      <c r="CW8" s="167"/>
      <c r="CX8" s="167"/>
      <c r="CY8" s="167"/>
      <c r="CZ8" s="167"/>
      <c r="DA8" s="167"/>
      <c r="DB8" s="167"/>
      <c r="DC8" s="167"/>
      <c r="DD8" s="167"/>
      <c r="DE8" s="167"/>
      <c r="DF8" s="167"/>
      <c r="DG8" s="167"/>
      <c r="DH8" s="167"/>
      <c r="DI8" s="167"/>
      <c r="DJ8" s="167"/>
      <c r="DK8" s="167"/>
      <c r="DL8" s="167"/>
      <c r="DM8" s="167"/>
      <c r="DN8" s="167"/>
      <c r="DO8" s="167"/>
      <c r="DP8" s="167"/>
      <c r="DQ8" s="167"/>
      <c r="DR8" s="167"/>
      <c r="DS8" s="167"/>
      <c r="DT8" s="167"/>
    </row>
    <row r="10" spans="1:124" ht="20.100000000000001" customHeight="1" x14ac:dyDescent="0.2">
      <c r="A10" s="719" t="s">
        <v>906</v>
      </c>
      <c r="B10" s="747" t="s">
        <v>0</v>
      </c>
      <c r="C10" s="747"/>
      <c r="D10" s="749" t="s">
        <v>13</v>
      </c>
      <c r="E10" s="95"/>
      <c r="F10" s="747" t="s">
        <v>19</v>
      </c>
      <c r="G10" s="747"/>
      <c r="H10" s="747"/>
      <c r="I10" s="747"/>
      <c r="J10" s="747"/>
      <c r="K10" s="747"/>
      <c r="L10" s="747"/>
      <c r="M10" s="747"/>
      <c r="N10" s="747"/>
      <c r="O10" s="747"/>
      <c r="P10" s="747"/>
      <c r="Q10" s="747"/>
      <c r="R10" s="747"/>
      <c r="S10" s="747"/>
      <c r="T10" s="747"/>
      <c r="U10" s="747"/>
      <c r="V10" s="747"/>
      <c r="W10" s="747"/>
      <c r="X10" s="747"/>
      <c r="Y10" s="747"/>
      <c r="Z10" s="747"/>
      <c r="AA10" s="747"/>
      <c r="AB10" s="747"/>
      <c r="AC10" s="747"/>
      <c r="AD10" s="747"/>
      <c r="AE10" s="747"/>
      <c r="AF10" s="747"/>
      <c r="AG10" s="747"/>
      <c r="AH10" s="747"/>
      <c r="AI10" s="747"/>
      <c r="AJ10" s="747"/>
      <c r="AK10" s="747"/>
      <c r="AL10" s="747"/>
      <c r="AM10" s="747"/>
      <c r="AN10" s="747"/>
      <c r="AO10" s="747"/>
      <c r="AP10" s="747"/>
      <c r="AQ10" s="747"/>
      <c r="AR10" s="747"/>
      <c r="AS10" s="747"/>
      <c r="AT10" s="747"/>
      <c r="AU10" s="747"/>
      <c r="AV10" s="747"/>
      <c r="AW10" s="747"/>
      <c r="AX10" s="747"/>
      <c r="AY10" s="747"/>
      <c r="AZ10" s="747"/>
      <c r="BA10" s="747"/>
      <c r="BB10" s="69"/>
      <c r="BC10" s="748" t="s">
        <v>18</v>
      </c>
    </row>
    <row r="11" spans="1:124" ht="20.100000000000001" customHeight="1" x14ac:dyDescent="0.2">
      <c r="A11" s="719"/>
      <c r="B11" s="747"/>
      <c r="C11" s="747"/>
      <c r="D11" s="749"/>
      <c r="E11" s="95">
        <v>0</v>
      </c>
      <c r="F11" s="78">
        <v>1</v>
      </c>
      <c r="G11" s="78">
        <f>F11+1</f>
        <v>2</v>
      </c>
      <c r="H11" s="78">
        <f t="shared" ref="H11:AL11" si="0">G11+1</f>
        <v>3</v>
      </c>
      <c r="I11" s="78">
        <f t="shared" si="0"/>
        <v>4</v>
      </c>
      <c r="J11" s="78">
        <f t="shared" si="0"/>
        <v>5</v>
      </c>
      <c r="K11" s="78">
        <f t="shared" si="0"/>
        <v>6</v>
      </c>
      <c r="L11" s="78">
        <f t="shared" si="0"/>
        <v>7</v>
      </c>
      <c r="M11" s="78">
        <f t="shared" si="0"/>
        <v>8</v>
      </c>
      <c r="N11" s="78">
        <f t="shared" si="0"/>
        <v>9</v>
      </c>
      <c r="O11" s="78">
        <f t="shared" si="0"/>
        <v>10</v>
      </c>
      <c r="P11" s="78">
        <f t="shared" si="0"/>
        <v>11</v>
      </c>
      <c r="Q11" s="78">
        <f t="shared" si="0"/>
        <v>12</v>
      </c>
      <c r="R11" s="78">
        <f t="shared" si="0"/>
        <v>13</v>
      </c>
      <c r="S11" s="78">
        <f t="shared" si="0"/>
        <v>14</v>
      </c>
      <c r="T11" s="78">
        <f t="shared" si="0"/>
        <v>15</v>
      </c>
      <c r="U11" s="78">
        <f t="shared" si="0"/>
        <v>16</v>
      </c>
      <c r="V11" s="78">
        <f t="shared" si="0"/>
        <v>17</v>
      </c>
      <c r="W11" s="78">
        <f t="shared" si="0"/>
        <v>18</v>
      </c>
      <c r="X11" s="78">
        <f t="shared" si="0"/>
        <v>19</v>
      </c>
      <c r="Y11" s="78">
        <f t="shared" si="0"/>
        <v>20</v>
      </c>
      <c r="Z11" s="78">
        <f t="shared" si="0"/>
        <v>21</v>
      </c>
      <c r="AA11" s="78">
        <f t="shared" si="0"/>
        <v>22</v>
      </c>
      <c r="AB11" s="78">
        <f t="shared" si="0"/>
        <v>23</v>
      </c>
      <c r="AC11" s="78">
        <f t="shared" si="0"/>
        <v>24</v>
      </c>
      <c r="AD11" s="78">
        <f t="shared" si="0"/>
        <v>25</v>
      </c>
      <c r="AE11" s="78">
        <f t="shared" si="0"/>
        <v>26</v>
      </c>
      <c r="AF11" s="78">
        <f t="shared" si="0"/>
        <v>27</v>
      </c>
      <c r="AG11" s="78">
        <f t="shared" si="0"/>
        <v>28</v>
      </c>
      <c r="AH11" s="78">
        <f t="shared" si="0"/>
        <v>29</v>
      </c>
      <c r="AI11" s="78">
        <f t="shared" si="0"/>
        <v>30</v>
      </c>
      <c r="AJ11" s="78">
        <f t="shared" si="0"/>
        <v>31</v>
      </c>
      <c r="AK11" s="78">
        <f t="shared" si="0"/>
        <v>32</v>
      </c>
      <c r="AL11" s="78">
        <f t="shared" si="0"/>
        <v>33</v>
      </c>
      <c r="AM11" s="78">
        <f t="shared" ref="AM11" si="1">AL11+1</f>
        <v>34</v>
      </c>
      <c r="AN11" s="78">
        <f t="shared" ref="AN11" si="2">AM11+1</f>
        <v>35</v>
      </c>
      <c r="AO11" s="78">
        <f t="shared" ref="AO11" si="3">AN11+1</f>
        <v>36</v>
      </c>
      <c r="AP11" s="78">
        <f t="shared" ref="AP11" si="4">AO11+1</f>
        <v>37</v>
      </c>
      <c r="AQ11" s="78">
        <f t="shared" ref="AQ11" si="5">AP11+1</f>
        <v>38</v>
      </c>
      <c r="AR11" s="78">
        <f t="shared" ref="AR11" si="6">AQ11+1</f>
        <v>39</v>
      </c>
      <c r="AS11" s="78">
        <f t="shared" ref="AS11" si="7">AR11+1</f>
        <v>40</v>
      </c>
      <c r="AT11" s="78">
        <f t="shared" ref="AT11" si="8">AS11+1</f>
        <v>41</v>
      </c>
      <c r="AU11" s="78">
        <f t="shared" ref="AU11" si="9">AT11+1</f>
        <v>42</v>
      </c>
      <c r="AV11" s="78">
        <f t="shared" ref="AV11" si="10">AU11+1</f>
        <v>43</v>
      </c>
      <c r="AW11" s="78">
        <f t="shared" ref="AW11" si="11">AV11+1</f>
        <v>44</v>
      </c>
      <c r="AX11" s="78">
        <f t="shared" ref="AX11" si="12">AW11+1</f>
        <v>45</v>
      </c>
      <c r="AY11" s="78">
        <f t="shared" ref="AY11" si="13">AX11+1</f>
        <v>46</v>
      </c>
      <c r="AZ11" s="78">
        <f t="shared" ref="AZ11" si="14">AY11+1</f>
        <v>47</v>
      </c>
      <c r="BA11" s="78">
        <f t="shared" ref="BA11" si="15">AZ11+1</f>
        <v>48</v>
      </c>
      <c r="BB11" s="70"/>
      <c r="BC11" s="748"/>
    </row>
    <row r="12" spans="1:124" ht="20.100000000000001" customHeight="1" x14ac:dyDescent="0.2">
      <c r="A12" s="79"/>
      <c r="B12" s="100"/>
      <c r="C12" s="100"/>
      <c r="D12" s="101"/>
      <c r="E12" s="95"/>
      <c r="F12" s="80"/>
      <c r="G12" s="109"/>
      <c r="H12" s="109"/>
      <c r="I12" s="109"/>
      <c r="J12" s="109"/>
      <c r="K12" s="109"/>
      <c r="L12" s="109"/>
      <c r="M12" s="109"/>
      <c r="N12" s="109"/>
      <c r="O12" s="109"/>
      <c r="P12" s="109"/>
      <c r="Q12" s="109"/>
      <c r="R12" s="109"/>
      <c r="S12" s="109"/>
      <c r="T12" s="109"/>
      <c r="U12" s="109"/>
      <c r="V12" s="109"/>
      <c r="W12" s="109"/>
      <c r="X12" s="109"/>
      <c r="Y12" s="109"/>
      <c r="Z12" s="109"/>
      <c r="AA12" s="109"/>
      <c r="AB12" s="109"/>
      <c r="AC12" s="109"/>
      <c r="AD12" s="109"/>
      <c r="AE12" s="109"/>
      <c r="AF12" s="109"/>
      <c r="AG12" s="109"/>
      <c r="AH12" s="109"/>
      <c r="AI12" s="109"/>
      <c r="AJ12" s="109"/>
      <c r="AK12" s="109"/>
      <c r="AL12" s="109"/>
      <c r="AM12" s="109"/>
      <c r="AN12" s="109"/>
      <c r="AO12" s="109"/>
      <c r="AP12" s="109"/>
      <c r="AQ12" s="109"/>
      <c r="AR12" s="109"/>
      <c r="AS12" s="109"/>
      <c r="AT12" s="109"/>
      <c r="AU12" s="109"/>
      <c r="AV12" s="109"/>
      <c r="AW12" s="109"/>
      <c r="AX12" s="109"/>
      <c r="AY12" s="109"/>
      <c r="AZ12" s="109"/>
      <c r="BA12" s="110"/>
      <c r="BB12" s="70"/>
      <c r="BC12" s="135"/>
    </row>
    <row r="13" spans="1:124" ht="20.100000000000001" customHeight="1" x14ac:dyDescent="0.2">
      <c r="A13" s="98">
        <f>CyP!A18</f>
        <v>1</v>
      </c>
      <c r="B13" s="81" t="str">
        <f t="shared" ref="B13:B24" si="16">IFERROR(VLOOKUP(A13,Tabla_CyP,2,FALSE),"")</f>
        <v>REACONDICIONAMIENTO DE BASE ESTABILIZADA GRANULAR</v>
      </c>
      <c r="C13" s="82"/>
      <c r="D13" s="15">
        <f t="shared" ref="D13:D24" ca="1" si="17">IFERROR(VLOOKUP(A13,Tabla_CyP,9,FALSE),0)</f>
        <v>0</v>
      </c>
      <c r="E13" s="84"/>
      <c r="F13" s="162"/>
      <c r="G13" s="162"/>
      <c r="H13" s="162"/>
      <c r="I13" s="162"/>
      <c r="J13" s="162"/>
      <c r="K13" s="162"/>
      <c r="L13" s="162"/>
      <c r="M13" s="162"/>
      <c r="N13" s="162"/>
      <c r="O13" s="162"/>
      <c r="P13" s="163"/>
      <c r="Q13" s="163"/>
      <c r="R13" s="163"/>
      <c r="S13" s="163"/>
      <c r="T13" s="163"/>
      <c r="U13" s="163"/>
      <c r="V13" s="163"/>
      <c r="W13" s="163"/>
      <c r="X13" s="163"/>
      <c r="Y13" s="163"/>
      <c r="Z13" s="163"/>
      <c r="AA13" s="163"/>
      <c r="AB13" s="163"/>
      <c r="AC13" s="163"/>
      <c r="AD13" s="163"/>
      <c r="AE13" s="163"/>
      <c r="AF13" s="163"/>
      <c r="AG13" s="163"/>
      <c r="AH13" s="163"/>
      <c r="AI13" s="163"/>
      <c r="AJ13" s="163"/>
      <c r="AK13" s="163"/>
      <c r="AL13" s="163"/>
      <c r="AM13" s="163"/>
      <c r="AN13" s="163"/>
      <c r="AO13" s="163"/>
      <c r="AP13" s="163"/>
      <c r="AQ13" s="163"/>
      <c r="AR13" s="163"/>
      <c r="AS13" s="163"/>
      <c r="AT13" s="163"/>
      <c r="AU13" s="163"/>
      <c r="AV13" s="163"/>
      <c r="AW13" s="163"/>
      <c r="AX13" s="163"/>
      <c r="AY13" s="163"/>
      <c r="AZ13" s="163"/>
      <c r="BA13" s="164"/>
      <c r="BB13" s="71"/>
      <c r="BC13" s="72">
        <f t="shared" ref="BC13:BC24" si="18">SUM(F13:BA13)</f>
        <v>0</v>
      </c>
    </row>
    <row r="14" spans="1:124" ht="20.100000000000001" customHeight="1" x14ac:dyDescent="0.2">
      <c r="A14" s="98">
        <f>CyP!A19</f>
        <v>2</v>
      </c>
      <c r="B14" s="81" t="str">
        <f t="shared" si="16"/>
        <v>IMPRIMACION CON MATERIAL BITUMINOSO</v>
      </c>
      <c r="C14" s="82"/>
      <c r="D14" s="15">
        <f t="shared" ca="1" si="17"/>
        <v>0</v>
      </c>
      <c r="E14" s="96"/>
      <c r="F14" s="162"/>
      <c r="G14" s="162"/>
      <c r="H14" s="162"/>
      <c r="I14" s="162"/>
      <c r="J14" s="162"/>
      <c r="K14" s="162"/>
      <c r="L14" s="162"/>
      <c r="M14" s="162"/>
      <c r="N14" s="162"/>
      <c r="O14" s="162"/>
      <c r="P14" s="162"/>
      <c r="Q14" s="162"/>
      <c r="R14" s="162"/>
      <c r="S14" s="162"/>
      <c r="T14" s="162"/>
      <c r="U14" s="162"/>
      <c r="V14" s="162"/>
      <c r="W14" s="162"/>
      <c r="X14" s="162"/>
      <c r="Y14" s="162"/>
      <c r="Z14" s="162"/>
      <c r="AA14" s="162"/>
      <c r="AB14" s="162"/>
      <c r="AC14" s="162"/>
      <c r="AD14" s="162"/>
      <c r="AE14" s="162"/>
      <c r="AF14" s="162"/>
      <c r="AG14" s="162"/>
      <c r="AH14" s="162"/>
      <c r="AI14" s="162"/>
      <c r="AJ14" s="162"/>
      <c r="AK14" s="162"/>
      <c r="AL14" s="162"/>
      <c r="AM14" s="162"/>
      <c r="AN14" s="162"/>
      <c r="AO14" s="162"/>
      <c r="AP14" s="162"/>
      <c r="AQ14" s="162"/>
      <c r="AR14" s="162"/>
      <c r="AS14" s="162"/>
      <c r="AT14" s="162"/>
      <c r="AU14" s="162"/>
      <c r="AV14" s="162"/>
      <c r="AW14" s="162"/>
      <c r="AX14" s="162"/>
      <c r="AY14" s="162"/>
      <c r="AZ14" s="162"/>
      <c r="BA14" s="162"/>
      <c r="BB14" s="73"/>
      <c r="BC14" s="72">
        <f t="shared" si="18"/>
        <v>0</v>
      </c>
    </row>
    <row r="15" spans="1:124" ht="20.100000000000001" customHeight="1" x14ac:dyDescent="0.2">
      <c r="A15" s="98">
        <f>CyP!A20</f>
        <v>3</v>
      </c>
      <c r="B15" s="81" t="str">
        <f t="shared" si="16"/>
        <v>RIEGO DE LIGA</v>
      </c>
      <c r="C15" s="82"/>
      <c r="D15" s="15">
        <f t="shared" ca="1" si="17"/>
        <v>0</v>
      </c>
      <c r="E15" s="96"/>
      <c r="F15" s="162"/>
      <c r="G15" s="162"/>
      <c r="H15" s="162"/>
      <c r="I15" s="162"/>
      <c r="J15" s="162"/>
      <c r="K15" s="162"/>
      <c r="L15" s="162"/>
      <c r="M15" s="162"/>
      <c r="N15" s="162"/>
      <c r="O15" s="162"/>
      <c r="P15" s="162"/>
      <c r="Q15" s="162"/>
      <c r="R15" s="162"/>
      <c r="S15" s="162"/>
      <c r="T15" s="162"/>
      <c r="U15" s="162"/>
      <c r="V15" s="162"/>
      <c r="W15" s="162"/>
      <c r="X15" s="162"/>
      <c r="Y15" s="162"/>
      <c r="Z15" s="162"/>
      <c r="AA15" s="162"/>
      <c r="AB15" s="162"/>
      <c r="AC15" s="162"/>
      <c r="AD15" s="162"/>
      <c r="AE15" s="162"/>
      <c r="AF15" s="162"/>
      <c r="AG15" s="162"/>
      <c r="AH15" s="162"/>
      <c r="AI15" s="162"/>
      <c r="AJ15" s="162"/>
      <c r="AK15" s="162"/>
      <c r="AL15" s="162"/>
      <c r="AM15" s="162"/>
      <c r="AN15" s="162"/>
      <c r="AO15" s="162"/>
      <c r="AP15" s="162"/>
      <c r="AQ15" s="162"/>
      <c r="AR15" s="162"/>
      <c r="AS15" s="162"/>
      <c r="AT15" s="162"/>
      <c r="AU15" s="162"/>
      <c r="AV15" s="162"/>
      <c r="AW15" s="162"/>
      <c r="AX15" s="162"/>
      <c r="AY15" s="162"/>
      <c r="AZ15" s="162"/>
      <c r="BA15" s="162"/>
      <c r="BB15" s="73"/>
      <c r="BC15" s="72">
        <f t="shared" si="18"/>
        <v>0</v>
      </c>
    </row>
    <row r="16" spans="1:124" ht="20.100000000000001" customHeight="1" x14ac:dyDescent="0.2">
      <c r="A16" s="98">
        <f>CyP!A21</f>
        <v>4</v>
      </c>
      <c r="B16" s="81" t="str">
        <f t="shared" si="16"/>
        <v>CARPETA CON MEZCLA BITUMINOSA TIPO CONCRETO ASFALTICO</v>
      </c>
      <c r="C16" s="82"/>
      <c r="D16" s="15">
        <f t="shared" ca="1" si="17"/>
        <v>0</v>
      </c>
      <c r="E16" s="96"/>
      <c r="F16" s="162"/>
      <c r="G16" s="162"/>
      <c r="H16" s="162"/>
      <c r="I16" s="162"/>
      <c r="J16" s="162"/>
      <c r="K16" s="162"/>
      <c r="L16" s="162"/>
      <c r="M16" s="162"/>
      <c r="N16" s="162"/>
      <c r="O16" s="162"/>
      <c r="P16" s="162"/>
      <c r="Q16" s="162"/>
      <c r="R16" s="162"/>
      <c r="S16" s="162"/>
      <c r="T16" s="162"/>
      <c r="U16" s="162"/>
      <c r="V16" s="162"/>
      <c r="W16" s="162"/>
      <c r="X16" s="162"/>
      <c r="Y16" s="162"/>
      <c r="Z16" s="162"/>
      <c r="AA16" s="162"/>
      <c r="AB16" s="162"/>
      <c r="AC16" s="162"/>
      <c r="AD16" s="162"/>
      <c r="AE16" s="162"/>
      <c r="AF16" s="162"/>
      <c r="AG16" s="162"/>
      <c r="AH16" s="162"/>
      <c r="AI16" s="162"/>
      <c r="AJ16" s="162"/>
      <c r="AK16" s="162"/>
      <c r="AL16" s="162"/>
      <c r="AM16" s="162"/>
      <c r="AN16" s="162"/>
      <c r="AO16" s="162"/>
      <c r="AP16" s="162"/>
      <c r="AQ16" s="162"/>
      <c r="AR16" s="162"/>
      <c r="AS16" s="162"/>
      <c r="AT16" s="162"/>
      <c r="AU16" s="162"/>
      <c r="AV16" s="162"/>
      <c r="AW16" s="162"/>
      <c r="AX16" s="162"/>
      <c r="AY16" s="162"/>
      <c r="AZ16" s="162"/>
      <c r="BA16" s="162"/>
      <c r="BB16" s="73"/>
      <c r="BC16" s="72">
        <f t="shared" si="18"/>
        <v>0</v>
      </c>
    </row>
    <row r="17" spans="1:124" ht="20.100000000000001" customHeight="1" x14ac:dyDescent="0.2">
      <c r="A17" s="98">
        <f>CyP!A22</f>
        <v>5</v>
      </c>
      <c r="B17" s="81" t="str">
        <f t="shared" si="16"/>
        <v>CONSTRUCCION DE BANQUINAS ENRIPIADAS</v>
      </c>
      <c r="C17" s="82"/>
      <c r="D17" s="15">
        <f t="shared" ca="1" si="17"/>
        <v>0</v>
      </c>
      <c r="E17" s="96"/>
      <c r="F17" s="162"/>
      <c r="G17" s="162"/>
      <c r="H17" s="162"/>
      <c r="I17" s="162"/>
      <c r="J17" s="162"/>
      <c r="K17" s="162"/>
      <c r="L17" s="162"/>
      <c r="M17" s="162"/>
      <c r="N17" s="162"/>
      <c r="O17" s="162"/>
      <c r="P17" s="162"/>
      <c r="Q17" s="162"/>
      <c r="R17" s="162"/>
      <c r="S17" s="162"/>
      <c r="T17" s="162"/>
      <c r="U17" s="162"/>
      <c r="V17" s="162"/>
      <c r="W17" s="162"/>
      <c r="X17" s="162"/>
      <c r="Y17" s="162"/>
      <c r="Z17" s="162"/>
      <c r="AA17" s="162"/>
      <c r="AB17" s="162"/>
      <c r="AC17" s="162"/>
      <c r="AD17" s="162"/>
      <c r="AE17" s="162"/>
      <c r="AF17" s="162"/>
      <c r="AG17" s="162"/>
      <c r="AH17" s="162"/>
      <c r="AI17" s="162"/>
      <c r="AJ17" s="162"/>
      <c r="AK17" s="162"/>
      <c r="AL17" s="162"/>
      <c r="AM17" s="162"/>
      <c r="AN17" s="162"/>
      <c r="AO17" s="162"/>
      <c r="AP17" s="162"/>
      <c r="AQ17" s="162"/>
      <c r="AR17" s="162"/>
      <c r="AS17" s="162"/>
      <c r="AT17" s="162"/>
      <c r="AU17" s="162"/>
      <c r="AV17" s="162"/>
      <c r="AW17" s="162"/>
      <c r="AX17" s="162"/>
      <c r="AY17" s="162"/>
      <c r="AZ17" s="162"/>
      <c r="BA17" s="162"/>
      <c r="BB17" s="73"/>
      <c r="BC17" s="72">
        <f t="shared" si="18"/>
        <v>0</v>
      </c>
    </row>
    <row r="18" spans="1:124" ht="20.100000000000001" customHeight="1" x14ac:dyDescent="0.2">
      <c r="A18" s="98">
        <f>CyP!A23</f>
        <v>6</v>
      </c>
      <c r="B18" s="81" t="str">
        <f t="shared" si="16"/>
        <v>SEÑALAMIENTO VERTICAL</v>
      </c>
      <c r="C18" s="82"/>
      <c r="D18" s="15">
        <f t="shared" ca="1" si="17"/>
        <v>0</v>
      </c>
      <c r="E18" s="96"/>
      <c r="F18" s="162"/>
      <c r="G18" s="162"/>
      <c r="H18" s="162"/>
      <c r="I18" s="162"/>
      <c r="J18" s="162"/>
      <c r="K18" s="162"/>
      <c r="L18" s="162"/>
      <c r="M18" s="162"/>
      <c r="N18" s="162"/>
      <c r="O18" s="162"/>
      <c r="P18" s="162"/>
      <c r="Q18" s="162"/>
      <c r="R18" s="162"/>
      <c r="S18" s="162"/>
      <c r="T18" s="162"/>
      <c r="U18" s="162"/>
      <c r="V18" s="162"/>
      <c r="W18" s="162"/>
      <c r="X18" s="162"/>
      <c r="Y18" s="162"/>
      <c r="Z18" s="162"/>
      <c r="AA18" s="162"/>
      <c r="AB18" s="162"/>
      <c r="AC18" s="162"/>
      <c r="AD18" s="162"/>
      <c r="AE18" s="162"/>
      <c r="AF18" s="162"/>
      <c r="AG18" s="162"/>
      <c r="AH18" s="162"/>
      <c r="AI18" s="162"/>
      <c r="AJ18" s="162"/>
      <c r="AK18" s="162"/>
      <c r="AL18" s="162"/>
      <c r="AM18" s="162"/>
      <c r="AN18" s="162"/>
      <c r="AO18" s="162"/>
      <c r="AP18" s="162"/>
      <c r="AQ18" s="162"/>
      <c r="AR18" s="162"/>
      <c r="AS18" s="162"/>
      <c r="AT18" s="162"/>
      <c r="AU18" s="162"/>
      <c r="AV18" s="162"/>
      <c r="AW18" s="162"/>
      <c r="AX18" s="162"/>
      <c r="AY18" s="162"/>
      <c r="AZ18" s="162"/>
      <c r="BA18" s="162"/>
      <c r="BB18" s="73"/>
      <c r="BC18" s="72">
        <f t="shared" si="18"/>
        <v>0</v>
      </c>
    </row>
    <row r="19" spans="1:124" ht="20.100000000000001" customHeight="1" x14ac:dyDescent="0.2">
      <c r="A19" s="98">
        <f>CyP!A24</f>
        <v>7</v>
      </c>
      <c r="B19" s="81" t="str">
        <f t="shared" si="16"/>
        <v>DEMARCACION HORIZONTAL CON PINTURA ACRILICA APLICADA EN FRIO</v>
      </c>
      <c r="C19" s="82"/>
      <c r="D19" s="15">
        <f t="shared" ca="1" si="17"/>
        <v>0</v>
      </c>
      <c r="E19" s="96"/>
      <c r="F19" s="162"/>
      <c r="G19" s="162"/>
      <c r="H19" s="162"/>
      <c r="I19" s="162"/>
      <c r="J19" s="162"/>
      <c r="K19" s="162"/>
      <c r="L19" s="162"/>
      <c r="M19" s="162"/>
      <c r="N19" s="162"/>
      <c r="O19" s="162"/>
      <c r="P19" s="162"/>
      <c r="Q19" s="162"/>
      <c r="R19" s="162"/>
      <c r="S19" s="162"/>
      <c r="T19" s="162"/>
      <c r="U19" s="162"/>
      <c r="V19" s="162"/>
      <c r="W19" s="162"/>
      <c r="X19" s="162"/>
      <c r="Y19" s="162"/>
      <c r="Z19" s="162"/>
      <c r="AA19" s="162"/>
      <c r="AB19" s="162"/>
      <c r="AC19" s="162"/>
      <c r="AD19" s="162"/>
      <c r="AE19" s="162"/>
      <c r="AF19" s="162"/>
      <c r="AG19" s="162"/>
      <c r="AH19" s="162"/>
      <c r="AI19" s="162"/>
      <c r="AJ19" s="162"/>
      <c r="AK19" s="162"/>
      <c r="AL19" s="162"/>
      <c r="AM19" s="162"/>
      <c r="AN19" s="162"/>
      <c r="AO19" s="162"/>
      <c r="AP19" s="162"/>
      <c r="AQ19" s="162"/>
      <c r="AR19" s="162"/>
      <c r="AS19" s="162"/>
      <c r="AT19" s="162"/>
      <c r="AU19" s="162"/>
      <c r="AV19" s="162"/>
      <c r="AW19" s="162"/>
      <c r="AX19" s="162"/>
      <c r="AY19" s="162"/>
      <c r="AZ19" s="162"/>
      <c r="BA19" s="162"/>
      <c r="BB19" s="73"/>
      <c r="BC19" s="72">
        <f t="shared" si="18"/>
        <v>0</v>
      </c>
    </row>
    <row r="20" spans="1:124" ht="20.100000000000001" customHeight="1" x14ac:dyDescent="0.2">
      <c r="A20" s="98">
        <f>CyP!A25</f>
        <v>8</v>
      </c>
      <c r="B20" s="81" t="str">
        <f t="shared" si="16"/>
        <v>CUMPLIMIENTO DE MANEJO AMBIENTAL</v>
      </c>
      <c r="C20" s="82"/>
      <c r="D20" s="15">
        <f t="shared" ca="1" si="17"/>
        <v>0</v>
      </c>
      <c r="E20" s="96"/>
      <c r="F20" s="162"/>
      <c r="G20" s="162"/>
      <c r="H20" s="162"/>
      <c r="I20" s="162"/>
      <c r="J20" s="162"/>
      <c r="K20" s="162"/>
      <c r="L20" s="162"/>
      <c r="M20" s="162"/>
      <c r="N20" s="162"/>
      <c r="O20" s="162"/>
      <c r="P20" s="162"/>
      <c r="Q20" s="162"/>
      <c r="R20" s="162"/>
      <c r="S20" s="162"/>
      <c r="T20" s="162"/>
      <c r="U20" s="162"/>
      <c r="V20" s="162"/>
      <c r="W20" s="162"/>
      <c r="X20" s="162"/>
      <c r="Y20" s="162"/>
      <c r="Z20" s="162"/>
      <c r="AA20" s="162"/>
      <c r="AB20" s="162"/>
      <c r="AC20" s="162"/>
      <c r="AD20" s="162"/>
      <c r="AE20" s="162"/>
      <c r="AF20" s="162"/>
      <c r="AG20" s="162"/>
      <c r="AH20" s="162"/>
      <c r="AI20" s="162"/>
      <c r="AJ20" s="162"/>
      <c r="AK20" s="162"/>
      <c r="AL20" s="162"/>
      <c r="AM20" s="162"/>
      <c r="AN20" s="162"/>
      <c r="AO20" s="162"/>
      <c r="AP20" s="162"/>
      <c r="AQ20" s="162"/>
      <c r="AR20" s="162"/>
      <c r="AS20" s="162"/>
      <c r="AT20" s="162"/>
      <c r="AU20" s="162"/>
      <c r="AV20" s="162"/>
      <c r="AW20" s="162"/>
      <c r="AX20" s="162"/>
      <c r="AY20" s="162"/>
      <c r="AZ20" s="162"/>
      <c r="BA20" s="162"/>
      <c r="BB20" s="73"/>
      <c r="BC20" s="72">
        <f t="shared" si="18"/>
        <v>0</v>
      </c>
    </row>
    <row r="21" spans="1:124" ht="20.100000000000001" customHeight="1" x14ac:dyDescent="0.2">
      <c r="A21" s="98">
        <f>CyP!A26</f>
        <v>9</v>
      </c>
      <c r="B21" s="81" t="str">
        <f t="shared" si="16"/>
        <v>PROVISION DE MOVILIDAD PARA EL PERSONAL DE INSPECCION</v>
      </c>
      <c r="C21" s="82"/>
      <c r="D21" s="15">
        <f t="shared" ca="1" si="17"/>
        <v>0</v>
      </c>
      <c r="E21" s="96"/>
      <c r="F21" s="162"/>
      <c r="G21" s="162"/>
      <c r="H21" s="162"/>
      <c r="I21" s="162"/>
      <c r="J21" s="162"/>
      <c r="K21" s="162"/>
      <c r="L21" s="162"/>
      <c r="M21" s="162"/>
      <c r="N21" s="162"/>
      <c r="O21" s="162"/>
      <c r="P21" s="162"/>
      <c r="Q21" s="162"/>
      <c r="R21" s="162"/>
      <c r="S21" s="162"/>
      <c r="T21" s="162"/>
      <c r="U21" s="162"/>
      <c r="V21" s="162"/>
      <c r="W21" s="162"/>
      <c r="X21" s="162"/>
      <c r="Y21" s="162"/>
      <c r="Z21" s="162"/>
      <c r="AA21" s="162"/>
      <c r="AB21" s="162"/>
      <c r="AC21" s="162"/>
      <c r="AD21" s="162"/>
      <c r="AE21" s="162"/>
      <c r="AF21" s="162"/>
      <c r="AG21" s="162"/>
      <c r="AH21" s="162"/>
      <c r="AI21" s="162"/>
      <c r="AJ21" s="162"/>
      <c r="AK21" s="162"/>
      <c r="AL21" s="162"/>
      <c r="AM21" s="162"/>
      <c r="AN21" s="162"/>
      <c r="AO21" s="162"/>
      <c r="AP21" s="162"/>
      <c r="AQ21" s="162"/>
      <c r="AR21" s="162"/>
      <c r="AS21" s="162"/>
      <c r="AT21" s="162"/>
      <c r="AU21" s="162"/>
      <c r="AV21" s="162"/>
      <c r="AW21" s="162"/>
      <c r="AX21" s="162"/>
      <c r="AY21" s="162"/>
      <c r="AZ21" s="162"/>
      <c r="BA21" s="162"/>
      <c r="BB21" s="73"/>
      <c r="BC21" s="72">
        <f t="shared" si="18"/>
        <v>0</v>
      </c>
    </row>
    <row r="22" spans="1:124" ht="20.100000000000001" customHeight="1" x14ac:dyDescent="0.2">
      <c r="A22" s="98" t="str">
        <f>CyP!A27</f>
        <v>9,a</v>
      </c>
      <c r="B22" s="81" t="str">
        <f t="shared" si="16"/>
        <v>Cuota Fija</v>
      </c>
      <c r="C22" s="82"/>
      <c r="D22" s="15">
        <f t="shared" ca="1" si="17"/>
        <v>0</v>
      </c>
      <c r="E22" s="96"/>
      <c r="F22" s="162"/>
      <c r="G22" s="162"/>
      <c r="H22" s="162"/>
      <c r="I22" s="162"/>
      <c r="J22" s="162"/>
      <c r="K22" s="162"/>
      <c r="L22" s="162"/>
      <c r="M22" s="162"/>
      <c r="N22" s="162"/>
      <c r="O22" s="162"/>
      <c r="P22" s="162"/>
      <c r="Q22" s="162"/>
      <c r="R22" s="162"/>
      <c r="S22" s="162"/>
      <c r="T22" s="162"/>
      <c r="U22" s="162"/>
      <c r="V22" s="162"/>
      <c r="W22" s="162"/>
      <c r="X22" s="162"/>
      <c r="Y22" s="162"/>
      <c r="Z22" s="162"/>
      <c r="AA22" s="162"/>
      <c r="AB22" s="162"/>
      <c r="AC22" s="162"/>
      <c r="AD22" s="162"/>
      <c r="AE22" s="162"/>
      <c r="AF22" s="162"/>
      <c r="AG22" s="162"/>
      <c r="AH22" s="162"/>
      <c r="AI22" s="162"/>
      <c r="AJ22" s="162"/>
      <c r="AK22" s="162"/>
      <c r="AL22" s="162"/>
      <c r="AM22" s="162"/>
      <c r="AN22" s="162"/>
      <c r="AO22" s="162"/>
      <c r="AP22" s="162"/>
      <c r="AQ22" s="162"/>
      <c r="AR22" s="162"/>
      <c r="AS22" s="162"/>
      <c r="AT22" s="162"/>
      <c r="AU22" s="162"/>
      <c r="AV22" s="162"/>
      <c r="AW22" s="162"/>
      <c r="AX22" s="162"/>
      <c r="AY22" s="162"/>
      <c r="AZ22" s="162"/>
      <c r="BA22" s="162"/>
      <c r="BB22" s="73"/>
      <c r="BC22" s="72">
        <f t="shared" si="18"/>
        <v>0</v>
      </c>
    </row>
    <row r="23" spans="1:124" ht="20.100000000000001" customHeight="1" x14ac:dyDescent="0.2">
      <c r="A23" s="98" t="str">
        <f>CyP!A28</f>
        <v>9,b</v>
      </c>
      <c r="B23" s="81" t="str">
        <f t="shared" si="16"/>
        <v>Adicional por kilómetro</v>
      </c>
      <c r="C23" s="82"/>
      <c r="D23" s="15">
        <f t="shared" ca="1" si="17"/>
        <v>0</v>
      </c>
      <c r="E23" s="96"/>
      <c r="F23" s="162"/>
      <c r="G23" s="162"/>
      <c r="H23" s="162"/>
      <c r="I23" s="162"/>
      <c r="J23" s="162"/>
      <c r="K23" s="162"/>
      <c r="L23" s="162"/>
      <c r="M23" s="162"/>
      <c r="N23" s="162"/>
      <c r="O23" s="162"/>
      <c r="P23" s="162"/>
      <c r="Q23" s="162"/>
      <c r="R23" s="162"/>
      <c r="S23" s="162"/>
      <c r="T23" s="162"/>
      <c r="U23" s="162"/>
      <c r="V23" s="162"/>
      <c r="W23" s="162"/>
      <c r="X23" s="162"/>
      <c r="Y23" s="162"/>
      <c r="Z23" s="162"/>
      <c r="AA23" s="162"/>
      <c r="AB23" s="162"/>
      <c r="AC23" s="162"/>
      <c r="AD23" s="162"/>
      <c r="AE23" s="162"/>
      <c r="AF23" s="162"/>
      <c r="AG23" s="162"/>
      <c r="AH23" s="162"/>
      <c r="AI23" s="162"/>
      <c r="AJ23" s="162"/>
      <c r="AK23" s="162"/>
      <c r="AL23" s="162"/>
      <c r="AM23" s="162"/>
      <c r="AN23" s="162"/>
      <c r="AO23" s="162"/>
      <c r="AP23" s="162"/>
      <c r="AQ23" s="162"/>
      <c r="AR23" s="162"/>
      <c r="AS23" s="162"/>
      <c r="AT23" s="162"/>
      <c r="AU23" s="162"/>
      <c r="AV23" s="162"/>
      <c r="AW23" s="162"/>
      <c r="AX23" s="162"/>
      <c r="AY23" s="162"/>
      <c r="AZ23" s="162"/>
      <c r="BA23" s="162"/>
      <c r="BB23" s="73"/>
      <c r="BC23" s="72">
        <f t="shared" si="18"/>
        <v>0</v>
      </c>
    </row>
    <row r="24" spans="1:124" ht="20.100000000000001" customHeight="1" x14ac:dyDescent="0.2">
      <c r="A24" s="98">
        <f>CyP!A29</f>
        <v>10</v>
      </c>
      <c r="B24" s="81" t="str">
        <f t="shared" si="16"/>
        <v>MOVILIZACION DE OBRA</v>
      </c>
      <c r="C24" s="82"/>
      <c r="D24" s="15">
        <f t="shared" ca="1" si="17"/>
        <v>0</v>
      </c>
      <c r="E24" s="96"/>
      <c r="F24" s="162"/>
      <c r="G24" s="162"/>
      <c r="H24" s="162"/>
      <c r="I24" s="162"/>
      <c r="J24" s="162"/>
      <c r="K24" s="162"/>
      <c r="L24" s="162"/>
      <c r="M24" s="162"/>
      <c r="N24" s="162"/>
      <c r="O24" s="162"/>
      <c r="P24" s="162"/>
      <c r="Q24" s="162"/>
      <c r="R24" s="162"/>
      <c r="S24" s="162"/>
      <c r="T24" s="162"/>
      <c r="U24" s="162"/>
      <c r="V24" s="162"/>
      <c r="W24" s="162"/>
      <c r="X24" s="162"/>
      <c r="Y24" s="162"/>
      <c r="Z24" s="162"/>
      <c r="AA24" s="162"/>
      <c r="AB24" s="162"/>
      <c r="AC24" s="162"/>
      <c r="AD24" s="162"/>
      <c r="AE24" s="162"/>
      <c r="AF24" s="162"/>
      <c r="AG24" s="162"/>
      <c r="AH24" s="162"/>
      <c r="AI24" s="162"/>
      <c r="AJ24" s="162"/>
      <c r="AK24" s="162"/>
      <c r="AL24" s="162"/>
      <c r="AM24" s="162"/>
      <c r="AN24" s="162"/>
      <c r="AO24" s="162"/>
      <c r="AP24" s="162"/>
      <c r="AQ24" s="162"/>
      <c r="AR24" s="162"/>
      <c r="AS24" s="162"/>
      <c r="AT24" s="162"/>
      <c r="AU24" s="162"/>
      <c r="AV24" s="162"/>
      <c r="AW24" s="162"/>
      <c r="AX24" s="162"/>
      <c r="AY24" s="162"/>
      <c r="AZ24" s="162"/>
      <c r="BA24" s="162"/>
      <c r="BB24" s="73"/>
      <c r="BC24" s="72">
        <f t="shared" si="18"/>
        <v>0</v>
      </c>
    </row>
    <row r="25" spans="1:124" s="10" customFormat="1" ht="20.100000000000001" customHeight="1" x14ac:dyDescent="0.2">
      <c r="A25" s="102" t="s">
        <v>3</v>
      </c>
      <c r="B25" s="83" t="s">
        <v>3</v>
      </c>
      <c r="C25" s="83"/>
      <c r="D25" s="103" t="s">
        <v>4</v>
      </c>
      <c r="E25" s="84"/>
      <c r="F25" s="105"/>
      <c r="G25" s="106"/>
      <c r="H25" s="106"/>
      <c r="I25" s="106"/>
      <c r="J25" s="106"/>
      <c r="K25" s="106"/>
      <c r="L25" s="106"/>
      <c r="M25" s="106"/>
      <c r="N25" s="106"/>
      <c r="O25" s="106"/>
      <c r="P25" s="106"/>
      <c r="Q25" s="106"/>
      <c r="R25" s="106"/>
      <c r="S25" s="106"/>
      <c r="T25" s="106"/>
      <c r="U25" s="106"/>
      <c r="V25" s="106"/>
      <c r="W25" s="106"/>
      <c r="X25" s="107"/>
      <c r="Y25" s="107"/>
      <c r="Z25" s="107"/>
      <c r="AA25" s="107"/>
      <c r="AB25" s="107"/>
      <c r="AC25" s="107"/>
      <c r="AD25" s="107"/>
      <c r="AE25" s="107"/>
      <c r="AF25" s="107"/>
      <c r="AG25" s="107"/>
      <c r="AH25" s="107"/>
      <c r="AI25" s="107"/>
      <c r="AJ25" s="107"/>
      <c r="AK25" s="107"/>
      <c r="AL25" s="107"/>
      <c r="AM25" s="107"/>
      <c r="AN25" s="107"/>
      <c r="AO25" s="107"/>
      <c r="AP25" s="107"/>
      <c r="AQ25" s="107"/>
      <c r="AR25" s="107"/>
      <c r="AS25" s="107"/>
      <c r="AT25" s="107"/>
      <c r="AU25" s="107"/>
      <c r="AV25" s="107"/>
      <c r="AW25" s="107"/>
      <c r="AX25" s="107"/>
      <c r="AY25" s="107"/>
      <c r="AZ25" s="107"/>
      <c r="BA25" s="108"/>
      <c r="BC25" s="74">
        <f t="shared" ref="BC25" si="19">SUM(F25:BA25)</f>
        <v>0</v>
      </c>
      <c r="BD25" s="169"/>
      <c r="BE25" s="169"/>
      <c r="BF25" s="169"/>
      <c r="BG25" s="169"/>
      <c r="BH25" s="169"/>
      <c r="BI25" s="169"/>
      <c r="BJ25" s="169"/>
      <c r="BK25" s="169"/>
      <c r="BL25" s="169"/>
      <c r="BM25" s="169"/>
      <c r="BN25" s="169"/>
      <c r="BO25" s="169"/>
      <c r="BP25" s="169"/>
      <c r="BQ25" s="169"/>
      <c r="BR25" s="169"/>
      <c r="BS25" s="169"/>
      <c r="BT25" s="169"/>
      <c r="BU25" s="169"/>
      <c r="BV25" s="169"/>
      <c r="BW25" s="169"/>
      <c r="BX25" s="169"/>
      <c r="BY25" s="169"/>
      <c r="BZ25" s="169"/>
      <c r="CA25" s="169"/>
      <c r="CB25" s="169"/>
      <c r="CC25" s="169"/>
      <c r="CD25" s="169"/>
      <c r="CE25" s="169"/>
      <c r="CF25" s="169"/>
      <c r="CG25" s="169"/>
      <c r="CH25" s="169"/>
      <c r="CI25" s="169"/>
      <c r="CJ25" s="169"/>
      <c r="CK25" s="169"/>
      <c r="CL25" s="169"/>
      <c r="CM25" s="169"/>
      <c r="CN25" s="169"/>
      <c r="CO25" s="169"/>
      <c r="CP25" s="169"/>
      <c r="CQ25" s="169"/>
      <c r="CR25" s="169"/>
      <c r="CS25" s="169"/>
      <c r="CT25" s="169"/>
      <c r="CU25" s="169"/>
      <c r="CV25" s="169"/>
      <c r="CW25" s="169"/>
      <c r="CX25" s="169"/>
      <c r="CY25" s="169"/>
      <c r="CZ25" s="169"/>
      <c r="DA25" s="169"/>
      <c r="DB25" s="169"/>
      <c r="DC25" s="169"/>
      <c r="DD25" s="169"/>
      <c r="DE25" s="169"/>
      <c r="DF25" s="169"/>
      <c r="DG25" s="169"/>
      <c r="DH25" s="169"/>
      <c r="DI25" s="169"/>
      <c r="DJ25" s="169"/>
      <c r="DK25" s="169"/>
      <c r="DL25" s="169"/>
      <c r="DM25" s="169"/>
      <c r="DN25" s="169"/>
      <c r="DO25" s="169"/>
      <c r="DP25" s="169"/>
      <c r="DQ25" s="169"/>
      <c r="DR25" s="169"/>
      <c r="DS25" s="169"/>
      <c r="DT25" s="169"/>
    </row>
    <row r="26" spans="1:124" ht="20.100000000000001" customHeight="1" x14ac:dyDescent="0.2">
      <c r="A26" s="102" t="s">
        <v>3</v>
      </c>
      <c r="B26" s="100" t="s">
        <v>7</v>
      </c>
      <c r="C26" s="104"/>
      <c r="D26" s="99">
        <f ca="1">SUM(D13:D25)</f>
        <v>0</v>
      </c>
      <c r="E26" s="97"/>
      <c r="F26" s="85"/>
      <c r="G26" s="85"/>
      <c r="H26" s="85"/>
      <c r="I26" s="85"/>
      <c r="J26" s="85"/>
      <c r="K26" s="85"/>
      <c r="L26" s="85"/>
      <c r="M26" s="85"/>
      <c r="N26" s="85"/>
      <c r="O26" s="85"/>
      <c r="P26" s="85"/>
      <c r="Q26" s="85"/>
      <c r="R26" s="85"/>
      <c r="S26" s="85"/>
      <c r="T26" s="85"/>
      <c r="U26" s="85"/>
      <c r="V26" s="85"/>
      <c r="W26" s="85"/>
      <c r="X26" s="85"/>
      <c r="Y26" s="85"/>
      <c r="Z26" s="85"/>
      <c r="AA26" s="85"/>
      <c r="AB26" s="85"/>
      <c r="AC26" s="85"/>
      <c r="AD26" s="85"/>
      <c r="AE26" s="85"/>
      <c r="AF26" s="85"/>
      <c r="AG26" s="85"/>
      <c r="AH26" s="85"/>
      <c r="AI26" s="85"/>
      <c r="AJ26" s="85"/>
      <c r="AK26" s="85"/>
      <c r="AL26" s="85"/>
      <c r="AM26" s="85"/>
      <c r="AN26" s="85"/>
      <c r="AO26" s="85"/>
      <c r="AP26" s="85"/>
      <c r="AQ26" s="85"/>
      <c r="AR26" s="85"/>
      <c r="AS26" s="85"/>
      <c r="AT26" s="85"/>
      <c r="AU26" s="85"/>
      <c r="AV26" s="85"/>
      <c r="AW26" s="85"/>
      <c r="AX26" s="85"/>
      <c r="AY26" s="85"/>
      <c r="AZ26" s="85"/>
      <c r="BA26" s="85"/>
    </row>
    <row r="27" spans="1:124" ht="20.100000000000001" customHeight="1" x14ac:dyDescent="0.2">
      <c r="A27" s="86"/>
      <c r="B27" s="86"/>
      <c r="C27" s="86"/>
      <c r="D27" s="86"/>
      <c r="E27" s="87"/>
      <c r="F27" s="86"/>
      <c r="G27" s="86"/>
      <c r="H27" s="86"/>
      <c r="I27" s="86"/>
      <c r="J27" s="86"/>
      <c r="K27" s="86"/>
      <c r="L27" s="86"/>
      <c r="M27" s="86"/>
      <c r="N27" s="86"/>
      <c r="O27" s="86"/>
      <c r="P27" s="86"/>
      <c r="Q27" s="86"/>
      <c r="R27" s="86"/>
      <c r="S27" s="86"/>
      <c r="T27" s="86"/>
      <c r="U27" s="86"/>
      <c r="V27" s="86"/>
      <c r="W27" s="86"/>
      <c r="X27" s="86"/>
      <c r="Y27" s="86"/>
      <c r="Z27" s="86"/>
      <c r="AA27" s="86"/>
      <c r="AB27" s="86"/>
      <c r="AC27" s="86"/>
      <c r="AD27" s="86"/>
      <c r="AE27" s="86"/>
      <c r="AF27" s="86"/>
      <c r="AG27" s="86"/>
      <c r="AH27" s="86"/>
      <c r="AI27" s="86"/>
      <c r="AJ27" s="86"/>
      <c r="AK27" s="86"/>
      <c r="AL27" s="86"/>
      <c r="AM27" s="86"/>
      <c r="AN27" s="86"/>
      <c r="AO27" s="86"/>
      <c r="AP27" s="86"/>
      <c r="AQ27" s="86"/>
      <c r="AR27" s="86"/>
      <c r="AS27" s="86"/>
      <c r="AT27" s="86"/>
      <c r="AU27" s="86"/>
      <c r="AV27" s="86"/>
      <c r="AW27" s="86"/>
      <c r="AX27" s="86"/>
      <c r="AY27" s="86"/>
      <c r="AZ27" s="86"/>
      <c r="BA27" s="86"/>
    </row>
    <row r="28" spans="1:124" ht="20.100000000000001" customHeight="1" x14ac:dyDescent="0.2">
      <c r="A28" s="86"/>
      <c r="B28" s="86"/>
      <c r="C28" s="86"/>
      <c r="D28" s="88" t="s">
        <v>20</v>
      </c>
      <c r="E28" s="87">
        <v>0</v>
      </c>
      <c r="F28" s="89">
        <f t="shared" ref="F28:BA28" ca="1" si="20">SUMPRODUCT($D$13:$D$24,F13:F24)</f>
        <v>0</v>
      </c>
      <c r="G28" s="89">
        <f t="shared" ca="1" si="20"/>
        <v>0</v>
      </c>
      <c r="H28" s="89">
        <f t="shared" ca="1" si="20"/>
        <v>0</v>
      </c>
      <c r="I28" s="89">
        <f t="shared" ca="1" si="20"/>
        <v>0</v>
      </c>
      <c r="J28" s="89">
        <f t="shared" ca="1" si="20"/>
        <v>0</v>
      </c>
      <c r="K28" s="89">
        <f t="shared" ca="1" si="20"/>
        <v>0</v>
      </c>
      <c r="L28" s="89">
        <f t="shared" ca="1" si="20"/>
        <v>0</v>
      </c>
      <c r="M28" s="89">
        <f t="shared" ca="1" si="20"/>
        <v>0</v>
      </c>
      <c r="N28" s="89">
        <f t="shared" ca="1" si="20"/>
        <v>0</v>
      </c>
      <c r="O28" s="89">
        <f t="shared" ca="1" si="20"/>
        <v>0</v>
      </c>
      <c r="P28" s="89">
        <f t="shared" ca="1" si="20"/>
        <v>0</v>
      </c>
      <c r="Q28" s="89">
        <f t="shared" ca="1" si="20"/>
        <v>0</v>
      </c>
      <c r="R28" s="89">
        <f t="shared" ca="1" si="20"/>
        <v>0</v>
      </c>
      <c r="S28" s="89">
        <f t="shared" ca="1" si="20"/>
        <v>0</v>
      </c>
      <c r="T28" s="89">
        <f t="shared" ca="1" si="20"/>
        <v>0</v>
      </c>
      <c r="U28" s="89">
        <f t="shared" ca="1" si="20"/>
        <v>0</v>
      </c>
      <c r="V28" s="89">
        <f t="shared" ca="1" si="20"/>
        <v>0</v>
      </c>
      <c r="W28" s="89">
        <f t="shared" ca="1" si="20"/>
        <v>0</v>
      </c>
      <c r="X28" s="89">
        <f t="shared" ca="1" si="20"/>
        <v>0</v>
      </c>
      <c r="Y28" s="89">
        <f t="shared" ca="1" si="20"/>
        <v>0</v>
      </c>
      <c r="Z28" s="89">
        <f t="shared" ca="1" si="20"/>
        <v>0</v>
      </c>
      <c r="AA28" s="89">
        <f t="shared" ca="1" si="20"/>
        <v>0</v>
      </c>
      <c r="AB28" s="89">
        <f t="shared" ca="1" si="20"/>
        <v>0</v>
      </c>
      <c r="AC28" s="89">
        <f t="shared" ca="1" si="20"/>
        <v>0</v>
      </c>
      <c r="AD28" s="89">
        <f t="shared" ca="1" si="20"/>
        <v>0</v>
      </c>
      <c r="AE28" s="89">
        <f t="shared" ca="1" si="20"/>
        <v>0</v>
      </c>
      <c r="AF28" s="89">
        <f t="shared" ca="1" si="20"/>
        <v>0</v>
      </c>
      <c r="AG28" s="89">
        <f t="shared" ca="1" si="20"/>
        <v>0</v>
      </c>
      <c r="AH28" s="89">
        <f t="shared" ca="1" si="20"/>
        <v>0</v>
      </c>
      <c r="AI28" s="89">
        <f t="shared" ca="1" si="20"/>
        <v>0</v>
      </c>
      <c r="AJ28" s="89">
        <f t="shared" ca="1" si="20"/>
        <v>0</v>
      </c>
      <c r="AK28" s="89">
        <f t="shared" ca="1" si="20"/>
        <v>0</v>
      </c>
      <c r="AL28" s="89">
        <f t="shared" ca="1" si="20"/>
        <v>0</v>
      </c>
      <c r="AM28" s="89">
        <f t="shared" ca="1" si="20"/>
        <v>0</v>
      </c>
      <c r="AN28" s="89">
        <f t="shared" ca="1" si="20"/>
        <v>0</v>
      </c>
      <c r="AO28" s="89">
        <f t="shared" ca="1" si="20"/>
        <v>0</v>
      </c>
      <c r="AP28" s="89">
        <f t="shared" ca="1" si="20"/>
        <v>0</v>
      </c>
      <c r="AQ28" s="89">
        <f t="shared" ca="1" si="20"/>
        <v>0</v>
      </c>
      <c r="AR28" s="89">
        <f t="shared" ca="1" si="20"/>
        <v>0</v>
      </c>
      <c r="AS28" s="89">
        <f t="shared" ca="1" si="20"/>
        <v>0</v>
      </c>
      <c r="AT28" s="89">
        <f t="shared" ca="1" si="20"/>
        <v>0</v>
      </c>
      <c r="AU28" s="89">
        <f t="shared" ca="1" si="20"/>
        <v>0</v>
      </c>
      <c r="AV28" s="89">
        <f t="shared" ca="1" si="20"/>
        <v>0</v>
      </c>
      <c r="AW28" s="89">
        <f t="shared" ca="1" si="20"/>
        <v>0</v>
      </c>
      <c r="AX28" s="89">
        <f t="shared" ca="1" si="20"/>
        <v>0</v>
      </c>
      <c r="AY28" s="89">
        <f t="shared" ca="1" si="20"/>
        <v>0</v>
      </c>
      <c r="AZ28" s="89">
        <f t="shared" ca="1" si="20"/>
        <v>0</v>
      </c>
      <c r="BA28" s="89">
        <f t="shared" ca="1" si="20"/>
        <v>0</v>
      </c>
      <c r="BB28" s="75"/>
    </row>
    <row r="29" spans="1:124" ht="20.100000000000001" customHeight="1" x14ac:dyDescent="0.2">
      <c r="A29" s="86"/>
      <c r="B29" s="86"/>
      <c r="C29" s="86"/>
      <c r="D29" s="88" t="s">
        <v>21</v>
      </c>
      <c r="E29" s="87">
        <v>0</v>
      </c>
      <c r="F29" s="89">
        <f ca="1">E29+F28</f>
        <v>0</v>
      </c>
      <c r="G29" s="89">
        <f t="shared" ref="G29:BA29" ca="1" si="21">F29+G28</f>
        <v>0</v>
      </c>
      <c r="H29" s="89">
        <f t="shared" ca="1" si="21"/>
        <v>0</v>
      </c>
      <c r="I29" s="89">
        <f t="shared" ca="1" si="21"/>
        <v>0</v>
      </c>
      <c r="J29" s="89">
        <f t="shared" ca="1" si="21"/>
        <v>0</v>
      </c>
      <c r="K29" s="89">
        <f t="shared" ca="1" si="21"/>
        <v>0</v>
      </c>
      <c r="L29" s="89">
        <f t="shared" ca="1" si="21"/>
        <v>0</v>
      </c>
      <c r="M29" s="89">
        <f t="shared" ca="1" si="21"/>
        <v>0</v>
      </c>
      <c r="N29" s="89">
        <f t="shared" ca="1" si="21"/>
        <v>0</v>
      </c>
      <c r="O29" s="89">
        <f t="shared" ca="1" si="21"/>
        <v>0</v>
      </c>
      <c r="P29" s="89">
        <f t="shared" ca="1" si="21"/>
        <v>0</v>
      </c>
      <c r="Q29" s="89">
        <f t="shared" ca="1" si="21"/>
        <v>0</v>
      </c>
      <c r="R29" s="89">
        <f t="shared" ca="1" si="21"/>
        <v>0</v>
      </c>
      <c r="S29" s="89">
        <f t="shared" ca="1" si="21"/>
        <v>0</v>
      </c>
      <c r="T29" s="89">
        <f t="shared" ca="1" si="21"/>
        <v>0</v>
      </c>
      <c r="U29" s="89">
        <f t="shared" ca="1" si="21"/>
        <v>0</v>
      </c>
      <c r="V29" s="89">
        <f t="shared" ca="1" si="21"/>
        <v>0</v>
      </c>
      <c r="W29" s="89">
        <f t="shared" ca="1" si="21"/>
        <v>0</v>
      </c>
      <c r="X29" s="89">
        <f t="shared" ca="1" si="21"/>
        <v>0</v>
      </c>
      <c r="Y29" s="89">
        <f t="shared" ca="1" si="21"/>
        <v>0</v>
      </c>
      <c r="Z29" s="89">
        <f t="shared" ca="1" si="21"/>
        <v>0</v>
      </c>
      <c r="AA29" s="89">
        <f t="shared" ca="1" si="21"/>
        <v>0</v>
      </c>
      <c r="AB29" s="89">
        <f t="shared" ca="1" si="21"/>
        <v>0</v>
      </c>
      <c r="AC29" s="89">
        <f t="shared" ca="1" si="21"/>
        <v>0</v>
      </c>
      <c r="AD29" s="89">
        <f t="shared" ca="1" si="21"/>
        <v>0</v>
      </c>
      <c r="AE29" s="89">
        <f t="shared" ca="1" si="21"/>
        <v>0</v>
      </c>
      <c r="AF29" s="89">
        <f t="shared" ca="1" si="21"/>
        <v>0</v>
      </c>
      <c r="AG29" s="89">
        <f t="shared" ca="1" si="21"/>
        <v>0</v>
      </c>
      <c r="AH29" s="89">
        <f t="shared" ca="1" si="21"/>
        <v>0</v>
      </c>
      <c r="AI29" s="89">
        <f t="shared" ca="1" si="21"/>
        <v>0</v>
      </c>
      <c r="AJ29" s="89">
        <f t="shared" ca="1" si="21"/>
        <v>0</v>
      </c>
      <c r="AK29" s="89">
        <f t="shared" ca="1" si="21"/>
        <v>0</v>
      </c>
      <c r="AL29" s="89">
        <f t="shared" ca="1" si="21"/>
        <v>0</v>
      </c>
      <c r="AM29" s="89">
        <f t="shared" ca="1" si="21"/>
        <v>0</v>
      </c>
      <c r="AN29" s="89">
        <f t="shared" ref="AN29:AU29" ca="1" si="22">AE29+AN28</f>
        <v>0</v>
      </c>
      <c r="AO29" s="89">
        <f t="shared" ca="1" si="22"/>
        <v>0</v>
      </c>
      <c r="AP29" s="89">
        <f t="shared" ca="1" si="22"/>
        <v>0</v>
      </c>
      <c r="AQ29" s="89">
        <f t="shared" ca="1" si="22"/>
        <v>0</v>
      </c>
      <c r="AR29" s="89">
        <f t="shared" ca="1" si="22"/>
        <v>0</v>
      </c>
      <c r="AS29" s="89">
        <f t="shared" ca="1" si="22"/>
        <v>0</v>
      </c>
      <c r="AT29" s="89">
        <f t="shared" ca="1" si="22"/>
        <v>0</v>
      </c>
      <c r="AU29" s="89">
        <f t="shared" ca="1" si="22"/>
        <v>0</v>
      </c>
      <c r="AV29" s="89">
        <f ca="1">AM29+AV28</f>
        <v>0</v>
      </c>
      <c r="AW29" s="89">
        <f t="shared" ca="1" si="21"/>
        <v>0</v>
      </c>
      <c r="AX29" s="89">
        <f t="shared" ca="1" si="21"/>
        <v>0</v>
      </c>
      <c r="AY29" s="89">
        <f t="shared" ca="1" si="21"/>
        <v>0</v>
      </c>
      <c r="AZ29" s="89">
        <f t="shared" ca="1" si="21"/>
        <v>0</v>
      </c>
      <c r="BA29" s="89">
        <f t="shared" ca="1" si="21"/>
        <v>0</v>
      </c>
      <c r="BB29" s="75"/>
    </row>
    <row r="30" spans="1:124" ht="20.100000000000001" customHeight="1" x14ac:dyDescent="0.2">
      <c r="A30" s="86"/>
      <c r="B30" s="86"/>
      <c r="C30" s="86"/>
      <c r="D30" s="90"/>
      <c r="E30" s="91" t="s">
        <v>954</v>
      </c>
      <c r="F30" s="86"/>
      <c r="G30" s="86"/>
      <c r="H30" s="86"/>
      <c r="I30" s="86"/>
      <c r="J30" s="86"/>
      <c r="K30" s="86"/>
      <c r="L30" s="86"/>
      <c r="M30" s="86"/>
      <c r="N30" s="86"/>
      <c r="O30" s="86"/>
      <c r="P30" s="86"/>
      <c r="Q30" s="86"/>
      <c r="R30" s="86"/>
      <c r="S30" s="86"/>
      <c r="T30" s="86"/>
      <c r="U30" s="86"/>
      <c r="V30" s="86"/>
      <c r="W30" s="86"/>
      <c r="X30" s="86"/>
      <c r="Y30" s="86"/>
      <c r="Z30" s="86"/>
      <c r="AA30" s="86"/>
      <c r="AB30" s="86"/>
      <c r="AC30" s="86"/>
      <c r="AD30" s="86"/>
      <c r="AE30" s="86"/>
      <c r="AF30" s="86"/>
      <c r="AG30" s="86"/>
      <c r="AH30" s="86"/>
      <c r="AI30" s="86"/>
      <c r="AJ30" s="86"/>
      <c r="AK30" s="86"/>
      <c r="AL30" s="86"/>
      <c r="AM30" s="86"/>
      <c r="AN30" s="86"/>
      <c r="AO30" s="86"/>
      <c r="AP30" s="86"/>
      <c r="AQ30" s="86"/>
      <c r="AR30" s="86"/>
      <c r="AS30" s="86"/>
      <c r="AT30" s="86"/>
      <c r="AU30" s="86"/>
      <c r="AV30" s="86"/>
      <c r="AW30" s="86"/>
      <c r="AX30" s="86"/>
      <c r="AY30" s="86"/>
      <c r="AZ30" s="86"/>
      <c r="BA30" s="86"/>
    </row>
    <row r="31" spans="1:124" ht="20.100000000000001" customHeight="1" x14ac:dyDescent="0.2">
      <c r="A31" s="86"/>
      <c r="B31" s="86"/>
      <c r="C31" s="86"/>
      <c r="D31" s="88" t="s">
        <v>22</v>
      </c>
      <c r="E31" s="92" t="e">
        <f ca="1">Anticipo_Financiero*Monto_Oferta</f>
        <v>#NAME?</v>
      </c>
      <c r="F31" s="92" t="e">
        <f t="shared" ref="F31:BA31" ca="1" si="23">Monto_Oferta*F28</f>
        <v>#NAME?</v>
      </c>
      <c r="G31" s="92" t="e">
        <f t="shared" ca="1" si="23"/>
        <v>#NAME?</v>
      </c>
      <c r="H31" s="92" t="e">
        <f t="shared" ca="1" si="23"/>
        <v>#NAME?</v>
      </c>
      <c r="I31" s="92" t="e">
        <f t="shared" ca="1" si="23"/>
        <v>#NAME?</v>
      </c>
      <c r="J31" s="92" t="e">
        <f t="shared" ca="1" si="23"/>
        <v>#NAME?</v>
      </c>
      <c r="K31" s="92" t="e">
        <f t="shared" ca="1" si="23"/>
        <v>#NAME?</v>
      </c>
      <c r="L31" s="92" t="e">
        <f t="shared" ca="1" si="23"/>
        <v>#NAME?</v>
      </c>
      <c r="M31" s="92" t="e">
        <f t="shared" ca="1" si="23"/>
        <v>#NAME?</v>
      </c>
      <c r="N31" s="92" t="e">
        <f t="shared" ca="1" si="23"/>
        <v>#NAME?</v>
      </c>
      <c r="O31" s="92" t="e">
        <f t="shared" ca="1" si="23"/>
        <v>#NAME?</v>
      </c>
      <c r="P31" s="92" t="e">
        <f t="shared" ca="1" si="23"/>
        <v>#NAME?</v>
      </c>
      <c r="Q31" s="92" t="e">
        <f t="shared" ca="1" si="23"/>
        <v>#NAME?</v>
      </c>
      <c r="R31" s="92" t="e">
        <f t="shared" ca="1" si="23"/>
        <v>#NAME?</v>
      </c>
      <c r="S31" s="92" t="e">
        <f t="shared" ca="1" si="23"/>
        <v>#NAME?</v>
      </c>
      <c r="T31" s="92" t="e">
        <f t="shared" ca="1" si="23"/>
        <v>#NAME?</v>
      </c>
      <c r="U31" s="92" t="e">
        <f t="shared" ca="1" si="23"/>
        <v>#NAME?</v>
      </c>
      <c r="V31" s="92" t="e">
        <f t="shared" ca="1" si="23"/>
        <v>#NAME?</v>
      </c>
      <c r="W31" s="92" t="e">
        <f t="shared" ca="1" si="23"/>
        <v>#NAME?</v>
      </c>
      <c r="X31" s="92" t="e">
        <f t="shared" ca="1" si="23"/>
        <v>#NAME?</v>
      </c>
      <c r="Y31" s="92" t="e">
        <f t="shared" ca="1" si="23"/>
        <v>#NAME?</v>
      </c>
      <c r="Z31" s="92" t="e">
        <f t="shared" ca="1" si="23"/>
        <v>#NAME?</v>
      </c>
      <c r="AA31" s="92" t="e">
        <f t="shared" ca="1" si="23"/>
        <v>#NAME?</v>
      </c>
      <c r="AB31" s="92" t="e">
        <f t="shared" ca="1" si="23"/>
        <v>#NAME?</v>
      </c>
      <c r="AC31" s="92" t="e">
        <f t="shared" ca="1" si="23"/>
        <v>#NAME?</v>
      </c>
      <c r="AD31" s="92" t="e">
        <f t="shared" ca="1" si="23"/>
        <v>#NAME?</v>
      </c>
      <c r="AE31" s="92" t="e">
        <f t="shared" ca="1" si="23"/>
        <v>#NAME?</v>
      </c>
      <c r="AF31" s="92" t="e">
        <f t="shared" ca="1" si="23"/>
        <v>#NAME?</v>
      </c>
      <c r="AG31" s="92" t="e">
        <f t="shared" ca="1" si="23"/>
        <v>#NAME?</v>
      </c>
      <c r="AH31" s="92" t="e">
        <f t="shared" ca="1" si="23"/>
        <v>#NAME?</v>
      </c>
      <c r="AI31" s="92" t="e">
        <f t="shared" ca="1" si="23"/>
        <v>#NAME?</v>
      </c>
      <c r="AJ31" s="92" t="e">
        <f t="shared" ca="1" si="23"/>
        <v>#NAME?</v>
      </c>
      <c r="AK31" s="92" t="e">
        <f t="shared" ca="1" si="23"/>
        <v>#NAME?</v>
      </c>
      <c r="AL31" s="92" t="e">
        <f t="shared" ca="1" si="23"/>
        <v>#NAME?</v>
      </c>
      <c r="AM31" s="92" t="e">
        <f t="shared" ca="1" si="23"/>
        <v>#NAME?</v>
      </c>
      <c r="AN31" s="92" t="e">
        <f t="shared" ca="1" si="23"/>
        <v>#NAME?</v>
      </c>
      <c r="AO31" s="92" t="e">
        <f t="shared" ca="1" si="23"/>
        <v>#NAME?</v>
      </c>
      <c r="AP31" s="92" t="e">
        <f t="shared" ca="1" si="23"/>
        <v>#NAME?</v>
      </c>
      <c r="AQ31" s="92" t="e">
        <f t="shared" ca="1" si="23"/>
        <v>#NAME?</v>
      </c>
      <c r="AR31" s="92" t="e">
        <f t="shared" ca="1" si="23"/>
        <v>#NAME?</v>
      </c>
      <c r="AS31" s="92" t="e">
        <f t="shared" ca="1" si="23"/>
        <v>#NAME?</v>
      </c>
      <c r="AT31" s="92" t="e">
        <f t="shared" ca="1" si="23"/>
        <v>#NAME?</v>
      </c>
      <c r="AU31" s="92" t="e">
        <f t="shared" ca="1" si="23"/>
        <v>#NAME?</v>
      </c>
      <c r="AV31" s="92" t="e">
        <f t="shared" ca="1" si="23"/>
        <v>#NAME?</v>
      </c>
      <c r="AW31" s="92" t="e">
        <f t="shared" ca="1" si="23"/>
        <v>#NAME?</v>
      </c>
      <c r="AX31" s="92" t="e">
        <f t="shared" ca="1" si="23"/>
        <v>#NAME?</v>
      </c>
      <c r="AY31" s="92" t="e">
        <f t="shared" ca="1" si="23"/>
        <v>#NAME?</v>
      </c>
      <c r="AZ31" s="92" t="e">
        <f t="shared" ca="1" si="23"/>
        <v>#NAME?</v>
      </c>
      <c r="BA31" s="92" t="e">
        <f t="shared" ca="1" si="23"/>
        <v>#NAME?</v>
      </c>
      <c r="BB31" s="11"/>
      <c r="BC31" s="77"/>
    </row>
    <row r="32" spans="1:124" ht="20.100000000000001" customHeight="1" x14ac:dyDescent="0.2">
      <c r="A32" s="86"/>
      <c r="B32" s="86"/>
      <c r="C32" s="86"/>
      <c r="D32" s="88" t="s">
        <v>903</v>
      </c>
      <c r="E32" s="92" t="e">
        <f ca="1">E31</f>
        <v>#NAME?</v>
      </c>
      <c r="F32" s="92" t="e">
        <f t="shared" ref="F32" ca="1" si="24">E32+F31*(1-Anticipo_Financiero)</f>
        <v>#NAME?</v>
      </c>
      <c r="G32" s="92" t="e">
        <f t="shared" ref="G32:AL32" ca="1" si="25">F32+G31</f>
        <v>#NAME?</v>
      </c>
      <c r="H32" s="92" t="e">
        <f t="shared" ca="1" si="25"/>
        <v>#NAME?</v>
      </c>
      <c r="I32" s="92" t="e">
        <f t="shared" ca="1" si="25"/>
        <v>#NAME?</v>
      </c>
      <c r="J32" s="92" t="e">
        <f t="shared" ca="1" si="25"/>
        <v>#NAME?</v>
      </c>
      <c r="K32" s="92" t="e">
        <f t="shared" ca="1" si="25"/>
        <v>#NAME?</v>
      </c>
      <c r="L32" s="92" t="e">
        <f t="shared" ca="1" si="25"/>
        <v>#NAME?</v>
      </c>
      <c r="M32" s="92" t="e">
        <f t="shared" ca="1" si="25"/>
        <v>#NAME?</v>
      </c>
      <c r="N32" s="92" t="e">
        <f t="shared" ca="1" si="25"/>
        <v>#NAME?</v>
      </c>
      <c r="O32" s="92" t="e">
        <f t="shared" ca="1" si="25"/>
        <v>#NAME?</v>
      </c>
      <c r="P32" s="92" t="e">
        <f t="shared" ca="1" si="25"/>
        <v>#NAME?</v>
      </c>
      <c r="Q32" s="92" t="e">
        <f t="shared" ca="1" si="25"/>
        <v>#NAME?</v>
      </c>
      <c r="R32" s="92" t="e">
        <f t="shared" ca="1" si="25"/>
        <v>#NAME?</v>
      </c>
      <c r="S32" s="92" t="e">
        <f t="shared" ca="1" si="25"/>
        <v>#NAME?</v>
      </c>
      <c r="T32" s="92" t="e">
        <f t="shared" ca="1" si="25"/>
        <v>#NAME?</v>
      </c>
      <c r="U32" s="92" t="e">
        <f t="shared" ca="1" si="25"/>
        <v>#NAME?</v>
      </c>
      <c r="V32" s="92" t="e">
        <f t="shared" ca="1" si="25"/>
        <v>#NAME?</v>
      </c>
      <c r="W32" s="92" t="e">
        <f t="shared" ca="1" si="25"/>
        <v>#NAME?</v>
      </c>
      <c r="X32" s="92" t="e">
        <f t="shared" ca="1" si="25"/>
        <v>#NAME?</v>
      </c>
      <c r="Y32" s="92" t="e">
        <f t="shared" ca="1" si="25"/>
        <v>#NAME?</v>
      </c>
      <c r="Z32" s="92" t="e">
        <f t="shared" ca="1" si="25"/>
        <v>#NAME?</v>
      </c>
      <c r="AA32" s="92" t="e">
        <f t="shared" ca="1" si="25"/>
        <v>#NAME?</v>
      </c>
      <c r="AB32" s="92" t="e">
        <f t="shared" ca="1" si="25"/>
        <v>#NAME?</v>
      </c>
      <c r="AC32" s="92" t="e">
        <f t="shared" ca="1" si="25"/>
        <v>#NAME?</v>
      </c>
      <c r="AD32" s="92" t="e">
        <f t="shared" ca="1" si="25"/>
        <v>#NAME?</v>
      </c>
      <c r="AE32" s="92" t="e">
        <f t="shared" ca="1" si="25"/>
        <v>#NAME?</v>
      </c>
      <c r="AF32" s="92" t="e">
        <f t="shared" ca="1" si="25"/>
        <v>#NAME?</v>
      </c>
      <c r="AG32" s="92" t="e">
        <f t="shared" ca="1" si="25"/>
        <v>#NAME?</v>
      </c>
      <c r="AH32" s="92" t="e">
        <f t="shared" ca="1" si="25"/>
        <v>#NAME?</v>
      </c>
      <c r="AI32" s="92" t="e">
        <f t="shared" ca="1" si="25"/>
        <v>#NAME?</v>
      </c>
      <c r="AJ32" s="92" t="e">
        <f t="shared" ca="1" si="25"/>
        <v>#NAME?</v>
      </c>
      <c r="AK32" s="92" t="e">
        <f t="shared" ca="1" si="25"/>
        <v>#NAME?</v>
      </c>
      <c r="AL32" s="92" t="e">
        <f t="shared" ca="1" si="25"/>
        <v>#NAME?</v>
      </c>
      <c r="AM32" s="92" t="e">
        <f t="shared" ref="AM32" ca="1" si="26">AL32+AM31</f>
        <v>#NAME?</v>
      </c>
      <c r="AN32" s="92" t="e">
        <f t="shared" ref="AN32" ca="1" si="27">AM32+AN31</f>
        <v>#NAME?</v>
      </c>
      <c r="AO32" s="92" t="e">
        <f t="shared" ref="AO32" ca="1" si="28">AN32+AO31</f>
        <v>#NAME?</v>
      </c>
      <c r="AP32" s="92" t="e">
        <f t="shared" ref="AP32" ca="1" si="29">AO32+AP31</f>
        <v>#NAME?</v>
      </c>
      <c r="AQ32" s="92" t="e">
        <f t="shared" ref="AQ32" ca="1" si="30">AP32+AQ31</f>
        <v>#NAME?</v>
      </c>
      <c r="AR32" s="92" t="e">
        <f t="shared" ref="AR32" ca="1" si="31">AQ32+AR31</f>
        <v>#NAME?</v>
      </c>
      <c r="AS32" s="92" t="e">
        <f t="shared" ref="AS32" ca="1" si="32">AR32+AS31</f>
        <v>#NAME?</v>
      </c>
      <c r="AT32" s="92" t="e">
        <f t="shared" ref="AT32" ca="1" si="33">AS32+AT31</f>
        <v>#NAME?</v>
      </c>
      <c r="AU32" s="92" t="e">
        <f t="shared" ref="AU32" ca="1" si="34">AT32+AU31</f>
        <v>#NAME?</v>
      </c>
      <c r="AV32" s="92" t="e">
        <f t="shared" ref="AV32" ca="1" si="35">AU32+AV31</f>
        <v>#NAME?</v>
      </c>
      <c r="AW32" s="92" t="e">
        <f t="shared" ref="AW32" ca="1" si="36">AV32+AW31</f>
        <v>#NAME?</v>
      </c>
      <c r="AX32" s="92" t="e">
        <f t="shared" ref="AX32" ca="1" si="37">AW32+AX31</f>
        <v>#NAME?</v>
      </c>
      <c r="AY32" s="92" t="e">
        <f t="shared" ref="AY32" ca="1" si="38">AX32+AY31</f>
        <v>#NAME?</v>
      </c>
      <c r="AZ32" s="92" t="e">
        <f t="shared" ref="AZ32" ca="1" si="39">AY32+AZ31</f>
        <v>#NAME?</v>
      </c>
      <c r="BA32" s="92" t="e">
        <f t="shared" ref="BA32" ca="1" si="40">AZ32+BA31</f>
        <v>#NAME?</v>
      </c>
      <c r="BB32" s="11"/>
    </row>
    <row r="33" spans="5:5" ht="20.100000000000001" customHeight="1" x14ac:dyDescent="0.2">
      <c r="E33" s="76">
        <v>0</v>
      </c>
    </row>
    <row r="34" spans="5:5" ht="20.100000000000001" customHeight="1" x14ac:dyDescent="0.2">
      <c r="E34" s="76">
        <v>0</v>
      </c>
    </row>
  </sheetData>
  <mergeCells count="6">
    <mergeCell ref="A8:D8"/>
    <mergeCell ref="F10:BA10"/>
    <mergeCell ref="BC10:BC11"/>
    <mergeCell ref="A10:A11"/>
    <mergeCell ref="B10:C11"/>
    <mergeCell ref="D10:D11"/>
  </mergeCells>
  <conditionalFormatting sqref="A13:B24 A25:A26">
    <cfRule type="expression" dxfId="68" priority="153" stopIfTrue="1">
      <formula>#REF!&gt;0</formula>
    </cfRule>
    <cfRule type="expression" dxfId="67" priority="154" stopIfTrue="1">
      <formula>#REF!&gt;0</formula>
    </cfRule>
    <cfRule type="expression" dxfId="66" priority="155" stopIfTrue="1">
      <formula>#REF!&gt;0</formula>
    </cfRule>
  </conditionalFormatting>
  <conditionalFormatting sqref="B25:C25 C13:C24">
    <cfRule type="expression" dxfId="65" priority="156" stopIfTrue="1">
      <formula>#REF!&gt;0</formula>
    </cfRule>
    <cfRule type="expression" dxfId="64" priority="157" stopIfTrue="1">
      <formula>#REF!&gt;0</formula>
    </cfRule>
    <cfRule type="expression" dxfId="63" priority="158" stopIfTrue="1">
      <formula>#REF!&gt;0</formula>
    </cfRule>
  </conditionalFormatting>
  <pageMargins left="0.78740157480314965" right="0.78740157480314965" top="1.3779527559055118" bottom="0.78740157480314965" header="0.78740157480314965" footer="0.39370078740157483"/>
  <pageSetup paperSize="9" scale="50" fitToWidth="0" fitToHeight="0" pageOrder="overThenDown" orientation="landscape" r:id="rId1"/>
  <headerFooter>
    <oddHeader>&amp;L&amp;G</oddHeader>
  </headerFooter>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pageSetUpPr fitToPage="1"/>
  </sheetPr>
  <dimension ref="C1:L3"/>
  <sheetViews>
    <sheetView showGridLines="0" zoomScale="90" zoomScaleNormal="90" zoomScaleSheetLayoutView="75" workbookViewId="0">
      <selection activeCell="R3" sqref="R3"/>
    </sheetView>
  </sheetViews>
  <sheetFormatPr baseColWidth="10" defaultColWidth="10.7109375" defaultRowHeight="15" x14ac:dyDescent="0.25"/>
  <cols>
    <col min="1" max="16384" width="10.7109375" style="1"/>
  </cols>
  <sheetData>
    <row r="1" spans="3:12" ht="23.25" x14ac:dyDescent="0.35">
      <c r="C1" s="750" t="str">
        <f>"OBRA: " &amp; UPPER(Obra)</f>
        <v>OBRA: PAVIMENTACION RUTAS VARIAS</v>
      </c>
      <c r="D1" s="750"/>
      <c r="E1" s="750"/>
      <c r="F1" s="750"/>
      <c r="G1" s="750"/>
      <c r="H1" s="750"/>
      <c r="I1" s="750"/>
      <c r="J1" s="750"/>
      <c r="K1" s="750"/>
      <c r="L1" s="750"/>
    </row>
    <row r="2" spans="3:12" ht="23.25" x14ac:dyDescent="0.35">
      <c r="C2" s="750" t="s">
        <v>968</v>
      </c>
      <c r="D2" s="750"/>
      <c r="E2" s="750"/>
      <c r="F2" s="750"/>
      <c r="G2" s="750"/>
      <c r="H2" s="750"/>
      <c r="I2" s="750"/>
      <c r="J2" s="750"/>
      <c r="K2" s="750"/>
      <c r="L2" s="750"/>
    </row>
    <row r="3" spans="3:12" ht="23.25" x14ac:dyDescent="0.35">
      <c r="C3" s="750" t="s">
        <v>969</v>
      </c>
      <c r="D3" s="750"/>
      <c r="E3" s="750"/>
      <c r="F3" s="750"/>
      <c r="G3" s="750"/>
      <c r="H3" s="750"/>
      <c r="I3" s="750"/>
      <c r="J3" s="750"/>
      <c r="K3" s="750"/>
      <c r="L3" s="750"/>
    </row>
  </sheetData>
  <mergeCells count="3">
    <mergeCell ref="C1:L1"/>
    <mergeCell ref="C2:L2"/>
    <mergeCell ref="C3:L3"/>
  </mergeCells>
  <pageMargins left="0.78740157480314965" right="0.78740157480314965" top="1.3779527559055118" bottom="0.78740157480314965" header="0.78740157480314965" footer="0.39370078740157483"/>
  <pageSetup paperSize="9" scale="76" orientation="landscape" r:id="rId1"/>
  <headerFooter>
    <oddHeader>&amp;L&amp;G</oddHeader>
  </headerFooter>
  <drawing r:id="rId2"/>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pageSetUpPr fitToPage="1"/>
  </sheetPr>
  <dimension ref="C1:J3"/>
  <sheetViews>
    <sheetView showGridLines="0" topLeftCell="C1" zoomScaleNormal="100" zoomScaleSheetLayoutView="75" workbookViewId="0">
      <selection activeCell="N11" sqref="N11"/>
    </sheetView>
  </sheetViews>
  <sheetFormatPr baseColWidth="10" defaultColWidth="11.42578125" defaultRowHeight="15" x14ac:dyDescent="0.25"/>
  <cols>
    <col min="1" max="2" width="11.42578125" style="1"/>
    <col min="3" max="10" width="13.28515625" style="1" bestFit="1" customWidth="1"/>
    <col min="11" max="11" width="23.28515625" style="1" customWidth="1"/>
    <col min="12" max="32" width="13.28515625" style="1" bestFit="1" customWidth="1"/>
    <col min="33" max="33" width="14.42578125" style="1" bestFit="1" customWidth="1"/>
    <col min="34" max="34" width="13.5703125" style="1" bestFit="1" customWidth="1"/>
    <col min="35" max="35" width="15.140625" style="1" customWidth="1"/>
    <col min="36" max="37" width="11.42578125" style="1"/>
    <col min="38" max="38" width="18.7109375" style="1" customWidth="1"/>
    <col min="39" max="42" width="11.42578125" style="1"/>
    <col min="43" max="43" width="14.42578125" style="1" bestFit="1" customWidth="1"/>
    <col min="44" max="16384" width="11.42578125" style="1"/>
  </cols>
  <sheetData>
    <row r="1" spans="3:10" ht="23.25" x14ac:dyDescent="0.35">
      <c r="C1" s="751" t="str">
        <f>"OBRA: " &amp; UPPER(Obra)</f>
        <v>OBRA: PAVIMENTACION RUTAS VARIAS</v>
      </c>
      <c r="D1" s="751"/>
      <c r="E1" s="751"/>
      <c r="F1" s="751"/>
      <c r="G1" s="751"/>
      <c r="H1" s="751"/>
      <c r="I1" s="751"/>
      <c r="J1" s="751"/>
    </row>
    <row r="2" spans="3:10" ht="23.25" x14ac:dyDescent="0.35">
      <c r="C2" s="750" t="s">
        <v>970</v>
      </c>
      <c r="D2" s="750"/>
      <c r="E2" s="750"/>
      <c r="F2" s="750"/>
      <c r="G2" s="750"/>
      <c r="H2" s="750"/>
      <c r="I2" s="750"/>
      <c r="J2" s="750"/>
    </row>
    <row r="3" spans="3:10" ht="23.25" x14ac:dyDescent="0.35">
      <c r="C3" s="750" t="s">
        <v>971</v>
      </c>
      <c r="D3" s="750"/>
      <c r="E3" s="750"/>
      <c r="F3" s="750"/>
      <c r="G3" s="750"/>
      <c r="H3" s="750"/>
      <c r="I3" s="750"/>
      <c r="J3" s="750"/>
    </row>
  </sheetData>
  <mergeCells count="3">
    <mergeCell ref="C1:J1"/>
    <mergeCell ref="C2:J2"/>
    <mergeCell ref="C3:J3"/>
  </mergeCells>
  <pageMargins left="0.78740157480314965" right="0.78740157480314965" top="1.3779527559055118" bottom="0.78740157480314965" header="0.78740157480314965" footer="0.39370078740157483"/>
  <pageSetup paperSize="9" scale="76" pageOrder="overThenDown" orientation="landscape" r:id="rId1"/>
  <headerFooter>
    <oddHeader>&amp;L&amp;G</oddHeader>
  </headerFooter>
  <drawing r:id="rId2"/>
  <legacyDrawingHF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17</vt:i4>
      </vt:variant>
      <vt:variant>
        <vt:lpstr>Rangos con nombre</vt:lpstr>
      </vt:variant>
      <vt:variant>
        <vt:i4>120</vt:i4>
      </vt:variant>
    </vt:vector>
  </HeadingPairs>
  <TitlesOfParts>
    <vt:vector size="137" baseType="lpstr">
      <vt:lpstr>Inst. Repartición</vt:lpstr>
      <vt:lpstr>Inst. Oferente</vt:lpstr>
      <vt:lpstr>Datos</vt:lpstr>
      <vt:lpstr>Propuesta</vt:lpstr>
      <vt:lpstr>CyP</vt:lpstr>
      <vt:lpstr>AP</vt:lpstr>
      <vt:lpstr>PTyCI</vt:lpstr>
      <vt:lpstr>Avance Obra</vt:lpstr>
      <vt:lpstr>Curva Inversiones</vt:lpstr>
      <vt:lpstr>Gastos Generales</vt:lpstr>
      <vt:lpstr>Insumos</vt:lpstr>
      <vt:lpstr>Coef-Equipos</vt:lpstr>
      <vt:lpstr>Transp. Camión Solo</vt:lpstr>
      <vt:lpstr>Transp. Camión con Acoplado</vt:lpstr>
      <vt:lpstr>Equipos</vt:lpstr>
      <vt:lpstr>Indices</vt:lpstr>
      <vt:lpstr>Items - Códigos</vt:lpstr>
      <vt:lpstr>'Transp. Camión con Acoplado'!A</vt:lpstr>
      <vt:lpstr>'Transp. Camión Solo'!A</vt:lpstr>
      <vt:lpstr>Anticipo_Financiero</vt:lpstr>
      <vt:lpstr>AP!Área_de_impresión</vt:lpstr>
      <vt:lpstr>CyP!Área_de_impresión</vt:lpstr>
      <vt:lpstr>Datos!Área_de_impresión</vt:lpstr>
      <vt:lpstr>Propuesta!Área_de_impresión</vt:lpstr>
      <vt:lpstr>PTyCI!Área_de_impresión</vt:lpstr>
      <vt:lpstr>'Transp. Camión con Acoplado'!B</vt:lpstr>
      <vt:lpstr>'Transp. Camión Solo'!B</vt:lpstr>
      <vt:lpstr>Beneficio</vt:lpstr>
      <vt:lpstr>'Transp. Camión con Acoplado'!C_</vt:lpstr>
      <vt:lpstr>'Transp. Camión Solo'!C_</vt:lpstr>
      <vt:lpstr>Camioneta_Amortización</vt:lpstr>
      <vt:lpstr>Camioneta_Cámara_Cubiertas</vt:lpstr>
      <vt:lpstr>Camioneta_Combustibles_Lubricantes</vt:lpstr>
      <vt:lpstr>Camioneta_Interés</vt:lpstr>
      <vt:lpstr>Camioneta_Patente</vt:lpstr>
      <vt:lpstr>Camioneta_Seguro</vt:lpstr>
      <vt:lpstr>'Coef-Equipos'!Cant_Cubiertas_Camioneta</vt:lpstr>
      <vt:lpstr>'Transp. Camión con Acoplado'!Cantidad_camaras_cubiertas</vt:lpstr>
      <vt:lpstr>'Transp. Camión Solo'!Cantidad_camaras_cubiertas</vt:lpstr>
      <vt:lpstr>'Transp. Camión con Acoplado'!Cantidad_lavado_al_mes</vt:lpstr>
      <vt:lpstr>'Transp. Camión Solo'!Cantidad_lavado_al_mes</vt:lpstr>
      <vt:lpstr>Caracter_F1</vt:lpstr>
      <vt:lpstr>Caracter_F2</vt:lpstr>
      <vt:lpstr>Coeficiente_Paso</vt:lpstr>
      <vt:lpstr>Comitente</vt:lpstr>
      <vt:lpstr>'Transp. Camión con Acoplado'!Consumo_gasoil_CamiónAcoplado_porkm</vt:lpstr>
      <vt:lpstr>'Coef-Equipos'!Consumo_gasoil_Camioneta_porkm</vt:lpstr>
      <vt:lpstr>'Transp. Camión Solo'!Consumo_gasoil_CamiónSolo_porkm</vt:lpstr>
      <vt:lpstr>'Coef-Equipos'!Consumo_gasoil_Equipo_porHP</vt:lpstr>
      <vt:lpstr>Contratista</vt:lpstr>
      <vt:lpstr>Contratista_Firma1</vt:lpstr>
      <vt:lpstr>Contratista_Firma2</vt:lpstr>
      <vt:lpstr>'Coef-Equipos'!Costo_de_cámaras_y_cubiertas_Camionetas</vt:lpstr>
      <vt:lpstr>'Transp. Camión con Acoplado'!Costo_gasoil</vt:lpstr>
      <vt:lpstr>'Transp. Camión Solo'!Costo_gasoil</vt:lpstr>
      <vt:lpstr>Costo_Obra</vt:lpstr>
      <vt:lpstr>'Transp. Camión con Acoplado'!D</vt:lpstr>
      <vt:lpstr>'Transp. Camión Solo'!D</vt:lpstr>
      <vt:lpstr>'Coef-Equipos'!DG_EP</vt:lpstr>
      <vt:lpstr>'Transp. Camión con Acoplado'!E</vt:lpstr>
      <vt:lpstr>'Transp. Camión Solo'!E</vt:lpstr>
      <vt:lpstr>Equipo_Amortización</vt:lpstr>
      <vt:lpstr>Equipo_Combustible</vt:lpstr>
      <vt:lpstr>Equipo_Interés</vt:lpstr>
      <vt:lpstr>Equipo_Lubricantes</vt:lpstr>
      <vt:lpstr>Equipo_Reparaciones_Repuestos</vt:lpstr>
      <vt:lpstr>Expediente_N°</vt:lpstr>
      <vt:lpstr>'Transp. Camión con Acoplado'!F_</vt:lpstr>
      <vt:lpstr>'Transp. Camión Solo'!F_</vt:lpstr>
      <vt:lpstr>Fecha_Base</vt:lpstr>
      <vt:lpstr>'Transp. Camión con Acoplado'!G</vt:lpstr>
      <vt:lpstr>'Transp. Camión Solo'!G</vt:lpstr>
      <vt:lpstr>GG_Empresa</vt:lpstr>
      <vt:lpstr>GG_Obra</vt:lpstr>
      <vt:lpstr>GG_Pesos</vt:lpstr>
      <vt:lpstr>GG_Porcentaje</vt:lpstr>
      <vt:lpstr>'Transp. Camión con Acoplado'!HorasAmortizaciónEquipoCamión</vt:lpstr>
      <vt:lpstr>'Transp. Camión Solo'!HorasAmortizaciónEquipoCamión</vt:lpstr>
      <vt:lpstr>Ingresos_Brutos</vt:lpstr>
      <vt:lpstr>'Coef-Equipos'!Interés_Anual</vt:lpstr>
      <vt:lpstr>IVA</vt:lpstr>
      <vt:lpstr>Licitación_N°</vt:lpstr>
      <vt:lpstr>'Transp. Camión con Acoplado'!Mano_Obra_Lavado</vt:lpstr>
      <vt:lpstr>'Transp. Camión Solo'!Mano_Obra_Lavado</vt:lpstr>
      <vt:lpstr>Monto_Oferta</vt:lpstr>
      <vt:lpstr>Obra</vt:lpstr>
      <vt:lpstr>'Coef-Equipos'!P_Camioneta_Amortizar</vt:lpstr>
      <vt:lpstr>P_Oficial</vt:lpstr>
      <vt:lpstr>Plazo_Obra</vt:lpstr>
      <vt:lpstr>'Coef-Equipos'!Porc_repuestos_reparaciones_de_amortización</vt:lpstr>
      <vt:lpstr>'Coef-Equipos'!Porcentaje_amortizaciónl_Equipo</vt:lpstr>
      <vt:lpstr>'Transp. Camión con Acoplado'!Porcentaje_Lubricantes</vt:lpstr>
      <vt:lpstr>'Transp. Camión Solo'!Porcentaje_Lubricantes</vt:lpstr>
      <vt:lpstr>'Coef-Equipos'!Porcentaje_Lubricantes_Camionetas</vt:lpstr>
      <vt:lpstr>'Coef-Equipos'!Porcentaje_lubricantes_respecto_al_combustible</vt:lpstr>
      <vt:lpstr>'Transp. Camión con Acoplado'!Porcentaje_Reparaciones_Repuestos</vt:lpstr>
      <vt:lpstr>'Transp. Camión Solo'!Porcentaje_Reparaciones_Repuestos</vt:lpstr>
      <vt:lpstr>'Transp. Camión con Acoplado'!PorcentajeEquipoAmortizarCamión</vt:lpstr>
      <vt:lpstr>'Transp. Camión Solo'!PorcentajeEquipoAmortizarCamión</vt:lpstr>
      <vt:lpstr>'Transp. Camión con Acoplado'!PorSegurosPatentesImpustoCamión</vt:lpstr>
      <vt:lpstr>'Transp. Camión Solo'!PorSegurosPatentesImpustoCamión</vt:lpstr>
      <vt:lpstr>'Coef-Equipos'!Precio_gasoil</vt:lpstr>
      <vt:lpstr>'Coef-Equipos'!Rec_Est_Mensual_Camioneta_km</vt:lpstr>
      <vt:lpstr>Sección_I</vt:lpstr>
      <vt:lpstr>Sección_II</vt:lpstr>
      <vt:lpstr>Sección_III</vt:lpstr>
      <vt:lpstr>'Transp. Camión con Acoplado'!Seguros_Patentes_Impuestos</vt:lpstr>
      <vt:lpstr>'Transp. Camión Solo'!Seguros_Patentes_Impuestos</vt:lpstr>
      <vt:lpstr>T_Coef_Camioneta</vt:lpstr>
      <vt:lpstr>T_Coef_Equipos</vt:lpstr>
      <vt:lpstr>T_Equipos</vt:lpstr>
      <vt:lpstr>Tabla_Analisis_Precio</vt:lpstr>
      <vt:lpstr>Tabla_CyP</vt:lpstr>
      <vt:lpstr>Tabla_Datos</vt:lpstr>
      <vt:lpstr>Tabla_Indices</vt:lpstr>
      <vt:lpstr>Tabla_Insumos</vt:lpstr>
      <vt:lpstr>Tabla_Items</vt:lpstr>
      <vt:lpstr>Tabla_NumeroItem</vt:lpstr>
      <vt:lpstr>'Transp. Camión con Acoplado'!Tiempo_lavado_en_horas</vt:lpstr>
      <vt:lpstr>'Transp. Camión Solo'!Tiempo_lavado_en_horas</vt:lpstr>
      <vt:lpstr>CyP!Títulos_a_imprimir</vt:lpstr>
      <vt:lpstr>Datos!Títulos_a_imprimir</vt:lpstr>
      <vt:lpstr>Indices!Títulos_a_imprimir</vt:lpstr>
      <vt:lpstr>Propuesta!Títulos_a_imprimir</vt:lpstr>
      <vt:lpstr>PTyCI!Títulos_a_imprimir</vt:lpstr>
      <vt:lpstr>Tramo</vt:lpstr>
      <vt:lpstr>Ubicación</vt:lpstr>
      <vt:lpstr>'Transp. Camión con Acoplado'!V_U_cámara_cubiertas_CamiónAcoplado</vt:lpstr>
      <vt:lpstr>'Coef-Equipos'!V_U_cámara_cubiertas_Camionetas</vt:lpstr>
      <vt:lpstr>'Coef-Equipos'!V_U_Camioneta_km</vt:lpstr>
      <vt:lpstr>'Coef-Equipos'!V_U_Camioneta_meses</vt:lpstr>
      <vt:lpstr>'Coef-Equipos'!V_U_Equipo</vt:lpstr>
      <vt:lpstr>'Transp. Camión Solo'!V_Ul_cámara_cubiertas_CamiónSolo</vt:lpstr>
      <vt:lpstr>'Transp. Camión con Acoplado'!Valor_cámara_cubiertas_CamiónAcoplado</vt:lpstr>
      <vt:lpstr>'Transp. Camión Solo'!Valor_cámara_cubiertas_CamiónSolo</vt:lpstr>
      <vt:lpstr>'Transp. Camión con Acoplado'!Valor_CamiónAcoplado</vt:lpstr>
      <vt:lpstr>'Transp. Camión Solo'!Valor_CamiónSolo</vt:lpstr>
    </vt:vector>
  </TitlesOfParts>
  <Company>Hewlett-Packard</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Secretaria Servicios</dc:creator>
  <cp:lastModifiedBy>Usuario</cp:lastModifiedBy>
  <cp:lastPrinted>2018-04-17T23:43:57Z</cp:lastPrinted>
  <dcterms:created xsi:type="dcterms:W3CDTF">2016-09-02T20:54:46Z</dcterms:created>
  <dcterms:modified xsi:type="dcterms:W3CDTF">2018-10-25T11:47:21Z</dcterms:modified>
</cp:coreProperties>
</file>