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codeName="{AE6600E7-7A62-396C-DE95-9942FA9DD81E}"/>
  <workbookPr codeName="ThisWorkbook" defaultThemeVersion="124226"/>
  <mc:AlternateContent xmlns:mc="http://schemas.openxmlformats.org/markup-compatibility/2006">
    <mc:Choice Requires="x15">
      <x15ac:absPath xmlns:x15ac="http://schemas.microsoft.com/office/spreadsheetml/2010/11/ac" url="C:\DH\Recrecimiento Canales Sarmiento, 9 de Julio y Chimbas\"/>
    </mc:Choice>
  </mc:AlternateContent>
  <xr:revisionPtr revIDLastSave="0" documentId="13_ncr:1_{BB46FAEA-EAB2-46DA-8E8D-C2F8B207D6A0}" xr6:coauthVersionLast="47" xr6:coauthVersionMax="47" xr10:uidLastSave="{00000000-0000-0000-0000-000000000000}"/>
  <bookViews>
    <workbookView xWindow="-120" yWindow="-120" windowWidth="29040" windowHeight="15840" tabRatio="963" activeTab="1" xr2:uid="{00000000-000D-0000-FFFF-FFFF00000000}"/>
  </bookViews>
  <sheets>
    <sheet name="Instrucciones" sheetId="25" r:id="rId1"/>
    <sheet name="Datos" sheetId="15" r:id="rId2"/>
    <sheet name="Propuesta" sheetId="18" r:id="rId3"/>
    <sheet name="CyP" sheetId="2" r:id="rId4"/>
    <sheet name="AP" sheetId="6" r:id="rId5"/>
    <sheet name="Equipos" sheetId="22" r:id="rId6"/>
    <sheet name="Insumos" sheetId="14" r:id="rId7"/>
    <sheet name="PTyCI" sheetId="9" r:id="rId8"/>
    <sheet name="Polinomica" sheetId="26" r:id="rId9"/>
    <sheet name="MED SIGOP" sheetId="27" r:id="rId10"/>
    <sheet name="MED OBRA" sheetId="28" r:id="rId11"/>
    <sheet name="Rendimiento Equipo" sheetId="23" r:id="rId12"/>
    <sheet name="Avance Obra" sheetId="4" r:id="rId13"/>
    <sheet name="Curva Inversiones" sheetId="5" r:id="rId14"/>
    <sheet name="Gastos Generales" sheetId="8"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CyP!$A$1:$A$65</definedName>
    <definedName name="_xlnm._FilterDatabase" localSheetId="1" hidden="1">Datos!#REF!</definedName>
    <definedName name="_xlnm._FilterDatabase" localSheetId="2" hidden="1">Propuesta!#REF!</definedName>
    <definedName name="_xlnm._FilterDatabase" localSheetId="7" hidden="1">PTyCI!$D$1:$D$57</definedName>
    <definedName name="A" localSheetId="17">'Transp. Camión con Acoplado'!$O$4</definedName>
    <definedName name="A" localSheetId="16">'Transp. Camión Solo'!$O$4</definedName>
    <definedName name="Anticipo_Financiero" localSheetId="8">[2]Datos!$C$7</definedName>
    <definedName name="Anticipo_Financiero">Datos!$C$12</definedName>
    <definedName name="_xlnm.Print_Area" localSheetId="4">AP!$A$1:$G$1857</definedName>
    <definedName name="_xlnm.Print_Area" localSheetId="3">CyP!$A$17:$I$65</definedName>
    <definedName name="_xlnm.Print_Area" localSheetId="1">Datos!$B$1:$J$56</definedName>
    <definedName name="_xlnm.Print_Area" localSheetId="10">'MED OBRA'!$A$1:$K$32</definedName>
    <definedName name="_xlnm.Print_Area" localSheetId="9">'MED SIGOP'!$A$1:$H$32</definedName>
    <definedName name="_xlnm.Print_Area" localSheetId="2">Propuesta!$A$1:$G$62</definedName>
    <definedName name="_xlnm.Print_Area" localSheetId="7">PTyCI!$A$13:$H$54</definedName>
    <definedName name="B" localSheetId="17">'Transp. Camión con Acoplado'!$O$7</definedName>
    <definedName name="B" localSheetId="16">'Transp. Camión Solo'!$O$7</definedName>
    <definedName name="Beneficio" localSheetId="8">[2]Datos!$C$15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8">[2]Datos!$C$13</definedName>
    <definedName name="Costo_Financiero">Datos!$C$23</definedName>
    <definedName name="Costo_gasoil" localSheetId="17">'Transp. Camión con Acoplado'!$E$19</definedName>
    <definedName name="Costo_gasoil" localSheetId="16">'Transp. Camión Solo'!$E$19</definedName>
    <definedName name="Costo_Obra">CyP!$F$52</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8">[3]Datos!$C$6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Generales'!$C$36</definedName>
    <definedName name="GG_Obra" localSheetId="8">'[3]Gastos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8">[2]Datos!$C$16</definedName>
    <definedName name="Ingresos_Brutos">Datos!$C$26</definedName>
    <definedName name="Interés_Anual" localSheetId="15">'Coef-Equipos'!$D$27</definedName>
    <definedName name="IVA" localSheetId="8">[3]Datos!$C$18</definedName>
    <definedName name="IVA">Datos!$C$27</definedName>
    <definedName name="IVA_Infraestructura">[2]Datos!$C$18</definedName>
    <definedName name="IVA_Vivienda">[2]Datos!$C$17</definedName>
    <definedName name="Licitación_N°" localSheetId="8">[3]Datos!$C$5</definedName>
    <definedName name="Licitación_N°">Datos!$C$9</definedName>
    <definedName name="Mano_Obra_Lavado" localSheetId="17">'Transp. Camión con Acoplado'!$E$22</definedName>
    <definedName name="Mano_Obra_Lavado" localSheetId="16">'Transp. Camión Solo'!$E$22</definedName>
    <definedName name="Monto_Oferta" localSheetId="8">[2]CyP!$H$58</definedName>
    <definedName name="Monto_Oferta">CyP!$H$52</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Camioneta_Amortizar" localSheetId="15">'Coef-Equipos'!$D$55</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7">PTyCI!$A:$D,PTyCI!$1:$12</definedName>
    <definedName name="Tramo">Datos!$C$4</definedName>
    <definedName name="Ubic">[2]Datos!$C$3</definedName>
    <definedName name="Ubicación" localSheetId="8">[2]Datos!$C$3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6" i="9" l="1"/>
  <c r="H27" i="9"/>
  <c r="H28" i="9"/>
  <c r="H29" i="9"/>
  <c r="H30" i="9"/>
  <c r="H31" i="9"/>
  <c r="H32" i="9"/>
  <c r="H33" i="9"/>
  <c r="H34" i="9"/>
  <c r="H35" i="9"/>
  <c r="H36" i="9"/>
  <c r="H37" i="9"/>
  <c r="H38" i="9"/>
  <c r="H39" i="9"/>
  <c r="H40" i="9"/>
  <c r="H41" i="9"/>
  <c r="H42" i="9"/>
  <c r="H43" i="9"/>
  <c r="H44" i="9"/>
  <c r="H45" i="9"/>
  <c r="H46" i="9"/>
  <c r="H47" i="9"/>
  <c r="F1853" i="6"/>
  <c r="G1853" i="6" s="1"/>
  <c r="D1853" i="6"/>
  <c r="B1853" i="6"/>
  <c r="A1853" i="6"/>
  <c r="F1852" i="6"/>
  <c r="G1852" i="6" s="1"/>
  <c r="D1852" i="6"/>
  <c r="B1852" i="6"/>
  <c r="A1852" i="6"/>
  <c r="F1847" i="6"/>
  <c r="G1847" i="6" s="1"/>
  <c r="D1847" i="6"/>
  <c r="B1847" i="6"/>
  <c r="A1847" i="6"/>
  <c r="G1846" i="6"/>
  <c r="F1846" i="6"/>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C1838" i="6"/>
  <c r="D1838" i="6" s="1"/>
  <c r="B1838" i="6"/>
  <c r="A1838" i="6"/>
  <c r="D1837" i="6"/>
  <c r="C1837" i="6"/>
  <c r="B1837" i="6" s="1"/>
  <c r="F1832" i="6"/>
  <c r="E1832" i="6"/>
  <c r="B1832" i="6"/>
  <c r="A1832" i="6"/>
  <c r="F1831" i="6"/>
  <c r="E1831" i="6"/>
  <c r="B1831" i="6"/>
  <c r="A1831" i="6"/>
  <c r="F1830" i="6"/>
  <c r="E1830" i="6"/>
  <c r="B1830" i="6"/>
  <c r="A1830" i="6"/>
  <c r="E1829" i="6"/>
  <c r="C1829" i="6"/>
  <c r="B1829" i="6"/>
  <c r="A1829" i="6"/>
  <c r="C1828" i="6"/>
  <c r="C1827" i="6"/>
  <c r="E1827" i="6" s="1"/>
  <c r="B1827" i="6"/>
  <c r="A1827" i="6"/>
  <c r="E1826" i="6"/>
  <c r="C1826" i="6"/>
  <c r="B1826" i="6" s="1"/>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E1816" i="6"/>
  <c r="D1816" i="6"/>
  <c r="C1816" i="6"/>
  <c r="B1816" i="6"/>
  <c r="A1816" i="6"/>
  <c r="D1815" i="6"/>
  <c r="E1815" i="6" s="1"/>
  <c r="C1815" i="6"/>
  <c r="B1815" i="6" s="1"/>
  <c r="C1814" i="6"/>
  <c r="B1814" i="6" s="1"/>
  <c r="C1813" i="6"/>
  <c r="B1813" i="6"/>
  <c r="A1813" i="6"/>
  <c r="F1804" i="6"/>
  <c r="G1804" i="6" s="1"/>
  <c r="E1804" i="6"/>
  <c r="G1803" i="6"/>
  <c r="F1803" i="6"/>
  <c r="E1803" i="6"/>
  <c r="F1802" i="6"/>
  <c r="G1802" i="6" s="1"/>
  <c r="E1802" i="6"/>
  <c r="F1801" i="6"/>
  <c r="G1801" i="6" s="1"/>
  <c r="E1801" i="6"/>
  <c r="C1800" i="6"/>
  <c r="F1800" i="6" s="1"/>
  <c r="G1800" i="6" s="1"/>
  <c r="E1799" i="6"/>
  <c r="C1799" i="6"/>
  <c r="F1799" i="6" s="1"/>
  <c r="G1799" i="6" s="1"/>
  <c r="C1798" i="6"/>
  <c r="F1798" i="6" s="1"/>
  <c r="G1798" i="6" s="1"/>
  <c r="E1797" i="6"/>
  <c r="C1797" i="6"/>
  <c r="F1797" i="6" s="1"/>
  <c r="G1797" i="6" s="1"/>
  <c r="C1796" i="6"/>
  <c r="F1796" i="6" s="1"/>
  <c r="G1796" i="6" s="1"/>
  <c r="E1795" i="6"/>
  <c r="C1795" i="6"/>
  <c r="F1795" i="6" s="1"/>
  <c r="G1795" i="6" s="1"/>
  <c r="B1788" i="6"/>
  <c r="G1787" i="6"/>
  <c r="B1787" i="6"/>
  <c r="B1786" i="6"/>
  <c r="B1785" i="6"/>
  <c r="F1779" i="6"/>
  <c r="G1779" i="6" s="1"/>
  <c r="D1779" i="6"/>
  <c r="B1779" i="6"/>
  <c r="A1779" i="6"/>
  <c r="F1778" i="6"/>
  <c r="G1778" i="6" s="1"/>
  <c r="D1778" i="6"/>
  <c r="B1778" i="6"/>
  <c r="A1778"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C1764" i="6"/>
  <c r="F1764" i="6" s="1"/>
  <c r="G1764" i="6" s="1"/>
  <c r="B1764" i="6"/>
  <c r="F1763" i="6"/>
  <c r="G1763" i="6" s="1"/>
  <c r="D1763" i="6"/>
  <c r="C1763" i="6"/>
  <c r="B1763" i="6"/>
  <c r="A1763" i="6"/>
  <c r="F1758" i="6"/>
  <c r="E1758" i="6"/>
  <c r="B1758" i="6"/>
  <c r="A1758" i="6"/>
  <c r="F1757" i="6"/>
  <c r="E1757" i="6"/>
  <c r="B1757" i="6"/>
  <c r="A1757" i="6"/>
  <c r="F1756" i="6"/>
  <c r="E1756" i="6"/>
  <c r="B1756" i="6"/>
  <c r="A1756" i="6"/>
  <c r="C1755" i="6"/>
  <c r="A1755" i="6" s="1"/>
  <c r="B1755" i="6"/>
  <c r="E1754" i="6"/>
  <c r="C1754" i="6"/>
  <c r="B1754" i="6"/>
  <c r="A1754" i="6"/>
  <c r="C1753" i="6"/>
  <c r="E1752" i="6"/>
  <c r="C1752" i="6"/>
  <c r="B1752" i="6"/>
  <c r="A1752" i="6"/>
  <c r="F1747" i="6"/>
  <c r="G1747" i="6" s="1"/>
  <c r="D1747" i="6"/>
  <c r="B1747" i="6"/>
  <c r="A1747" i="6"/>
  <c r="F1746" i="6"/>
  <c r="G1746" i="6" s="1"/>
  <c r="D1746" i="6"/>
  <c r="B1746" i="6"/>
  <c r="A1746" i="6"/>
  <c r="F1745" i="6"/>
  <c r="G1745" i="6" s="1"/>
  <c r="D1745" i="6"/>
  <c r="B1745" i="6"/>
  <c r="A1745" i="6"/>
  <c r="F1744" i="6"/>
  <c r="G1744" i="6" s="1"/>
  <c r="D1744" i="6"/>
  <c r="B1744" i="6"/>
  <c r="A1744" i="6"/>
  <c r="F1743" i="6"/>
  <c r="G1743" i="6" s="1"/>
  <c r="D1743" i="6"/>
  <c r="B1743" i="6"/>
  <c r="A1743" i="6"/>
  <c r="C1742" i="6"/>
  <c r="D1742" i="6" s="1"/>
  <c r="E1742" i="6" s="1"/>
  <c r="B1742" i="6"/>
  <c r="A1742" i="6"/>
  <c r="D1741" i="6"/>
  <c r="E1741" i="6" s="1"/>
  <c r="C1741" i="6"/>
  <c r="B1741" i="6"/>
  <c r="A1741" i="6"/>
  <c r="C1740" i="6"/>
  <c r="B1740" i="6" s="1"/>
  <c r="C1739" i="6"/>
  <c r="A1739" i="6" s="1"/>
  <c r="B1739" i="6"/>
  <c r="F1730" i="6"/>
  <c r="G1730" i="6" s="1"/>
  <c r="E1730" i="6"/>
  <c r="F1729" i="6"/>
  <c r="G1729" i="6" s="1"/>
  <c r="E1729" i="6"/>
  <c r="G1728" i="6"/>
  <c r="F1728" i="6"/>
  <c r="E1728" i="6"/>
  <c r="F1727" i="6"/>
  <c r="G1727" i="6" s="1"/>
  <c r="E1727" i="6"/>
  <c r="F1726" i="6"/>
  <c r="G1726" i="6" s="1"/>
  <c r="E1726" i="6"/>
  <c r="C1726" i="6"/>
  <c r="F1725" i="6"/>
  <c r="G1725" i="6" s="1"/>
  <c r="E1725" i="6"/>
  <c r="C1725" i="6"/>
  <c r="F1724" i="6"/>
  <c r="G1724" i="6" s="1"/>
  <c r="E1724" i="6"/>
  <c r="C1724" i="6"/>
  <c r="F1723" i="6"/>
  <c r="G1723" i="6" s="1"/>
  <c r="E1723" i="6"/>
  <c r="C1723" i="6"/>
  <c r="F1722" i="6"/>
  <c r="G1722" i="6" s="1"/>
  <c r="E1722" i="6"/>
  <c r="C1722" i="6"/>
  <c r="F1721" i="6"/>
  <c r="G1721" i="6" s="1"/>
  <c r="E1721" i="6"/>
  <c r="E1732" i="6" s="1"/>
  <c r="C1721" i="6"/>
  <c r="B1714" i="6"/>
  <c r="G1713" i="6"/>
  <c r="B1713" i="6"/>
  <c r="B1712" i="6"/>
  <c r="B1711" i="6"/>
  <c r="F1705" i="6"/>
  <c r="G1705" i="6" s="1"/>
  <c r="D1705" i="6"/>
  <c r="B1705" i="6"/>
  <c r="A1705" i="6"/>
  <c r="F1704" i="6"/>
  <c r="G1704" i="6" s="1"/>
  <c r="D1704" i="6"/>
  <c r="B1704" i="6"/>
  <c r="A1704" i="6"/>
  <c r="F1699" i="6"/>
  <c r="G1699" i="6" s="1"/>
  <c r="D1699" i="6"/>
  <c r="B1699" i="6"/>
  <c r="A1699" i="6"/>
  <c r="F1698" i="6"/>
  <c r="G1698" i="6" s="1"/>
  <c r="D1698" i="6"/>
  <c r="B1698" i="6"/>
  <c r="A1698" i="6"/>
  <c r="F1697" i="6"/>
  <c r="G1697" i="6" s="1"/>
  <c r="D1697" i="6"/>
  <c r="B1697" i="6"/>
  <c r="A1697"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C1690" i="6"/>
  <c r="B1690" i="6"/>
  <c r="A1690" i="6"/>
  <c r="D1689" i="6"/>
  <c r="C1689" i="6"/>
  <c r="B1689" i="6" s="1"/>
  <c r="F1684" i="6"/>
  <c r="E1684" i="6"/>
  <c r="B1684" i="6"/>
  <c r="A1684" i="6"/>
  <c r="F1683" i="6"/>
  <c r="E1683" i="6"/>
  <c r="B1683" i="6"/>
  <c r="A1683" i="6"/>
  <c r="F1682" i="6"/>
  <c r="E1682" i="6"/>
  <c r="B1682" i="6"/>
  <c r="A1682" i="6"/>
  <c r="E1681" i="6"/>
  <c r="C1681" i="6"/>
  <c r="B1681" i="6"/>
  <c r="A1681" i="6"/>
  <c r="C1680" i="6"/>
  <c r="E1679" i="6"/>
  <c r="C1679" i="6"/>
  <c r="B1679" i="6"/>
  <c r="A1679" i="6"/>
  <c r="C1678" i="6"/>
  <c r="B1678" i="6" s="1"/>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D1668" i="6"/>
  <c r="E1668" i="6" s="1"/>
  <c r="C1668" i="6"/>
  <c r="B1668" i="6" s="1"/>
  <c r="A1668" i="6"/>
  <c r="C1667" i="6"/>
  <c r="B1667" i="6" s="1"/>
  <c r="C1666" i="6"/>
  <c r="A1666" i="6" s="1"/>
  <c r="B1666" i="6"/>
  <c r="D1665" i="6"/>
  <c r="E1665" i="6" s="1"/>
  <c r="C1665" i="6"/>
  <c r="B1665" i="6"/>
  <c r="A1665" i="6"/>
  <c r="G1656" i="6"/>
  <c r="F1656" i="6"/>
  <c r="E1656" i="6"/>
  <c r="G1655" i="6"/>
  <c r="F1655" i="6"/>
  <c r="E1655" i="6"/>
  <c r="F1654" i="6"/>
  <c r="G1654" i="6" s="1"/>
  <c r="E1654" i="6"/>
  <c r="F1653" i="6"/>
  <c r="G1653" i="6" s="1"/>
  <c r="E1653" i="6"/>
  <c r="C1652" i="6"/>
  <c r="F1652" i="6" s="1"/>
  <c r="G1652" i="6" s="1"/>
  <c r="C1651" i="6"/>
  <c r="F1651" i="6" s="1"/>
  <c r="G1651" i="6" s="1"/>
  <c r="C1650" i="6"/>
  <c r="F1650" i="6" s="1"/>
  <c r="G1650" i="6" s="1"/>
  <c r="C1649" i="6"/>
  <c r="F1649" i="6" s="1"/>
  <c r="G1649" i="6" s="1"/>
  <c r="C1648" i="6"/>
  <c r="F1648" i="6" s="1"/>
  <c r="G1648" i="6" s="1"/>
  <c r="C1647" i="6"/>
  <c r="F1647" i="6" s="1"/>
  <c r="G1647" i="6" s="1"/>
  <c r="B1640" i="6"/>
  <c r="G1639" i="6"/>
  <c r="B1639" i="6"/>
  <c r="B1638" i="6"/>
  <c r="B1637" i="6"/>
  <c r="F1631" i="6"/>
  <c r="G1631" i="6" s="1"/>
  <c r="D1631" i="6"/>
  <c r="B1631" i="6"/>
  <c r="A1631" i="6"/>
  <c r="F1630" i="6"/>
  <c r="G1630" i="6" s="1"/>
  <c r="D1630" i="6"/>
  <c r="B1630" i="6"/>
  <c r="A1630"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C1616" i="6"/>
  <c r="D1616" i="6" s="1"/>
  <c r="B1616" i="6"/>
  <c r="D1615" i="6"/>
  <c r="C1615" i="6"/>
  <c r="B1615" i="6" s="1"/>
  <c r="F1610" i="6"/>
  <c r="E1610" i="6"/>
  <c r="G1610" i="6" s="1"/>
  <c r="B1610" i="6"/>
  <c r="A1610" i="6"/>
  <c r="F1609" i="6"/>
  <c r="E1609" i="6"/>
  <c r="B1609" i="6"/>
  <c r="A1609" i="6"/>
  <c r="F1608" i="6"/>
  <c r="E1608" i="6"/>
  <c r="G1608" i="6" s="1"/>
  <c r="B1608" i="6"/>
  <c r="A1608" i="6"/>
  <c r="E1607" i="6"/>
  <c r="C1607" i="6"/>
  <c r="B1607" i="6"/>
  <c r="A1607" i="6"/>
  <c r="E1606" i="6"/>
  <c r="C1606" i="6"/>
  <c r="B1606" i="6"/>
  <c r="A1606" i="6"/>
  <c r="C1605" i="6"/>
  <c r="E1604" i="6"/>
  <c r="C1604" i="6"/>
  <c r="B1604" i="6" s="1"/>
  <c r="A1604"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D1594" i="6"/>
  <c r="E1594" i="6" s="1"/>
  <c r="C1594" i="6"/>
  <c r="B1594" i="6"/>
  <c r="A1594" i="6"/>
  <c r="D1593" i="6"/>
  <c r="E1593" i="6" s="1"/>
  <c r="C1593" i="6"/>
  <c r="B1593" i="6" s="1"/>
  <c r="A1593" i="6"/>
  <c r="C1592" i="6"/>
  <c r="B1592" i="6" s="1"/>
  <c r="C1591" i="6"/>
  <c r="A1591" i="6" s="1"/>
  <c r="B1591" i="6"/>
  <c r="F1582" i="6"/>
  <c r="G1582" i="6" s="1"/>
  <c r="E1582" i="6"/>
  <c r="G1581" i="6"/>
  <c r="F1581" i="6"/>
  <c r="E1581" i="6"/>
  <c r="G1580" i="6"/>
  <c r="F1580" i="6"/>
  <c r="E1580" i="6"/>
  <c r="F1579" i="6"/>
  <c r="G1579" i="6" s="1"/>
  <c r="E1579" i="6"/>
  <c r="F1578" i="6"/>
  <c r="G1578" i="6" s="1"/>
  <c r="E1578" i="6"/>
  <c r="C1578" i="6"/>
  <c r="F1577" i="6"/>
  <c r="G1577" i="6" s="1"/>
  <c r="E1577" i="6"/>
  <c r="C1577" i="6"/>
  <c r="F1576" i="6"/>
  <c r="G1576" i="6" s="1"/>
  <c r="E1576" i="6"/>
  <c r="C1576" i="6"/>
  <c r="F1575" i="6"/>
  <c r="G1575" i="6" s="1"/>
  <c r="E1575" i="6"/>
  <c r="C1575" i="6"/>
  <c r="F1574" i="6"/>
  <c r="G1574" i="6" s="1"/>
  <c r="E1574" i="6"/>
  <c r="C1574" i="6"/>
  <c r="F1573" i="6"/>
  <c r="G1573" i="6" s="1"/>
  <c r="E1573" i="6"/>
  <c r="E1584" i="6" s="1"/>
  <c r="C1573" i="6"/>
  <c r="B1566" i="6"/>
  <c r="G1565" i="6"/>
  <c r="B1565" i="6"/>
  <c r="B1564" i="6"/>
  <c r="B1563" i="6"/>
  <c r="F1557" i="6"/>
  <c r="G1557" i="6" s="1"/>
  <c r="D1557" i="6"/>
  <c r="B1557" i="6"/>
  <c r="A1557" i="6"/>
  <c r="F1556" i="6"/>
  <c r="G1556" i="6" s="1"/>
  <c r="D1556" i="6"/>
  <c r="B1556" i="6"/>
  <c r="A1556" i="6"/>
  <c r="F1551" i="6"/>
  <c r="G1551" i="6" s="1"/>
  <c r="D1551" i="6"/>
  <c r="B1551" i="6"/>
  <c r="A1551" i="6"/>
  <c r="F1550" i="6"/>
  <c r="G1550" i="6" s="1"/>
  <c r="D1550" i="6"/>
  <c r="B1550" i="6"/>
  <c r="A1550" i="6"/>
  <c r="F1549" i="6"/>
  <c r="G1549" i="6" s="1"/>
  <c r="D1549" i="6"/>
  <c r="B1549" i="6"/>
  <c r="A1549" i="6"/>
  <c r="F1548" i="6"/>
  <c r="G1548" i="6" s="1"/>
  <c r="D1548" i="6"/>
  <c r="B1548" i="6"/>
  <c r="A1548" i="6"/>
  <c r="F1547" i="6"/>
  <c r="G1547" i="6" s="1"/>
  <c r="D1547" i="6"/>
  <c r="B1547" i="6"/>
  <c r="A1547"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C1542" i="6"/>
  <c r="D1542" i="6" s="1"/>
  <c r="B1542" i="6"/>
  <c r="F1541" i="6"/>
  <c r="G1541" i="6" s="1"/>
  <c r="D1541" i="6"/>
  <c r="C1541" i="6"/>
  <c r="B1541" i="6" s="1"/>
  <c r="F1536" i="6"/>
  <c r="E1536" i="6"/>
  <c r="B1536" i="6"/>
  <c r="A1536" i="6"/>
  <c r="F1535" i="6"/>
  <c r="E1535" i="6"/>
  <c r="B1535" i="6"/>
  <c r="A1535" i="6"/>
  <c r="F1534" i="6"/>
  <c r="E1534" i="6"/>
  <c r="B1534" i="6"/>
  <c r="A1534" i="6"/>
  <c r="C1533" i="6"/>
  <c r="A1533" i="6" s="1"/>
  <c r="B1533" i="6"/>
  <c r="E1532" i="6"/>
  <c r="C1532" i="6"/>
  <c r="B1532" i="6"/>
  <c r="A1532" i="6"/>
  <c r="C1531" i="6"/>
  <c r="E1530" i="6"/>
  <c r="C1530" i="6"/>
  <c r="B1530" i="6" s="1"/>
  <c r="A1530"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D1520" i="6"/>
  <c r="E1520" i="6" s="1"/>
  <c r="C1520" i="6"/>
  <c r="B1520" i="6"/>
  <c r="A1520" i="6"/>
  <c r="D1519" i="6"/>
  <c r="E1519" i="6" s="1"/>
  <c r="C1519" i="6"/>
  <c r="B1519" i="6" s="1"/>
  <c r="A1519" i="6"/>
  <c r="C1518" i="6"/>
  <c r="B1518" i="6" s="1"/>
  <c r="C1517" i="6"/>
  <c r="A1517" i="6" s="1"/>
  <c r="B1517" i="6"/>
  <c r="F1508" i="6"/>
  <c r="G1508" i="6" s="1"/>
  <c r="E1508" i="6"/>
  <c r="G1507" i="6"/>
  <c r="F1507" i="6"/>
  <c r="E1507" i="6"/>
  <c r="G1506" i="6"/>
  <c r="F1506" i="6"/>
  <c r="E1506" i="6"/>
  <c r="F1505" i="6"/>
  <c r="G1505" i="6" s="1"/>
  <c r="E1505" i="6"/>
  <c r="F1504" i="6"/>
  <c r="G1504" i="6" s="1"/>
  <c r="E1504" i="6"/>
  <c r="C1504" i="6"/>
  <c r="F1503" i="6"/>
  <c r="G1503" i="6" s="1"/>
  <c r="E1503" i="6"/>
  <c r="C1503" i="6"/>
  <c r="F1502" i="6"/>
  <c r="G1502" i="6" s="1"/>
  <c r="E1502" i="6"/>
  <c r="C1502" i="6"/>
  <c r="F1501" i="6"/>
  <c r="G1501" i="6" s="1"/>
  <c r="E1501" i="6"/>
  <c r="C1501" i="6"/>
  <c r="F1500" i="6"/>
  <c r="G1500" i="6" s="1"/>
  <c r="E1500" i="6"/>
  <c r="C1500" i="6"/>
  <c r="F1499" i="6"/>
  <c r="G1499" i="6" s="1"/>
  <c r="E1499" i="6"/>
  <c r="E1510" i="6" s="1"/>
  <c r="C1499" i="6"/>
  <c r="B1492" i="6"/>
  <c r="G1491" i="6"/>
  <c r="B1491" i="6"/>
  <c r="B1490" i="6"/>
  <c r="B1489" i="6"/>
  <c r="F1483" i="6"/>
  <c r="G1483" i="6" s="1"/>
  <c r="D1483" i="6"/>
  <c r="B1483" i="6"/>
  <c r="A1483" i="6"/>
  <c r="F1482" i="6"/>
  <c r="G1482" i="6" s="1"/>
  <c r="D1482" i="6"/>
  <c r="B1482" i="6"/>
  <c r="A1482" i="6"/>
  <c r="F1477" i="6"/>
  <c r="G1477" i="6" s="1"/>
  <c r="D1477" i="6"/>
  <c r="B1477" i="6"/>
  <c r="A1477" i="6"/>
  <c r="F1476" i="6"/>
  <c r="G1476" i="6" s="1"/>
  <c r="D1476" i="6"/>
  <c r="B1476" i="6"/>
  <c r="A1476"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C1468" i="6"/>
  <c r="D1468" i="6" s="1"/>
  <c r="B1468" i="6"/>
  <c r="D1467" i="6"/>
  <c r="C1467" i="6"/>
  <c r="B1467" i="6" s="1"/>
  <c r="F1462" i="6"/>
  <c r="E1462" i="6"/>
  <c r="B1462" i="6"/>
  <c r="A1462" i="6"/>
  <c r="F1461" i="6"/>
  <c r="E1461" i="6"/>
  <c r="B1461" i="6"/>
  <c r="A1461" i="6"/>
  <c r="F1460" i="6"/>
  <c r="E1460" i="6"/>
  <c r="B1460" i="6"/>
  <c r="A1460" i="6"/>
  <c r="E1459" i="6"/>
  <c r="C1459" i="6"/>
  <c r="B1459" i="6"/>
  <c r="A1459" i="6"/>
  <c r="E1458" i="6"/>
  <c r="C1458" i="6"/>
  <c r="B1458" i="6"/>
  <c r="A1458" i="6"/>
  <c r="C1457" i="6"/>
  <c r="E1456" i="6"/>
  <c r="C1456" i="6"/>
  <c r="B1456" i="6" s="1"/>
  <c r="A1456" i="6"/>
  <c r="F1451" i="6"/>
  <c r="G1451" i="6" s="1"/>
  <c r="D1451" i="6"/>
  <c r="B1451" i="6"/>
  <c r="A1451" i="6"/>
  <c r="F1450" i="6"/>
  <c r="G1450" i="6" s="1"/>
  <c r="D1450" i="6"/>
  <c r="B1450" i="6"/>
  <c r="A1450" i="6"/>
  <c r="F1449" i="6"/>
  <c r="G1449" i="6" s="1"/>
  <c r="D1449" i="6"/>
  <c r="B1449" i="6"/>
  <c r="A1449" i="6"/>
  <c r="F1448" i="6"/>
  <c r="G1448" i="6" s="1"/>
  <c r="D1448" i="6"/>
  <c r="B1448" i="6"/>
  <c r="A1448" i="6"/>
  <c r="F1447" i="6"/>
  <c r="G1447" i="6" s="1"/>
  <c r="D1447" i="6"/>
  <c r="B1447" i="6"/>
  <c r="A1447" i="6"/>
  <c r="D1446" i="6"/>
  <c r="E1446" i="6" s="1"/>
  <c r="C1446" i="6"/>
  <c r="B1446" i="6"/>
  <c r="A1446" i="6"/>
  <c r="D1445" i="6"/>
  <c r="E1445" i="6" s="1"/>
  <c r="C1445" i="6"/>
  <c r="B1445" i="6" s="1"/>
  <c r="A1445" i="6"/>
  <c r="C1444" i="6"/>
  <c r="B1444" i="6" s="1"/>
  <c r="C1443" i="6"/>
  <c r="A1443" i="6" s="1"/>
  <c r="B1443" i="6"/>
  <c r="F1434" i="6"/>
  <c r="G1434" i="6" s="1"/>
  <c r="E1434" i="6"/>
  <c r="G1433" i="6"/>
  <c r="F1433" i="6"/>
  <c r="E1433" i="6"/>
  <c r="G1432" i="6"/>
  <c r="F1432" i="6"/>
  <c r="E1432" i="6"/>
  <c r="F1431" i="6"/>
  <c r="G1431" i="6" s="1"/>
  <c r="E1431" i="6"/>
  <c r="F1430" i="6"/>
  <c r="G1430" i="6" s="1"/>
  <c r="E1430" i="6"/>
  <c r="C1430" i="6"/>
  <c r="F1429" i="6"/>
  <c r="G1429" i="6" s="1"/>
  <c r="E1429" i="6"/>
  <c r="C1429" i="6"/>
  <c r="F1428" i="6"/>
  <c r="G1428" i="6" s="1"/>
  <c r="E1428" i="6"/>
  <c r="C1428" i="6"/>
  <c r="F1427" i="6"/>
  <c r="G1427" i="6" s="1"/>
  <c r="E1427" i="6"/>
  <c r="C1427" i="6"/>
  <c r="F1426" i="6"/>
  <c r="G1426" i="6" s="1"/>
  <c r="E1426" i="6"/>
  <c r="C1426" i="6"/>
  <c r="F1425" i="6"/>
  <c r="G1425" i="6" s="1"/>
  <c r="E1425" i="6"/>
  <c r="E1436" i="6" s="1"/>
  <c r="C1425" i="6"/>
  <c r="B1418" i="6"/>
  <c r="G1417" i="6"/>
  <c r="B1417" i="6"/>
  <c r="B1416" i="6"/>
  <c r="B1415" i="6"/>
  <c r="F1409" i="6"/>
  <c r="G1409" i="6" s="1"/>
  <c r="D1409" i="6"/>
  <c r="B1409" i="6"/>
  <c r="A1409" i="6"/>
  <c r="F1408" i="6"/>
  <c r="G1408" i="6" s="1"/>
  <c r="D1408" i="6"/>
  <c r="B1408" i="6"/>
  <c r="A1408" i="6"/>
  <c r="F1403" i="6"/>
  <c r="G1403" i="6" s="1"/>
  <c r="D1403" i="6"/>
  <c r="B1403" i="6"/>
  <c r="A1403" i="6"/>
  <c r="F1402" i="6"/>
  <c r="G1402" i="6" s="1"/>
  <c r="D1402" i="6"/>
  <c r="B1402" i="6"/>
  <c r="A1402" i="6"/>
  <c r="F1401" i="6"/>
  <c r="G1401" i="6" s="1"/>
  <c r="D1401" i="6"/>
  <c r="B1401" i="6"/>
  <c r="A1401" i="6"/>
  <c r="F1400" i="6"/>
  <c r="G1400" i="6" s="1"/>
  <c r="D1400" i="6"/>
  <c r="B1400" i="6"/>
  <c r="A1400" i="6"/>
  <c r="F1399" i="6"/>
  <c r="G1399" i="6" s="1"/>
  <c r="D1399" i="6"/>
  <c r="B1399" i="6"/>
  <c r="A1399" i="6"/>
  <c r="F1398" i="6"/>
  <c r="G1398" i="6" s="1"/>
  <c r="D1398" i="6"/>
  <c r="B1398" i="6"/>
  <c r="A1398" i="6"/>
  <c r="F1397" i="6"/>
  <c r="G1397" i="6" s="1"/>
  <c r="D1397" i="6"/>
  <c r="B1397" i="6"/>
  <c r="A1397" i="6"/>
  <c r="F1396" i="6"/>
  <c r="G1396" i="6" s="1"/>
  <c r="D1396" i="6"/>
  <c r="B1396" i="6"/>
  <c r="A1396" i="6"/>
  <c r="F1395" i="6"/>
  <c r="G1395" i="6" s="1"/>
  <c r="D1395" i="6"/>
  <c r="B1395" i="6"/>
  <c r="A1395" i="6"/>
  <c r="F1394" i="6"/>
  <c r="G1394" i="6" s="1"/>
  <c r="C1394" i="6"/>
  <c r="D1394" i="6" s="1"/>
  <c r="B1394" i="6"/>
  <c r="F1393" i="6"/>
  <c r="G1393" i="6" s="1"/>
  <c r="G1404" i="6" s="1"/>
  <c r="D1393" i="6"/>
  <c r="C1393" i="6"/>
  <c r="B1393" i="6" s="1"/>
  <c r="F1388" i="6"/>
  <c r="E1388" i="6"/>
  <c r="G1388" i="6" s="1"/>
  <c r="B1388" i="6"/>
  <c r="A1388" i="6"/>
  <c r="F1387" i="6"/>
  <c r="E1387" i="6"/>
  <c r="B1387" i="6"/>
  <c r="A1387" i="6"/>
  <c r="F1386" i="6"/>
  <c r="E1386" i="6"/>
  <c r="B1386" i="6"/>
  <c r="A1386" i="6"/>
  <c r="E1385" i="6"/>
  <c r="C1385" i="6"/>
  <c r="A1385" i="6" s="1"/>
  <c r="B1385" i="6"/>
  <c r="E1384" i="6"/>
  <c r="C1384" i="6"/>
  <c r="B1384" i="6"/>
  <c r="A1384" i="6"/>
  <c r="C1383" i="6"/>
  <c r="E1382" i="6"/>
  <c r="C1382" i="6"/>
  <c r="B1382" i="6" s="1"/>
  <c r="A1382" i="6"/>
  <c r="F1377" i="6"/>
  <c r="G1377" i="6" s="1"/>
  <c r="D1377" i="6"/>
  <c r="B1377" i="6"/>
  <c r="A1377" i="6"/>
  <c r="F1376" i="6"/>
  <c r="G1376" i="6" s="1"/>
  <c r="D1376" i="6"/>
  <c r="B1376" i="6"/>
  <c r="A1376" i="6"/>
  <c r="F1375" i="6"/>
  <c r="G1375" i="6" s="1"/>
  <c r="D1375" i="6"/>
  <c r="B1375" i="6"/>
  <c r="A1375" i="6"/>
  <c r="F1374" i="6"/>
  <c r="G1374" i="6" s="1"/>
  <c r="D1374" i="6"/>
  <c r="B1374" i="6"/>
  <c r="A1374" i="6"/>
  <c r="F1373" i="6"/>
  <c r="G1373" i="6" s="1"/>
  <c r="D1373" i="6"/>
  <c r="B1373" i="6"/>
  <c r="A1373" i="6"/>
  <c r="D1372" i="6"/>
  <c r="E1372" i="6" s="1"/>
  <c r="C1372" i="6"/>
  <c r="B1372" i="6"/>
  <c r="A1372" i="6"/>
  <c r="D1371" i="6"/>
  <c r="E1371" i="6" s="1"/>
  <c r="C1371" i="6"/>
  <c r="B1371" i="6" s="1"/>
  <c r="A1371" i="6"/>
  <c r="C1370" i="6"/>
  <c r="B1370" i="6" s="1"/>
  <c r="C1369" i="6"/>
  <c r="A1369" i="6" s="1"/>
  <c r="B1369" i="6"/>
  <c r="F1360" i="6"/>
  <c r="G1360" i="6" s="1"/>
  <c r="E1360" i="6"/>
  <c r="G1359" i="6"/>
  <c r="F1359" i="6"/>
  <c r="E1359" i="6"/>
  <c r="G1358" i="6"/>
  <c r="F1358" i="6"/>
  <c r="E1358" i="6"/>
  <c r="F1357" i="6"/>
  <c r="G1357" i="6" s="1"/>
  <c r="E1357" i="6"/>
  <c r="F1356" i="6"/>
  <c r="G1356" i="6" s="1"/>
  <c r="E1356" i="6"/>
  <c r="C1356" i="6"/>
  <c r="F1355" i="6"/>
  <c r="G1355" i="6" s="1"/>
  <c r="E1355" i="6"/>
  <c r="C1355" i="6"/>
  <c r="F1354" i="6"/>
  <c r="G1354" i="6" s="1"/>
  <c r="E1354" i="6"/>
  <c r="C1354" i="6"/>
  <c r="F1353" i="6"/>
  <c r="G1353" i="6" s="1"/>
  <c r="E1353" i="6"/>
  <c r="C1353" i="6"/>
  <c r="F1352" i="6"/>
  <c r="G1352" i="6" s="1"/>
  <c r="E1352" i="6"/>
  <c r="C1352" i="6"/>
  <c r="F1351" i="6"/>
  <c r="G1351" i="6" s="1"/>
  <c r="E1351" i="6"/>
  <c r="E1362" i="6" s="1"/>
  <c r="C1351" i="6"/>
  <c r="B1344" i="6"/>
  <c r="G1343" i="6"/>
  <c r="B1343" i="6"/>
  <c r="B1342" i="6"/>
  <c r="B1341" i="6"/>
  <c r="F1335" i="6"/>
  <c r="G1335" i="6" s="1"/>
  <c r="D1335" i="6"/>
  <c r="B1335" i="6"/>
  <c r="A1335" i="6"/>
  <c r="F1334" i="6"/>
  <c r="G1334" i="6" s="1"/>
  <c r="D1334" i="6"/>
  <c r="B1334" i="6"/>
  <c r="A1334" i="6"/>
  <c r="F1329" i="6"/>
  <c r="G1329" i="6" s="1"/>
  <c r="D1329" i="6"/>
  <c r="B1329" i="6"/>
  <c r="A1329" i="6"/>
  <c r="F1328" i="6"/>
  <c r="G1328" i="6" s="1"/>
  <c r="D1328" i="6"/>
  <c r="B1328" i="6"/>
  <c r="A1328" i="6"/>
  <c r="F1327" i="6"/>
  <c r="G1327" i="6" s="1"/>
  <c r="D1327" i="6"/>
  <c r="B1327" i="6"/>
  <c r="A1327" i="6"/>
  <c r="F1326" i="6"/>
  <c r="G1326" i="6" s="1"/>
  <c r="D1326" i="6"/>
  <c r="B1326" i="6"/>
  <c r="A1326"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C1320" i="6"/>
  <c r="A1320" i="6" s="1"/>
  <c r="B1320" i="6"/>
  <c r="D1319" i="6"/>
  <c r="C1319" i="6"/>
  <c r="A1319" i="6" s="1"/>
  <c r="B1319" i="6"/>
  <c r="F1314" i="6"/>
  <c r="E1314" i="6"/>
  <c r="B1314" i="6"/>
  <c r="A1314" i="6"/>
  <c r="F1313" i="6"/>
  <c r="E1313" i="6"/>
  <c r="B1313" i="6"/>
  <c r="A1313" i="6"/>
  <c r="F1312" i="6"/>
  <c r="E1312" i="6"/>
  <c r="B1312" i="6"/>
  <c r="A1312" i="6"/>
  <c r="E1311" i="6"/>
  <c r="C1311" i="6"/>
  <c r="B1311" i="6"/>
  <c r="A1311" i="6"/>
  <c r="E1310" i="6"/>
  <c r="C1310" i="6"/>
  <c r="B1310" i="6"/>
  <c r="A1310" i="6"/>
  <c r="C1309" i="6"/>
  <c r="E1308" i="6"/>
  <c r="C1308" i="6"/>
  <c r="B1308" i="6"/>
  <c r="A1308" i="6"/>
  <c r="F1303" i="6"/>
  <c r="G1303" i="6" s="1"/>
  <c r="D1303" i="6"/>
  <c r="B1303" i="6"/>
  <c r="A1303" i="6"/>
  <c r="F1302" i="6"/>
  <c r="G1302" i="6" s="1"/>
  <c r="D1302" i="6"/>
  <c r="B1302" i="6"/>
  <c r="A1302" i="6"/>
  <c r="F1301" i="6"/>
  <c r="G1301" i="6" s="1"/>
  <c r="D1301" i="6"/>
  <c r="B1301" i="6"/>
  <c r="A1301" i="6"/>
  <c r="F1300" i="6"/>
  <c r="G1300" i="6" s="1"/>
  <c r="D1300" i="6"/>
  <c r="B1300" i="6"/>
  <c r="A1300" i="6"/>
  <c r="F1299" i="6"/>
  <c r="G1299" i="6" s="1"/>
  <c r="D1299" i="6"/>
  <c r="B1299" i="6"/>
  <c r="A1299" i="6"/>
  <c r="C1298" i="6"/>
  <c r="D1298" i="6" s="1"/>
  <c r="E1298" i="6" s="1"/>
  <c r="B1298" i="6"/>
  <c r="D1297" i="6"/>
  <c r="E1297" i="6" s="1"/>
  <c r="C1297" i="6"/>
  <c r="B1297" i="6"/>
  <c r="A1297" i="6"/>
  <c r="C1296" i="6"/>
  <c r="B1296" i="6" s="1"/>
  <c r="A1296" i="6"/>
  <c r="D1295" i="6"/>
  <c r="E1295" i="6" s="1"/>
  <c r="C1295" i="6"/>
  <c r="B1295" i="6"/>
  <c r="A1295" i="6"/>
  <c r="G1286" i="6"/>
  <c r="F1286" i="6"/>
  <c r="E1286" i="6"/>
  <c r="F1285" i="6"/>
  <c r="G1285" i="6" s="1"/>
  <c r="E1285" i="6"/>
  <c r="G1284" i="6"/>
  <c r="F1284" i="6"/>
  <c r="E1284" i="6"/>
  <c r="F1283" i="6"/>
  <c r="G1283" i="6" s="1"/>
  <c r="E1283" i="6"/>
  <c r="F1282" i="6"/>
  <c r="G1282" i="6" s="1"/>
  <c r="E1282" i="6"/>
  <c r="C1282" i="6"/>
  <c r="E1281" i="6"/>
  <c r="C1281" i="6"/>
  <c r="F1281" i="6" s="1"/>
  <c r="G1281" i="6" s="1"/>
  <c r="F1280" i="6"/>
  <c r="G1280" i="6" s="1"/>
  <c r="E1280" i="6"/>
  <c r="C1280" i="6"/>
  <c r="E1279" i="6"/>
  <c r="C1279" i="6"/>
  <c r="F1279" i="6" s="1"/>
  <c r="G1279" i="6" s="1"/>
  <c r="F1278" i="6"/>
  <c r="G1278" i="6" s="1"/>
  <c r="E1278" i="6"/>
  <c r="C1278" i="6"/>
  <c r="E1277" i="6"/>
  <c r="E1288" i="6" s="1"/>
  <c r="C1277" i="6"/>
  <c r="F1277" i="6" s="1"/>
  <c r="G1277" i="6" s="1"/>
  <c r="B1270" i="6"/>
  <c r="G1269" i="6"/>
  <c r="B1269" i="6"/>
  <c r="B1268" i="6"/>
  <c r="B1267" i="6"/>
  <c r="F1261" i="6"/>
  <c r="G1261" i="6" s="1"/>
  <c r="D1261" i="6"/>
  <c r="B1261" i="6"/>
  <c r="A1261" i="6"/>
  <c r="F1260" i="6"/>
  <c r="G1260" i="6" s="1"/>
  <c r="D1260" i="6"/>
  <c r="B1260" i="6"/>
  <c r="A1260" i="6"/>
  <c r="F1255" i="6"/>
  <c r="G1255" i="6" s="1"/>
  <c r="D1255" i="6"/>
  <c r="B1255" i="6"/>
  <c r="A1255" i="6"/>
  <c r="F1254" i="6"/>
  <c r="G1254" i="6" s="1"/>
  <c r="D1254" i="6"/>
  <c r="B1254" i="6"/>
  <c r="A1254" i="6"/>
  <c r="F1253" i="6"/>
  <c r="G1253" i="6" s="1"/>
  <c r="D1253" i="6"/>
  <c r="B1253" i="6"/>
  <c r="A1253" i="6"/>
  <c r="F1252" i="6"/>
  <c r="G1252" i="6" s="1"/>
  <c r="D1252" i="6"/>
  <c r="B1252" i="6"/>
  <c r="A1252" i="6"/>
  <c r="F1251" i="6"/>
  <c r="G1251" i="6" s="1"/>
  <c r="D1251" i="6"/>
  <c r="B1251" i="6"/>
  <c r="A1251" i="6"/>
  <c r="F1250" i="6"/>
  <c r="G1250" i="6" s="1"/>
  <c r="D1250" i="6"/>
  <c r="B1250" i="6"/>
  <c r="A1250" i="6"/>
  <c r="F1249" i="6"/>
  <c r="G1249" i="6" s="1"/>
  <c r="D1249" i="6"/>
  <c r="B1249" i="6"/>
  <c r="A1249" i="6"/>
  <c r="F1248" i="6"/>
  <c r="G1248" i="6" s="1"/>
  <c r="D1248" i="6"/>
  <c r="B1248" i="6"/>
  <c r="A1248" i="6"/>
  <c r="F1247" i="6"/>
  <c r="G1247" i="6" s="1"/>
  <c r="D1247" i="6"/>
  <c r="B1247" i="6"/>
  <c r="A1247" i="6"/>
  <c r="C1246" i="6"/>
  <c r="F1246" i="6" s="1"/>
  <c r="G1246" i="6" s="1"/>
  <c r="F1245" i="6"/>
  <c r="G1245" i="6" s="1"/>
  <c r="D1245" i="6"/>
  <c r="C1245" i="6"/>
  <c r="B1245" i="6"/>
  <c r="A1245" i="6"/>
  <c r="F1240" i="6"/>
  <c r="E1240" i="6"/>
  <c r="B1240" i="6"/>
  <c r="A1240" i="6"/>
  <c r="F1239" i="6"/>
  <c r="E1239" i="6"/>
  <c r="B1239" i="6"/>
  <c r="A1239" i="6"/>
  <c r="F1238" i="6"/>
  <c r="E1238" i="6"/>
  <c r="B1238" i="6"/>
  <c r="A1238" i="6"/>
  <c r="C1237" i="6"/>
  <c r="A1237" i="6" s="1"/>
  <c r="B1237" i="6"/>
  <c r="C1236" i="6"/>
  <c r="E1236" i="6" s="1"/>
  <c r="A1236" i="6"/>
  <c r="C1235" i="6"/>
  <c r="E1234" i="6"/>
  <c r="C1234" i="6"/>
  <c r="B1234" i="6"/>
  <c r="A1234" i="6"/>
  <c r="F1229" i="6"/>
  <c r="G1229" i="6" s="1"/>
  <c r="D1229" i="6"/>
  <c r="B1229" i="6"/>
  <c r="A1229" i="6"/>
  <c r="F1228" i="6"/>
  <c r="G1228" i="6" s="1"/>
  <c r="D1228" i="6"/>
  <c r="B1228" i="6"/>
  <c r="A1228" i="6"/>
  <c r="F1227" i="6"/>
  <c r="G1227" i="6" s="1"/>
  <c r="D1227" i="6"/>
  <c r="B1227" i="6"/>
  <c r="A1227" i="6"/>
  <c r="F1226" i="6"/>
  <c r="G1226" i="6" s="1"/>
  <c r="D1226" i="6"/>
  <c r="B1226" i="6"/>
  <c r="A1226" i="6"/>
  <c r="F1225" i="6"/>
  <c r="G1225" i="6" s="1"/>
  <c r="D1225" i="6"/>
  <c r="B1225" i="6"/>
  <c r="A1225" i="6"/>
  <c r="C1224" i="6"/>
  <c r="D1224" i="6" s="1"/>
  <c r="E1224" i="6" s="1"/>
  <c r="B1224" i="6"/>
  <c r="D1223" i="6"/>
  <c r="E1223" i="6" s="1"/>
  <c r="C1223" i="6"/>
  <c r="B1223" i="6"/>
  <c r="A1223" i="6"/>
  <c r="C1222" i="6"/>
  <c r="B1222" i="6" s="1"/>
  <c r="C1221" i="6"/>
  <c r="A1221" i="6" s="1"/>
  <c r="B1221" i="6"/>
  <c r="F1212" i="6"/>
  <c r="G1212" i="6" s="1"/>
  <c r="E1212" i="6"/>
  <c r="F1211" i="6"/>
  <c r="G1211" i="6" s="1"/>
  <c r="E1211" i="6"/>
  <c r="F1210" i="6"/>
  <c r="G1210" i="6" s="1"/>
  <c r="E1210" i="6"/>
  <c r="F1209" i="6"/>
  <c r="G1209" i="6" s="1"/>
  <c r="E1209" i="6"/>
  <c r="F1208" i="6"/>
  <c r="G1208" i="6" s="1"/>
  <c r="C1208" i="6"/>
  <c r="E1208" i="6" s="1"/>
  <c r="F1207" i="6"/>
  <c r="G1207" i="6" s="1"/>
  <c r="E1207" i="6"/>
  <c r="C1207" i="6"/>
  <c r="F1206" i="6"/>
  <c r="G1206" i="6" s="1"/>
  <c r="C1206" i="6"/>
  <c r="E1206" i="6" s="1"/>
  <c r="F1205" i="6"/>
  <c r="G1205" i="6" s="1"/>
  <c r="E1205" i="6"/>
  <c r="C1205" i="6"/>
  <c r="F1204" i="6"/>
  <c r="G1204" i="6" s="1"/>
  <c r="C1204" i="6"/>
  <c r="E1204" i="6" s="1"/>
  <c r="F1203" i="6"/>
  <c r="G1203" i="6" s="1"/>
  <c r="G1214" i="6" s="1"/>
  <c r="E1203" i="6"/>
  <c r="C1203" i="6"/>
  <c r="B1196" i="6"/>
  <c r="G1195" i="6"/>
  <c r="B1195" i="6"/>
  <c r="B1194" i="6"/>
  <c r="B1193" i="6"/>
  <c r="F1187" i="6"/>
  <c r="G1187" i="6" s="1"/>
  <c r="D1187" i="6"/>
  <c r="B1187" i="6"/>
  <c r="A1187" i="6"/>
  <c r="F1186" i="6"/>
  <c r="G1186" i="6" s="1"/>
  <c r="D1186" i="6"/>
  <c r="B1186" i="6"/>
  <c r="A1186" i="6"/>
  <c r="F1181" i="6"/>
  <c r="G1181" i="6" s="1"/>
  <c r="D1181" i="6"/>
  <c r="B1181" i="6"/>
  <c r="A1181"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C1172" i="6"/>
  <c r="D1172" i="6" s="1"/>
  <c r="B1172" i="6"/>
  <c r="F1171" i="6"/>
  <c r="G1171" i="6" s="1"/>
  <c r="D1171" i="6"/>
  <c r="C1171" i="6"/>
  <c r="B1171" i="6" s="1"/>
  <c r="F1166" i="6"/>
  <c r="E1166" i="6"/>
  <c r="B1166" i="6"/>
  <c r="A1166" i="6"/>
  <c r="F1165" i="6"/>
  <c r="E1165" i="6"/>
  <c r="B1165" i="6"/>
  <c r="A1165" i="6"/>
  <c r="F1164" i="6"/>
  <c r="E1164" i="6"/>
  <c r="B1164" i="6"/>
  <c r="A1164" i="6"/>
  <c r="C1163" i="6"/>
  <c r="A1163" i="6" s="1"/>
  <c r="B1163" i="6"/>
  <c r="E1162" i="6"/>
  <c r="C1162" i="6"/>
  <c r="B1162" i="6"/>
  <c r="A1162" i="6"/>
  <c r="C1161" i="6"/>
  <c r="E1160" i="6"/>
  <c r="C1160" i="6"/>
  <c r="B1160" i="6" s="1"/>
  <c r="A1160" i="6"/>
  <c r="F1155" i="6"/>
  <c r="G1155" i="6" s="1"/>
  <c r="D1155" i="6"/>
  <c r="B1155" i="6"/>
  <c r="A1155" i="6"/>
  <c r="F1154" i="6"/>
  <c r="G1154" i="6" s="1"/>
  <c r="D1154" i="6"/>
  <c r="B1154" i="6"/>
  <c r="A1154" i="6"/>
  <c r="F1153" i="6"/>
  <c r="G1153" i="6" s="1"/>
  <c r="D1153" i="6"/>
  <c r="B1153" i="6"/>
  <c r="A1153" i="6"/>
  <c r="F1152" i="6"/>
  <c r="G1152" i="6" s="1"/>
  <c r="D1152" i="6"/>
  <c r="B1152" i="6"/>
  <c r="A1152" i="6"/>
  <c r="F1151" i="6"/>
  <c r="G1151" i="6" s="1"/>
  <c r="D1151" i="6"/>
  <c r="B1151" i="6"/>
  <c r="A1151" i="6"/>
  <c r="D1150" i="6"/>
  <c r="E1150" i="6" s="1"/>
  <c r="C1150" i="6"/>
  <c r="B1150" i="6"/>
  <c r="A1150" i="6"/>
  <c r="D1149" i="6"/>
  <c r="E1149" i="6" s="1"/>
  <c r="C1149" i="6"/>
  <c r="B1149" i="6" s="1"/>
  <c r="A1149" i="6"/>
  <c r="C1148" i="6"/>
  <c r="B1148" i="6" s="1"/>
  <c r="C1147" i="6"/>
  <c r="A1147" i="6" s="1"/>
  <c r="B1147" i="6"/>
  <c r="F1138" i="6"/>
  <c r="G1138" i="6" s="1"/>
  <c r="E1138" i="6"/>
  <c r="G1137" i="6"/>
  <c r="F1137" i="6"/>
  <c r="E1137" i="6"/>
  <c r="G1136" i="6"/>
  <c r="F1136" i="6"/>
  <c r="E1136" i="6"/>
  <c r="F1135" i="6"/>
  <c r="G1135" i="6" s="1"/>
  <c r="E1135" i="6"/>
  <c r="F1134" i="6"/>
  <c r="G1134" i="6" s="1"/>
  <c r="E1134" i="6"/>
  <c r="C1134" i="6"/>
  <c r="F1133" i="6"/>
  <c r="G1133" i="6" s="1"/>
  <c r="E1133" i="6"/>
  <c r="C1133" i="6"/>
  <c r="F1132" i="6"/>
  <c r="G1132" i="6" s="1"/>
  <c r="E1132" i="6"/>
  <c r="C1132" i="6"/>
  <c r="F1131" i="6"/>
  <c r="G1131" i="6" s="1"/>
  <c r="E1131" i="6"/>
  <c r="C1131" i="6"/>
  <c r="F1130" i="6"/>
  <c r="G1130" i="6" s="1"/>
  <c r="E1130" i="6"/>
  <c r="C1130" i="6"/>
  <c r="F1129" i="6"/>
  <c r="G1129" i="6" s="1"/>
  <c r="E1129" i="6"/>
  <c r="E1140" i="6" s="1"/>
  <c r="C1129" i="6"/>
  <c r="B1122" i="6"/>
  <c r="G1121" i="6"/>
  <c r="B1121" i="6"/>
  <c r="B1120" i="6"/>
  <c r="B1119" i="6"/>
  <c r="F1113" i="6"/>
  <c r="G1113" i="6" s="1"/>
  <c r="D1113" i="6"/>
  <c r="B1113" i="6"/>
  <c r="A1113" i="6"/>
  <c r="F1112" i="6"/>
  <c r="G1112" i="6" s="1"/>
  <c r="D1112" i="6"/>
  <c r="B1112" i="6"/>
  <c r="A1112"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8" i="6"/>
  <c r="G1098" i="6" s="1"/>
  <c r="C1098" i="6"/>
  <c r="D1098" i="6" s="1"/>
  <c r="B1098" i="6"/>
  <c r="A1098" i="6"/>
  <c r="F1097" i="6"/>
  <c r="G1097" i="6" s="1"/>
  <c r="D1097" i="6"/>
  <c r="C1097" i="6"/>
  <c r="B1097" i="6" s="1"/>
  <c r="F1092" i="6"/>
  <c r="E1092" i="6"/>
  <c r="B1092" i="6"/>
  <c r="A1092" i="6"/>
  <c r="F1091" i="6"/>
  <c r="E1091" i="6"/>
  <c r="B1091" i="6"/>
  <c r="A1091" i="6"/>
  <c r="F1090" i="6"/>
  <c r="E1090" i="6"/>
  <c r="B1090" i="6"/>
  <c r="A1090" i="6"/>
  <c r="C1089" i="6"/>
  <c r="A1089" i="6" s="1"/>
  <c r="B1089" i="6"/>
  <c r="E1088" i="6"/>
  <c r="C1088" i="6"/>
  <c r="A1088" i="6"/>
  <c r="C1087" i="6"/>
  <c r="E1087" i="6" s="1"/>
  <c r="B1087" i="6"/>
  <c r="A1087" i="6"/>
  <c r="C1086" i="6"/>
  <c r="B1086" i="6" s="1"/>
  <c r="F1081" i="6"/>
  <c r="G1081" i="6" s="1"/>
  <c r="D1081" i="6"/>
  <c r="B1081" i="6"/>
  <c r="A1081" i="6"/>
  <c r="F1080" i="6"/>
  <c r="G1080" i="6" s="1"/>
  <c r="D1080" i="6"/>
  <c r="B1080" i="6"/>
  <c r="A1080" i="6"/>
  <c r="F1079" i="6"/>
  <c r="G1079" i="6" s="1"/>
  <c r="D1079" i="6"/>
  <c r="B1079" i="6"/>
  <c r="A1079" i="6"/>
  <c r="F1078" i="6"/>
  <c r="G1078" i="6" s="1"/>
  <c r="D1078" i="6"/>
  <c r="B1078" i="6"/>
  <c r="A1078" i="6"/>
  <c r="F1077" i="6"/>
  <c r="G1077" i="6" s="1"/>
  <c r="D1077" i="6"/>
  <c r="B1077" i="6"/>
  <c r="A1077" i="6"/>
  <c r="D1076" i="6"/>
  <c r="E1076" i="6" s="1"/>
  <c r="C1076" i="6"/>
  <c r="B1076" i="6"/>
  <c r="A1076" i="6"/>
  <c r="C1075" i="6"/>
  <c r="B1075" i="6" s="1"/>
  <c r="C1074" i="6"/>
  <c r="A1074" i="6" s="1"/>
  <c r="B1074" i="6"/>
  <c r="C1073" i="6"/>
  <c r="B1073" i="6"/>
  <c r="A1073" i="6"/>
  <c r="F1064" i="6"/>
  <c r="G1064" i="6" s="1"/>
  <c r="E1064" i="6"/>
  <c r="G1063" i="6"/>
  <c r="F1063" i="6"/>
  <c r="E1063" i="6"/>
  <c r="G1062" i="6"/>
  <c r="F1062" i="6"/>
  <c r="E1062" i="6"/>
  <c r="F1061" i="6"/>
  <c r="G1061" i="6" s="1"/>
  <c r="E1061" i="6"/>
  <c r="F1060" i="6"/>
  <c r="G1060" i="6" s="1"/>
  <c r="E1060" i="6"/>
  <c r="C1060" i="6"/>
  <c r="C1059" i="6"/>
  <c r="E1059" i="6" s="1"/>
  <c r="F1058" i="6"/>
  <c r="G1058" i="6" s="1"/>
  <c r="E1058" i="6"/>
  <c r="C1058" i="6"/>
  <c r="C1057" i="6"/>
  <c r="E1057" i="6" s="1"/>
  <c r="F1056" i="6"/>
  <c r="G1056" i="6" s="1"/>
  <c r="E1056" i="6"/>
  <c r="C1056" i="6"/>
  <c r="C1055" i="6"/>
  <c r="E1055" i="6" s="1"/>
  <c r="B1048" i="6"/>
  <c r="G1047" i="6"/>
  <c r="B1047" i="6"/>
  <c r="B1046" i="6"/>
  <c r="B1045" i="6"/>
  <c r="F1039" i="6"/>
  <c r="G1039" i="6" s="1"/>
  <c r="D1039" i="6"/>
  <c r="B1039" i="6"/>
  <c r="A1039" i="6"/>
  <c r="F1038" i="6"/>
  <c r="G1038" i="6" s="1"/>
  <c r="D1038" i="6"/>
  <c r="B1038" i="6"/>
  <c r="A1038"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7" i="6"/>
  <c r="G1027" i="6" s="1"/>
  <c r="D1027" i="6"/>
  <c r="B1027" i="6"/>
  <c r="A1027" i="6"/>
  <c r="F1026" i="6"/>
  <c r="G1026" i="6" s="1"/>
  <c r="D1026" i="6"/>
  <c r="B1026" i="6"/>
  <c r="A1026" i="6"/>
  <c r="F1025" i="6"/>
  <c r="G1025" i="6" s="1"/>
  <c r="D1025" i="6"/>
  <c r="B1025" i="6"/>
  <c r="A1025" i="6"/>
  <c r="F1024" i="6"/>
  <c r="G1024" i="6" s="1"/>
  <c r="C1024" i="6"/>
  <c r="D1024" i="6" s="1"/>
  <c r="B1024" i="6"/>
  <c r="D1023" i="6"/>
  <c r="C1023" i="6"/>
  <c r="B1023" i="6" s="1"/>
  <c r="F1018" i="6"/>
  <c r="E1018" i="6"/>
  <c r="B1018" i="6"/>
  <c r="A1018" i="6"/>
  <c r="F1017" i="6"/>
  <c r="E1017" i="6"/>
  <c r="B1017" i="6"/>
  <c r="A1017" i="6"/>
  <c r="F1016" i="6"/>
  <c r="E1016" i="6"/>
  <c r="B1016" i="6"/>
  <c r="A1016" i="6"/>
  <c r="E1015" i="6"/>
  <c r="C1015" i="6"/>
  <c r="B1015" i="6"/>
  <c r="A1015" i="6"/>
  <c r="E1014" i="6"/>
  <c r="C1014" i="6"/>
  <c r="B1014" i="6"/>
  <c r="A1014" i="6"/>
  <c r="C1013" i="6"/>
  <c r="E1012" i="6"/>
  <c r="C1012" i="6"/>
  <c r="B1012" i="6" s="1"/>
  <c r="A1012" i="6"/>
  <c r="F1007" i="6"/>
  <c r="G1007" i="6" s="1"/>
  <c r="D1007" i="6"/>
  <c r="B1007" i="6"/>
  <c r="A1007" i="6"/>
  <c r="F1006" i="6"/>
  <c r="G1006" i="6" s="1"/>
  <c r="D1006" i="6"/>
  <c r="B1006" i="6"/>
  <c r="A1006" i="6"/>
  <c r="F1005" i="6"/>
  <c r="G1005" i="6" s="1"/>
  <c r="D1005" i="6"/>
  <c r="B1005" i="6"/>
  <c r="A1005" i="6"/>
  <c r="F1004" i="6"/>
  <c r="G1004" i="6" s="1"/>
  <c r="D1004" i="6"/>
  <c r="B1004" i="6"/>
  <c r="A1004" i="6"/>
  <c r="F1003" i="6"/>
  <c r="G1003" i="6" s="1"/>
  <c r="D1003" i="6"/>
  <c r="B1003" i="6"/>
  <c r="A1003" i="6"/>
  <c r="D1002" i="6"/>
  <c r="E1002" i="6" s="1"/>
  <c r="C1002" i="6"/>
  <c r="B1002" i="6"/>
  <c r="A1002" i="6"/>
  <c r="D1001" i="6"/>
  <c r="E1001" i="6" s="1"/>
  <c r="C1001" i="6"/>
  <c r="B1001" i="6" s="1"/>
  <c r="A1001" i="6"/>
  <c r="C1000" i="6"/>
  <c r="B1000" i="6" s="1"/>
  <c r="C999" i="6"/>
  <c r="A999" i="6" s="1"/>
  <c r="B999" i="6"/>
  <c r="F990" i="6"/>
  <c r="G990" i="6" s="1"/>
  <c r="E990" i="6"/>
  <c r="G989" i="6"/>
  <c r="F989" i="6"/>
  <c r="E989" i="6"/>
  <c r="G988" i="6"/>
  <c r="F988" i="6"/>
  <c r="E988" i="6"/>
  <c r="F987" i="6"/>
  <c r="G987" i="6" s="1"/>
  <c r="E987" i="6"/>
  <c r="F986" i="6"/>
  <c r="G986" i="6" s="1"/>
  <c r="E986" i="6"/>
  <c r="C986" i="6"/>
  <c r="E985" i="6"/>
  <c r="C985" i="6"/>
  <c r="F985" i="6" s="1"/>
  <c r="G985" i="6" s="1"/>
  <c r="F984" i="6"/>
  <c r="G984" i="6" s="1"/>
  <c r="E984" i="6"/>
  <c r="C984" i="6"/>
  <c r="E983" i="6"/>
  <c r="C983" i="6"/>
  <c r="F983" i="6" s="1"/>
  <c r="G983" i="6" s="1"/>
  <c r="F982" i="6"/>
  <c r="G982" i="6" s="1"/>
  <c r="E982" i="6"/>
  <c r="C982" i="6"/>
  <c r="E981" i="6"/>
  <c r="E992" i="6" s="1"/>
  <c r="C981" i="6"/>
  <c r="F981" i="6" s="1"/>
  <c r="G981" i="6" s="1"/>
  <c r="B974" i="6"/>
  <c r="G973" i="6"/>
  <c r="B973" i="6"/>
  <c r="B972" i="6"/>
  <c r="B971" i="6"/>
  <c r="F965" i="6"/>
  <c r="G965" i="6" s="1"/>
  <c r="D965" i="6"/>
  <c r="B965" i="6"/>
  <c r="A965" i="6"/>
  <c r="F964" i="6"/>
  <c r="G964" i="6" s="1"/>
  <c r="D964" i="6"/>
  <c r="B964" i="6"/>
  <c r="A964"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53" i="6"/>
  <c r="G953" i="6" s="1"/>
  <c r="D953" i="6"/>
  <c r="B953" i="6"/>
  <c r="A953" i="6"/>
  <c r="F952" i="6"/>
  <c r="G952" i="6" s="1"/>
  <c r="D952" i="6"/>
  <c r="B952" i="6"/>
  <c r="A952" i="6"/>
  <c r="F951" i="6"/>
  <c r="G951" i="6" s="1"/>
  <c r="D951" i="6"/>
  <c r="B951" i="6"/>
  <c r="A951" i="6"/>
  <c r="F950" i="6"/>
  <c r="G950" i="6" s="1"/>
  <c r="C950" i="6"/>
  <c r="D950" i="6" s="1"/>
  <c r="B950" i="6"/>
  <c r="D949" i="6"/>
  <c r="C949" i="6"/>
  <c r="B949" i="6" s="1"/>
  <c r="F944" i="6"/>
  <c r="E944" i="6"/>
  <c r="B944" i="6"/>
  <c r="A944" i="6"/>
  <c r="F943" i="6"/>
  <c r="E943" i="6"/>
  <c r="B943" i="6"/>
  <c r="A943" i="6"/>
  <c r="F942" i="6"/>
  <c r="E942" i="6"/>
  <c r="B942" i="6"/>
  <c r="A942" i="6"/>
  <c r="E941" i="6"/>
  <c r="C941" i="6"/>
  <c r="B941" i="6"/>
  <c r="A941" i="6"/>
  <c r="E940" i="6"/>
  <c r="C940" i="6"/>
  <c r="B940" i="6"/>
  <c r="A940" i="6"/>
  <c r="C939" i="6"/>
  <c r="E938" i="6"/>
  <c r="C938" i="6"/>
  <c r="B938" i="6" s="1"/>
  <c r="A938"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D928" i="6"/>
  <c r="E928" i="6" s="1"/>
  <c r="C928" i="6"/>
  <c r="B928" i="6"/>
  <c r="A928" i="6"/>
  <c r="D927" i="6"/>
  <c r="E927" i="6" s="1"/>
  <c r="C927" i="6"/>
  <c r="B927" i="6" s="1"/>
  <c r="A927" i="6"/>
  <c r="C926" i="6"/>
  <c r="B926" i="6" s="1"/>
  <c r="C925" i="6"/>
  <c r="A925" i="6" s="1"/>
  <c r="B925" i="6"/>
  <c r="F916" i="6"/>
  <c r="G916" i="6" s="1"/>
  <c r="E916" i="6"/>
  <c r="G915" i="6"/>
  <c r="F915" i="6"/>
  <c r="E915" i="6"/>
  <c r="G914" i="6"/>
  <c r="F914" i="6"/>
  <c r="E914" i="6"/>
  <c r="F913" i="6"/>
  <c r="G913" i="6" s="1"/>
  <c r="E913" i="6"/>
  <c r="F912" i="6"/>
  <c r="G912" i="6" s="1"/>
  <c r="E912" i="6"/>
  <c r="C912" i="6"/>
  <c r="E911" i="6"/>
  <c r="C911" i="6"/>
  <c r="F911" i="6" s="1"/>
  <c r="G911" i="6" s="1"/>
  <c r="F910" i="6"/>
  <c r="G910" i="6" s="1"/>
  <c r="E910" i="6"/>
  <c r="C910" i="6"/>
  <c r="E909" i="6"/>
  <c r="C909" i="6"/>
  <c r="F909" i="6" s="1"/>
  <c r="G909" i="6" s="1"/>
  <c r="F908" i="6"/>
  <c r="G908" i="6" s="1"/>
  <c r="E908" i="6"/>
  <c r="C908" i="6"/>
  <c r="E907" i="6"/>
  <c r="E918" i="6" s="1"/>
  <c r="C907" i="6"/>
  <c r="F907" i="6" s="1"/>
  <c r="G907" i="6" s="1"/>
  <c r="B900" i="6"/>
  <c r="G899" i="6"/>
  <c r="B899" i="6"/>
  <c r="B898" i="6"/>
  <c r="B897" i="6"/>
  <c r="F891" i="6"/>
  <c r="G891" i="6" s="1"/>
  <c r="D891" i="6"/>
  <c r="B891" i="6"/>
  <c r="A891" i="6"/>
  <c r="F890" i="6"/>
  <c r="G890" i="6" s="1"/>
  <c r="D890" i="6"/>
  <c r="B890" i="6"/>
  <c r="A890"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8" i="6"/>
  <c r="G878" i="6" s="1"/>
  <c r="D878" i="6"/>
  <c r="B878" i="6"/>
  <c r="A878" i="6"/>
  <c r="F877" i="6"/>
  <c r="G877" i="6" s="1"/>
  <c r="D877" i="6"/>
  <c r="B877" i="6"/>
  <c r="A877" i="6"/>
  <c r="C876" i="6"/>
  <c r="F876" i="6" s="1"/>
  <c r="G876" i="6" s="1"/>
  <c r="D875" i="6"/>
  <c r="C875" i="6"/>
  <c r="F875" i="6" s="1"/>
  <c r="G875" i="6" s="1"/>
  <c r="B875" i="6"/>
  <c r="A875" i="6"/>
  <c r="F870" i="6"/>
  <c r="E870" i="6"/>
  <c r="B870" i="6"/>
  <c r="A870" i="6"/>
  <c r="F869" i="6"/>
  <c r="E869" i="6"/>
  <c r="B869" i="6"/>
  <c r="A869" i="6"/>
  <c r="F868" i="6"/>
  <c r="E868" i="6"/>
  <c r="B868" i="6"/>
  <c r="A868" i="6"/>
  <c r="E867" i="6"/>
  <c r="C867" i="6"/>
  <c r="B867" i="6"/>
  <c r="A867" i="6"/>
  <c r="C866" i="6"/>
  <c r="C865" i="6"/>
  <c r="A865" i="6"/>
  <c r="E864" i="6"/>
  <c r="C864" i="6"/>
  <c r="B864" i="6" s="1"/>
  <c r="A864" i="6"/>
  <c r="F859" i="6"/>
  <c r="G859" i="6" s="1"/>
  <c r="D859" i="6"/>
  <c r="B859" i="6"/>
  <c r="A859" i="6"/>
  <c r="F858" i="6"/>
  <c r="G858" i="6" s="1"/>
  <c r="D858" i="6"/>
  <c r="B858" i="6"/>
  <c r="A858" i="6"/>
  <c r="F857" i="6"/>
  <c r="G857" i="6" s="1"/>
  <c r="D857" i="6"/>
  <c r="B857" i="6"/>
  <c r="A857" i="6"/>
  <c r="F856" i="6"/>
  <c r="G856" i="6" s="1"/>
  <c r="D856" i="6"/>
  <c r="B856" i="6"/>
  <c r="A856" i="6"/>
  <c r="F855" i="6"/>
  <c r="G855" i="6" s="1"/>
  <c r="D855" i="6"/>
  <c r="B855" i="6"/>
  <c r="A855" i="6"/>
  <c r="D854" i="6"/>
  <c r="E854" i="6" s="1"/>
  <c r="C854" i="6"/>
  <c r="B854" i="6"/>
  <c r="A854" i="6"/>
  <c r="D853" i="6"/>
  <c r="E853" i="6" s="1"/>
  <c r="C853" i="6"/>
  <c r="B853" i="6" s="1"/>
  <c r="A853" i="6"/>
  <c r="C852" i="6"/>
  <c r="B852" i="6" s="1"/>
  <c r="D851" i="6"/>
  <c r="E851" i="6" s="1"/>
  <c r="C851" i="6"/>
  <c r="B851" i="6"/>
  <c r="A851" i="6"/>
  <c r="G842" i="6"/>
  <c r="F842" i="6"/>
  <c r="E842" i="6"/>
  <c r="G841" i="6"/>
  <c r="F841" i="6"/>
  <c r="E841" i="6"/>
  <c r="F840" i="6"/>
  <c r="G840" i="6" s="1"/>
  <c r="E840" i="6"/>
  <c r="F839" i="6"/>
  <c r="G839" i="6" s="1"/>
  <c r="E839" i="6"/>
  <c r="C838" i="6"/>
  <c r="F838" i="6" s="1"/>
  <c r="G838" i="6" s="1"/>
  <c r="E837" i="6"/>
  <c r="C837" i="6"/>
  <c r="F837" i="6" s="1"/>
  <c r="G837" i="6" s="1"/>
  <c r="C836" i="6"/>
  <c r="F836" i="6" s="1"/>
  <c r="G836" i="6" s="1"/>
  <c r="E835" i="6"/>
  <c r="C835" i="6"/>
  <c r="F835" i="6" s="1"/>
  <c r="G835" i="6" s="1"/>
  <c r="C834" i="6"/>
  <c r="F834" i="6" s="1"/>
  <c r="G834" i="6" s="1"/>
  <c r="E833" i="6"/>
  <c r="C833" i="6"/>
  <c r="F833" i="6" s="1"/>
  <c r="G833" i="6" s="1"/>
  <c r="B826" i="6"/>
  <c r="G825" i="6"/>
  <c r="B825" i="6"/>
  <c r="B824" i="6"/>
  <c r="B823" i="6"/>
  <c r="F817" i="6"/>
  <c r="G817" i="6" s="1"/>
  <c r="D817" i="6"/>
  <c r="B817" i="6"/>
  <c r="A817" i="6"/>
  <c r="F816" i="6"/>
  <c r="G816" i="6" s="1"/>
  <c r="D816" i="6"/>
  <c r="B816" i="6"/>
  <c r="A816"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803" i="6"/>
  <c r="G803" i="6" s="1"/>
  <c r="D803" i="6"/>
  <c r="B803" i="6"/>
  <c r="A803" i="6"/>
  <c r="C802" i="6"/>
  <c r="F802" i="6" s="1"/>
  <c r="G802" i="6" s="1"/>
  <c r="D801" i="6"/>
  <c r="C801" i="6"/>
  <c r="B801" i="6" s="1"/>
  <c r="A801" i="6"/>
  <c r="F796" i="6"/>
  <c r="E796" i="6"/>
  <c r="B796" i="6"/>
  <c r="A796" i="6"/>
  <c r="F795" i="6"/>
  <c r="E795" i="6"/>
  <c r="B795" i="6"/>
  <c r="A795" i="6"/>
  <c r="F794" i="6"/>
  <c r="E794" i="6"/>
  <c r="B794" i="6"/>
  <c r="A794" i="6"/>
  <c r="E793" i="6"/>
  <c r="C793" i="6"/>
  <c r="B793" i="6"/>
  <c r="A793" i="6"/>
  <c r="C792" i="6"/>
  <c r="C791" i="6"/>
  <c r="A791" i="6"/>
  <c r="E790" i="6"/>
  <c r="C790" i="6"/>
  <c r="B790" i="6" s="1"/>
  <c r="A790"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D780" i="6"/>
  <c r="E780" i="6" s="1"/>
  <c r="C780" i="6"/>
  <c r="B780" i="6"/>
  <c r="A780" i="6"/>
  <c r="D779" i="6"/>
  <c r="E779" i="6" s="1"/>
  <c r="C779" i="6"/>
  <c r="B779" i="6" s="1"/>
  <c r="A779" i="6"/>
  <c r="C778" i="6"/>
  <c r="B778" i="6" s="1"/>
  <c r="E777" i="6"/>
  <c r="D777" i="6"/>
  <c r="C777" i="6"/>
  <c r="B777" i="6"/>
  <c r="A777" i="6"/>
  <c r="G768" i="6"/>
  <c r="F768" i="6"/>
  <c r="E768" i="6"/>
  <c r="G767" i="6"/>
  <c r="F767" i="6"/>
  <c r="E767" i="6"/>
  <c r="F766" i="6"/>
  <c r="G766" i="6" s="1"/>
  <c r="E766" i="6"/>
  <c r="F765" i="6"/>
  <c r="G765" i="6" s="1"/>
  <c r="E765" i="6"/>
  <c r="C764" i="6"/>
  <c r="E764" i="6" s="1"/>
  <c r="E763" i="6"/>
  <c r="C763" i="6"/>
  <c r="F763" i="6" s="1"/>
  <c r="G763" i="6" s="1"/>
  <c r="C762" i="6"/>
  <c r="E762" i="6" s="1"/>
  <c r="E761" i="6"/>
  <c r="C761" i="6"/>
  <c r="F761" i="6" s="1"/>
  <c r="G761" i="6" s="1"/>
  <c r="C760" i="6"/>
  <c r="E760" i="6" s="1"/>
  <c r="E759" i="6"/>
  <c r="C759" i="6"/>
  <c r="F759" i="6" s="1"/>
  <c r="G759" i="6" s="1"/>
  <c r="B752" i="6"/>
  <c r="G751" i="6"/>
  <c r="B751" i="6"/>
  <c r="B750" i="6"/>
  <c r="B749" i="6"/>
  <c r="F743" i="6"/>
  <c r="G743" i="6" s="1"/>
  <c r="D743" i="6"/>
  <c r="B743" i="6"/>
  <c r="A743" i="6"/>
  <c r="F742" i="6"/>
  <c r="G742" i="6" s="1"/>
  <c r="D742" i="6"/>
  <c r="B742" i="6"/>
  <c r="A742"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C728" i="6"/>
  <c r="B728" i="6"/>
  <c r="A728" i="6"/>
  <c r="D727" i="6"/>
  <c r="C727" i="6"/>
  <c r="B727" i="6" s="1"/>
  <c r="F722" i="6"/>
  <c r="E722" i="6"/>
  <c r="B722" i="6"/>
  <c r="A722" i="6"/>
  <c r="F721" i="6"/>
  <c r="E721" i="6"/>
  <c r="B721" i="6"/>
  <c r="A721" i="6"/>
  <c r="F720" i="6"/>
  <c r="E720" i="6"/>
  <c r="B720" i="6"/>
  <c r="A720" i="6"/>
  <c r="E719" i="6"/>
  <c r="C719" i="6"/>
  <c r="B719" i="6"/>
  <c r="A719" i="6"/>
  <c r="C718" i="6"/>
  <c r="E717" i="6"/>
  <c r="C717" i="6"/>
  <c r="B717" i="6"/>
  <c r="A717" i="6"/>
  <c r="C716" i="6"/>
  <c r="B716" i="6" s="1"/>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D706" i="6"/>
  <c r="E706" i="6" s="1"/>
  <c r="C706" i="6"/>
  <c r="B706" i="6" s="1"/>
  <c r="A706" i="6"/>
  <c r="C705" i="6"/>
  <c r="B705" i="6" s="1"/>
  <c r="C704" i="6"/>
  <c r="A704" i="6" s="1"/>
  <c r="B704" i="6"/>
  <c r="D703" i="6"/>
  <c r="E703" i="6" s="1"/>
  <c r="C703" i="6"/>
  <c r="B703" i="6"/>
  <c r="A703" i="6"/>
  <c r="G694" i="6"/>
  <c r="F694" i="6"/>
  <c r="E694" i="6"/>
  <c r="G693" i="6"/>
  <c r="F693" i="6"/>
  <c r="E693" i="6"/>
  <c r="F692" i="6"/>
  <c r="G692" i="6" s="1"/>
  <c r="E692" i="6"/>
  <c r="F691" i="6"/>
  <c r="G691" i="6" s="1"/>
  <c r="E691" i="6"/>
  <c r="C690" i="6"/>
  <c r="F690" i="6" s="1"/>
  <c r="G690" i="6" s="1"/>
  <c r="C689" i="6"/>
  <c r="F689" i="6" s="1"/>
  <c r="G689" i="6" s="1"/>
  <c r="C688" i="6"/>
  <c r="F688" i="6" s="1"/>
  <c r="G688" i="6" s="1"/>
  <c r="C687" i="6"/>
  <c r="F687" i="6" s="1"/>
  <c r="G687" i="6" s="1"/>
  <c r="C686" i="6"/>
  <c r="F686" i="6" s="1"/>
  <c r="G686" i="6" s="1"/>
  <c r="C685" i="6"/>
  <c r="F685" i="6" s="1"/>
  <c r="G685" i="6" s="1"/>
  <c r="G696" i="6" s="1"/>
  <c r="B678" i="6"/>
  <c r="G677" i="6"/>
  <c r="B677" i="6"/>
  <c r="B676" i="6"/>
  <c r="B675" i="6"/>
  <c r="F669" i="6"/>
  <c r="G669" i="6" s="1"/>
  <c r="D669" i="6"/>
  <c r="B669" i="6"/>
  <c r="A669" i="6"/>
  <c r="F668" i="6"/>
  <c r="G668" i="6" s="1"/>
  <c r="D668" i="6"/>
  <c r="B668" i="6"/>
  <c r="A668"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C654" i="6"/>
  <c r="D654" i="6" s="1"/>
  <c r="B654" i="6"/>
  <c r="D653" i="6"/>
  <c r="C653" i="6"/>
  <c r="B653" i="6" s="1"/>
  <c r="F648" i="6"/>
  <c r="E648" i="6"/>
  <c r="B648" i="6"/>
  <c r="A648" i="6"/>
  <c r="F647" i="6"/>
  <c r="E647" i="6"/>
  <c r="B647" i="6"/>
  <c r="A647" i="6"/>
  <c r="F646" i="6"/>
  <c r="E646" i="6"/>
  <c r="B646" i="6"/>
  <c r="A646" i="6"/>
  <c r="E645" i="6"/>
  <c r="C645" i="6"/>
  <c r="B645" i="6"/>
  <c r="A645" i="6"/>
  <c r="C644" i="6"/>
  <c r="C643" i="6"/>
  <c r="E643" i="6" s="1"/>
  <c r="B643" i="6"/>
  <c r="A643" i="6"/>
  <c r="C642" i="6"/>
  <c r="B642" i="6" s="1"/>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D632" i="6"/>
  <c r="E632" i="6" s="1"/>
  <c r="C632" i="6"/>
  <c r="B632" i="6"/>
  <c r="A632" i="6"/>
  <c r="C631" i="6"/>
  <c r="B631" i="6" s="1"/>
  <c r="C630" i="6"/>
  <c r="A630" i="6" s="1"/>
  <c r="B630" i="6"/>
  <c r="C629" i="6"/>
  <c r="B629" i="6"/>
  <c r="A629" i="6"/>
  <c r="F620" i="6"/>
  <c r="G620" i="6" s="1"/>
  <c r="E620" i="6"/>
  <c r="G619" i="6"/>
  <c r="F619" i="6"/>
  <c r="E619" i="6"/>
  <c r="F618" i="6"/>
  <c r="G618" i="6" s="1"/>
  <c r="E618" i="6"/>
  <c r="F617" i="6"/>
  <c r="G617" i="6" s="1"/>
  <c r="E617" i="6"/>
  <c r="C616" i="6"/>
  <c r="F616" i="6" s="1"/>
  <c r="G616" i="6" s="1"/>
  <c r="C615" i="6"/>
  <c r="E615" i="6" s="1"/>
  <c r="C614" i="6"/>
  <c r="F614" i="6" s="1"/>
  <c r="G614" i="6" s="1"/>
  <c r="C613" i="6"/>
  <c r="E613" i="6" s="1"/>
  <c r="C612" i="6"/>
  <c r="F612" i="6" s="1"/>
  <c r="G612" i="6" s="1"/>
  <c r="C611" i="6"/>
  <c r="E611" i="6" s="1"/>
  <c r="B604" i="6"/>
  <c r="G603" i="6"/>
  <c r="B603" i="6"/>
  <c r="B602" i="6"/>
  <c r="B601"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C580" i="6"/>
  <c r="B580" i="6"/>
  <c r="A580" i="6"/>
  <c r="C579" i="6"/>
  <c r="A579" i="6" s="1"/>
  <c r="B579" i="6"/>
  <c r="F574" i="6"/>
  <c r="E574" i="6"/>
  <c r="B574" i="6"/>
  <c r="A574" i="6"/>
  <c r="F573" i="6"/>
  <c r="E573" i="6"/>
  <c r="B573" i="6"/>
  <c r="A573" i="6"/>
  <c r="F572" i="6"/>
  <c r="E572" i="6"/>
  <c r="B572" i="6"/>
  <c r="A572" i="6"/>
  <c r="E571" i="6"/>
  <c r="C571" i="6"/>
  <c r="B571" i="6" s="1"/>
  <c r="A571" i="6"/>
  <c r="C570" i="6"/>
  <c r="E569" i="6"/>
  <c r="C569" i="6"/>
  <c r="B569" i="6"/>
  <c r="A569" i="6"/>
  <c r="C568" i="6"/>
  <c r="A568" i="6" s="1"/>
  <c r="B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C558" i="6"/>
  <c r="B558" i="6" s="1"/>
  <c r="A558" i="6"/>
  <c r="C557" i="6"/>
  <c r="A557" i="6" s="1"/>
  <c r="B557" i="6"/>
  <c r="D556" i="6"/>
  <c r="E556" i="6" s="1"/>
  <c r="C556" i="6"/>
  <c r="B556" i="6"/>
  <c r="A556" i="6"/>
  <c r="D555" i="6"/>
  <c r="E555" i="6" s="1"/>
  <c r="C555" i="6"/>
  <c r="B555" i="6" s="1"/>
  <c r="A555" i="6"/>
  <c r="G546" i="6"/>
  <c r="F546" i="6"/>
  <c r="E546" i="6"/>
  <c r="F545" i="6"/>
  <c r="G545" i="6" s="1"/>
  <c r="E545" i="6"/>
  <c r="F544" i="6"/>
  <c r="G544" i="6" s="1"/>
  <c r="E544" i="6"/>
  <c r="F543" i="6"/>
  <c r="G543" i="6" s="1"/>
  <c r="E543" i="6"/>
  <c r="C542" i="6"/>
  <c r="F542" i="6" s="1"/>
  <c r="G542" i="6" s="1"/>
  <c r="C541" i="6"/>
  <c r="F541" i="6" s="1"/>
  <c r="G541" i="6" s="1"/>
  <c r="C540" i="6"/>
  <c r="F540" i="6" s="1"/>
  <c r="G540" i="6" s="1"/>
  <c r="C539" i="6"/>
  <c r="F539" i="6" s="1"/>
  <c r="G539" i="6" s="1"/>
  <c r="C538" i="6"/>
  <c r="F538" i="6" s="1"/>
  <c r="G538" i="6" s="1"/>
  <c r="C537" i="6"/>
  <c r="F537" i="6" s="1"/>
  <c r="G537" i="6" s="1"/>
  <c r="B530" i="6"/>
  <c r="G529" i="6"/>
  <c r="B529" i="6"/>
  <c r="B528" i="6"/>
  <c r="B527" i="6"/>
  <c r="A26" i="9"/>
  <c r="A34" i="9"/>
  <c r="A42" i="9"/>
  <c r="A29" i="9"/>
  <c r="A37" i="9"/>
  <c r="A45" i="9"/>
  <c r="A32" i="9"/>
  <c r="A40" i="9"/>
  <c r="A39" i="9"/>
  <c r="A27" i="9"/>
  <c r="A35" i="9"/>
  <c r="A43" i="9"/>
  <c r="A30" i="9"/>
  <c r="A38" i="9"/>
  <c r="A46" i="9"/>
  <c r="A33" i="9"/>
  <c r="A41" i="9"/>
  <c r="A47" i="9"/>
  <c r="A28" i="9"/>
  <c r="A36" i="9"/>
  <c r="A44" i="9"/>
  <c r="A31" i="9"/>
  <c r="A51" i="2"/>
  <c r="A39" i="2"/>
  <c r="A32" i="2"/>
  <c r="A33" i="2"/>
  <c r="A41" i="2"/>
  <c r="A49" i="2"/>
  <c r="A42" i="2"/>
  <c r="A50" i="2"/>
  <c r="A34" i="2"/>
  <c r="A35" i="2"/>
  <c r="A43" i="2"/>
  <c r="A38" i="2"/>
  <c r="A47" i="2"/>
  <c r="A36" i="2"/>
  <c r="A44" i="2"/>
  <c r="A46" i="2"/>
  <c r="A40" i="2"/>
  <c r="A37" i="2"/>
  <c r="A45" i="2"/>
  <c r="A31" i="2"/>
  <c r="A48" i="2"/>
  <c r="G1461" i="6" l="1"/>
  <c r="G794" i="6"/>
  <c r="G796" i="6"/>
  <c r="G943" i="6"/>
  <c r="G1092" i="6"/>
  <c r="G1166" i="6"/>
  <c r="G869" i="6"/>
  <c r="G1460" i="6"/>
  <c r="G1462" i="6"/>
  <c r="G1017" i="6"/>
  <c r="G1313" i="6"/>
  <c r="G1535" i="6"/>
  <c r="G573" i="6"/>
  <c r="G720" i="6"/>
  <c r="G1387" i="6"/>
  <c r="G1609" i="6"/>
  <c r="G1312" i="6"/>
  <c r="G1314" i="6"/>
  <c r="G1536" i="6"/>
  <c r="G572" i="6"/>
  <c r="G721" i="6"/>
  <c r="G795" i="6"/>
  <c r="G1091" i="6"/>
  <c r="G1758" i="6"/>
  <c r="G647" i="6"/>
  <c r="G1240" i="6"/>
  <c r="G1832" i="6"/>
  <c r="G892" i="6"/>
  <c r="G1683" i="6"/>
  <c r="G1757" i="6"/>
  <c r="G596" i="6"/>
  <c r="G1684" i="6"/>
  <c r="G870" i="6"/>
  <c r="G1484" i="6"/>
  <c r="G1336" i="6"/>
  <c r="G1552" i="6"/>
  <c r="G1756" i="6"/>
  <c r="G1854" i="6"/>
  <c r="G1780" i="6"/>
  <c r="G1831" i="6"/>
  <c r="G670" i="6"/>
  <c r="G966" i="6"/>
  <c r="G1238" i="6"/>
  <c r="G1114" i="6"/>
  <c r="G1706" i="6"/>
  <c r="G1256" i="6"/>
  <c r="G1386" i="6"/>
  <c r="G1558" i="6"/>
  <c r="G744" i="6"/>
  <c r="G1108" i="6"/>
  <c r="G1410" i="6"/>
  <c r="G722" i="6"/>
  <c r="G818" i="6"/>
  <c r="G1188" i="6"/>
  <c r="G1040" i="6"/>
  <c r="G1090" i="6"/>
  <c r="G1164" i="6"/>
  <c r="G1632" i="6"/>
  <c r="G1262" i="6"/>
  <c r="G574" i="6"/>
  <c r="G646" i="6"/>
  <c r="G648" i="6"/>
  <c r="G868" i="6"/>
  <c r="G942" i="6"/>
  <c r="G944" i="6"/>
  <c r="G1016" i="6"/>
  <c r="G1018" i="6"/>
  <c r="G1165" i="6"/>
  <c r="G1182" i="6"/>
  <c r="G1239" i="6"/>
  <c r="G1534" i="6"/>
  <c r="G1682" i="6"/>
  <c r="G1774" i="6"/>
  <c r="G1830" i="6"/>
  <c r="G1806" i="6"/>
  <c r="A1828" i="6"/>
  <c r="F1837" i="6"/>
  <c r="G1837" i="6" s="1"/>
  <c r="G1848" i="6" s="1"/>
  <c r="D1814" i="6"/>
  <c r="E1814" i="6" s="1"/>
  <c r="D1813" i="6"/>
  <c r="E1813" i="6" s="1"/>
  <c r="B1828" i="6"/>
  <c r="E1796" i="6"/>
  <c r="E1806" i="6" s="1"/>
  <c r="E1798" i="6"/>
  <c r="E1800" i="6"/>
  <c r="E1828" i="6"/>
  <c r="A1815" i="6"/>
  <c r="A1826" i="6"/>
  <c r="A1837" i="6"/>
  <c r="A1814" i="6"/>
  <c r="G1732" i="6"/>
  <c r="E1755" i="6"/>
  <c r="D1739" i="6"/>
  <c r="E1739" i="6" s="1"/>
  <c r="A1753" i="6"/>
  <c r="A1764" i="6"/>
  <c r="B1753" i="6"/>
  <c r="D1740" i="6"/>
  <c r="E1740" i="6" s="1"/>
  <c r="A1740" i="6"/>
  <c r="E1753" i="6"/>
  <c r="D1764" i="6"/>
  <c r="G1658" i="6"/>
  <c r="E1647" i="6"/>
  <c r="E1649" i="6"/>
  <c r="E1651" i="6"/>
  <c r="D1667" i="6"/>
  <c r="E1667" i="6" s="1"/>
  <c r="D1666" i="6"/>
  <c r="E1666" i="6" s="1"/>
  <c r="A1680" i="6"/>
  <c r="F1689" i="6"/>
  <c r="G1689" i="6" s="1"/>
  <c r="G1700" i="6" s="1"/>
  <c r="E1678" i="6"/>
  <c r="B1680" i="6"/>
  <c r="E1680" i="6"/>
  <c r="A1667" i="6"/>
  <c r="A1678" i="6"/>
  <c r="A1689" i="6"/>
  <c r="E1648" i="6"/>
  <c r="E1650" i="6"/>
  <c r="E1652" i="6"/>
  <c r="G1584" i="6"/>
  <c r="F1615" i="6"/>
  <c r="G1615" i="6" s="1"/>
  <c r="G1626" i="6" s="1"/>
  <c r="D1591" i="6"/>
  <c r="E1591" i="6" s="1"/>
  <c r="D1592" i="6"/>
  <c r="E1592" i="6" s="1"/>
  <c r="A1605" i="6"/>
  <c r="A1616" i="6"/>
  <c r="B1605" i="6"/>
  <c r="A1615" i="6"/>
  <c r="A1592" i="6"/>
  <c r="E1605" i="6"/>
  <c r="G1510" i="6"/>
  <c r="D1517" i="6"/>
  <c r="E1517" i="6" s="1"/>
  <c r="E1533" i="6"/>
  <c r="D1518" i="6"/>
  <c r="E1518" i="6" s="1"/>
  <c r="A1531" i="6"/>
  <c r="A1542" i="6"/>
  <c r="B1531" i="6"/>
  <c r="A1541" i="6"/>
  <c r="A1518" i="6"/>
  <c r="E1531" i="6"/>
  <c r="G1436" i="6"/>
  <c r="F1467" i="6"/>
  <c r="G1467" i="6" s="1"/>
  <c r="G1478" i="6" s="1"/>
  <c r="D1443" i="6"/>
  <c r="E1443" i="6" s="1"/>
  <c r="D1444" i="6"/>
  <c r="E1444" i="6" s="1"/>
  <c r="A1457" i="6"/>
  <c r="A1468" i="6"/>
  <c r="B1457" i="6"/>
  <c r="A1467" i="6"/>
  <c r="A1444" i="6"/>
  <c r="E1457" i="6"/>
  <c r="G1362" i="6"/>
  <c r="D1370" i="6"/>
  <c r="E1370" i="6" s="1"/>
  <c r="A1383" i="6"/>
  <c r="A1394" i="6"/>
  <c r="B1383" i="6"/>
  <c r="D1369" i="6"/>
  <c r="E1369" i="6" s="1"/>
  <c r="A1393" i="6"/>
  <c r="A1370" i="6"/>
  <c r="E1383" i="6"/>
  <c r="G1288" i="6"/>
  <c r="D1296" i="6"/>
  <c r="E1296" i="6" s="1"/>
  <c r="F1319" i="6"/>
  <c r="G1319" i="6" s="1"/>
  <c r="G1330" i="6" s="1"/>
  <c r="E1309" i="6"/>
  <c r="A1309" i="6"/>
  <c r="A1298" i="6"/>
  <c r="B1309" i="6"/>
  <c r="E1214" i="6"/>
  <c r="D1221" i="6"/>
  <c r="E1221" i="6" s="1"/>
  <c r="B1236" i="6"/>
  <c r="E1237" i="6"/>
  <c r="D1222" i="6"/>
  <c r="E1222" i="6" s="1"/>
  <c r="A1235" i="6"/>
  <c r="A1246" i="6"/>
  <c r="A1224" i="6"/>
  <c r="B1235" i="6"/>
  <c r="B1246" i="6"/>
  <c r="A1222" i="6"/>
  <c r="E1235" i="6"/>
  <c r="D1246" i="6"/>
  <c r="G1140" i="6"/>
  <c r="D1147" i="6"/>
  <c r="E1147" i="6" s="1"/>
  <c r="E1163" i="6"/>
  <c r="A1161" i="6"/>
  <c r="A1172" i="6"/>
  <c r="B1161" i="6"/>
  <c r="A1171" i="6"/>
  <c r="D1148" i="6"/>
  <c r="E1148" i="6" s="1"/>
  <c r="A1148" i="6"/>
  <c r="E1161" i="6"/>
  <c r="E1066" i="6"/>
  <c r="E1086" i="6"/>
  <c r="F1055" i="6"/>
  <c r="G1055" i="6" s="1"/>
  <c r="G1066" i="6" s="1"/>
  <c r="F1057" i="6"/>
  <c r="G1057" i="6" s="1"/>
  <c r="F1059" i="6"/>
  <c r="G1059" i="6" s="1"/>
  <c r="D1074" i="6"/>
  <c r="E1074" i="6" s="1"/>
  <c r="D1073" i="6"/>
  <c r="E1073" i="6" s="1"/>
  <c r="B1088" i="6"/>
  <c r="E1089" i="6"/>
  <c r="A1075" i="6"/>
  <c r="A1086" i="6"/>
  <c r="A1097" i="6"/>
  <c r="D1075" i="6"/>
  <c r="E1075" i="6" s="1"/>
  <c r="G992" i="6"/>
  <c r="F1023" i="6"/>
  <c r="G1023" i="6" s="1"/>
  <c r="G1034" i="6" s="1"/>
  <c r="D1000" i="6"/>
  <c r="E1000" i="6" s="1"/>
  <c r="D999" i="6"/>
  <c r="E999" i="6" s="1"/>
  <c r="A1013" i="6"/>
  <c r="A1024" i="6"/>
  <c r="B1013" i="6"/>
  <c r="A1023" i="6"/>
  <c r="A1000" i="6"/>
  <c r="E1013" i="6"/>
  <c r="G918" i="6"/>
  <c r="F949" i="6"/>
  <c r="G949" i="6" s="1"/>
  <c r="G960" i="6" s="1"/>
  <c r="D926" i="6"/>
  <c r="E926" i="6" s="1"/>
  <c r="D925" i="6"/>
  <c r="E925" i="6" s="1"/>
  <c r="A939" i="6"/>
  <c r="A950" i="6"/>
  <c r="B939" i="6"/>
  <c r="A949" i="6"/>
  <c r="A926" i="6"/>
  <c r="E939" i="6"/>
  <c r="G886" i="6"/>
  <c r="G844" i="6"/>
  <c r="D852" i="6"/>
  <c r="E852" i="6" s="1"/>
  <c r="A866" i="6"/>
  <c r="B866" i="6"/>
  <c r="A876" i="6"/>
  <c r="B865" i="6"/>
  <c r="E866" i="6"/>
  <c r="B876" i="6"/>
  <c r="E834" i="6"/>
  <c r="E844" i="6" s="1"/>
  <c r="E836" i="6"/>
  <c r="E838" i="6"/>
  <c r="A852" i="6"/>
  <c r="E865" i="6"/>
  <c r="D876" i="6"/>
  <c r="E770" i="6"/>
  <c r="D778" i="6"/>
  <c r="E778" i="6" s="1"/>
  <c r="A792" i="6"/>
  <c r="F801" i="6"/>
  <c r="G801" i="6" s="1"/>
  <c r="G812" i="6" s="1"/>
  <c r="B792" i="6"/>
  <c r="A802" i="6"/>
  <c r="B791" i="6"/>
  <c r="E792" i="6"/>
  <c r="B802" i="6"/>
  <c r="F760" i="6"/>
  <c r="G760" i="6" s="1"/>
  <c r="G770" i="6" s="1"/>
  <c r="F762" i="6"/>
  <c r="G762" i="6" s="1"/>
  <c r="F764" i="6"/>
  <c r="G764" i="6" s="1"/>
  <c r="A778" i="6"/>
  <c r="E791" i="6"/>
  <c r="D802" i="6"/>
  <c r="E685" i="6"/>
  <c r="E687" i="6"/>
  <c r="E689" i="6"/>
  <c r="D704" i="6"/>
  <c r="E704" i="6" s="1"/>
  <c r="A718" i="6"/>
  <c r="F727" i="6"/>
  <c r="G727" i="6" s="1"/>
  <c r="G738" i="6" s="1"/>
  <c r="D705" i="6"/>
  <c r="E705" i="6" s="1"/>
  <c r="E716" i="6"/>
  <c r="B718" i="6"/>
  <c r="E718" i="6"/>
  <c r="A705" i="6"/>
  <c r="A716" i="6"/>
  <c r="A727" i="6"/>
  <c r="E686" i="6"/>
  <c r="E688" i="6"/>
  <c r="E690" i="6"/>
  <c r="D631" i="6"/>
  <c r="E631" i="6" s="1"/>
  <c r="A644" i="6"/>
  <c r="F653" i="6"/>
  <c r="G653" i="6" s="1"/>
  <c r="G664" i="6" s="1"/>
  <c r="F611" i="6"/>
  <c r="G611" i="6" s="1"/>
  <c r="G622" i="6" s="1"/>
  <c r="F613" i="6"/>
  <c r="G613" i="6" s="1"/>
  <c r="F615" i="6"/>
  <c r="G615" i="6" s="1"/>
  <c r="D630" i="6"/>
  <c r="E630" i="6" s="1"/>
  <c r="D629" i="6"/>
  <c r="E629" i="6" s="1"/>
  <c r="B644" i="6"/>
  <c r="A654" i="6"/>
  <c r="E644" i="6"/>
  <c r="A631" i="6"/>
  <c r="A642" i="6"/>
  <c r="A653" i="6"/>
  <c r="E642" i="6"/>
  <c r="E612" i="6"/>
  <c r="E622" i="6" s="1"/>
  <c r="E614" i="6"/>
  <c r="E616" i="6"/>
  <c r="G548" i="6"/>
  <c r="E537" i="6"/>
  <c r="E539" i="6"/>
  <c r="E541" i="6"/>
  <c r="D557" i="6"/>
  <c r="E557" i="6" s="1"/>
  <c r="E568" i="6"/>
  <c r="D579" i="6"/>
  <c r="E538" i="6"/>
  <c r="E540" i="6"/>
  <c r="E542" i="6"/>
  <c r="D558" i="6"/>
  <c r="E558" i="6" s="1"/>
  <c r="A570" i="6"/>
  <c r="F579" i="6"/>
  <c r="G579" i="6" s="1"/>
  <c r="G590" i="6" s="1"/>
  <c r="B570" i="6"/>
  <c r="E570" i="6"/>
  <c r="E51" i="2"/>
  <c r="E48" i="2"/>
  <c r="E31" i="2"/>
  <c r="E45" i="2"/>
  <c r="E37" i="2"/>
  <c r="E40" i="2"/>
  <c r="E46" i="2"/>
  <c r="E44" i="2"/>
  <c r="E36" i="2"/>
  <c r="E47" i="2"/>
  <c r="E38" i="2"/>
  <c r="E43" i="2"/>
  <c r="E35" i="2"/>
  <c r="E34" i="2"/>
  <c r="E50" i="2"/>
  <c r="E42" i="2"/>
  <c r="E49" i="2"/>
  <c r="E41" i="2"/>
  <c r="E33" i="2"/>
  <c r="E32" i="2"/>
  <c r="E39" i="2"/>
  <c r="B48" i="2"/>
  <c r="D48" i="2"/>
  <c r="B31" i="2"/>
  <c r="D31" i="2"/>
  <c r="B45" i="2"/>
  <c r="D45" i="2"/>
  <c r="B37" i="2"/>
  <c r="D37" i="2"/>
  <c r="B40" i="2"/>
  <c r="D40" i="2"/>
  <c r="B46" i="2"/>
  <c r="D46" i="2"/>
  <c r="B44" i="2"/>
  <c r="D44" i="2"/>
  <c r="B36" i="2"/>
  <c r="D36" i="2"/>
  <c r="B47" i="2"/>
  <c r="D47" i="2"/>
  <c r="B38" i="2"/>
  <c r="D38" i="2"/>
  <c r="B43" i="2"/>
  <c r="D43" i="2"/>
  <c r="B35" i="2"/>
  <c r="D35" i="2"/>
  <c r="B34" i="2"/>
  <c r="D34" i="2"/>
  <c r="B50" i="2"/>
  <c r="D50" i="2"/>
  <c r="B42" i="2"/>
  <c r="D42" i="2"/>
  <c r="B49" i="2"/>
  <c r="D49" i="2"/>
  <c r="B41" i="2"/>
  <c r="D41" i="2"/>
  <c r="B33" i="2"/>
  <c r="D33" i="2"/>
  <c r="B32" i="2"/>
  <c r="D32" i="2"/>
  <c r="B39" i="2"/>
  <c r="D39" i="2"/>
  <c r="B51" i="2"/>
  <c r="D51" i="2"/>
  <c r="E1658" i="6" l="1"/>
  <c r="E696" i="6"/>
  <c r="E548" i="6"/>
  <c r="K20" i="28"/>
  <c r="K21" i="28"/>
  <c r="K22" i="28"/>
  <c r="K23" i="28"/>
  <c r="K24" i="28"/>
  <c r="K25" i="28"/>
  <c r="K26" i="28"/>
  <c r="K27" i="28"/>
  <c r="K28" i="28"/>
  <c r="K29" i="28"/>
  <c r="K30" i="28"/>
  <c r="K13" i="28"/>
  <c r="K14" i="28"/>
  <c r="K15" i="28"/>
  <c r="K16" i="28"/>
  <c r="K17" i="28"/>
  <c r="K18" i="28"/>
  <c r="K19" i="28"/>
  <c r="F14" i="27"/>
  <c r="F15" i="27"/>
  <c r="F16" i="27"/>
  <c r="F17" i="27"/>
  <c r="F18" i="27"/>
  <c r="F19" i="27"/>
  <c r="F20" i="27"/>
  <c r="F21" i="27"/>
  <c r="F22" i="27"/>
  <c r="F23" i="27"/>
  <c r="F24" i="27"/>
  <c r="F25" i="27"/>
  <c r="F26" i="27"/>
  <c r="F27" i="27"/>
  <c r="F28" i="27"/>
  <c r="F29" i="27"/>
  <c r="F30" i="27"/>
  <c r="F13" i="27"/>
  <c r="C6" i="28" l="1"/>
  <c r="C13" i="6" l="1"/>
  <c r="C467" i="6"/>
  <c r="C505" i="6"/>
  <c r="C504" i="6"/>
  <c r="C466" i="6"/>
  <c r="C465" i="6"/>
  <c r="C464" i="6"/>
  <c r="C463" i="6"/>
  <c r="C462" i="6"/>
  <c r="D388" i="6"/>
  <c r="D390" i="6"/>
  <c r="D387" i="6"/>
  <c r="C362" i="6"/>
  <c r="C363" i="6"/>
  <c r="C364" i="6"/>
  <c r="D313" i="6"/>
  <c r="C315" i="6"/>
  <c r="C318" i="6"/>
  <c r="D318" i="6"/>
  <c r="C319" i="6"/>
  <c r="D319" i="6"/>
  <c r="D312" i="6"/>
  <c r="C279" i="6"/>
  <c r="C239" i="6"/>
  <c r="C238" i="6"/>
  <c r="C237" i="6"/>
  <c r="C163" i="6"/>
  <c r="C162" i="6"/>
  <c r="C136" i="6"/>
  <c r="C361" i="6" s="1"/>
  <c r="C135" i="6"/>
  <c r="F135" i="6" s="1"/>
  <c r="C134" i="6"/>
  <c r="C133" i="6"/>
  <c r="C132" i="6"/>
  <c r="C357" i="6" s="1"/>
  <c r="C131" i="6"/>
  <c r="C356" i="6" s="1"/>
  <c r="C130" i="6"/>
  <c r="C355" i="6" s="1"/>
  <c r="C129" i="6"/>
  <c r="C92" i="6"/>
  <c r="C317" i="6" s="1"/>
  <c r="C91" i="6"/>
  <c r="C316" i="6" s="1"/>
  <c r="C90" i="6"/>
  <c r="C390" i="6" s="1"/>
  <c r="C89" i="6"/>
  <c r="C88" i="6"/>
  <c r="C87" i="6"/>
  <c r="C312" i="6" s="1"/>
  <c r="C314" i="6" l="1"/>
  <c r="C419" i="6"/>
  <c r="C271" i="6"/>
  <c r="C269" i="6"/>
  <c r="C494" i="6"/>
  <c r="C194" i="6"/>
  <c r="C421" i="6"/>
  <c r="C359" i="6"/>
  <c r="C270" i="6"/>
  <c r="C360" i="6"/>
  <c r="C420" i="6"/>
  <c r="C121" i="6"/>
  <c r="G135" i="6"/>
  <c r="C193" i="6"/>
  <c r="C354" i="6"/>
  <c r="C493" i="6"/>
  <c r="C358" i="6"/>
  <c r="C196" i="6"/>
  <c r="C496" i="6"/>
  <c r="C120" i="6"/>
  <c r="C119" i="6"/>
  <c r="C195" i="6"/>
  <c r="C495" i="6"/>
  <c r="C118" i="6"/>
  <c r="C268" i="6"/>
  <c r="C418" i="6"/>
  <c r="C313" i="6"/>
  <c r="C389" i="6"/>
  <c r="C388" i="6"/>
  <c r="C387" i="6"/>
  <c r="C31" i="6"/>
  <c r="C32" i="6"/>
  <c r="C33" i="6"/>
  <c r="C30" i="6"/>
  <c r="A271" i="6" l="1"/>
  <c r="A269" i="6"/>
  <c r="A268" i="6"/>
  <c r="A270" i="6"/>
  <c r="C346" i="6"/>
  <c r="C345" i="6"/>
  <c r="C344" i="6"/>
  <c r="C343" i="6"/>
  <c r="C182" i="6"/>
  <c r="C107" i="6"/>
  <c r="C332" i="6"/>
  <c r="C407" i="6"/>
  <c r="C257" i="6"/>
  <c r="C482" i="6"/>
  <c r="C331" i="6"/>
  <c r="C406" i="6"/>
  <c r="C256" i="6"/>
  <c r="C181" i="6"/>
  <c r="C481" i="6"/>
  <c r="C106" i="6"/>
  <c r="C108" i="6"/>
  <c r="C333" i="6"/>
  <c r="C408" i="6"/>
  <c r="C258" i="6"/>
  <c r="C483" i="6"/>
  <c r="C183" i="6"/>
  <c r="C105" i="6"/>
  <c r="C405" i="6"/>
  <c r="C255" i="6"/>
  <c r="C480" i="6"/>
  <c r="C330" i="6"/>
  <c r="C180" i="6"/>
  <c r="D30" i="19"/>
  <c r="C15" i="6"/>
  <c r="C14" i="6"/>
  <c r="C12" i="6"/>
  <c r="C5" i="28" l="1"/>
  <c r="C4" i="28"/>
  <c r="C3" i="28"/>
  <c r="C2" i="28"/>
  <c r="C1" i="28"/>
  <c r="F10" i="27"/>
  <c r="C6" i="27"/>
  <c r="C5" i="27"/>
  <c r="C4" i="27"/>
  <c r="C3" i="27"/>
  <c r="C2" i="27"/>
  <c r="C1" i="27"/>
  <c r="B57" i="2" l="1"/>
  <c r="B61" i="2"/>
  <c r="E61" i="2"/>
  <c r="E57" i="2"/>
  <c r="F520" i="6" l="1"/>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A505" i="6"/>
  <c r="F504" i="6"/>
  <c r="G504" i="6" s="1"/>
  <c r="D504" i="6"/>
  <c r="A504" i="6"/>
  <c r="F499" i="6"/>
  <c r="E499" i="6"/>
  <c r="B499" i="6"/>
  <c r="A499" i="6"/>
  <c r="F498" i="6"/>
  <c r="E498" i="6"/>
  <c r="B498" i="6"/>
  <c r="A498" i="6"/>
  <c r="F497" i="6"/>
  <c r="E497" i="6"/>
  <c r="B497" i="6"/>
  <c r="A497" i="6"/>
  <c r="E496" i="6"/>
  <c r="A496" i="6"/>
  <c r="E495" i="6"/>
  <c r="A495" i="6"/>
  <c r="E494" i="6"/>
  <c r="A494" i="6"/>
  <c r="E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A483" i="6"/>
  <c r="A482" i="6"/>
  <c r="A481"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A436"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4" i="6"/>
  <c r="E424" i="6"/>
  <c r="B424" i="6"/>
  <c r="A424" i="6"/>
  <c r="F423" i="6"/>
  <c r="E423" i="6"/>
  <c r="B423" i="6"/>
  <c r="A423" i="6"/>
  <c r="F422" i="6"/>
  <c r="E422" i="6"/>
  <c r="B422" i="6"/>
  <c r="A422" i="6"/>
  <c r="E421" i="6"/>
  <c r="A421" i="6"/>
  <c r="E420" i="6"/>
  <c r="A420" i="6"/>
  <c r="E419" i="6"/>
  <c r="A419" i="6"/>
  <c r="E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A408" i="6"/>
  <c r="A407" i="6"/>
  <c r="A406"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A361" i="6"/>
  <c r="F360" i="6"/>
  <c r="G360" i="6" s="1"/>
  <c r="D360" i="6"/>
  <c r="A360" i="6"/>
  <c r="F359" i="6"/>
  <c r="G359" i="6" s="1"/>
  <c r="D359" i="6"/>
  <c r="A359" i="6"/>
  <c r="F358" i="6"/>
  <c r="G358" i="6" s="1"/>
  <c r="D358" i="6"/>
  <c r="A358" i="6"/>
  <c r="F357" i="6"/>
  <c r="G357" i="6" s="1"/>
  <c r="D357" i="6"/>
  <c r="A357" i="6"/>
  <c r="F356" i="6"/>
  <c r="G356" i="6" s="1"/>
  <c r="D356" i="6"/>
  <c r="A356" i="6"/>
  <c r="F355" i="6"/>
  <c r="G355" i="6" s="1"/>
  <c r="D355" i="6"/>
  <c r="A355" i="6"/>
  <c r="F354" i="6"/>
  <c r="G354" i="6" s="1"/>
  <c r="D354" i="6"/>
  <c r="A354" i="6"/>
  <c r="F349" i="6"/>
  <c r="E349" i="6"/>
  <c r="B349" i="6"/>
  <c r="A349" i="6"/>
  <c r="F348" i="6"/>
  <c r="E348" i="6"/>
  <c r="B348" i="6"/>
  <c r="A348" i="6"/>
  <c r="F347" i="6"/>
  <c r="E347" i="6"/>
  <c r="B347" i="6"/>
  <c r="A347" i="6"/>
  <c r="E346" i="6"/>
  <c r="A346" i="6"/>
  <c r="E345" i="6"/>
  <c r="A345" i="6"/>
  <c r="E344" i="6"/>
  <c r="A344" i="6"/>
  <c r="E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A279" i="6"/>
  <c r="F274" i="6"/>
  <c r="E274" i="6"/>
  <c r="B274" i="6"/>
  <c r="A274" i="6"/>
  <c r="F273" i="6"/>
  <c r="E273" i="6"/>
  <c r="B273" i="6"/>
  <c r="A273" i="6"/>
  <c r="F272" i="6"/>
  <c r="E272" i="6"/>
  <c r="B272" i="6"/>
  <c r="A272" i="6"/>
  <c r="E271" i="6"/>
  <c r="E270" i="6"/>
  <c r="E269" i="6"/>
  <c r="E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E196" i="6"/>
  <c r="A196" i="6"/>
  <c r="E195" i="6"/>
  <c r="A195" i="6"/>
  <c r="E194" i="6"/>
  <c r="A194" i="6"/>
  <c r="E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A183" i="6"/>
  <c r="A182" i="6"/>
  <c r="A181"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A136" i="6"/>
  <c r="D135" i="6"/>
  <c r="A135" i="6"/>
  <c r="F134" i="6"/>
  <c r="G134" i="6" s="1"/>
  <c r="D134" i="6"/>
  <c r="A134" i="6"/>
  <c r="F133" i="6"/>
  <c r="G133" i="6" s="1"/>
  <c r="D133" i="6"/>
  <c r="A133" i="6"/>
  <c r="F132" i="6"/>
  <c r="G132" i="6" s="1"/>
  <c r="D132" i="6"/>
  <c r="A132" i="6"/>
  <c r="F131" i="6"/>
  <c r="D131" i="6"/>
  <c r="A131" i="6"/>
  <c r="F130" i="6"/>
  <c r="G130" i="6" s="1"/>
  <c r="D130" i="6"/>
  <c r="A130" i="6"/>
  <c r="F129" i="6"/>
  <c r="D129" i="6"/>
  <c r="A129" i="6"/>
  <c r="F124" i="6"/>
  <c r="E124" i="6"/>
  <c r="B124" i="6"/>
  <c r="A124" i="6"/>
  <c r="F123" i="6"/>
  <c r="E123" i="6"/>
  <c r="B123" i="6"/>
  <c r="A123" i="6"/>
  <c r="F122" i="6"/>
  <c r="E122" i="6"/>
  <c r="B122" i="6"/>
  <c r="A122" i="6"/>
  <c r="E121" i="6"/>
  <c r="A121" i="6"/>
  <c r="E120" i="6"/>
  <c r="A120" i="6"/>
  <c r="E119" i="6"/>
  <c r="A119" i="6"/>
  <c r="E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A108"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46" i="6" l="1"/>
  <c r="G221" i="6"/>
  <c r="E323" i="6"/>
  <c r="G348" i="6"/>
  <c r="G349" i="6"/>
  <c r="G423" i="6"/>
  <c r="G347" i="6"/>
  <c r="G498" i="6"/>
  <c r="G499" i="6"/>
  <c r="G473" i="6"/>
  <c r="G365" i="6"/>
  <c r="G515" i="6"/>
  <c r="G272" i="6"/>
  <c r="G371" i="6"/>
  <c r="E398" i="6"/>
  <c r="G422" i="6"/>
  <c r="G424" i="6"/>
  <c r="G521" i="6"/>
  <c r="G446" i="6"/>
  <c r="E473" i="6"/>
  <c r="G497" i="6"/>
  <c r="G398" i="6"/>
  <c r="G440" i="6"/>
  <c r="G323" i="6"/>
  <c r="E173" i="6"/>
  <c r="G122" i="6"/>
  <c r="G199" i="6"/>
  <c r="G296" i="6"/>
  <c r="G281" i="6"/>
  <c r="G285" i="6"/>
  <c r="G289" i="6"/>
  <c r="G279" i="6"/>
  <c r="G283" i="6"/>
  <c r="G287" i="6"/>
  <c r="G248" i="6"/>
  <c r="E248" i="6"/>
  <c r="G210" i="6"/>
  <c r="G206" i="6"/>
  <c r="G214" i="6"/>
  <c r="G129" i="6"/>
  <c r="G137" i="6"/>
  <c r="G273" i="6"/>
  <c r="G274" i="6"/>
  <c r="G197" i="6"/>
  <c r="G198" i="6"/>
  <c r="G173" i="6"/>
  <c r="G98" i="6"/>
  <c r="G123" i="6"/>
  <c r="G124" i="6"/>
  <c r="G131" i="6"/>
  <c r="G139" i="6"/>
  <c r="E98" i="6"/>
  <c r="G290" i="6" l="1"/>
  <c r="G140" i="6"/>
  <c r="G215" i="6"/>
  <c r="A19" i="9"/>
  <c r="A28" i="2"/>
  <c r="A22" i="2"/>
  <c r="A23" i="2"/>
  <c r="A30" i="2"/>
  <c r="A13" i="9"/>
  <c r="A17" i="2"/>
  <c r="A29" i="2"/>
  <c r="A19" i="2"/>
  <c r="A25" i="9"/>
  <c r="A26" i="2"/>
  <c r="A25" i="2"/>
  <c r="A24" i="2"/>
  <c r="A15" i="9"/>
  <c r="A20" i="2"/>
  <c r="A18" i="2"/>
  <c r="A18" i="9"/>
  <c r="A24" i="9"/>
  <c r="A16" i="9"/>
  <c r="A14" i="9"/>
  <c r="A22" i="9"/>
  <c r="A23" i="9"/>
  <c r="A21" i="2"/>
  <c r="A21" i="9"/>
  <c r="A17" i="9"/>
  <c r="A27" i="2"/>
  <c r="A20" i="9"/>
  <c r="B31" i="9" l="1"/>
  <c r="B47" i="9"/>
  <c r="B38" i="9"/>
  <c r="B27" i="9"/>
  <c r="B45" i="9"/>
  <c r="B34" i="9"/>
  <c r="B39" i="9"/>
  <c r="B37" i="9"/>
  <c r="B44" i="9"/>
  <c r="B41" i="9"/>
  <c r="B43" i="9"/>
  <c r="B40" i="9"/>
  <c r="B29" i="9"/>
  <c r="B36" i="9"/>
  <c r="B33" i="9"/>
  <c r="B46" i="9"/>
  <c r="B35" i="9"/>
  <c r="B32" i="9"/>
  <c r="B42" i="9"/>
  <c r="B30" i="9"/>
  <c r="B28" i="9"/>
  <c r="E30" i="2"/>
  <c r="B30" i="2"/>
  <c r="B26" i="9" s="1"/>
  <c r="D30" i="2"/>
  <c r="E19" i="2"/>
  <c r="E29" i="2"/>
  <c r="E24" i="2"/>
  <c r="A16" i="28"/>
  <c r="A16" i="27" s="1"/>
  <c r="A26" i="28"/>
  <c r="A26" i="27" s="1"/>
  <c r="A27" i="28"/>
  <c r="A27" i="27" s="1"/>
  <c r="A19" i="28"/>
  <c r="A19" i="27" s="1"/>
  <c r="A24" i="28"/>
  <c r="A24" i="27" s="1"/>
  <c r="A20" i="28"/>
  <c r="A20" i="27" s="1"/>
  <c r="A29" i="28"/>
  <c r="A29" i="27" s="1"/>
  <c r="A17" i="28"/>
  <c r="A17" i="27" s="1"/>
  <c r="A23" i="28"/>
  <c r="A23" i="27" s="1"/>
  <c r="A15" i="28"/>
  <c r="A15" i="27" s="1"/>
  <c r="A13" i="28"/>
  <c r="A13" i="27" s="1"/>
  <c r="A30" i="28"/>
  <c r="A30" i="27" s="1"/>
  <c r="A22" i="28"/>
  <c r="A22" i="27" s="1"/>
  <c r="A18" i="28"/>
  <c r="A18" i="27" s="1"/>
  <c r="A21" i="28"/>
  <c r="A21" i="27" s="1"/>
  <c r="A25" i="28"/>
  <c r="A25" i="27" s="1"/>
  <c r="A14" i="28"/>
  <c r="A14" i="27" s="1"/>
  <c r="A28" i="28"/>
  <c r="A28" i="27" s="1"/>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60" i="2" l="1"/>
  <c r="B60" i="2"/>
  <c r="E58" i="2"/>
  <c r="B58" i="2"/>
  <c r="E55" i="2"/>
  <c r="B55" i="2"/>
  <c r="F49" i="6"/>
  <c r="G49" i="6" s="1"/>
  <c r="F47" i="6"/>
  <c r="G47"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4" i="6" l="1"/>
  <c r="D35" i="6"/>
  <c r="D36" i="6"/>
  <c r="D37" i="6"/>
  <c r="D38" i="6"/>
  <c r="A31" i="6"/>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46" i="6"/>
  <c r="A45" i="6"/>
  <c r="A44" i="6"/>
  <c r="A43" i="6"/>
  <c r="A30" i="6"/>
  <c r="F31" i="6" l="1"/>
  <c r="F32" i="6"/>
  <c r="F33" i="6"/>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G65" i="6" l="1"/>
  <c r="G50" i="6"/>
  <c r="B59" i="18" l="1"/>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M64" i="20" s="1"/>
  <c r="O16" i="20"/>
  <c r="L62" i="20" s="1"/>
  <c r="O13" i="20"/>
  <c r="O4" i="20"/>
  <c r="E51" i="19"/>
  <c r="E48" i="19"/>
  <c r="E45" i="19"/>
  <c r="E42" i="19"/>
  <c r="E39" i="19"/>
  <c r="E36" i="19"/>
  <c r="D22" i="19"/>
  <c r="D19" i="19"/>
  <c r="D16" i="19"/>
  <c r="D13" i="19"/>
  <c r="D10" i="19"/>
  <c r="B5" i="19"/>
  <c r="E4" i="19"/>
  <c r="B4" i="19"/>
  <c r="B3" i="19"/>
  <c r="B2" i="19"/>
  <c r="A36" i="18"/>
  <c r="A35" i="18"/>
  <c r="A38" i="18"/>
  <c r="A34" i="18"/>
  <c r="A33" i="18"/>
  <c r="A32" i="18"/>
  <c r="A39" i="18"/>
  <c r="A31" i="18"/>
  <c r="A30" i="18"/>
  <c r="A37" i="18"/>
  <c r="A29" i="18"/>
  <c r="A44" i="18"/>
  <c r="A42" i="18"/>
  <c r="A47" i="18"/>
  <c r="A46" i="18"/>
  <c r="A45" i="18"/>
  <c r="A43" i="18"/>
  <c r="A41" i="18"/>
  <c r="A40" i="18"/>
  <c r="A50" i="18"/>
  <c r="A49" i="18"/>
  <c r="A48" i="18"/>
  <c r="A21" i="18"/>
  <c r="C48" i="18" l="1"/>
  <c r="D48" i="18"/>
  <c r="C49" i="18"/>
  <c r="D49" i="18"/>
  <c r="C50" i="18"/>
  <c r="D50" i="18"/>
  <c r="D40" i="18"/>
  <c r="C40" i="18"/>
  <c r="C41" i="18"/>
  <c r="D41" i="18"/>
  <c r="D43" i="18"/>
  <c r="C43" i="18"/>
  <c r="C45" i="18"/>
  <c r="D45" i="18"/>
  <c r="D46" i="18"/>
  <c r="C46" i="18"/>
  <c r="D47" i="18"/>
  <c r="C47" i="18"/>
  <c r="D42" i="18"/>
  <c r="C42" i="18"/>
  <c r="D44" i="18"/>
  <c r="C44" i="18"/>
  <c r="D29" i="18"/>
  <c r="C37" i="18"/>
  <c r="D37" i="18"/>
  <c r="D30" i="18"/>
  <c r="D31" i="18"/>
  <c r="D39" i="18"/>
  <c r="C39" i="18"/>
  <c r="D32" i="18"/>
  <c r="D33" i="18"/>
  <c r="D34" i="18"/>
  <c r="C38" i="18"/>
  <c r="D38" i="18"/>
  <c r="D35" i="18"/>
  <c r="C35" i="18"/>
  <c r="C36" i="18"/>
  <c r="D36" i="18"/>
  <c r="J32" i="21"/>
  <c r="I37" i="21"/>
  <c r="M44" i="21"/>
  <c r="D332" i="6"/>
  <c r="E332" i="6" s="1"/>
  <c r="D182" i="6"/>
  <c r="E182" i="6" s="1"/>
  <c r="D107" i="6"/>
  <c r="E107" i="6" s="1"/>
  <c r="D482" i="6"/>
  <c r="E482" i="6" s="1"/>
  <c r="D407" i="6"/>
  <c r="E407" i="6" s="1"/>
  <c r="D257" i="6"/>
  <c r="E257" i="6" s="1"/>
  <c r="D32" i="6"/>
  <c r="E32" i="6" s="1"/>
  <c r="G32" i="6" s="1"/>
  <c r="K36" i="20"/>
  <c r="K41" i="21"/>
  <c r="K44" i="20"/>
  <c r="I45" i="21"/>
  <c r="I60" i="21"/>
  <c r="I39" i="21"/>
  <c r="I63" i="21"/>
  <c r="I64" i="21"/>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D30" i="6"/>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24" i="18"/>
  <c r="A28" i="18"/>
  <c r="A27" i="18"/>
  <c r="A23" i="18"/>
  <c r="A22" i="18"/>
  <c r="A18" i="18"/>
  <c r="A20" i="18"/>
  <c r="A25" i="18"/>
  <c r="A26" i="18"/>
  <c r="A17" i="18"/>
  <c r="A16" i="18"/>
  <c r="A19" i="18"/>
  <c r="D18" i="18" l="1"/>
  <c r="D28" i="18"/>
  <c r="D23" i="18"/>
  <c r="D183" i="6"/>
  <c r="E183" i="6" s="1"/>
  <c r="D408" i="6"/>
  <c r="E408" i="6" s="1"/>
  <c r="D258" i="6"/>
  <c r="E258" i="6" s="1"/>
  <c r="D483" i="6"/>
  <c r="E483" i="6" s="1"/>
  <c r="D108" i="6"/>
  <c r="E108" i="6" s="1"/>
  <c r="D333" i="6"/>
  <c r="E333" i="6" s="1"/>
  <c r="D33" i="6"/>
  <c r="E33" i="6" s="1"/>
  <c r="G33" i="6" s="1"/>
  <c r="D180" i="6"/>
  <c r="E180" i="6" s="1"/>
  <c r="D480" i="6"/>
  <c r="E480" i="6" s="1"/>
  <c r="D405" i="6"/>
  <c r="E405" i="6" s="1"/>
  <c r="D105" i="6"/>
  <c r="E105" i="6" s="1"/>
  <c r="D255" i="6"/>
  <c r="E255" i="6" s="1"/>
  <c r="D330" i="6"/>
  <c r="E330" i="6" s="1"/>
  <c r="D256" i="6"/>
  <c r="E256" i="6" s="1"/>
  <c r="D181" i="6"/>
  <c r="E181" i="6" s="1"/>
  <c r="D406" i="6"/>
  <c r="E406" i="6" s="1"/>
  <c r="D481" i="6"/>
  <c r="E481" i="6" s="1"/>
  <c r="D106" i="6"/>
  <c r="E106" i="6" s="1"/>
  <c r="D331" i="6"/>
  <c r="E331" i="6" s="1"/>
  <c r="D31" i="6"/>
  <c r="E31" i="6" s="1"/>
  <c r="G31"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R703" i="12"/>
  <c r="Q703" i="12"/>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64" i="18"/>
  <c r="D51" i="15" l="1"/>
  <c r="D55" i="15"/>
  <c r="D47" i="15"/>
  <c r="D53" i="15"/>
  <c r="D54" i="15"/>
  <c r="D52" i="15"/>
  <c r="D56" i="15"/>
  <c r="D48" i="15"/>
  <c r="D50" i="15"/>
  <c r="D49" i="15"/>
  <c r="D183" i="15"/>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45" i="15"/>
  <c r="D43" i="15"/>
  <c r="D41" i="15"/>
  <c r="D39" i="15"/>
  <c r="D37" i="15"/>
  <c r="D35" i="15"/>
  <c r="A35" i="15" s="1"/>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B29" i="28" s="1"/>
  <c r="C55" i="15"/>
  <c r="B28" i="28" s="1"/>
  <c r="C53" i="15"/>
  <c r="B27" i="28" s="1"/>
  <c r="C51" i="15"/>
  <c r="C49" i="15"/>
  <c r="C47" i="15"/>
  <c r="C45" i="15"/>
  <c r="C43" i="15"/>
  <c r="C41" i="15"/>
  <c r="C39" i="15"/>
  <c r="C37" i="15"/>
  <c r="C35" i="15"/>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46" i="15"/>
  <c r="D44" i="15"/>
  <c r="D42" i="15"/>
  <c r="D40" i="15"/>
  <c r="D38" i="15"/>
  <c r="D36" i="15"/>
  <c r="D34"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B30" i="28" s="1"/>
  <c r="C56" i="15"/>
  <c r="C54" i="15"/>
  <c r="C52" i="15"/>
  <c r="B26" i="28" s="1"/>
  <c r="C50" i="15"/>
  <c r="C48" i="15"/>
  <c r="C46" i="15"/>
  <c r="C44" i="15"/>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6" i="15" l="1"/>
  <c r="A37" i="15" s="1"/>
  <c r="A38" i="15" s="1"/>
  <c r="A39" i="15" s="1"/>
  <c r="A40" i="15" s="1"/>
  <c r="A41" i="15" s="1"/>
  <c r="B25" i="28"/>
  <c r="F25" i="28" s="1"/>
  <c r="F28" i="28"/>
  <c r="B28" i="27"/>
  <c r="F27" i="28"/>
  <c r="B27" i="27"/>
  <c r="F30" i="28"/>
  <c r="B30" i="27"/>
  <c r="F26" i="28"/>
  <c r="B26" i="27"/>
  <c r="F29" i="28"/>
  <c r="B29" i="27"/>
  <c r="C36" i="8"/>
  <c r="C11" i="8"/>
  <c r="C75" i="8" s="1"/>
  <c r="B25" i="27" l="1"/>
  <c r="A42" i="15"/>
  <c r="C1" i="5"/>
  <c r="C1" i="4"/>
  <c r="A43" i="15" l="1"/>
  <c r="C10" i="2"/>
  <c r="C9" i="2"/>
  <c r="C8" i="2"/>
  <c r="C7" i="2"/>
  <c r="C6" i="2"/>
  <c r="C5" i="2"/>
  <c r="C4" i="2"/>
  <c r="C3" i="2"/>
  <c r="C2" i="2"/>
  <c r="C1" i="2"/>
  <c r="A44" i="15" l="1"/>
  <c r="B1" i="8"/>
  <c r="A45" i="15" l="1"/>
  <c r="E17" i="14"/>
  <c r="E22" i="14"/>
  <c r="E26" i="14"/>
  <c r="E30" i="14"/>
  <c r="E34" i="14"/>
  <c r="E38" i="14"/>
  <c r="E42" i="14"/>
  <c r="E46" i="14"/>
  <c r="E50" i="14"/>
  <c r="E54" i="14"/>
  <c r="E58" i="14"/>
  <c r="E62" i="14"/>
  <c r="E66" i="14"/>
  <c r="E70"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7" i="14"/>
  <c r="E63" i="14"/>
  <c r="E68" i="14"/>
  <c r="E73"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B269" i="6" s="1"/>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B504" i="6" s="1"/>
  <c r="E60" i="14"/>
  <c r="E69"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B270" i="6" s="1"/>
  <c r="E10" i="14"/>
  <c r="E14" i="14"/>
  <c r="E167" i="14"/>
  <c r="E195" i="14"/>
  <c r="E224" i="14"/>
  <c r="E251" i="14"/>
  <c r="E272" i="14"/>
  <c r="E294" i="14"/>
  <c r="E315" i="14"/>
  <c r="E343" i="14"/>
  <c r="E364" i="14"/>
  <c r="E379" i="14"/>
  <c r="E397" i="14"/>
  <c r="E413" i="14"/>
  <c r="E434" i="14"/>
  <c r="E450" i="14"/>
  <c r="E466" i="14"/>
  <c r="E481" i="14"/>
  <c r="E489" i="14"/>
  <c r="E505" i="14"/>
  <c r="E517" i="14"/>
  <c r="E529" i="14"/>
  <c r="E541" i="14"/>
  <c r="E7" i="14"/>
  <c r="B271" i="6" s="1"/>
  <c r="E45" i="14"/>
  <c r="B505" i="6"/>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268" i="6" s="1"/>
  <c r="E12" i="14"/>
  <c r="E15" i="14"/>
  <c r="E24" i="14"/>
  <c r="E33" i="14"/>
  <c r="E44" i="14"/>
  <c r="E53" i="14"/>
  <c r="E61" i="14"/>
  <c r="E72"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40" i="14"/>
  <c r="E168" i="14"/>
  <c r="E197" i="14"/>
  <c r="E225" i="14"/>
  <c r="E252" i="14"/>
  <c r="E274" i="14"/>
  <c r="E295" i="14"/>
  <c r="E316" i="14"/>
  <c r="E338" i="14"/>
  <c r="E359" i="14"/>
  <c r="E380" i="14"/>
  <c r="E398" i="14"/>
  <c r="E414" i="14"/>
  <c r="E425" i="14"/>
  <c r="E436" i="14"/>
  <c r="E462" i="14"/>
  <c r="E478" i="14"/>
  <c r="H13" i="9"/>
  <c r="H14" i="9"/>
  <c r="A46" i="15" l="1"/>
  <c r="B196" i="6"/>
  <c r="B496" i="6"/>
  <c r="B421" i="6"/>
  <c r="B121" i="6"/>
  <c r="B346" i="6"/>
  <c r="B46" i="6"/>
  <c r="B419" i="6"/>
  <c r="B119" i="6"/>
  <c r="B494" i="6"/>
  <c r="B194" i="6"/>
  <c r="B344" i="6"/>
  <c r="B44" i="6"/>
  <c r="B495" i="6"/>
  <c r="B120" i="6"/>
  <c r="B345" i="6"/>
  <c r="B420" i="6"/>
  <c r="B195" i="6"/>
  <c r="B45" i="6"/>
  <c r="B354" i="6"/>
  <c r="B129" i="6"/>
  <c r="B429" i="6"/>
  <c r="B330" i="6"/>
  <c r="B180" i="6"/>
  <c r="B105" i="6"/>
  <c r="B405" i="6"/>
  <c r="B255" i="6"/>
  <c r="B480" i="6"/>
  <c r="B130" i="6"/>
  <c r="B355" i="6"/>
  <c r="B430" i="6"/>
  <c r="B134" i="6"/>
  <c r="B434" i="6"/>
  <c r="B359" i="6"/>
  <c r="B43" i="6"/>
  <c r="B343" i="6"/>
  <c r="B193" i="6"/>
  <c r="B418" i="6"/>
  <c r="B118" i="6"/>
  <c r="B493" i="6"/>
  <c r="B279" i="6"/>
  <c r="B406" i="6"/>
  <c r="B256" i="6"/>
  <c r="B106" i="6"/>
  <c r="B181" i="6"/>
  <c r="B481" i="6"/>
  <c r="B331" i="6"/>
  <c r="B31" i="6"/>
  <c r="B136" i="6"/>
  <c r="B436" i="6"/>
  <c r="B361" i="6"/>
  <c r="B483" i="6"/>
  <c r="B183" i="6"/>
  <c r="B408" i="6"/>
  <c r="B258" i="6"/>
  <c r="B108" i="6"/>
  <c r="B333" i="6"/>
  <c r="B33" i="6"/>
  <c r="B356" i="6"/>
  <c r="B131" i="6"/>
  <c r="B431" i="6"/>
  <c r="B360" i="6"/>
  <c r="B435" i="6"/>
  <c r="B135" i="6"/>
  <c r="B482" i="6"/>
  <c r="B107" i="6"/>
  <c r="B407" i="6"/>
  <c r="B332" i="6"/>
  <c r="B182" i="6"/>
  <c r="B257" i="6"/>
  <c r="B32" i="6"/>
  <c r="B30" i="6"/>
  <c r="B132" i="6"/>
  <c r="B357" i="6"/>
  <c r="B432" i="6"/>
  <c r="B358" i="6"/>
  <c r="B133" i="6"/>
  <c r="B433" i="6"/>
  <c r="B64" i="6"/>
  <c r="B62" i="6"/>
  <c r="B60" i="6"/>
  <c r="B58" i="6"/>
  <c r="B56" i="6"/>
  <c r="B54" i="6"/>
  <c r="B59" i="6"/>
  <c r="B55" i="6"/>
  <c r="B63" i="6"/>
  <c r="B61" i="6"/>
  <c r="B57" i="6"/>
  <c r="A47" i="15" l="1"/>
  <c r="A48"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49"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0" i="15" l="1"/>
  <c r="E75" i="8"/>
  <c r="A51" i="15" l="1"/>
  <c r="D36" i="8"/>
  <c r="A52" i="15" l="1"/>
  <c r="A53" i="15" s="1"/>
  <c r="B5" i="8"/>
  <c r="B4" i="8"/>
  <c r="B3" i="8"/>
  <c r="B2" i="8"/>
  <c r="A54" i="15" l="1"/>
  <c r="A55" i="15"/>
  <c r="C6" i="9"/>
  <c r="C4" i="9"/>
  <c r="C3" i="9"/>
  <c r="C2" i="9"/>
  <c r="C1" i="9"/>
  <c r="C5" i="9"/>
  <c r="A56" i="15" l="1"/>
  <c r="H25" i="9"/>
  <c r="H24" i="9"/>
  <c r="H23" i="9"/>
  <c r="H22" i="9"/>
  <c r="H21" i="9"/>
  <c r="H20" i="9"/>
  <c r="H19" i="9"/>
  <c r="H18" i="9"/>
  <c r="H17" i="9"/>
  <c r="H16" i="9"/>
  <c r="H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B16" i="28" s="1"/>
  <c r="E21" i="2"/>
  <c r="E20" i="2"/>
  <c r="B20" i="2"/>
  <c r="B15" i="28" s="1"/>
  <c r="D20" i="2"/>
  <c r="B19" i="2"/>
  <c r="B14" i="28" s="1"/>
  <c r="D19" i="2"/>
  <c r="E18" i="2"/>
  <c r="D18" i="2"/>
  <c r="B18" i="2"/>
  <c r="B13" i="28" s="1"/>
  <c r="B17" i="2"/>
  <c r="D17" i="2"/>
  <c r="E17" i="2"/>
  <c r="F10" i="2"/>
  <c r="A94" i="15"/>
  <c r="B24" i="2"/>
  <c r="B18" i="28" s="1"/>
  <c r="D23" i="2"/>
  <c r="B26" i="2"/>
  <c r="B29" i="2"/>
  <c r="B25" i="2"/>
  <c r="B19" i="28" s="1"/>
  <c r="D28" i="2"/>
  <c r="D24" i="2"/>
  <c r="D29" i="2"/>
  <c r="B28" i="2"/>
  <c r="B21" i="28" s="1"/>
  <c r="D26" i="2"/>
  <c r="B22" i="2"/>
  <c r="B17" i="28" s="1"/>
  <c r="E22" i="2"/>
  <c r="D21" i="18" s="1"/>
  <c r="E28" i="2"/>
  <c r="D27" i="2"/>
  <c r="E26" i="2"/>
  <c r="E23" i="2"/>
  <c r="D22" i="18" s="1"/>
  <c r="B24" i="28"/>
  <c r="D22" i="2"/>
  <c r="B23" i="28"/>
  <c r="B27" i="2"/>
  <c r="D25" i="2"/>
  <c r="B23" i="2"/>
  <c r="E27" i="2"/>
  <c r="E25" i="2"/>
  <c r="B20" i="28" l="1"/>
  <c r="F20" i="28" s="1"/>
  <c r="B22" i="28"/>
  <c r="F22" i="28" s="1"/>
  <c r="B28" i="18"/>
  <c r="D19" i="18"/>
  <c r="D20" i="18"/>
  <c r="F24" i="28"/>
  <c r="B24" i="27"/>
  <c r="F17" i="28"/>
  <c r="B17" i="27"/>
  <c r="F19" i="28"/>
  <c r="B19" i="27"/>
  <c r="F23" i="28"/>
  <c r="B23" i="27"/>
  <c r="F21" i="28"/>
  <c r="B21" i="27"/>
  <c r="F14" i="28"/>
  <c r="B14" i="27"/>
  <c r="F18" i="28"/>
  <c r="B18" i="27"/>
  <c r="F16" i="28"/>
  <c r="B16" i="27"/>
  <c r="F15" i="28"/>
  <c r="B15" i="27"/>
  <c r="F13" i="28"/>
  <c r="B13" i="27"/>
  <c r="A95" i="15"/>
  <c r="D25" i="18"/>
  <c r="D27" i="18"/>
  <c r="D24" i="18"/>
  <c r="D26" i="18"/>
  <c r="B22" i="27" l="1"/>
  <c r="B20" i="27"/>
  <c r="A96" i="15"/>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17" i="23" l="1"/>
  <c r="B11" i="23"/>
  <c r="D11" i="23" s="1"/>
  <c r="B14" i="23"/>
  <c r="B12" i="23"/>
  <c r="B13" i="23"/>
  <c r="B15" i="23"/>
  <c r="B16" i="23"/>
  <c r="B7" i="6"/>
  <c r="B10" i="23"/>
  <c r="B47" i="23"/>
  <c r="B25" i="23"/>
  <c r="B24" i="23"/>
  <c r="B19" i="23"/>
  <c r="B28" i="23"/>
  <c r="B27" i="23"/>
  <c r="B43" i="23"/>
  <c r="B45" i="23"/>
  <c r="B21" i="23"/>
  <c r="B23" i="23"/>
  <c r="B38" i="23"/>
  <c r="B22" i="23"/>
  <c r="B39" i="23"/>
  <c r="B37" i="23"/>
  <c r="B36" i="23"/>
  <c r="B30" i="23"/>
  <c r="B26" i="23"/>
  <c r="B46" i="23"/>
  <c r="B31" i="23"/>
  <c r="B41" i="23"/>
  <c r="B33" i="23"/>
  <c r="B35" i="23"/>
  <c r="B18" i="23"/>
  <c r="B40" i="23"/>
  <c r="B32" i="23"/>
  <c r="B42" i="23"/>
  <c r="B34" i="23"/>
  <c r="B20" i="23"/>
  <c r="B44" i="23"/>
  <c r="B29" i="23"/>
  <c r="D10" i="23" l="1"/>
  <c r="F10" i="23" s="1"/>
  <c r="C10" i="23"/>
  <c r="B6" i="6"/>
  <c r="A73" i="6"/>
  <c r="C14" i="23"/>
  <c r="D14" i="23"/>
  <c r="F14" i="23" s="1"/>
  <c r="C13" i="23"/>
  <c r="D13" i="23"/>
  <c r="F13" i="23" s="1"/>
  <c r="C12" i="23"/>
  <c r="D12" i="23"/>
  <c r="F12" i="23" s="1"/>
  <c r="C11" i="23"/>
  <c r="F11" i="23"/>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F108" i="6" l="1"/>
  <c r="G108" i="6" s="1"/>
  <c r="F106" i="6"/>
  <c r="G106" i="6" s="1"/>
  <c r="F107" i="6"/>
  <c r="G107" i="6" s="1"/>
  <c r="F121" i="6"/>
  <c r="G121" i="6" s="1"/>
  <c r="F119" i="6"/>
  <c r="G119" i="6" s="1"/>
  <c r="F120" i="6"/>
  <c r="G120" i="6" s="1"/>
  <c r="F118" i="6"/>
  <c r="G118" i="6" s="1"/>
  <c r="F105" i="6"/>
  <c r="G105" i="6" s="1"/>
  <c r="D100" i="6"/>
  <c r="B82" i="6"/>
  <c r="G125" i="6" l="1"/>
  <c r="G114" i="6"/>
  <c r="A148" i="6"/>
  <c r="B81" i="6"/>
  <c r="G148" i="6" l="1"/>
  <c r="G149" i="6" s="1"/>
  <c r="F196" i="6"/>
  <c r="G196" i="6" s="1"/>
  <c r="F183" i="6"/>
  <c r="G183" i="6" s="1"/>
  <c r="F194" i="6"/>
  <c r="G194" i="6" s="1"/>
  <c r="F182" i="6"/>
  <c r="G182" i="6" s="1"/>
  <c r="F181" i="6"/>
  <c r="G181" i="6" s="1"/>
  <c r="F195" i="6"/>
  <c r="G195" i="6" s="1"/>
  <c r="F193" i="6"/>
  <c r="G193" i="6" s="1"/>
  <c r="F180" i="6"/>
  <c r="G180" i="6" s="1"/>
  <c r="D175" i="6"/>
  <c r="B157" i="6"/>
  <c r="G200" i="6" l="1"/>
  <c r="G189" i="6"/>
  <c r="A223" i="6"/>
  <c r="B156" i="6"/>
  <c r="G223" i="6" l="1"/>
  <c r="G224" i="6" s="1"/>
  <c r="F268" i="6"/>
  <c r="G268" i="6" s="1"/>
  <c r="F256" i="6"/>
  <c r="G256" i="6" s="1"/>
  <c r="F257" i="6"/>
  <c r="G257" i="6" s="1"/>
  <c r="F255" i="6"/>
  <c r="G255" i="6" s="1"/>
  <c r="F269" i="6"/>
  <c r="G269" i="6" s="1"/>
  <c r="F271" i="6"/>
  <c r="G271" i="6" s="1"/>
  <c r="F258" i="6"/>
  <c r="G258" i="6" s="1"/>
  <c r="F270" i="6"/>
  <c r="G270" i="6" s="1"/>
  <c r="D250" i="6"/>
  <c r="B232" i="6"/>
  <c r="G264" i="6" l="1"/>
  <c r="G275" i="6"/>
  <c r="A298" i="6"/>
  <c r="B231" i="6"/>
  <c r="G298" i="6" l="1"/>
  <c r="G299" i="6" s="1"/>
  <c r="F344" i="6"/>
  <c r="G344" i="6" s="1"/>
  <c r="F333" i="6"/>
  <c r="G333" i="6" s="1"/>
  <c r="F346" i="6"/>
  <c r="G346" i="6" s="1"/>
  <c r="F331" i="6"/>
  <c r="G331" i="6" s="1"/>
  <c r="F345" i="6"/>
  <c r="G345" i="6" s="1"/>
  <c r="F332" i="6"/>
  <c r="G332" i="6" s="1"/>
  <c r="F330" i="6"/>
  <c r="G330" i="6" s="1"/>
  <c r="F343" i="6"/>
  <c r="G343" i="6" s="1"/>
  <c r="D325" i="6"/>
  <c r="B307" i="6"/>
  <c r="G350" i="6" l="1"/>
  <c r="G339" i="6"/>
  <c r="H321" i="6" s="1"/>
  <c r="A373" i="6"/>
  <c r="B306" i="6"/>
  <c r="G373" i="6" l="1"/>
  <c r="G374" i="6" s="1"/>
  <c r="F419" i="6"/>
  <c r="G419" i="6" s="1"/>
  <c r="F407" i="6"/>
  <c r="G407" i="6" s="1"/>
  <c r="F418" i="6"/>
  <c r="G418" i="6" s="1"/>
  <c r="F405" i="6"/>
  <c r="G405" i="6" s="1"/>
  <c r="F420" i="6"/>
  <c r="G420" i="6" s="1"/>
  <c r="F408" i="6"/>
  <c r="G408" i="6" s="1"/>
  <c r="F406" i="6"/>
  <c r="G406" i="6" s="1"/>
  <c r="F421" i="6"/>
  <c r="G421" i="6" s="1"/>
  <c r="D400" i="6"/>
  <c r="B382" i="6"/>
  <c r="G414" i="6" l="1"/>
  <c r="G425" i="6"/>
  <c r="A448" i="6"/>
  <c r="B381" i="6"/>
  <c r="G448" i="6" l="1"/>
  <c r="G449" i="6" s="1"/>
  <c r="H396" i="6"/>
  <c r="F493" i="6"/>
  <c r="G493" i="6" s="1"/>
  <c r="F496" i="6"/>
  <c r="G496" i="6" s="1"/>
  <c r="F495" i="6"/>
  <c r="G495" i="6" s="1"/>
  <c r="F483" i="6"/>
  <c r="G483" i="6" s="1"/>
  <c r="F494" i="6"/>
  <c r="G494" i="6" s="1"/>
  <c r="F482" i="6"/>
  <c r="G482" i="6" s="1"/>
  <c r="F481" i="6"/>
  <c r="G481" i="6" s="1"/>
  <c r="F480" i="6"/>
  <c r="G480" i="6" s="1"/>
  <c r="B457" i="6"/>
  <c r="D475" i="6"/>
  <c r="G500" i="6" l="1"/>
  <c r="G489" i="6"/>
  <c r="A523" i="6"/>
  <c r="B456" i="6"/>
  <c r="F570" i="6" l="1"/>
  <c r="G570" i="6" s="1"/>
  <c r="F569" i="6"/>
  <c r="G569" i="6" s="1"/>
  <c r="B532" i="6"/>
  <c r="F571" i="6"/>
  <c r="G571" i="6" s="1"/>
  <c r="F558" i="6"/>
  <c r="G558" i="6" s="1"/>
  <c r="F568" i="6"/>
  <c r="G568" i="6" s="1"/>
  <c r="F556" i="6"/>
  <c r="G556" i="6" s="1"/>
  <c r="F555" i="6"/>
  <c r="G555" i="6" s="1"/>
  <c r="F557" i="6"/>
  <c r="G557" i="6" s="1"/>
  <c r="D550" i="6"/>
  <c r="G523" i="6"/>
  <c r="G524" i="6" s="1"/>
  <c r="G575" i="6" l="1"/>
  <c r="G564" i="6"/>
  <c r="G598" i="6" s="1"/>
  <c r="G599" i="6" s="1"/>
  <c r="A598" i="6"/>
  <c r="B531" i="6"/>
  <c r="C531" i="6" s="1"/>
  <c r="G532" i="6"/>
  <c r="C532" i="6"/>
  <c r="B598" i="6" s="1"/>
  <c r="G39" i="6"/>
  <c r="G73" i="6" s="1"/>
  <c r="B17" i="18"/>
  <c r="B18" i="18"/>
  <c r="B19" i="18"/>
  <c r="B20" i="18"/>
  <c r="B21" i="18"/>
  <c r="B22" i="18"/>
  <c r="B23" i="18"/>
  <c r="B24" i="18"/>
  <c r="B25" i="18"/>
  <c r="B26" i="18"/>
  <c r="B27" i="18"/>
  <c r="C17" i="18"/>
  <c r="C18" i="18"/>
  <c r="C19" i="18"/>
  <c r="C20" i="18"/>
  <c r="C21" i="18"/>
  <c r="C22" i="18"/>
  <c r="C23" i="18"/>
  <c r="C24" i="18"/>
  <c r="C25" i="18"/>
  <c r="C26" i="18"/>
  <c r="C27" i="18"/>
  <c r="C28" i="18"/>
  <c r="C16" i="18"/>
  <c r="B16" i="18"/>
  <c r="B14" i="9"/>
  <c r="B24" i="9"/>
  <c r="B23" i="9"/>
  <c r="B22" i="9"/>
  <c r="B19" i="9"/>
  <c r="B18" i="9"/>
  <c r="B16" i="9"/>
  <c r="B15" i="9"/>
  <c r="B25" i="9"/>
  <c r="B17" i="9"/>
  <c r="B20" i="9"/>
  <c r="B21" i="9"/>
  <c r="B13" i="9"/>
  <c r="E550" i="6" l="1"/>
  <c r="F599" i="6"/>
  <c r="F598" i="6"/>
  <c r="F629" i="6"/>
  <c r="G629" i="6" s="1"/>
  <c r="F644" i="6"/>
  <c r="G644" i="6" s="1"/>
  <c r="F645" i="6"/>
  <c r="G645" i="6" s="1"/>
  <c r="D624" i="6"/>
  <c r="F643" i="6"/>
  <c r="G643" i="6" s="1"/>
  <c r="B606" i="6"/>
  <c r="F642" i="6"/>
  <c r="G642" i="6" s="1"/>
  <c r="F631" i="6"/>
  <c r="G631" i="6" s="1"/>
  <c r="F632" i="6"/>
  <c r="G632" i="6" s="1"/>
  <c r="F630" i="6"/>
  <c r="G630" i="6" s="1"/>
  <c r="G74" i="6"/>
  <c r="F19" i="2"/>
  <c r="G19" i="2" s="1"/>
  <c r="D17" i="18"/>
  <c r="D16" i="18"/>
  <c r="G638" i="6" l="1"/>
  <c r="G649" i="6"/>
  <c r="B605" i="6"/>
  <c r="C605" i="6" s="1"/>
  <c r="A672" i="6"/>
  <c r="G606" i="6"/>
  <c r="C606" i="6"/>
  <c r="B672" i="6" s="1"/>
  <c r="H17" i="2"/>
  <c r="G672" i="6" l="1"/>
  <c r="G673" i="6" s="1"/>
  <c r="F673" i="6"/>
  <c r="E624" i="6"/>
  <c r="F672" i="6"/>
  <c r="F704" i="6"/>
  <c r="G704" i="6" s="1"/>
  <c r="F703" i="6"/>
  <c r="G703" i="6" s="1"/>
  <c r="D698" i="6"/>
  <c r="F718" i="6"/>
  <c r="G718" i="6" s="1"/>
  <c r="F706" i="6"/>
  <c r="G706" i="6" s="1"/>
  <c r="F705" i="6"/>
  <c r="G705" i="6" s="1"/>
  <c r="F717" i="6"/>
  <c r="G717" i="6" s="1"/>
  <c r="B680" i="6"/>
  <c r="F716" i="6"/>
  <c r="G716" i="6" s="1"/>
  <c r="F719" i="6"/>
  <c r="G719" i="6" s="1"/>
  <c r="F30" i="2"/>
  <c r="G30" i="2" s="1"/>
  <c r="F16" i="18"/>
  <c r="E16" i="18" s="1"/>
  <c r="H30" i="2" l="1"/>
  <c r="F29" i="18"/>
  <c r="G712" i="6"/>
  <c r="G723" i="6"/>
  <c r="G746" i="6" s="1"/>
  <c r="G747" i="6" s="1"/>
  <c r="B679" i="6"/>
  <c r="C679" i="6" s="1"/>
  <c r="A746" i="6"/>
  <c r="C680" i="6"/>
  <c r="B746" i="6" s="1"/>
  <c r="G680" i="6"/>
  <c r="G16" i="18"/>
  <c r="F746" i="6" l="1"/>
  <c r="F747" i="6"/>
  <c r="E698" i="6"/>
  <c r="F780" i="6"/>
  <c r="G780" i="6" s="1"/>
  <c r="F792" i="6"/>
  <c r="G792" i="6" s="1"/>
  <c r="D772" i="6"/>
  <c r="F790" i="6"/>
  <c r="G790" i="6" s="1"/>
  <c r="B754" i="6"/>
  <c r="F778" i="6"/>
  <c r="G778" i="6" s="1"/>
  <c r="F779" i="6"/>
  <c r="G779" i="6" s="1"/>
  <c r="F777" i="6"/>
  <c r="G777" i="6" s="1"/>
  <c r="F793" i="6"/>
  <c r="G793" i="6" s="1"/>
  <c r="F791" i="6"/>
  <c r="G791" i="6" s="1"/>
  <c r="F32" i="2"/>
  <c r="G32" i="2" s="1"/>
  <c r="G29" i="18"/>
  <c r="E29" i="18"/>
  <c r="F29" i="2"/>
  <c r="G29" i="2" s="1"/>
  <c r="H29" i="2" s="1"/>
  <c r="F31" i="18" l="1"/>
  <c r="H32" i="2"/>
  <c r="B753" i="6"/>
  <c r="C753" i="6" s="1"/>
  <c r="A820" i="6"/>
  <c r="G754" i="6"/>
  <c r="C754" i="6"/>
  <c r="B820" i="6" s="1"/>
  <c r="G797" i="6"/>
  <c r="G786" i="6"/>
  <c r="G820" i="6" s="1"/>
  <c r="G821" i="6" s="1"/>
  <c r="F20" i="2"/>
  <c r="G20" i="2" s="1"/>
  <c r="F22" i="2"/>
  <c r="G22" i="2" s="1"/>
  <c r="F23" i="2"/>
  <c r="G23" i="2" s="1"/>
  <c r="F821" i="6" l="1"/>
  <c r="F820" i="6"/>
  <c r="E772" i="6"/>
  <c r="D846" i="6"/>
  <c r="F854" i="6"/>
  <c r="G854" i="6" s="1"/>
  <c r="F864" i="6"/>
  <c r="G864" i="6" s="1"/>
  <c r="F851" i="6"/>
  <c r="G851" i="6" s="1"/>
  <c r="B828" i="6"/>
  <c r="F866" i="6"/>
  <c r="G866" i="6" s="1"/>
  <c r="F867" i="6"/>
  <c r="G867" i="6" s="1"/>
  <c r="F865" i="6"/>
  <c r="G865" i="6" s="1"/>
  <c r="F853" i="6"/>
  <c r="G853" i="6" s="1"/>
  <c r="F852" i="6"/>
  <c r="G852" i="6" s="1"/>
  <c r="F33" i="2"/>
  <c r="G33" i="2" s="1"/>
  <c r="E31" i="18"/>
  <c r="G31" i="18"/>
  <c r="H20" i="2"/>
  <c r="F19" i="18"/>
  <c r="H19" i="2"/>
  <c r="H23" i="2"/>
  <c r="F22" i="18"/>
  <c r="F21" i="18"/>
  <c r="H22" i="2"/>
  <c r="B827" i="6" l="1"/>
  <c r="C827" i="6" s="1"/>
  <c r="A894" i="6"/>
  <c r="C828" i="6"/>
  <c r="B894" i="6" s="1"/>
  <c r="G828" i="6"/>
  <c r="G860" i="6"/>
  <c r="H33" i="2"/>
  <c r="F32" i="18"/>
  <c r="G871" i="6"/>
  <c r="G21" i="18"/>
  <c r="G22" i="18"/>
  <c r="G19" i="18"/>
  <c r="E22" i="18"/>
  <c r="E21" i="18"/>
  <c r="E19" i="18"/>
  <c r="E32" i="18" l="1"/>
  <c r="G32" i="18"/>
  <c r="G894" i="6"/>
  <c r="G895" i="6" s="1"/>
  <c r="E846" i="6"/>
  <c r="F894" i="6"/>
  <c r="F895" i="6"/>
  <c r="F940" i="6"/>
  <c r="G940" i="6" s="1"/>
  <c r="D920" i="6"/>
  <c r="B902" i="6"/>
  <c r="F926" i="6"/>
  <c r="G926" i="6" s="1"/>
  <c r="F927" i="6"/>
  <c r="G927" i="6" s="1"/>
  <c r="F939" i="6"/>
  <c r="G939" i="6" s="1"/>
  <c r="F928" i="6"/>
  <c r="G928" i="6" s="1"/>
  <c r="F941" i="6"/>
  <c r="G941" i="6" s="1"/>
  <c r="F925" i="6"/>
  <c r="G925" i="6" s="1"/>
  <c r="G934" i="6" s="1"/>
  <c r="F938" i="6"/>
  <c r="G938" i="6" s="1"/>
  <c r="F34" i="2"/>
  <c r="G34" i="2" s="1"/>
  <c r="F24" i="2"/>
  <c r="G24" i="2" s="1"/>
  <c r="H24" i="2" s="1"/>
  <c r="H34" i="2" l="1"/>
  <c r="F33" i="18"/>
  <c r="G945" i="6"/>
  <c r="G968" i="6" s="1"/>
  <c r="G969" i="6" s="1"/>
  <c r="A968" i="6"/>
  <c r="B901" i="6"/>
  <c r="C901" i="6" s="1"/>
  <c r="G902" i="6"/>
  <c r="C902" i="6"/>
  <c r="B968" i="6" s="1"/>
  <c r="F23" i="18"/>
  <c r="G23" i="18" s="1"/>
  <c r="F1001" i="6" l="1"/>
  <c r="G1001" i="6" s="1"/>
  <c r="D994" i="6"/>
  <c r="F1000" i="6"/>
  <c r="G1000" i="6" s="1"/>
  <c r="B976" i="6"/>
  <c r="F1015" i="6"/>
  <c r="G1015" i="6" s="1"/>
  <c r="F1002" i="6"/>
  <c r="G1002" i="6" s="1"/>
  <c r="F1012" i="6"/>
  <c r="G1012" i="6" s="1"/>
  <c r="F1014" i="6"/>
  <c r="G1014" i="6" s="1"/>
  <c r="F999" i="6"/>
  <c r="G999" i="6" s="1"/>
  <c r="G1008" i="6" s="1"/>
  <c r="F1013" i="6"/>
  <c r="G1013" i="6" s="1"/>
  <c r="F35" i="2"/>
  <c r="G35" i="2" s="1"/>
  <c r="E33" i="18"/>
  <c r="G33" i="18"/>
  <c r="F968" i="6"/>
  <c r="F969" i="6"/>
  <c r="E920" i="6"/>
  <c r="F25" i="2"/>
  <c r="E23" i="18"/>
  <c r="G1019" i="6" l="1"/>
  <c r="H35" i="2"/>
  <c r="F34" i="18"/>
  <c r="B975" i="6"/>
  <c r="C975" i="6" s="1"/>
  <c r="A1042" i="6"/>
  <c r="G976" i="6"/>
  <c r="C976" i="6"/>
  <c r="B1042" i="6" s="1"/>
  <c r="G1042" i="6"/>
  <c r="G1043" i="6" s="1"/>
  <c r="G25" i="2"/>
  <c r="F24" i="18" s="1"/>
  <c r="G24" i="18" s="1"/>
  <c r="E994" i="6" l="1"/>
  <c r="F1042" i="6"/>
  <c r="F1043" i="6"/>
  <c r="F1088" i="6"/>
  <c r="G1088" i="6" s="1"/>
  <c r="F1073" i="6"/>
  <c r="G1073" i="6" s="1"/>
  <c r="F1074" i="6"/>
  <c r="G1074" i="6" s="1"/>
  <c r="F1087" i="6"/>
  <c r="G1087" i="6" s="1"/>
  <c r="F1089" i="6"/>
  <c r="G1089" i="6" s="1"/>
  <c r="B1050" i="6"/>
  <c r="F1076" i="6"/>
  <c r="G1076" i="6" s="1"/>
  <c r="D1068" i="6"/>
  <c r="F1075" i="6"/>
  <c r="G1075" i="6" s="1"/>
  <c r="F1086" i="6"/>
  <c r="G1086" i="6" s="1"/>
  <c r="G34" i="18"/>
  <c r="E34" i="18"/>
  <c r="H25" i="2"/>
  <c r="E24" i="18"/>
  <c r="G1093" i="6" l="1"/>
  <c r="G1082" i="6"/>
  <c r="G1116" i="6"/>
  <c r="G1117" i="6" s="1"/>
  <c r="A1116" i="6"/>
  <c r="B1049" i="6"/>
  <c r="C1049" i="6" s="1"/>
  <c r="C1050" i="6"/>
  <c r="B1116" i="6" s="1"/>
  <c r="G1050" i="6"/>
  <c r="F26" i="2"/>
  <c r="G26" i="2" s="1"/>
  <c r="F1116" i="6" l="1"/>
  <c r="F1117" i="6"/>
  <c r="E1068" i="6"/>
  <c r="F1150" i="6"/>
  <c r="G1150" i="6" s="1"/>
  <c r="F1148" i="6"/>
  <c r="G1148" i="6" s="1"/>
  <c r="F1149" i="6"/>
  <c r="G1149" i="6" s="1"/>
  <c r="B1124" i="6"/>
  <c r="F1161" i="6"/>
  <c r="G1161" i="6" s="1"/>
  <c r="F1160" i="6"/>
  <c r="G1160" i="6" s="1"/>
  <c r="F1163" i="6"/>
  <c r="G1163" i="6" s="1"/>
  <c r="F1147" i="6"/>
  <c r="G1147" i="6" s="1"/>
  <c r="D1142" i="6"/>
  <c r="F1162" i="6"/>
  <c r="G1162" i="6" s="1"/>
  <c r="H26" i="2"/>
  <c r="F28" i="18"/>
  <c r="E28" i="18" s="1"/>
  <c r="F25" i="18"/>
  <c r="E25" i="18" s="1"/>
  <c r="B1123" i="6" l="1"/>
  <c r="C1123" i="6" s="1"/>
  <c r="A1190" i="6"/>
  <c r="G1124" i="6"/>
  <c r="C1124" i="6"/>
  <c r="B1190" i="6" s="1"/>
  <c r="G1156" i="6"/>
  <c r="G1167" i="6"/>
  <c r="G1190" i="6" s="1"/>
  <c r="G1191" i="6" s="1"/>
  <c r="G28" i="18"/>
  <c r="G25" i="18"/>
  <c r="E1142" i="6" l="1"/>
  <c r="F1191" i="6"/>
  <c r="F1190" i="6"/>
  <c r="F1223" i="6"/>
  <c r="G1223" i="6" s="1"/>
  <c r="B1198" i="6"/>
  <c r="F1221" i="6"/>
  <c r="G1221" i="6" s="1"/>
  <c r="F1224" i="6"/>
  <c r="G1224" i="6" s="1"/>
  <c r="D1216" i="6"/>
  <c r="F1222" i="6"/>
  <c r="G1222" i="6" s="1"/>
  <c r="F1236" i="6"/>
  <c r="G1236" i="6" s="1"/>
  <c r="F1234" i="6"/>
  <c r="G1234" i="6" s="1"/>
  <c r="F1235" i="6"/>
  <c r="G1235" i="6" s="1"/>
  <c r="F1237" i="6"/>
  <c r="G1237" i="6" s="1"/>
  <c r="G1230" i="6" l="1"/>
  <c r="A1264" i="6"/>
  <c r="B1197" i="6"/>
  <c r="C1197" i="6" s="1"/>
  <c r="C1198" i="6"/>
  <c r="B1264" i="6" s="1"/>
  <c r="G1198" i="6"/>
  <c r="G1241" i="6"/>
  <c r="G1264" i="6" s="1"/>
  <c r="G1265" i="6" s="1"/>
  <c r="C29" i="18"/>
  <c r="B29" i="18"/>
  <c r="C32" i="18"/>
  <c r="C33" i="18"/>
  <c r="C30" i="18"/>
  <c r="C34" i="18"/>
  <c r="C31" i="18"/>
  <c r="B33" i="18"/>
  <c r="B32" i="18"/>
  <c r="B30" i="18"/>
  <c r="B31" i="18"/>
  <c r="B36" i="18"/>
  <c r="B35" i="18"/>
  <c r="B50" i="18"/>
  <c r="B38" i="18"/>
  <c r="B49" i="18"/>
  <c r="B41" i="18"/>
  <c r="B34" i="18"/>
  <c r="B39" i="18"/>
  <c r="B40" i="18"/>
  <c r="B37" i="18"/>
  <c r="B46" i="18"/>
  <c r="B42" i="18"/>
  <c r="B45" i="18"/>
  <c r="B43" i="18"/>
  <c r="B47" i="18"/>
  <c r="B48" i="18"/>
  <c r="B44" i="18"/>
  <c r="C7" i="6"/>
  <c r="B73" i="6" s="1"/>
  <c r="G7" i="6"/>
  <c r="G82" i="6"/>
  <c r="C82" i="6"/>
  <c r="B148" i="6" s="1"/>
  <c r="C307" i="6"/>
  <c r="B373" i="6" s="1"/>
  <c r="G307" i="6"/>
  <c r="G232" i="6"/>
  <c r="C232" i="6"/>
  <c r="B298" i="6" s="1"/>
  <c r="C157" i="6"/>
  <c r="B223" i="6" s="1"/>
  <c r="G157" i="6"/>
  <c r="C306" i="6"/>
  <c r="C231" i="6"/>
  <c r="G382" i="6"/>
  <c r="C382" i="6"/>
  <c r="B448" i="6" s="1"/>
  <c r="G457" i="6"/>
  <c r="C457" i="6"/>
  <c r="B523" i="6" s="1"/>
  <c r="D23" i="28"/>
  <c r="D25" i="28"/>
  <c r="D27" i="28"/>
  <c r="D24" i="28"/>
  <c r="C156" i="6"/>
  <c r="C81" i="6"/>
  <c r="C6" i="6"/>
  <c r="C456" i="6"/>
  <c r="C381" i="6"/>
  <c r="F1265" i="6" l="1"/>
  <c r="F1264" i="6"/>
  <c r="E1216" i="6"/>
  <c r="F1308" i="6"/>
  <c r="G1308" i="6" s="1"/>
  <c r="F1297" i="6"/>
  <c r="G1297" i="6" s="1"/>
  <c r="F1311" i="6"/>
  <c r="G1311" i="6" s="1"/>
  <c r="F1298" i="6"/>
  <c r="G1298" i="6" s="1"/>
  <c r="F1295" i="6"/>
  <c r="G1295" i="6" s="1"/>
  <c r="D1290" i="6"/>
  <c r="F1309" i="6"/>
  <c r="G1309" i="6" s="1"/>
  <c r="F1310" i="6"/>
  <c r="G1310" i="6" s="1"/>
  <c r="B1272" i="6"/>
  <c r="F1296" i="6"/>
  <c r="G1296" i="6" s="1"/>
  <c r="F373" i="6"/>
  <c r="F374" i="6"/>
  <c r="E325" i="6"/>
  <c r="E100" i="6"/>
  <c r="F148" i="6"/>
  <c r="F149" i="6"/>
  <c r="E25" i="6"/>
  <c r="F74" i="6"/>
  <c r="F73" i="6"/>
  <c r="E250" i="6"/>
  <c r="F298" i="6"/>
  <c r="F299" i="6"/>
  <c r="F224" i="6"/>
  <c r="E175" i="6"/>
  <c r="F223" i="6"/>
  <c r="F449" i="6"/>
  <c r="F448" i="6"/>
  <c r="E400" i="6"/>
  <c r="F523" i="6"/>
  <c r="F524" i="6"/>
  <c r="E475" i="6"/>
  <c r="D27" i="27"/>
  <c r="D23" i="27"/>
  <c r="D24" i="27"/>
  <c r="D25" i="27"/>
  <c r="D29" i="28"/>
  <c r="D28" i="28"/>
  <c r="D26" i="28"/>
  <c r="D30" i="28"/>
  <c r="E52" i="14"/>
  <c r="G1304" i="6" l="1"/>
  <c r="B1271" i="6"/>
  <c r="C1271" i="6" s="1"/>
  <c r="A1338" i="6"/>
  <c r="C1272" i="6"/>
  <c r="B1338" i="6" s="1"/>
  <c r="G1272" i="6"/>
  <c r="G1315" i="6"/>
  <c r="G1338" i="6" s="1"/>
  <c r="G1339" i="6" s="1"/>
  <c r="D28" i="27"/>
  <c r="D30" i="27"/>
  <c r="D29" i="27"/>
  <c r="J25" i="28"/>
  <c r="G25" i="27" s="1"/>
  <c r="H25" i="27"/>
  <c r="J22" i="28"/>
  <c r="G22" i="27" s="1"/>
  <c r="H22" i="27"/>
  <c r="J23" i="28"/>
  <c r="G23" i="27" s="1"/>
  <c r="H23" i="27"/>
  <c r="D26" i="27"/>
  <c r="J21" i="28"/>
  <c r="G21" i="27" s="1"/>
  <c r="H21" i="27"/>
  <c r="J24" i="28"/>
  <c r="G24" i="27" s="1"/>
  <c r="H24" i="27"/>
  <c r="J27" i="28"/>
  <c r="G27" i="27" s="1"/>
  <c r="H27" i="27"/>
  <c r="J13" i="28"/>
  <c r="E1290" i="6" l="1"/>
  <c r="F1338" i="6"/>
  <c r="F1339" i="6"/>
  <c r="F1371" i="6"/>
  <c r="G1371" i="6" s="1"/>
  <c r="B1346" i="6"/>
  <c r="F1372" i="6"/>
  <c r="G1372" i="6" s="1"/>
  <c r="F1382" i="6"/>
  <c r="G1382" i="6" s="1"/>
  <c r="F1369" i="6"/>
  <c r="G1369" i="6" s="1"/>
  <c r="G1378" i="6" s="1"/>
  <c r="F1384" i="6"/>
  <c r="G1384" i="6" s="1"/>
  <c r="F1370" i="6"/>
  <c r="G1370" i="6" s="1"/>
  <c r="F1385" i="6"/>
  <c r="G1385" i="6" s="1"/>
  <c r="D1364" i="6"/>
  <c r="F1383" i="6"/>
  <c r="G1383" i="6" s="1"/>
  <c r="J20" i="28"/>
  <c r="G20" i="27" s="1"/>
  <c r="H20" i="27"/>
  <c r="J18" i="28"/>
  <c r="G18" i="27" s="1"/>
  <c r="H18" i="27"/>
  <c r="J15" i="28"/>
  <c r="G15" i="27" s="1"/>
  <c r="H15" i="27"/>
  <c r="J29" i="28"/>
  <c r="G29" i="27" s="1"/>
  <c r="H29" i="27"/>
  <c r="J19" i="28"/>
  <c r="G19" i="27" s="1"/>
  <c r="H19" i="27"/>
  <c r="J17" i="28"/>
  <c r="G17" i="27" s="1"/>
  <c r="H17" i="27"/>
  <c r="J16" i="28"/>
  <c r="G16" i="27" s="1"/>
  <c r="H16" i="27"/>
  <c r="J26" i="28"/>
  <c r="G26" i="27" s="1"/>
  <c r="H26" i="27"/>
  <c r="J14" i="28"/>
  <c r="H14" i="27"/>
  <c r="J30" i="28"/>
  <c r="G30" i="27" s="1"/>
  <c r="H30" i="27"/>
  <c r="J28" i="28"/>
  <c r="G28" i="27" s="1"/>
  <c r="H28" i="27"/>
  <c r="H13" i="27"/>
  <c r="G13" i="27"/>
  <c r="G1389" i="6" l="1"/>
  <c r="G1412" i="6" s="1"/>
  <c r="G1413" i="6" s="1"/>
  <c r="B1345" i="6"/>
  <c r="C1345" i="6" s="1"/>
  <c r="A1412" i="6"/>
  <c r="G1346" i="6"/>
  <c r="C1346" i="6"/>
  <c r="B1412" i="6" s="1"/>
  <c r="G14" i="27"/>
  <c r="F1413" i="6" l="1"/>
  <c r="E1364" i="6"/>
  <c r="F1412" i="6"/>
  <c r="F1459" i="6"/>
  <c r="G1459" i="6" s="1"/>
  <c r="F1457" i="6"/>
  <c r="G1457" i="6" s="1"/>
  <c r="F1445" i="6"/>
  <c r="G1445" i="6" s="1"/>
  <c r="F1446" i="6"/>
  <c r="G1446" i="6" s="1"/>
  <c r="F1444" i="6"/>
  <c r="G1444" i="6" s="1"/>
  <c r="F1456" i="6"/>
  <c r="G1456" i="6" s="1"/>
  <c r="F1443" i="6"/>
  <c r="G1443" i="6" s="1"/>
  <c r="F1458" i="6"/>
  <c r="G1458" i="6" s="1"/>
  <c r="B1420" i="6"/>
  <c r="D1438" i="6"/>
  <c r="B1419" i="6" l="1"/>
  <c r="C1419" i="6" s="1"/>
  <c r="A1486" i="6"/>
  <c r="G1420" i="6"/>
  <c r="C1420" i="6"/>
  <c r="B1486" i="6" s="1"/>
  <c r="G1452" i="6"/>
  <c r="G1486" i="6" s="1"/>
  <c r="G1487" i="6" s="1"/>
  <c r="G1463" i="6"/>
  <c r="E1438" i="6" l="1"/>
  <c r="F1487" i="6"/>
  <c r="F1486" i="6"/>
  <c r="F1531" i="6"/>
  <c r="G1531" i="6" s="1"/>
  <c r="F1520" i="6"/>
  <c r="G1520" i="6" s="1"/>
  <c r="F1518" i="6"/>
  <c r="G1518" i="6" s="1"/>
  <c r="F1533" i="6"/>
  <c r="G1533" i="6" s="1"/>
  <c r="F1517" i="6"/>
  <c r="G1517" i="6" s="1"/>
  <c r="F1530" i="6"/>
  <c r="G1530" i="6" s="1"/>
  <c r="B1494" i="6"/>
  <c r="F1532" i="6"/>
  <c r="G1532" i="6" s="1"/>
  <c r="F1519" i="6"/>
  <c r="G1519" i="6" s="1"/>
  <c r="D1512" i="6"/>
  <c r="G1526" i="6" l="1"/>
  <c r="G1560" i="6" s="1"/>
  <c r="G1561" i="6" s="1"/>
  <c r="G1537" i="6"/>
  <c r="B1493" i="6"/>
  <c r="C1493" i="6" s="1"/>
  <c r="A1560" i="6"/>
  <c r="C1494" i="6"/>
  <c r="B1560" i="6" s="1"/>
  <c r="G1494" i="6"/>
  <c r="F1606" i="6" l="1"/>
  <c r="G1606" i="6" s="1"/>
  <c r="F1592" i="6"/>
  <c r="G1592" i="6" s="1"/>
  <c r="F1591" i="6"/>
  <c r="G1591" i="6" s="1"/>
  <c r="F1607" i="6"/>
  <c r="G1607" i="6" s="1"/>
  <c r="F1594" i="6"/>
  <c r="G1594" i="6" s="1"/>
  <c r="F1604" i="6"/>
  <c r="G1604" i="6" s="1"/>
  <c r="F1605" i="6"/>
  <c r="G1605" i="6" s="1"/>
  <c r="F1593" i="6"/>
  <c r="G1593" i="6" s="1"/>
  <c r="D1586" i="6"/>
  <c r="B1568" i="6"/>
  <c r="F1560" i="6"/>
  <c r="F1561" i="6"/>
  <c r="E1512" i="6"/>
  <c r="G1611" i="6" l="1"/>
  <c r="G1600" i="6"/>
  <c r="G1634" i="6" s="1"/>
  <c r="G1635" i="6" s="1"/>
  <c r="B1567" i="6"/>
  <c r="C1567" i="6" s="1"/>
  <c r="A1634" i="6"/>
  <c r="G1568" i="6"/>
  <c r="C1568" i="6"/>
  <c r="B1634" i="6" s="1"/>
  <c r="F1666" i="6" l="1"/>
  <c r="G1666" i="6" s="1"/>
  <c r="F1680" i="6"/>
  <c r="G1680" i="6" s="1"/>
  <c r="B1642" i="6"/>
  <c r="F1668" i="6"/>
  <c r="G1668" i="6" s="1"/>
  <c r="F1678" i="6"/>
  <c r="G1678" i="6" s="1"/>
  <c r="D1660" i="6"/>
  <c r="F1679" i="6"/>
  <c r="G1679" i="6" s="1"/>
  <c r="F1681" i="6"/>
  <c r="G1681" i="6" s="1"/>
  <c r="F1665" i="6"/>
  <c r="G1665" i="6" s="1"/>
  <c r="F1667" i="6"/>
  <c r="G1667" i="6" s="1"/>
  <c r="E1586" i="6"/>
  <c r="F1634" i="6"/>
  <c r="F1635" i="6"/>
  <c r="G1674" i="6" l="1"/>
  <c r="G1685" i="6"/>
  <c r="B1641" i="6"/>
  <c r="C1641" i="6" s="1"/>
  <c r="A1708" i="6"/>
  <c r="C1642" i="6"/>
  <c r="B1708" i="6" s="1"/>
  <c r="G1642" i="6"/>
  <c r="G1708" i="6"/>
  <c r="G1709" i="6" s="1"/>
  <c r="F1753" i="6" l="1"/>
  <c r="G1753" i="6" s="1"/>
  <c r="F1755" i="6"/>
  <c r="G1755" i="6" s="1"/>
  <c r="F1742" i="6"/>
  <c r="G1742" i="6" s="1"/>
  <c r="B1716" i="6"/>
  <c r="F1741" i="6"/>
  <c r="G1741" i="6" s="1"/>
  <c r="F1754" i="6"/>
  <c r="G1754" i="6" s="1"/>
  <c r="D1734" i="6"/>
  <c r="F1740" i="6"/>
  <c r="G1740" i="6" s="1"/>
  <c r="F1739" i="6"/>
  <c r="G1739" i="6" s="1"/>
  <c r="F1752" i="6"/>
  <c r="G1752" i="6" s="1"/>
  <c r="G1759" i="6" s="1"/>
  <c r="F1709" i="6"/>
  <c r="F1708" i="6"/>
  <c r="E1660" i="6"/>
  <c r="A1782" i="6" l="1"/>
  <c r="B1715" i="6"/>
  <c r="C1715" i="6" s="1"/>
  <c r="G1716" i="6"/>
  <c r="C1716" i="6"/>
  <c r="B1782" i="6" s="1"/>
  <c r="G1748" i="6"/>
  <c r="G1782" i="6" s="1"/>
  <c r="G1783" i="6" s="1"/>
  <c r="F1783" i="6" l="1"/>
  <c r="E1734" i="6"/>
  <c r="F1782" i="6"/>
  <c r="F1828" i="6"/>
  <c r="G1828" i="6" s="1"/>
  <c r="F1826" i="6"/>
  <c r="G1826" i="6" s="1"/>
  <c r="F1813" i="6"/>
  <c r="G1813" i="6" s="1"/>
  <c r="F1814" i="6"/>
  <c r="G1814" i="6" s="1"/>
  <c r="F1827" i="6"/>
  <c r="G1827" i="6" s="1"/>
  <c r="F1829" i="6"/>
  <c r="G1829" i="6" s="1"/>
  <c r="B1790" i="6"/>
  <c r="F1816" i="6"/>
  <c r="G1816" i="6" s="1"/>
  <c r="D1808" i="6"/>
  <c r="F1815" i="6"/>
  <c r="G1815" i="6" s="1"/>
  <c r="G1822" i="6" l="1"/>
  <c r="G1856" i="6" s="1"/>
  <c r="G1857" i="6" s="1"/>
  <c r="G1833" i="6"/>
  <c r="B1789" i="6"/>
  <c r="C1789" i="6" s="1"/>
  <c r="A1856" i="6"/>
  <c r="C1790" i="6"/>
  <c r="B1856" i="6" s="1"/>
  <c r="G1790" i="6"/>
  <c r="F1857" i="6" l="1"/>
  <c r="F1856" i="6"/>
  <c r="E1808" i="6"/>
  <c r="F42" i="2"/>
  <c r="G42" i="2" s="1"/>
  <c r="F44" i="2"/>
  <c r="G44" i="2" s="1"/>
  <c r="F43" i="2"/>
  <c r="G43" i="2" s="1"/>
  <c r="F38" i="2"/>
  <c r="G38" i="2" s="1"/>
  <c r="F39" i="2"/>
  <c r="G39" i="2" s="1"/>
  <c r="F46" i="2"/>
  <c r="G46" i="2" s="1"/>
  <c r="F50" i="2"/>
  <c r="G50" i="2" s="1"/>
  <c r="F48" i="2"/>
  <c r="G48" i="2" s="1"/>
  <c r="F47" i="2"/>
  <c r="G47" i="2" s="1"/>
  <c r="F40" i="2"/>
  <c r="G40" i="2" s="1"/>
  <c r="F51" i="2"/>
  <c r="G51" i="2" s="1"/>
  <c r="F31" i="2"/>
  <c r="G31" i="2" s="1"/>
  <c r="F36" i="2"/>
  <c r="G36" i="2" s="1"/>
  <c r="F41" i="2"/>
  <c r="G41" i="2" s="1"/>
  <c r="F45" i="2"/>
  <c r="G45" i="2" s="1"/>
  <c r="F49" i="2"/>
  <c r="G49" i="2" s="1"/>
  <c r="F37" i="2"/>
  <c r="G37" i="2" s="1"/>
  <c r="F27" i="2"/>
  <c r="G27" i="2" s="1"/>
  <c r="F28" i="2"/>
  <c r="G28" i="2" s="1"/>
  <c r="F21" i="2"/>
  <c r="G21" i="2" s="1"/>
  <c r="F18" i="2"/>
  <c r="G18" i="2" s="1"/>
  <c r="F17" i="2"/>
  <c r="H31" i="2" l="1"/>
  <c r="F30" i="18"/>
  <c r="H38" i="2"/>
  <c r="F37" i="18"/>
  <c r="H28" i="2"/>
  <c r="F27" i="18"/>
  <c r="H51" i="2"/>
  <c r="F50" i="18"/>
  <c r="H43" i="2"/>
  <c r="F42" i="18"/>
  <c r="F18" i="18"/>
  <c r="H18" i="2"/>
  <c r="F17" i="18"/>
  <c r="F39" i="18"/>
  <c r="H40" i="2"/>
  <c r="H44" i="2"/>
  <c r="F43" i="18"/>
  <c r="H37" i="2"/>
  <c r="F36" i="18"/>
  <c r="H47" i="2"/>
  <c r="F46" i="18"/>
  <c r="H42" i="2"/>
  <c r="F41" i="18"/>
  <c r="H39" i="2"/>
  <c r="F38" i="18"/>
  <c r="H49" i="2"/>
  <c r="F48" i="18"/>
  <c r="F47" i="18"/>
  <c r="H48" i="2"/>
  <c r="H21" i="2"/>
  <c r="F20" i="18"/>
  <c r="H45" i="2"/>
  <c r="F44" i="18"/>
  <c r="F49" i="18"/>
  <c r="H50" i="2"/>
  <c r="H36" i="2"/>
  <c r="F35" i="18"/>
  <c r="H27" i="2"/>
  <c r="F26" i="18"/>
  <c r="H41" i="2"/>
  <c r="F40" i="18"/>
  <c r="F45" i="18"/>
  <c r="H46" i="2"/>
  <c r="E50" i="18" l="1"/>
  <c r="G50" i="18"/>
  <c r="E26" i="18"/>
  <c r="G26" i="18"/>
  <c r="G20" i="18"/>
  <c r="E20" i="18"/>
  <c r="E41" i="18"/>
  <c r="G41" i="18"/>
  <c r="E39" i="18"/>
  <c r="G39" i="18"/>
  <c r="E27" i="18"/>
  <c r="G27" i="18"/>
  <c r="E45" i="18"/>
  <c r="G45" i="18"/>
  <c r="E35" i="18"/>
  <c r="G35" i="18"/>
  <c r="E46" i="18"/>
  <c r="G46" i="18"/>
  <c r="E17" i="18"/>
  <c r="G17" i="18"/>
  <c r="E47" i="18"/>
  <c r="G47" i="18"/>
  <c r="H52" i="2"/>
  <c r="G37" i="18"/>
  <c r="E37" i="18"/>
  <c r="E48" i="18"/>
  <c r="G48" i="18"/>
  <c r="G36" i="18"/>
  <c r="E36" i="18"/>
  <c r="G18" i="18"/>
  <c r="E18" i="18"/>
  <c r="E49" i="18"/>
  <c r="G49" i="18"/>
  <c r="E42" i="18"/>
  <c r="G42" i="18"/>
  <c r="G30" i="18"/>
  <c r="E30" i="18"/>
  <c r="E40" i="18"/>
  <c r="G40" i="18"/>
  <c r="E44" i="18"/>
  <c r="G44" i="18"/>
  <c r="E38" i="18"/>
  <c r="G38" i="18"/>
  <c r="E43" i="18"/>
  <c r="G43" i="18"/>
  <c r="A65" i="2"/>
  <c r="I42" i="2" l="1"/>
  <c r="D38" i="9" s="1"/>
  <c r="I39" i="2"/>
  <c r="D35" i="9" s="1"/>
  <c r="I43" i="2"/>
  <c r="D39" i="9" s="1"/>
  <c r="I38" i="2"/>
  <c r="D34" i="9" s="1"/>
  <c r="I41" i="2"/>
  <c r="D37" i="9" s="1"/>
  <c r="I48" i="2"/>
  <c r="D44" i="9" s="1"/>
  <c r="I18" i="2"/>
  <c r="I50" i="2"/>
  <c r="D46" i="9" s="1"/>
  <c r="I46" i="2"/>
  <c r="D42" i="9" s="1"/>
  <c r="I47" i="2"/>
  <c r="D43" i="9" s="1"/>
  <c r="I28" i="2"/>
  <c r="I51" i="2"/>
  <c r="D47" i="9" s="1"/>
  <c r="I20" i="2"/>
  <c r="I22" i="2"/>
  <c r="I19" i="2"/>
  <c r="E53" i="9"/>
  <c r="E54" i="9" s="1"/>
  <c r="H63" i="2"/>
  <c r="I32" i="2"/>
  <c r="D28" i="9" s="1"/>
  <c r="I25" i="2"/>
  <c r="I29" i="2"/>
  <c r="I24" i="2"/>
  <c r="I33" i="2"/>
  <c r="D29" i="9" s="1"/>
  <c r="H54" i="2"/>
  <c r="H55" i="2" s="1"/>
  <c r="H56" i="2" s="1"/>
  <c r="I17" i="2"/>
  <c r="I35" i="2"/>
  <c r="D31" i="9" s="1"/>
  <c r="I30" i="2"/>
  <c r="D26" i="9" s="1"/>
  <c r="I26" i="2"/>
  <c r="D22" i="9" s="1"/>
  <c r="C11" i="2"/>
  <c r="I23" i="2"/>
  <c r="D19" i="9" s="1"/>
  <c r="A53" i="18"/>
  <c r="I34" i="2"/>
  <c r="D30" i="9" s="1"/>
  <c r="I21" i="2"/>
  <c r="I49" i="2"/>
  <c r="D45" i="9" s="1"/>
  <c r="I44" i="2"/>
  <c r="D40" i="9" s="1"/>
  <c r="I27" i="2"/>
  <c r="I37" i="2"/>
  <c r="D33" i="9" s="1"/>
  <c r="G51" i="18"/>
  <c r="C2" i="26" s="1"/>
  <c r="I31" i="2"/>
  <c r="D27" i="9" s="1"/>
  <c r="I36" i="2"/>
  <c r="D32" i="9" s="1"/>
  <c r="I45" i="2"/>
  <c r="D41" i="9" s="1"/>
  <c r="I40" i="2"/>
  <c r="D36" i="9" s="1"/>
  <c r="D23" i="9" l="1"/>
  <c r="D20" i="28"/>
  <c r="D20" i="27" s="1"/>
  <c r="I52" i="2"/>
  <c r="D13" i="9"/>
  <c r="D21" i="28"/>
  <c r="D21" i="27" s="1"/>
  <c r="D24" i="9"/>
  <c r="H57" i="2"/>
  <c r="H58" i="2"/>
  <c r="D15" i="9"/>
  <c r="D14" i="28"/>
  <c r="D14" i="27" s="1"/>
  <c r="D14" i="9"/>
  <c r="D13" i="28"/>
  <c r="D18" i="9"/>
  <c r="D17" i="28"/>
  <c r="D17" i="27" s="1"/>
  <c r="D16" i="9"/>
  <c r="D15" i="28"/>
  <c r="D15" i="27" s="1"/>
  <c r="D21" i="9"/>
  <c r="D19" i="28"/>
  <c r="D19" i="27" s="1"/>
  <c r="D17" i="9"/>
  <c r="D16" i="28"/>
  <c r="D16" i="27" s="1"/>
  <c r="D18" i="28"/>
  <c r="D18" i="27" s="1"/>
  <c r="D20" i="9"/>
  <c r="D22" i="28"/>
  <c r="D22" i="27" s="1"/>
  <c r="D25" i="9"/>
  <c r="D48" i="9" l="1"/>
  <c r="G50" i="9"/>
  <c r="G53" i="9" s="1"/>
  <c r="H59" i="2"/>
  <c r="H60" i="2" s="1"/>
  <c r="K32" i="28"/>
  <c r="D13" i="27"/>
  <c r="D32" i="28"/>
  <c r="I32" i="28"/>
  <c r="J32" i="28"/>
  <c r="K6" i="28" s="1"/>
  <c r="H6" i="27" s="1"/>
  <c r="F50" i="9"/>
  <c r="F51" i="9" s="1"/>
  <c r="H61" i="2" l="1"/>
  <c r="F32" i="27"/>
  <c r="D32" i="27"/>
  <c r="H32" i="27"/>
  <c r="G32" i="27"/>
  <c r="F53" i="9"/>
  <c r="F54" i="9" s="1"/>
  <c r="G54" i="9" s="1"/>
  <c r="G5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<sst xmlns="http://schemas.openxmlformats.org/spreadsheetml/2006/main" count="6152" uniqueCount="2025">
  <si>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</si>
  <si>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</si>
  <si>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</si>
  <si>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</si>
  <si>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</si>
  <si>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</si>
  <si>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</si>
  <si>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</si>
  <si>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</si>
  <si>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</si>
  <si>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</si>
  <si>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</si>
  <si>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</si>
  <si>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</si>
  <si>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</si>
  <si>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</si>
  <si>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</si>
  <si>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</si>
  <si>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</si>
  <si>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</si>
  <si>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</si>
  <si>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</si>
  <si>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</si>
  <si>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</si>
  <si>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</si>
  <si>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</si>
  <si>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</si>
  <si>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</si>
  <si>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</si>
  <si>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</si>
  <si>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</si>
  <si>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</si>
  <si>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</si>
  <si>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</si>
  <si>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</si>
  <si>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</si>
  <si>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</si>
  <si>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</si>
  <si>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</si>
  <si>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</si>
  <si>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</si>
  <si>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</si>
  <si>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</si>
  <si>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</si>
  <si>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</si>
  <si>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</si>
  <si>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</si>
  <si>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</si>
  <si>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</si>
  <si>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</si>
  <si>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</si>
  <si>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</si>
  <si>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</si>
  <si>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</si>
  <si>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</si>
  <si>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</si>
  <si>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</si>
  <si>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</si>
  <si>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</si>
  <si>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</si>
  <si>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</si>
  <si>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</si>
  <si>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</si>
  <si>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</si>
  <si>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</si>
  <si>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</si>
  <si>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</si>
  <si>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</si>
  <si>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</si>
  <si>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</si>
  <si>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</si>
  <si>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</si>
  <si>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</si>
  <si>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</si>
  <si>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</si>
  <si>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</si>
  <si>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</si>
  <si>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</si>
  <si>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</si>
  <si>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</si>
  <si>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</si>
  <si>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</si>
  <si>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</si>
  <si>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</si>
  <si>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</si>
  <si>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</si>
  <si>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</si>
  <si>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</si>
  <si>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</si>
  <si>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</si>
  <si>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</si>
  <si>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</si>
  <si>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</si>
  <si>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</si>
  <si>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</si>
  <si>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</si>
  <si>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</si>
  <si>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</si>
  <si>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</si>
  <si>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</si>
  <si>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</si>
  <si>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</si>
  <si>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</si>
  <si>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</si>
  <si>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</si>
  <si>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</si>
  <si>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</si>
  <si>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</si>
  <si>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</si>
  <si>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</si>
  <si>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</si>
  <si>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</si>
  <si>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</si>
  <si>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</si>
  <si>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</si>
  <si>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</si>
  <si>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</si>
  <si>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</si>
  <si>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</si>
  <si>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</si>
  <si>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</si>
  <si>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</si>
  <si>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</si>
  <si>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</si>
  <si>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</si>
  <si>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</si>
  <si>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</si>
  <si>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</si>
  <si>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</si>
  <si>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</si>
  <si>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</si>
  <si>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</si>
  <si>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</si>
  <si>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</si>
  <si>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</si>
  <si>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</si>
  <si>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</si>
  <si>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</si>
  <si>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</si>
  <si>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</si>
  <si>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</si>
  <si>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</si>
  <si>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</si>
  <si>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</si>
  <si>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</si>
  <si>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</si>
  <si>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</si>
  <si>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</si>
  <si>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</si>
  <si>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</si>
  <si>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</si>
  <si>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</si>
  <si>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</si>
  <si>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</si>
  <si>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</si>
  <si>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</si>
  <si>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</si>
  <si>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</si>
  <si>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</si>
  <si>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</si>
  <si>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</si>
  <si>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</si>
  <si>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</si>
  <si>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</si>
  <si>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</si>
  <si>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</si>
  <si>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</si>
  <si>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</si>
  <si>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</si>
  <si>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</si>
  <si>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</si>
  <si>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</si>
  <si>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</si>
  <si>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</si>
  <si>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</si>
  <si>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</si>
  <si>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</si>
  <si>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</si>
  <si>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</si>
  <si>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</si>
  <si>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</si>
  <si>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</si>
  <si>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</si>
  <si>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</si>
  <si>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</si>
  <si>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</si>
  <si>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</si>
  <si>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</si>
  <si>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</si>
  <si>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</si>
  <si>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</si>
  <si>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</si>
  <si>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</si>
  <si>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</si>
  <si>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</si>
  <si>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</si>
  <si>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</si>
  <si>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</si>
  <si>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</si>
  <si>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</si>
  <si>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</si>
  <si>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</si>
  <si>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</si>
  <si>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</si>
  <si>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</si>
  <si>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</si>
  <si>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</si>
  <si>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</si>
  <si>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</si>
  <si>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</si>
  <si>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</si>
  <si>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</si>
  <si>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</si>
  <si>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</si>
  <si>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</si>
  <si>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</si>
  <si>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</si>
  <si>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</si>
  <si>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</si>
  <si>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</si>
  <si>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</si>
  <si>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</si>
  <si>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</si>
  <si>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</si>
  <si>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</si>
  <si>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</si>
  <si>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</si>
  <si>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</si>
  <si>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</si>
  <si>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</si>
  <si>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</si>
  <si>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</si>
  <si>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</si>
  <si>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</si>
  <si>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</si>
  <si>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</si>
  <si>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</si>
  <si>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</si>
  <si>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</si>
  <si>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</si>
  <si>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</si>
  <si>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</si>
  <si>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</si>
  <si>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</si>
  <si>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</si>
  <si>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</si>
  <si>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</si>
  <si>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</si>
  <si>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</si>
  <si>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</si>
  <si>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</si>
  <si>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</si>
  <si>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</si>
  <si>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</si>
  <si>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</si>
  <si>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</si>
  <si>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</si>
  <si>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</si>
  <si>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</si>
  <si>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</si>
  <si>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</si>
  <si>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</si>
  <si>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</si>
  <si>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</si>
  <si>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</si>
  <si>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</si>
  <si>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</si>
  <si>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</si>
  <si>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</si>
  <si>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</si>
  <si>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</si>
  <si>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</si>
  <si>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</si>
  <si>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</si>
  <si>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</si>
  <si>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</si>
  <si>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</si>
  <si>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</si>
  <si>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</si>
  <si>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</si>
  <si>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</si>
  <si>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</si>
  <si>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</si>
  <si>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</si>
  <si>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</si>
  <si>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</si>
  <si>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</si>
  <si>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</si>
  <si>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</si>
  <si>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</si>
  <si>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</si>
  <si>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</si>
  <si>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</si>
  <si>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</si>
  <si>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</si>
  <si>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</si>
  <si>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</si>
  <si>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</si>
  <si>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</si>
  <si>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</si>
  <si>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</si>
  <si>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</si>
  <si>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</si>
  <si>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</si>
  <si>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</si>
  <si>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</si>
  <si>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</si>
  <si>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</si>
  <si>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</si>
  <si>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</si>
  <si>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</si>
  <si>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</si>
  <si>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</si>
  <si>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</si>
  <si>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</si>
  <si>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</si>
  <si>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</si>
  <si>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</si>
  <si>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</si>
  <si>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</si>
  <si>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</si>
  <si>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</si>
  <si>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</si>
  <si>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</si>
  <si>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</si>
  <si>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</si>
  <si>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</si>
  <si>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</si>
  <si>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</si>
  <si>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</si>
  <si>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</si>
  <si>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</si>
  <si>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</si>
  <si>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</si>
  <si>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</si>
  <si>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</si>
  <si>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</si>
  <si>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</si>
  <si>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</si>
  <si>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</si>
  <si>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</si>
  <si>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</si>
  <si>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</si>
  <si>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</si>
  <si>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</si>
  <si>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</si>
  <si>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</si>
  <si>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</si>
  <si>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</si>
  <si>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</si>
  <si>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</si>
  <si>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</si>
  <si>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</si>
  <si>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</si>
  <si>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</si>
  <si>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</si>
  <si>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</si>
  <si>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</si>
  <si>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</si>
  <si>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</si>
  <si>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</si>
  <si>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</si>
  <si>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</si>
  <si>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</si>
  <si>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</si>
  <si>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</si>
  <si>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</si>
  <si>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</si>
  <si>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</si>
  <si>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</si>
  <si>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</si>
  <si>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</si>
  <si>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</si>
  <si>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</si>
  <si>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</si>
  <si>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</si>
  <si>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</si>
  <si>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</si>
  <si>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</si>
  <si>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</si>
  <si>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</si>
  <si>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</si>
  <si>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</si>
  <si>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</si>
  <si>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</si>
  <si>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</si>
  <si>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</si>
  <si>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</si>
  <si>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</si>
  <si>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</si>
  <si>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</si>
  <si>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</si>
  <si>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</si>
  <si>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</si>
  <si>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</si>
  <si>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</si>
  <si>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</si>
  <si>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</si>
  <si>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</si>
  <si>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</si>
  <si>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</si>
  <si>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</si>
  <si>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</si>
  <si>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</si>
  <si>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</si>
  <si>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</si>
  <si>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</si>
  <si>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</si>
  <si>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</si>
  <si>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</si>
  <si>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</si>
  <si>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</si>
  <si>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</si>
  <si>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</si>
  <si>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</si>
  <si>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</si>
  <si>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</si>
  <si>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</si>
  <si>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</si>
  <si>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</si>
  <si>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</si>
  <si>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</si>
  <si>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</si>
  <si>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</si>
  <si>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</si>
  <si>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</si>
  <si>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</si>
  <si>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</si>
  <si>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</si>
  <si>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</si>
  <si>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</si>
  <si>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</si>
  <si>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</si>
  <si>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</si>
  <si>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</si>
  <si>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</si>
  <si>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</si>
  <si>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</si>
  <si>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</si>
  <si>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</si>
  <si>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</si>
  <si>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</si>
  <si>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</si>
  <si>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</si>
  <si>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</si>
  <si>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</si>
  <si>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</si>
  <si>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</si>
  <si>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</si>
  <si>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</si>
  <si>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</si>
  <si>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</si>
  <si>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</si>
  <si>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</si>
  <si>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</si>
  <si>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</si>
  <si>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</si>
  <si>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</si>
  <si>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</si>
  <si>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</si>
  <si>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</si>
  <si>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</si>
  <si>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</si>
  <si>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</si>
  <si>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</si>
  <si>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</si>
  <si>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</si>
  <si>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</si>
  <si>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</si>
  <si>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</si>
  <si>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</si>
  <si>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</si>
  <si>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</si>
  <si>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</si>
  <si>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</si>
  <si>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</si>
  <si>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</si>
  <si>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</si>
  <si>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</si>
  <si>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</si>
  <si>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</si>
  <si>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</si>
  <si>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</si>
  <si>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</si>
  <si>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</si>
  <si>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</si>
  <si>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</si>
  <si>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</si>
  <si>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</si>
  <si>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</si>
  <si>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</si>
  <si>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</si>
  <si>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</si>
  <si>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</si>
  <si>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</si>
  <si>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</si>
  <si>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</si>
  <si>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</si>
  <si>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</si>
  <si>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</si>
  <si>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</si>
  <si>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</si>
  <si>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</si>
  <si>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</si>
  <si>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</si>
  <si>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</si>
  <si>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</si>
  <si>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</si>
  <si>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</si>
  <si>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</si>
  <si>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</si>
  <si>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</si>
  <si>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</si>
  <si>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</si>
  <si>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</si>
  <si>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</si>
  <si>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</si>
  <si>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</si>
  <si>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</si>
  <si>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</si>
  <si>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</si>
  <si>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</si>
  <si>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</si>
  <si>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</si>
  <si>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</si>
  <si>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</si>
  <si>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</si>
  <si>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</si>
  <si>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</si>
  <si>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</si>
  <si>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</si>
  <si>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</si>
  <si>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</si>
  <si>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</si>
  <si>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</si>
  <si>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</si>
  <si>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</si>
  <si>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</si>
  <si>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</si>
  <si>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</si>
  <si>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</si>
  <si>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</si>
  <si>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</si>
  <si>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</si>
  <si>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</si>
  <si>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</si>
  <si>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</si>
  <si>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</si>
  <si>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</si>
  <si>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</si>
  <si>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</si>
  <si>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</si>
  <si>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</si>
  <si>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</si>
  <si>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</si>
  <si>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</si>
  <si>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</si>
  <si>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</si>
  <si>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</si>
  <si>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</si>
  <si>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</si>
  <si>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</si>
  <si>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</si>
  <si>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</si>
  <si>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</si>
  <si>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</si>
  <si>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</si>
  <si>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</si>
  <si>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</si>
  <si>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</si>
  <si>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</si>
  <si>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</si>
  <si>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</si>
  <si>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</si>
  <si>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</si>
  <si>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</si>
  <si>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</si>
  <si>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</si>
  <si>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</si>
  <si>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</si>
  <si>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</si>
  <si>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</si>
  <si>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</si>
  <si>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</si>
  <si>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</si>
  <si>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</si>
  <si>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</si>
  <si>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</si>
  <si>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</si>
  <si>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</si>
  <si>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</si>
  <si>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</si>
  <si>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</si>
  <si>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</si>
  <si>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</si>
  <si>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</si>
  <si>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</si>
  <si>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</si>
  <si>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</si>
  <si>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</si>
  <si>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</si>
  <si>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</si>
  <si>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</si>
  <si>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</si>
  <si>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</si>
  <si>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</si>
  <si>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</si>
  <si>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</si>
  <si>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</si>
  <si>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</si>
  <si>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</si>
  <si>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</si>
  <si>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</si>
  <si>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</si>
  <si>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</si>
  <si>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</si>
  <si>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</si>
  <si>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</si>
  <si>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</si>
  <si>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</si>
  <si>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</si>
  <si>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</si>
  <si>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</si>
  <si>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</si>
  <si>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</si>
  <si>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</si>
  <si>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</si>
  <si>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</si>
  <si>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</si>
  <si>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</si>
  <si>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</si>
  <si>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</si>
  <si>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</si>
  <si>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</si>
  <si>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</si>
  <si>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</si>
  <si>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</si>
  <si>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</si>
  <si>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</si>
  <si>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</si>
  <si>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</si>
  <si>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</si>
  <si>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</si>
  <si>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</si>
  <si>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</si>
  <si>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</si>
  <si>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</si>
  <si>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</si>
  <si>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</si>
  <si>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</si>
  <si>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</si>
  <si>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</si>
  <si>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</si>
  <si>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</si>
  <si>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</si>
  <si>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</si>
  <si>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</si>
  <si>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</si>
  <si>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</si>
  <si>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</si>
  <si>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</si>
  <si>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</si>
  <si>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</si>
  <si>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</si>
  <si>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</si>
  <si>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</si>
  <si>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</si>
  <si>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</si>
  <si>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</si>
  <si>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</si>
  <si>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</si>
  <si>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</si>
  <si>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</si>
  <si>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</si>
  <si>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</si>
  <si>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</si>
  <si>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</si>
  <si>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</si>
  <si>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</si>
  <si>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</si>
  <si>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</si>
  <si>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</si>
  <si>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</si>
  <si>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</si>
  <si>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</si>
  <si>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</si>
  <si>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</si>
  <si>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</si>
  <si>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</si>
  <si>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</si>
  <si>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</si>
  <si>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</si>
  <si>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</si>
  <si>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</si>
  <si>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</si>
  <si>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</si>
  <si>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</si>
  <si>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</si>
  <si>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</si>
  <si>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</si>
  <si>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</si>
  <si>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</si>
  <si>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</si>
  <si>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</si>
  <si>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</si>
  <si>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</si>
  <si>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</si>
  <si>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</si>
  <si>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</si>
  <si>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</si>
  <si>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</si>
  <si>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</si>
  <si>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</si>
  <si>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</si>
  <si>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</si>
  <si>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</si>
  <si>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</si>
  <si>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</si>
  <si>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</si>
  <si>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</si>
  <si>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</si>
  <si>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</si>
  <si>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</si>
  <si>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</si>
  <si>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</si>
  <si>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</si>
  <si>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</si>
  <si>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</si>
  <si>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</si>
  <si>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</si>
  <si>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</si>
  <si>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</si>
  <si>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</si>
  <si>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</si>
  <si>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</si>
  <si>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</si>
  <si>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</si>
  <si>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</si>
  <si>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</si>
  <si>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</si>
  <si>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</si>
  <si>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</si>
  <si>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</si>
  <si>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</si>
  <si>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</si>
  <si>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</si>
  <si>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</si>
  <si>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</si>
  <si>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</si>
  <si>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</si>
  <si>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</si>
  <si>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</si>
  <si>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</si>
  <si>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</si>
  <si>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</si>
  <si>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</si>
  <si>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</si>
  <si>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</si>
  <si>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</si>
  <si>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</si>
  <si>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</si>
  <si>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</si>
  <si>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</si>
  <si>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</si>
  <si>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</si>
  <si>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</si>
  <si>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</si>
  <si>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</si>
  <si>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</si>
  <si>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</si>
  <si>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</si>
  <si>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</si>
  <si>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</si>
  <si>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</si>
  <si>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</si>
  <si>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</si>
  <si>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</si>
  <si>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</si>
  <si>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</si>
  <si>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</si>
  <si>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</si>
  <si>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</si>
  <si>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</si>
  <si>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</si>
  <si>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</si>
  <si>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</si>
  <si>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</si>
  <si>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</si>
  <si>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</si>
  <si>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</si>
  <si>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</si>
  <si>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</si>
  <si>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</si>
  <si>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</si>
  <si>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</si>
  <si>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</si>
  <si>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</si>
  <si>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</si>
  <si>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</si>
  <si>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</si>
  <si>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</si>
  <si>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</si>
  <si>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</si>
  <si>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</si>
  <si>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</si>
  <si>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</si>
  <si>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</si>
  <si>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</si>
  <si>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</si>
  <si>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</si>
  <si>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</si>
  <si>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</si>
  <si>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</si>
  <si>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</si>
  <si>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</si>
  <si>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</si>
  <si>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</si>
  <si>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</si>
  <si>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</si>
  <si>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</si>
  <si>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</si>
  <si>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</si>
  <si>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</si>
  <si>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</si>
  <si>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</si>
  <si>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</si>
  <si>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</si>
  <si>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</si>
  <si>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</si>
  <si>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</si>
  <si>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</si>
  <si>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</si>
  <si>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</si>
  <si>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</si>
  <si>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</si>
  <si>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</si>
  <si>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</si>
  <si>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</si>
  <si>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</si>
  <si>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</si>
  <si>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</si>
  <si>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</si>
  <si>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</si>
  <si>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</si>
  <si>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</si>
  <si>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</si>
  <si>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</si>
  <si>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</si>
  <si>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</si>
  <si>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</si>
  <si>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</si>
  <si>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</si>
  <si>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</si>
  <si>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</si>
  <si>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</si>
  <si>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</si>
  <si>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</si>
  <si>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</si>
  <si>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</si>
  <si>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</si>
  <si>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</si>
  <si>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</si>
  <si>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</si>
  <si>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</si>
  <si>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</si>
  <si>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</si>
  <si>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</si>
  <si>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</si>
  <si>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</si>
  <si>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</si>
  <si>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</si>
  <si>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</si>
  <si>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</si>
  <si>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</si>
  <si>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</si>
  <si>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</si>
  <si>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</si>
  <si>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</si>
  <si>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</si>
  <si>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</si>
  <si>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</si>
  <si>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</si>
  <si>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</si>
  <si>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</si>
  <si>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</si>
  <si>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</si>
  <si>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</si>
  <si>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</si>
  <si>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</si>
  <si>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</si>
  <si>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</si>
  <si>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</si>
  <si>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</si>
  <si>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</si>
  <si>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</si>
  <si>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</si>
  <si>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</si>
  <si>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</si>
  <si>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</si>
  <si>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</si>
  <si>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</si>
  <si>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</si>
  <si>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</si>
  <si>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</si>
  <si>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</si>
  <si>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</si>
  <si>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</si>
  <si>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</si>
  <si>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IIEE-SJ - 205002</t>
  </si>
  <si>
    <t>IIEE-SJ - 203002</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</si>
  <si>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</si>
  <si>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</si>
  <si>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</si>
  <si>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</si>
  <si>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</si>
  <si>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</si>
  <si>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</si>
  <si>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</si>
  <si>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</si>
  <si>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</si>
  <si>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</si>
  <si>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</si>
  <si>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</si>
  <si>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</si>
  <si>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</si>
  <si>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</si>
  <si>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</si>
  <si>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</si>
  <si>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</si>
  <si>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</si>
  <si>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</si>
  <si>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</si>
  <si>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</si>
  <si>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</si>
  <si>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</si>
  <si>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</si>
  <si>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</si>
  <si>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</si>
  <si>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</si>
  <si>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</si>
  <si>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</si>
  <si>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</si>
  <si>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</si>
  <si>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</si>
  <si>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</si>
  <si>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</si>
  <si>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</si>
  <si>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</si>
  <si>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</si>
  <si>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</si>
  <si>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</si>
  <si>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</si>
  <si>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</si>
  <si>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</si>
  <si>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</si>
  <si>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</si>
  <si>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</si>
  <si>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</si>
  <si>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</si>
  <si>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</si>
  <si>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</si>
  <si>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</si>
  <si>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</si>
  <si>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</si>
  <si>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</si>
  <si>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</si>
  <si>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</si>
  <si>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</si>
  <si>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</si>
  <si>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</si>
  <si>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</si>
  <si>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</si>
  <si>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</si>
  <si>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</si>
  <si>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</si>
  <si>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</si>
  <si>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</si>
  <si>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</si>
  <si>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</si>
  <si>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</si>
  <si>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</si>
  <si>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</si>
  <si>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</si>
  <si>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</si>
  <si>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</si>
  <si>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</si>
  <si>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</si>
  <si>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</si>
  <si>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</si>
  <si>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</si>
  <si>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</si>
  <si>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</si>
  <si>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</si>
  <si>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</si>
  <si>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</si>
  <si>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</si>
  <si>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</si>
  <si>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</si>
  <si>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</si>
  <si>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</si>
  <si>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</si>
  <si>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</si>
  <si>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</si>
  <si>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</si>
  <si>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</si>
  <si>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</si>
  <si>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</si>
  <si>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</si>
  <si>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</si>
  <si>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</si>
  <si>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</si>
  <si>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</si>
  <si>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</si>
  <si>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</si>
  <si>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</si>
  <si>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</si>
  <si>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</si>
  <si>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</si>
  <si>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</si>
  <si>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</si>
  <si>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</si>
  <si>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</si>
  <si>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</si>
  <si>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</si>
  <si>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</si>
  <si>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</si>
  <si>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</si>
  <si>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</si>
  <si>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</si>
  <si>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</si>
  <si>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</si>
  <si>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</si>
  <si>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</si>
  <si>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</si>
  <si>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</si>
  <si>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</si>
  <si>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</si>
  <si>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</si>
  <si>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</si>
  <si>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</si>
  <si>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</si>
  <si>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</si>
  <si>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</si>
  <si>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</si>
  <si>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</si>
  <si>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</si>
  <si>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</si>
  <si>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</si>
  <si>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</si>
  <si>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</si>
  <si>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</si>
  <si>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</si>
  <si>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</si>
  <si>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</si>
  <si>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</si>
  <si>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</si>
  <si>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</si>
  <si>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</si>
  <si>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</si>
  <si>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</si>
  <si>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</si>
  <si>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</si>
  <si>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</si>
  <si>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</si>
  <si>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</si>
  <si>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</si>
  <si>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</si>
  <si>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</si>
  <si>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</si>
  <si>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</si>
  <si>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</si>
  <si>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</si>
  <si>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</si>
  <si>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</si>
  <si>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</si>
  <si>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</si>
  <si>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</si>
  <si>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</si>
  <si>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</si>
  <si>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</si>
  <si>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</si>
  <si>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</si>
  <si>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</si>
  <si>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</si>
  <si>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</si>
  <si>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</si>
  <si>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</si>
  <si>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</si>
  <si>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</si>
  <si>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</si>
  <si>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</si>
  <si>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</si>
  <si>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</si>
  <si>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</si>
  <si>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</si>
  <si>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</si>
  <si>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</si>
  <si>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</si>
  <si>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</si>
  <si>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</si>
  <si>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</si>
  <si>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</si>
  <si>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</si>
  <si>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</si>
  <si>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</si>
  <si>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</si>
  <si>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</si>
  <si>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</si>
  <si>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</si>
  <si>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</si>
  <si>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</si>
  <si>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</si>
  <si>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</si>
  <si>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</si>
  <si>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</si>
  <si>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</si>
  <si>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</si>
  <si>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</si>
  <si>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</si>
  <si>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</si>
  <si>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</si>
  <si>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</si>
  <si>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</si>
  <si>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</si>
  <si>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</si>
  <si>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</si>
  <si>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</si>
  <si>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</si>
  <si>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</si>
  <si>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</si>
  <si>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</si>
  <si>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</si>
  <si>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</si>
  <si>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</si>
  <si>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</si>
  <si>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</si>
  <si>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</si>
  <si>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</si>
  <si>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</si>
  <si>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</si>
  <si>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</si>
  <si>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</si>
  <si>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</si>
  <si>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</si>
  <si>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</si>
  <si>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</si>
  <si>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</si>
  <si>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</si>
  <si>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</si>
  <si>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</si>
  <si>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</si>
  <si>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</si>
  <si>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</si>
  <si>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</si>
  <si>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</si>
  <si>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</si>
  <si>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</si>
  <si>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</si>
  <si>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</si>
  <si>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</si>
  <si>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</si>
  <si>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</si>
  <si>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</si>
  <si>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</si>
  <si>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</si>
  <si>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</si>
  <si>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</si>
  <si>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</si>
  <si>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</si>
  <si>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</si>
  <si>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</si>
  <si>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</si>
  <si>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</si>
  <si>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</si>
  <si>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</si>
  <si>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</si>
  <si>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</si>
  <si>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</si>
  <si>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</si>
  <si>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</si>
  <si>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</si>
  <si>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</si>
  <si>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</si>
  <si>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</si>
  <si>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</si>
  <si>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</si>
  <si>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</si>
  <si>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</si>
  <si>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</si>
  <si>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</si>
  <si>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</si>
  <si>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</si>
  <si>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</si>
  <si>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</si>
  <si>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</si>
  <si>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</si>
  <si>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</si>
  <si>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</si>
  <si>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</si>
  <si>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</si>
  <si>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</si>
  <si>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</si>
  <si>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</si>
  <si>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</si>
  <si>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</si>
  <si>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</si>
  <si>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</si>
  <si>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</si>
  <si>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</si>
  <si>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</si>
  <si>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</si>
  <si>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</si>
  <si>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</si>
  <si>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</si>
  <si>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</si>
  <si>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</si>
  <si>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</si>
  <si>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</si>
  <si>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</si>
  <si>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</si>
  <si>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</si>
  <si>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</si>
  <si>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</si>
  <si>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</si>
  <si>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</si>
  <si>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</si>
  <si>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</si>
  <si>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</si>
  <si>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</si>
  <si>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</si>
  <si>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</si>
  <si>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</si>
  <si>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</si>
  <si>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</si>
  <si>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</si>
  <si>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</si>
  <si>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</si>
  <si>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</si>
  <si>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</si>
  <si>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</si>
  <si>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</si>
  <si>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</si>
  <si>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</si>
  <si>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</si>
  <si>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</si>
  <si>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</si>
  <si>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</si>
  <si>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</si>
  <si>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</si>
  <si>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</si>
  <si>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</si>
  <si>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</si>
  <si>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</si>
  <si>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</si>
  <si>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</si>
  <si>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</si>
  <si>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</si>
  <si>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</si>
  <si>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</si>
  <si>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</si>
  <si>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</si>
  <si>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</si>
  <si>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</si>
  <si>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</si>
  <si>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</si>
  <si>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</si>
  <si>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</si>
  <si>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</si>
  <si>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</si>
  <si>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</si>
  <si>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</si>
  <si>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</si>
  <si>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</si>
  <si>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</si>
  <si>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</si>
  <si>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</si>
  <si>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</si>
  <si>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</si>
  <si>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</si>
  <si>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</si>
  <si>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</si>
  <si>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</si>
  <si>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</si>
  <si>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</si>
  <si>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</si>
  <si>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</si>
  <si>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</si>
  <si>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</si>
  <si>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</si>
  <si>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</si>
  <si>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</si>
  <si>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</si>
  <si>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</si>
  <si>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</si>
  <si>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</si>
  <si>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</si>
  <si>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</si>
  <si>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</si>
  <si>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</si>
  <si>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</si>
  <si>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</si>
  <si>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</si>
  <si>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</si>
  <si>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</si>
  <si>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</si>
  <si>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</si>
  <si>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</si>
  <si>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</si>
  <si>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</si>
  <si>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</si>
  <si>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</si>
  <si>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</si>
  <si>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</si>
  <si>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</si>
  <si>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</si>
  <si>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</si>
  <si>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</si>
  <si>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</si>
  <si>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</si>
  <si>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</si>
  <si>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</si>
  <si>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</si>
  <si>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</si>
  <si>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</si>
  <si>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</si>
  <si>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</si>
  <si>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</si>
  <si>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</si>
  <si>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</si>
  <si>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</si>
  <si>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</si>
  <si>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</si>
  <si>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</si>
  <si>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</si>
  <si>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</si>
  <si>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</si>
  <si>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</si>
  <si>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</si>
  <si>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</si>
  <si>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</si>
  <si>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</si>
  <si>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</si>
  <si>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</si>
  <si>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</si>
  <si>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</si>
  <si>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</si>
  <si>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</si>
  <si>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</si>
  <si>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</si>
  <si>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</si>
  <si>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</si>
  <si>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</si>
  <si>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</si>
  <si>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</si>
  <si>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</si>
  <si>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</si>
  <si>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</si>
  <si>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</si>
  <si>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</si>
  <si>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</si>
  <si>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</si>
  <si>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</si>
  <si>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</si>
  <si>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</si>
  <si>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</si>
  <si>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</si>
  <si>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</si>
  <si>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</si>
  <si>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</si>
  <si>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</si>
  <si>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</si>
  <si>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</si>
  <si>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</si>
  <si>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</si>
  <si>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</si>
  <si>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</si>
  <si>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</si>
  <si>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</si>
  <si>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</si>
  <si>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</si>
  <si>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</si>
  <si>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</si>
  <si>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</si>
  <si>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</si>
  <si>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</si>
  <si>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</si>
  <si>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</si>
  <si>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</si>
  <si>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</si>
  <si>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</si>
  <si>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</si>
  <si>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</si>
  <si>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</si>
  <si>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</si>
  <si>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</si>
  <si>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</si>
  <si>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</si>
  <si>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</si>
  <si>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</si>
  <si>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</si>
  <si>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</si>
  <si>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</si>
  <si>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</si>
  <si>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</si>
  <si>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</si>
  <si>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</si>
  <si>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</si>
  <si>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</si>
  <si>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</si>
  <si>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</si>
  <si>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</si>
  <si>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</si>
  <si>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</si>
  <si>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</si>
  <si>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</si>
  <si>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</si>
  <si>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</si>
  <si>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</si>
  <si>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</si>
  <si>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</si>
  <si>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</si>
  <si>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</si>
  <si>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</si>
  <si>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</si>
  <si>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</si>
  <si>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</si>
  <si>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</si>
  <si>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</si>
  <si>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</si>
  <si>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</si>
  <si>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</si>
  <si>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</si>
  <si>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</si>
  <si>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</si>
  <si>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</si>
  <si>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</si>
  <si>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</si>
  <si>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</si>
  <si>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</si>
  <si>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</si>
  <si>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</si>
  <si>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</si>
  <si>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</si>
  <si>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</si>
  <si>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</si>
  <si>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</si>
  <si>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</si>
  <si>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</si>
  <si>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</si>
  <si>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</si>
  <si>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</si>
  <si>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</si>
  <si>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</si>
  <si>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</si>
  <si>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</si>
  <si>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</si>
  <si>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</si>
  <si>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</si>
  <si>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</si>
  <si>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</si>
  <si>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</si>
  <si>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</si>
  <si>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</si>
  <si>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</si>
  <si>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</si>
  <si>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</si>
  <si>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</si>
  <si>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</si>
  <si>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</si>
  <si>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</si>
  <si>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</si>
  <si>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</si>
  <si>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</si>
  <si>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</si>
  <si>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</si>
  <si>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</si>
  <si>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</si>
  <si>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</si>
  <si>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</si>
  <si>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</si>
  <si>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</si>
  <si>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</si>
  <si>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</si>
  <si>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</si>
  <si>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</si>
  <si>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</si>
  <si>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</si>
  <si>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</si>
  <si>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</si>
  <si>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</si>
  <si>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</si>
  <si>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</si>
  <si>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</si>
  <si>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</si>
  <si>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</si>
  <si>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</si>
  <si>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</si>
  <si>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</si>
  <si>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</si>
  <si>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</si>
  <si>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</si>
  <si>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</si>
  <si>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</si>
  <si>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</si>
  <si>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</si>
  <si>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</si>
  <si>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</si>
  <si>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</si>
  <si>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</si>
  <si>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</si>
  <si>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</si>
  <si>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</si>
  <si>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</si>
  <si>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</si>
  <si>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</si>
  <si>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</si>
  <si>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</si>
  <si>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</si>
  <si>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</si>
  <si>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</si>
  <si>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</si>
  <si>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</si>
  <si>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</si>
  <si>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</si>
  <si>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</si>
  <si>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</si>
  <si>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</si>
  <si>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</si>
  <si>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</si>
  <si>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</si>
  <si>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</si>
  <si>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</si>
  <si>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</si>
  <si>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</si>
  <si>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</si>
  <si>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</si>
  <si>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</si>
  <si>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</si>
  <si>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</si>
  <si>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</si>
  <si>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</si>
  <si>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</si>
  <si>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</si>
  <si>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</si>
  <si>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</si>
  <si>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</si>
  <si>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</si>
  <si>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</si>
  <si>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</si>
  <si>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</si>
  <si>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</si>
  <si>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</si>
  <si>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</si>
  <si>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</si>
  <si>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</si>
  <si>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</si>
  <si>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</si>
  <si>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</si>
  <si>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</si>
  <si>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</si>
  <si>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</si>
  <si>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</si>
  <si>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</si>
  <si>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</si>
  <si>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</si>
  <si>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</si>
  <si>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</si>
  <si>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</si>
  <si>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</si>
  <si>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</si>
  <si>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</si>
  <si>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</si>
  <si>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</si>
  <si>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</si>
  <si>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</si>
  <si>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</si>
  <si>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</si>
  <si>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</si>
  <si>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</si>
  <si>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</si>
  <si>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</si>
  <si>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</si>
  <si>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</si>
  <si>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</si>
  <si>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</si>
  <si>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</si>
  <si>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</si>
  <si>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</si>
  <si>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</si>
  <si>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</si>
  <si>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</si>
  <si>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</si>
  <si>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Combustibles y Lubricantes</t>
  </si>
  <si>
    <t>IIEE-SJ - 214002</t>
  </si>
  <si>
    <t>IIEE-SJ - 214004</t>
  </si>
  <si>
    <t>IIEE-SJ - 214006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</si>
  <si>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</si>
  <si>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</si>
  <si>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</si>
  <si>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</si>
  <si>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</si>
  <si>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</si>
  <si>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</si>
  <si>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</si>
  <si>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</si>
  <si>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</si>
  <si>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</si>
  <si>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</si>
  <si>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</si>
  <si>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</si>
  <si>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</si>
  <si>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</si>
  <si>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</si>
  <si>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</si>
  <si>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</si>
  <si>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</si>
  <si>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</si>
  <si>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</si>
  <si>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</si>
  <si>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</si>
  <si>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</si>
  <si>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</si>
  <si>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</si>
  <si>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</si>
  <si>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</si>
  <si>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</si>
  <si>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</si>
  <si>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</si>
  <si>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</si>
  <si>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</si>
  <si>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</si>
  <si>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</si>
  <si>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</si>
  <si>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</si>
  <si>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</si>
  <si>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</si>
  <si>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</si>
  <si>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</si>
  <si>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</si>
  <si>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</si>
  <si>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</si>
  <si>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</si>
  <si>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</si>
  <si>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</si>
  <si>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</si>
  <si>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</si>
  <si>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</si>
  <si>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</si>
  <si>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</si>
  <si>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</si>
  <si>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</si>
  <si>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</si>
  <si>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</si>
  <si>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</si>
  <si>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</si>
  <si>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</si>
  <si>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</si>
  <si>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</si>
  <si>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</si>
  <si>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</si>
  <si>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</si>
  <si>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</si>
  <si>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</si>
  <si>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</si>
  <si>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</si>
  <si>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</si>
  <si>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</si>
  <si>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</si>
  <si>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</si>
  <si>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</si>
  <si>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</si>
  <si>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</si>
  <si>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</si>
  <si>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</si>
  <si>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</si>
  <si>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</si>
  <si>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</si>
  <si>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</si>
  <si>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</si>
  <si>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</si>
  <si>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</si>
  <si>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</si>
  <si>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</si>
  <si>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</si>
  <si>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</si>
  <si>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</si>
  <si>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</si>
  <si>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</si>
  <si>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</si>
  <si>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</si>
  <si>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</si>
  <si>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</si>
  <si>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</si>
  <si>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</si>
  <si>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</si>
  <si>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</si>
  <si>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</si>
  <si>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</si>
  <si>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</si>
  <si>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</si>
  <si>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</si>
  <si>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</si>
  <si>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</si>
  <si>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</si>
  <si>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</si>
  <si>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</si>
  <si>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</si>
  <si>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</si>
  <si>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</si>
  <si>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</si>
  <si>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</si>
  <si>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</si>
  <si>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</si>
  <si>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</si>
  <si>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</si>
  <si>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</si>
  <si>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</si>
  <si>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</si>
  <si>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</si>
  <si>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$/M</t>
  </si>
  <si>
    <t>$/ha</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</si>
  <si>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</si>
  <si>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</si>
  <si>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</si>
  <si>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</si>
  <si>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</si>
  <si>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</si>
  <si>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</si>
  <si>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</si>
  <si>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</si>
  <si>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</si>
  <si>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</si>
  <si>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</si>
  <si>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</si>
  <si>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</si>
  <si>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</si>
  <si>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</si>
  <si>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</si>
  <si>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</si>
  <si>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</si>
  <si>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</si>
  <si>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</si>
  <si>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</si>
  <si>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</si>
  <si>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</si>
  <si>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</si>
  <si>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</si>
  <si>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</si>
  <si>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</si>
  <si>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</si>
  <si>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</si>
  <si>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</si>
  <si>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</si>
  <si>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</si>
  <si>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</si>
  <si>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</si>
  <si>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</si>
  <si>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</si>
  <si>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</si>
  <si>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</si>
  <si>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</si>
  <si>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</si>
  <si>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</si>
  <si>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</si>
  <si>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</si>
  <si>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</si>
  <si>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</si>
  <si>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</si>
  <si>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</si>
  <si>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</si>
  <si>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</si>
  <si>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</si>
  <si>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</si>
  <si>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</si>
  <si>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</si>
  <si>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</si>
  <si>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</si>
  <si>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</si>
  <si>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</si>
  <si>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</si>
  <si>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</si>
  <si>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</si>
  <si>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</si>
  <si>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</si>
  <si>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</si>
  <si>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</si>
  <si>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</si>
  <si>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</si>
  <si>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</si>
  <si>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</si>
  <si>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</si>
  <si>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</si>
  <si>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</si>
  <si>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</si>
  <si>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</si>
  <si>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</si>
  <si>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</si>
  <si>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</si>
  <si>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</si>
  <si>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</si>
  <si>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</si>
  <si>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</si>
  <si>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</si>
  <si>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</si>
  <si>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</si>
  <si>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</si>
  <si>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</si>
  <si>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</si>
  <si>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</si>
  <si>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</si>
  <si>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</si>
  <si>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</si>
  <si>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</si>
  <si>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</si>
  <si>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</si>
  <si>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</si>
  <si>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</si>
  <si>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</si>
  <si>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</si>
  <si>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</si>
  <si>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</si>
  <si>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</si>
  <si>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</si>
  <si>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</si>
  <si>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</si>
  <si>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</si>
  <si>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</si>
  <si>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</si>
  <si>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</si>
  <si>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</si>
  <si>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</si>
  <si>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</si>
  <si>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</si>
  <si>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</si>
  <si>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</si>
  <si>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</si>
  <si>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</si>
  <si>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</si>
  <si>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</si>
  <si>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</si>
  <si>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</si>
  <si>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</si>
  <si>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</si>
  <si>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</si>
  <si>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</si>
  <si>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</si>
  <si>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</si>
  <si>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</si>
  <si>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</si>
  <si>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</si>
  <si>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</si>
  <si>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</si>
  <si>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</si>
  <si>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</si>
  <si>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</si>
  <si>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</si>
  <si>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</si>
  <si>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</si>
  <si>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</si>
  <si>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</si>
  <si>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</si>
  <si>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</si>
  <si>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</si>
  <si>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</si>
  <si>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</si>
  <si>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</si>
  <si>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</si>
  <si>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</si>
  <si>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</si>
  <si>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</si>
  <si>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</si>
  <si>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</si>
  <si>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</si>
  <si>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</si>
  <si>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</si>
  <si>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</si>
  <si>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</si>
  <si>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</si>
  <si>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</si>
  <si>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</si>
  <si>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</si>
  <si>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</si>
  <si>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</si>
  <si>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</si>
  <si>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</si>
  <si>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</si>
  <si>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</si>
  <si>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</si>
  <si>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</si>
  <si>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</si>
  <si>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</si>
  <si>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</si>
  <si>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</si>
  <si>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</si>
  <si>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</si>
  <si>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</si>
  <si>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</si>
  <si>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</si>
  <si>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</si>
  <si>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</si>
  <si>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</si>
  <si>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</si>
  <si>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</si>
  <si>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</si>
  <si>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</si>
  <si>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</si>
  <si>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</si>
  <si>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</si>
  <si>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</si>
  <si>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</si>
  <si>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</si>
  <si>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</si>
  <si>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</si>
  <si>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</si>
  <si>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</si>
  <si>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</si>
  <si>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</si>
  <si>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</si>
  <si>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</si>
  <si>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</si>
  <si>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</si>
  <si>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</si>
  <si>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</si>
  <si>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</si>
  <si>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</si>
  <si>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</si>
  <si>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</si>
  <si>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</si>
  <si>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</si>
  <si>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</si>
  <si>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</si>
  <si>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</si>
  <si>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</si>
  <si>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</si>
  <si>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</si>
  <si>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</si>
  <si>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</si>
  <si>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</si>
  <si>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</si>
  <si>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</si>
  <si>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</si>
  <si>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</si>
  <si>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</si>
  <si>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ORDEN</t>
  </si>
  <si>
    <t>INCIDENCIA</t>
  </si>
  <si>
    <t>MES:</t>
  </si>
  <si>
    <t>PLANILLA DE MEDICION - SIGOP</t>
  </si>
  <si>
    <t>EJECUTADO ANTERIOR</t>
  </si>
  <si>
    <t>EJECUTADO PRESENTE</t>
  </si>
  <si>
    <t>EJECUTADO ACUMULADO</t>
  </si>
  <si>
    <t>SUB-ITEMS DE LA OBRA</t>
  </si>
  <si>
    <t>INCIDENCIA SUB-ITEMS</t>
  </si>
  <si>
    <t>CANTIDAD</t>
  </si>
  <si>
    <t>NRO OBRA</t>
  </si>
  <si>
    <t>2.1</t>
  </si>
  <si>
    <t>1.1</t>
  </si>
  <si>
    <t>DEPARTAMENTOS SARMIENTO, 9 DE JULIO Y CHIMBAS</t>
  </si>
  <si>
    <t>RECRECIMIENTO Y REPARACIÓN CANALES SARMIENTO, 9 DE JULIO Y CHIMBAS</t>
  </si>
  <si>
    <t>LICITACIÓN PÚBLICA N°:</t>
  </si>
  <si>
    <t>____/23</t>
  </si>
  <si>
    <t>506-000001-2023</t>
  </si>
  <si>
    <t>DPTO. SARMIENTO - CANAL PRIMERO DE COCHAGUAL</t>
  </si>
  <si>
    <t>TRABAJOS PREPARATORIOS</t>
  </si>
  <si>
    <t>Preparación y Limpieza de Superf.</t>
  </si>
  <si>
    <t>Replanteo</t>
  </si>
  <si>
    <t>ESTRUCTURA RESISTENTE</t>
  </si>
  <si>
    <t xml:space="preserve">Hormigón H-21  </t>
  </si>
  <si>
    <t>Armadura puesta en obra</t>
  </si>
  <si>
    <t>Anclajes Químicos</t>
  </si>
  <si>
    <t>Puente de Adherencia</t>
  </si>
  <si>
    <t>Juntas de Contracción y dilatación</t>
  </si>
  <si>
    <t>DPTO. 9 DE JULIO (R. BALMACEDA y R. ZUNGRY ALDAY)</t>
  </si>
  <si>
    <t>RECRECIMIENTO C. PASTORIZA-VIDELA</t>
  </si>
  <si>
    <t>Trabajos Preparatorios</t>
  </si>
  <si>
    <t>Estructura Resistente Recrecimiento</t>
  </si>
  <si>
    <t>REEMPLAZO DE PAÑOS DE H° C. PASTORIZA-VIDELA</t>
  </si>
  <si>
    <t>Demolicion</t>
  </si>
  <si>
    <t>Relleno y Compactacion</t>
  </si>
  <si>
    <t>Juntas de Construccion y Dilatacion</t>
  </si>
  <si>
    <t>1.1.1</t>
  </si>
  <si>
    <t>1.1.2</t>
  </si>
  <si>
    <t>1.2</t>
  </si>
  <si>
    <t>1.2.1</t>
  </si>
  <si>
    <t>1.2.2</t>
  </si>
  <si>
    <t>1.2.3</t>
  </si>
  <si>
    <t>1.2.4</t>
  </si>
  <si>
    <t>1.2.5</t>
  </si>
  <si>
    <t>2.1.1</t>
  </si>
  <si>
    <t>2.1.2</t>
  </si>
  <si>
    <t>2.2</t>
  </si>
  <si>
    <t>2.2.1</t>
  </si>
  <si>
    <t>2.2.2</t>
  </si>
  <si>
    <t>2.2.3</t>
  </si>
  <si>
    <t>2.2.4</t>
  </si>
  <si>
    <t>3.1</t>
  </si>
  <si>
    <t>3.1.1</t>
  </si>
  <si>
    <t>3.1.2</t>
  </si>
  <si>
    <t>3.2</t>
  </si>
  <si>
    <t>3.2.1</t>
  </si>
  <si>
    <t>3.2.2</t>
  </si>
  <si>
    <t>3.2.3</t>
  </si>
  <si>
    <t>3.2.4</t>
  </si>
  <si>
    <t>3.3</t>
  </si>
  <si>
    <t>3.3.1</t>
  </si>
  <si>
    <t>3.3.2</t>
  </si>
  <si>
    <t>3.3.3</t>
  </si>
  <si>
    <t>3.3.4</t>
  </si>
  <si>
    <t>3.3.5</t>
  </si>
  <si>
    <t>3.3.6</t>
  </si>
  <si>
    <t>GL</t>
  </si>
  <si>
    <t>M3</t>
  </si>
  <si>
    <t>KG</t>
  </si>
  <si>
    <t>ML</t>
  </si>
  <si>
    <t>SRA. DIRECTORA GENERAL DEL DEPARTAMENTO DE HIDRÁULICA</t>
  </si>
  <si>
    <t>DEPARTAMENTO DE HIDRÁULICA</t>
  </si>
  <si>
    <t>MANO DE OBRA</t>
  </si>
  <si>
    <t>ACERO ALETADO CONFORMADO, EN BARRAS</t>
  </si>
  <si>
    <t>I.I.E.E.-1 ayudante</t>
  </si>
  <si>
    <t>INDEC-CM -37510-II</t>
  </si>
  <si>
    <t>INDEC-DCTO- INCISO j)</t>
  </si>
  <si>
    <t>INDEC-CM-41242-II</t>
  </si>
  <si>
    <t>INDEC-DCTO-INCISO  p)</t>
  </si>
  <si>
    <t>FÓRMULA POLINÓMICA SEGÚN PLIEGO DE BASES Y CONDICIONES</t>
  </si>
  <si>
    <t>HORMIGÓN ELABORADO</t>
  </si>
  <si>
    <t>EQUIPO Y AMORTIZACIÓN DE EQUIPOS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</si>
</sst>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 &quot;hs&quot;"/>
    <numFmt numFmtId="193" formatCode="0.00\ &quot;lts/HP&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0.00000"/>
    <numFmt numFmtId="230" formatCode="_ &quot;$&quot;\ * #,##0.000_ ;_ &quot;$&quot;\ * \-#,##0.000_ ;_ &quot;$&quot;\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5">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58">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8"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0" fontId="13" fillId="0" borderId="0" xfId="7" applyFont="1" applyAlignment="1" applyProtection="1">
      <alignment horizontal="right" vertical="center"/>
      <protection hidden="1"/>
    </xf>
    <xf numFmtId="176"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6"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8"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74" fontId="8" fillId="3" borderId="0" xfId="7" applyNumberFormat="1" applyFill="1" applyAlignment="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12" fillId="0" borderId="13" xfId="0" applyFont="1" applyBorder="1" applyAlignment="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3" fillId="0" borderId="0" xfId="20" applyFont="1" applyAlignment="1">
      <alignment vertical="center"/>
    </xf>
    <xf numFmtId="2" fontId="11" fillId="0" borderId="0" xfId="20" applyNumberFormat="1" applyFont="1" applyAlignment="1">
      <alignment horizontal="center" vertical="center"/>
    </xf>
    <xf numFmtId="0" fontId="44"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2"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3" fontId="9" fillId="0" borderId="3" xfId="20" applyNumberFormat="1" applyFont="1" applyBorder="1" applyAlignment="1" applyProtection="1">
      <alignment horizontal="center" vertical="center"/>
      <protection locked="0"/>
    </xf>
    <xf numFmtId="194" fontId="9" fillId="0" borderId="3" xfId="81" applyNumberFormat="1" applyFont="1" applyFill="1" applyBorder="1" applyAlignment="1" applyProtection="1">
      <alignment horizontal="center" vertical="center"/>
      <protection locked="0"/>
    </xf>
    <xf numFmtId="195" fontId="9" fillId="0" borderId="3" xfId="20" applyNumberFormat="1" applyFont="1" applyBorder="1" applyAlignment="1">
      <alignment horizontal="center" vertical="center"/>
    </xf>
    <xf numFmtId="196" fontId="9" fillId="0" borderId="3" xfId="20" applyNumberFormat="1" applyFont="1" applyBorder="1" applyAlignment="1">
      <alignment horizontal="center" vertical="center"/>
    </xf>
    <xf numFmtId="0" fontId="9" fillId="0" borderId="5" xfId="20" applyFont="1" applyBorder="1"/>
    <xf numFmtId="197" fontId="9" fillId="0" borderId="3" xfId="20" applyNumberFormat="1" applyFont="1" applyBorder="1" applyProtection="1">
      <protection locked="0"/>
    </xf>
    <xf numFmtId="198" fontId="9" fillId="0" borderId="3" xfId="20" applyNumberFormat="1" applyFont="1" applyBorder="1" applyProtection="1">
      <protection locked="0"/>
    </xf>
    <xf numFmtId="199" fontId="9" fillId="0" borderId="3" xfId="20" applyNumberFormat="1" applyFont="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20" applyNumberFormat="1" applyFont="1" applyBorder="1" applyAlignment="1">
      <alignment horizontal="center" vertical="center"/>
    </xf>
    <xf numFmtId="203" fontId="9" fillId="0" borderId="3" xfId="20" applyNumberFormat="1" applyFont="1" applyBorder="1" applyAlignment="1">
      <alignment horizontal="center" vertical="center"/>
    </xf>
    <xf numFmtId="203" fontId="9" fillId="0" borderId="0" xfId="20" applyNumberFormat="1" applyFont="1" applyAlignment="1">
      <alignment horizontal="center" vertical="center"/>
    </xf>
    <xf numFmtId="203" fontId="9" fillId="0" borderId="0" xfId="20" applyNumberFormat="1" applyFont="1" applyAlignment="1">
      <alignment horizontal="right" vertical="center"/>
    </xf>
    <xf numFmtId="204" fontId="9" fillId="0" borderId="3" xfId="20" applyNumberFormat="1" applyFont="1" applyBorder="1" applyProtection="1">
      <protection locked="0"/>
    </xf>
    <xf numFmtId="205" fontId="9" fillId="0" borderId="3" xfId="81" applyNumberFormat="1" applyFont="1" applyFill="1" applyBorder="1" applyAlignment="1" applyProtection="1">
      <alignment horizontal="center" vertical="center"/>
      <protection locked="0"/>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7" fontId="8" fillId="0" borderId="3" xfId="20" applyNumberFormat="1" applyBorder="1" applyAlignment="1" applyProtection="1">
      <alignment horizontal="center" vertical="center"/>
      <protection hidden="1"/>
    </xf>
    <xf numFmtId="207" fontId="8" fillId="0" borderId="0" xfId="20" applyNumberFormat="1" applyProtection="1">
      <protection hidden="1"/>
    </xf>
    <xf numFmtId="208" fontId="8" fillId="0" borderId="0" xfId="20" applyNumberFormat="1" applyAlignment="1" applyProtection="1">
      <alignment shrinkToFit="1"/>
      <protection hidden="1"/>
    </xf>
    <xf numFmtId="209"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0"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3" fontId="8" fillId="0" borderId="0" xfId="20" applyNumberFormat="1" applyProtection="1">
      <protection hidden="1"/>
    </xf>
    <xf numFmtId="214" fontId="8" fillId="0" borderId="0" xfId="20" applyNumberFormat="1" applyAlignment="1" applyProtection="1">
      <alignment horizontal="center"/>
      <protection hidden="1"/>
    </xf>
    <xf numFmtId="215" fontId="8" fillId="0" borderId="0" xfId="20" applyNumberFormat="1" applyAlignment="1" applyProtection="1">
      <alignment horizontal="center" vertical="center" shrinkToFit="1"/>
      <protection hidden="1"/>
    </xf>
    <xf numFmtId="217" fontId="8" fillId="0" borderId="0" xfId="20" applyNumberFormat="1" applyAlignment="1" applyProtection="1">
      <alignment shrinkToFit="1"/>
      <protection hidden="1"/>
    </xf>
    <xf numFmtId="218" fontId="8" fillId="0" borderId="0" xfId="20" applyNumberFormat="1" applyAlignment="1" applyProtection="1">
      <alignment horizontal="center" shrinkToFit="1"/>
      <protection hidden="1"/>
    </xf>
    <xf numFmtId="219" fontId="8" fillId="0" borderId="0" xfId="20" applyNumberFormat="1" applyAlignment="1" applyProtection="1">
      <alignment horizontal="center"/>
      <protection hidden="1"/>
    </xf>
    <xf numFmtId="220"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09" fontId="9"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09"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hidden="1"/>
    </xf>
    <xf numFmtId="206" fontId="9" fillId="0" borderId="3" xfId="20" applyNumberFormat="1" applyFont="1" applyBorder="1" applyAlignment="1" applyProtection="1">
      <alignment horizontal="center" vertical="center"/>
      <protection hidden="1"/>
    </xf>
    <xf numFmtId="226" fontId="11" fillId="0" borderId="3" xfId="20" applyNumberFormat="1" applyFont="1" applyBorder="1" applyAlignment="1" applyProtection="1">
      <alignment horizontal="center" vertical="center"/>
      <protection hidden="1"/>
    </xf>
    <xf numFmtId="226" fontId="8" fillId="0" borderId="0" xfId="20" applyNumberFormat="1" applyAlignment="1" applyProtection="1">
      <alignment vertical="center"/>
      <protection hidden="1"/>
    </xf>
    <xf numFmtId="222"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hidden="1"/>
    </xf>
    <xf numFmtId="227"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1"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2" fontId="12" fillId="0" borderId="3" xfId="20" applyNumberFormat="1" applyFont="1" applyBorder="1" applyProtection="1">
      <protection locked="0"/>
    </xf>
    <xf numFmtId="214" fontId="12" fillId="0" borderId="3" xfId="20" applyNumberFormat="1" applyFont="1" applyBorder="1" applyProtection="1">
      <protection locked="0"/>
    </xf>
    <xf numFmtId="197" fontId="12" fillId="0" borderId="3" xfId="20" applyNumberFormat="1" applyFont="1" applyBorder="1" applyProtection="1">
      <protection locked="0"/>
    </xf>
    <xf numFmtId="199" fontId="12" fillId="0" borderId="3" xfId="20" applyNumberFormat="1" applyFont="1" applyBorder="1" applyProtection="1">
      <protection locked="0"/>
    </xf>
    <xf numFmtId="216" fontId="12" fillId="0" borderId="3" xfId="20" applyNumberFormat="1" applyFont="1" applyBorder="1" applyProtection="1">
      <protection locked="0"/>
    </xf>
    <xf numFmtId="221" fontId="12" fillId="0" borderId="3" xfId="20" applyNumberFormat="1" applyFont="1" applyBorder="1" applyProtection="1">
      <protection locked="0"/>
    </xf>
    <xf numFmtId="209" fontId="12" fillId="0" borderId="3" xfId="20" applyNumberFormat="1" applyFont="1" applyBorder="1" applyProtection="1">
      <protection locked="0"/>
    </xf>
    <xf numFmtId="168" fontId="12" fillId="0" borderId="3" xfId="49" applyFont="1" applyBorder="1" applyProtection="1">
      <protection hidden="1"/>
    </xf>
    <xf numFmtId="211"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2" fontId="8" fillId="0" borderId="3" xfId="20" applyNumberFormat="1" applyBorder="1" applyProtection="1">
      <protection hidden="1"/>
    </xf>
    <xf numFmtId="214" fontId="12" fillId="0" borderId="3" xfId="20" applyNumberFormat="1" applyFont="1" applyBorder="1" applyProtection="1">
      <protection hidden="1"/>
    </xf>
    <xf numFmtId="197" fontId="8" fillId="0" borderId="3" xfId="20" applyNumberFormat="1" applyBorder="1" applyProtection="1">
      <protection hidden="1"/>
    </xf>
    <xf numFmtId="199" fontId="8" fillId="0" borderId="3" xfId="20" applyNumberFormat="1" applyBorder="1" applyProtection="1">
      <protection hidden="1"/>
    </xf>
    <xf numFmtId="216" fontId="12" fillId="0" borderId="3" xfId="20" applyNumberFormat="1" applyFont="1" applyBorder="1" applyProtection="1">
      <protection hidden="1"/>
    </xf>
    <xf numFmtId="221" fontId="8" fillId="0" borderId="3" xfId="20" applyNumberFormat="1" applyBorder="1" applyProtection="1">
      <protection hidden="1"/>
    </xf>
    <xf numFmtId="209"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169" fontId="8" fillId="0" borderId="5" xfId="16" applyNumberFormat="1" applyFont="1" applyFill="1" applyBorder="1" applyAlignment="1" applyProtection="1">
      <alignment vertical="center"/>
      <protection locked="0"/>
    </xf>
    <xf numFmtId="0" fontId="48" fillId="5" borderId="13" xfId="0" applyFont="1" applyFill="1" applyBorder="1" applyAlignment="1">
      <alignment vertical="center"/>
    </xf>
    <xf numFmtId="168" fontId="12" fillId="0" borderId="8" xfId="0" applyNumberFormat="1" applyFont="1" applyBorder="1" applyAlignment="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0" borderId="67" xfId="7" applyFont="1" applyBorder="1" applyAlignment="1" applyProtection="1">
      <alignment horizontal="center" vertical="center"/>
      <protection hidden="1"/>
    </xf>
    <xf numFmtId="17" fontId="12" fillId="0" borderId="68" xfId="7" applyNumberFormat="1" applyFont="1" applyBorder="1" applyAlignment="1" applyProtection="1">
      <alignment horizontal="center" vertical="center"/>
      <protection hidden="1"/>
    </xf>
    <xf numFmtId="10" fontId="12" fillId="0" borderId="69"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0" fontId="53" fillId="0" borderId="67" xfId="7" applyFont="1" applyBorder="1" applyAlignment="1" applyProtection="1">
      <alignment horizontal="center" vertical="center"/>
      <protection hidden="1"/>
    </xf>
    <xf numFmtId="17" fontId="53" fillId="2" borderId="68" xfId="7" applyNumberFormat="1" applyFont="1" applyFill="1" applyBorder="1" applyAlignment="1" applyProtection="1">
      <alignment horizontal="center" vertical="center"/>
      <protection hidden="1"/>
    </xf>
    <xf numFmtId="10" fontId="53" fillId="0" borderId="69" xfId="7" applyNumberFormat="1"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10" fontId="8" fillId="0" borderId="65" xfId="84" applyNumberFormat="1" applyFont="1" applyFill="1" applyBorder="1" applyAlignment="1" applyProtection="1">
      <alignment horizontal="center" vertical="center"/>
      <protection locked="0"/>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10" fontId="12" fillId="0" borderId="3" xfId="84" applyNumberFormat="1" applyFont="1" applyFill="1" applyBorder="1" applyAlignment="1" applyProtection="1">
      <alignment horizontal="center" vertical="center"/>
      <protection hidden="1"/>
    </xf>
    <xf numFmtId="4" fontId="13" fillId="0" borderId="0" xfId="0" applyNumberFormat="1" applyFont="1" applyAlignment="1">
      <alignment vertical="center"/>
    </xf>
    <xf numFmtId="4" fontId="13" fillId="0" borderId="3" xfId="0" applyNumberFormat="1" applyFont="1" applyBorder="1" applyAlignment="1">
      <alignment horizontal="center" vertical="center"/>
    </xf>
    <xf numFmtId="4" fontId="13" fillId="0" borderId="3" xfId="0" applyNumberFormat="1" applyFont="1" applyBorder="1" applyAlignment="1">
      <alignment vertical="center"/>
    </xf>
    <xf numFmtId="229" fontId="13" fillId="0" borderId="3" xfId="0" applyNumberFormat="1" applyFont="1" applyBorder="1" applyAlignment="1">
      <alignment vertical="center"/>
    </xf>
    <xf numFmtId="2" fontId="13" fillId="0" borderId="0" xfId="0" applyNumberFormat="1" applyFont="1" applyAlignment="1" applyProtection="1">
      <alignment vertical="center"/>
      <protection locked="0"/>
    </xf>
    <xf numFmtId="206" fontId="13" fillId="0" borderId="0" xfId="0" applyNumberFormat="1" applyFont="1" applyAlignment="1" applyProtection="1">
      <alignment vertical="center"/>
      <protection locked="0"/>
    </xf>
    <xf numFmtId="168" fontId="13" fillId="0" borderId="0" xfId="0" applyNumberFormat="1" applyFont="1" applyAlignment="1" applyProtection="1">
      <alignment vertical="center"/>
      <protection locked="0"/>
    </xf>
    <xf numFmtId="230" fontId="13" fillId="0" borderId="0" xfId="0" applyNumberFormat="1" applyFont="1" applyAlignment="1" applyProtection="1">
      <alignment vertical="center"/>
      <protection locked="0"/>
    </xf>
    <xf numFmtId="228" fontId="13" fillId="0" borderId="0" xfId="0" applyNumberFormat="1" applyFont="1" applyAlignment="1" applyProtection="1">
      <alignment vertical="center"/>
      <protection locked="0"/>
    </xf>
    <xf numFmtId="166" fontId="13" fillId="0" borderId="0" xfId="0" applyNumberFormat="1" applyFont="1" applyAlignment="1" applyProtection="1">
      <alignment vertical="center"/>
      <protection locked="0"/>
    </xf>
    <xf numFmtId="166" fontId="0" fillId="0" borderId="0" xfId="0" applyNumberFormat="1" applyAlignment="1">
      <alignment vertical="center"/>
    </xf>
    <xf numFmtId="168" fontId="0" fillId="0" borderId="0" xfId="2" applyFont="1" applyFill="1" applyAlignment="1" applyProtection="1">
      <alignment vertical="center"/>
      <protection hidden="1"/>
    </xf>
    <xf numFmtId="168" fontId="0" fillId="0" borderId="0" xfId="2" applyFont="1" applyFill="1" applyBorder="1" applyAlignment="1" applyProtection="1">
      <alignment vertical="center"/>
      <protection hidden="1"/>
    </xf>
    <xf numFmtId="168" fontId="8" fillId="0" borderId="0" xfId="2" applyFont="1" applyFill="1" applyBorder="1" applyAlignment="1" applyProtection="1">
      <protection hidden="1"/>
    </xf>
    <xf numFmtId="168" fontId="8" fillId="0" borderId="0" xfId="2" applyFont="1" applyFill="1" applyBorder="1" applyAlignment="1" applyProtection="1">
      <alignment vertical="center"/>
      <protection hidden="1"/>
    </xf>
    <xf numFmtId="166"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68" fontId="8" fillId="0" borderId="0" xfId="2" applyFont="1" applyFill="1" applyAlignment="1" applyProtection="1">
      <alignment vertical="center"/>
      <protection hidden="1"/>
    </xf>
    <xf numFmtId="166" fontId="13" fillId="0" borderId="0" xfId="7" applyNumberFormat="1" applyFont="1" applyAlignment="1" applyProtection="1">
      <alignment vertical="center"/>
      <protection hidden="1"/>
    </xf>
    <xf numFmtId="167" fontId="13" fillId="0" borderId="0" xfId="82" applyFont="1" applyFill="1" applyAlignment="1" applyProtection="1">
      <alignment vertical="center"/>
      <protection locked="0"/>
    </xf>
    <xf numFmtId="167" fontId="0" fillId="0" borderId="0" xfId="82" applyFont="1" applyFill="1" applyAlignment="1" applyProtection="1">
      <alignment vertical="center"/>
    </xf>
    <xf numFmtId="169" fontId="8" fillId="0" borderId="66" xfId="84" applyNumberFormat="1" applyFont="1" applyFill="1" applyBorder="1" applyAlignment="1" applyProtection="1">
      <alignment horizontal="center" vertical="center"/>
      <protection locked="0"/>
    </xf>
    <xf numFmtId="9" fontId="8" fillId="2" borderId="65" xfId="1" applyFont="1" applyFill="1" applyBorder="1" applyAlignment="1" applyProtection="1">
      <alignment horizontal="center" vertical="center"/>
      <protection locked="0"/>
    </xf>
    <xf numFmtId="169" fontId="0" fillId="0" borderId="0" xfId="1" applyNumberFormat="1" applyFont="1" applyFill="1" applyBorder="1" applyAlignment="1" applyProtection="1">
      <alignment vertical="center"/>
      <protection hidden="1"/>
    </xf>
    <xf numFmtId="169" fontId="8" fillId="0" borderId="0" xfId="1" applyNumberFormat="1" applyFont="1" applyFill="1" applyBorder="1" applyAlignment="1" applyProtection="1">
      <alignment vertical="center"/>
      <protection hidden="1"/>
    </xf>
    <xf numFmtId="169" fontId="0" fillId="0" borderId="0" xfId="1" applyNumberFormat="1" applyFont="1" applyFill="1" applyAlignment="1" applyProtection="1">
      <alignment vertical="center"/>
      <protection hidden="1"/>
    </xf>
    <xf numFmtId="169" fontId="15" fillId="0" borderId="0" xfId="1" applyNumberFormat="1" applyFont="1" applyFill="1" applyBorder="1" applyAlignment="1" applyProtection="1">
      <alignment vertical="center"/>
      <protection hidden="1"/>
    </xf>
    <xf numFmtId="169" fontId="12" fillId="0" borderId="0" xfId="1" applyNumberFormat="1" applyFont="1" applyFill="1" applyBorder="1" applyAlignment="1" applyProtection="1">
      <alignment horizontal="center" vertical="center" wrapText="1"/>
      <protection hidden="1"/>
    </xf>
    <xf numFmtId="169" fontId="8" fillId="2" borderId="65" xfId="1" applyNumberFormat="1" applyFont="1" applyFill="1" applyBorder="1" applyAlignment="1" applyProtection="1">
      <alignment horizontal="center" vertical="center"/>
      <protection hidden="1"/>
    </xf>
    <xf numFmtId="169" fontId="12" fillId="0" borderId="0" xfId="1" applyNumberFormat="1" applyFont="1" applyFill="1" applyBorder="1" applyAlignment="1" applyProtection="1">
      <alignment vertical="center"/>
      <protection hidden="1"/>
    </xf>
    <xf numFmtId="169" fontId="13" fillId="0" borderId="0" xfId="1" applyNumberFormat="1" applyFont="1" applyFill="1" applyBorder="1" applyAlignment="1" applyProtection="1">
      <alignment horizontal="right" vertical="center"/>
      <protection hidden="1"/>
    </xf>
    <xf numFmtId="169" fontId="13" fillId="0" borderId="0" xfId="1" applyNumberFormat="1" applyFont="1" applyFill="1" applyBorder="1" applyAlignment="1" applyProtection="1">
      <alignment vertical="center"/>
      <protection hidden="1"/>
    </xf>
    <xf numFmtId="0" fontId="12" fillId="0" borderId="0" xfId="0" applyFont="1" applyAlignment="1" applyProtection="1">
      <alignment vertical="center"/>
      <protection hidden="1"/>
    </xf>
    <xf numFmtId="0" fontId="9" fillId="2" borderId="0" xfId="7" applyFont="1" applyFill="1" applyAlignment="1">
      <alignment horizontal="center" vertical="center"/>
    </xf>
    <xf numFmtId="0" fontId="9" fillId="2" borderId="0" xfId="19" applyFont="1" applyFill="1" applyAlignment="1">
      <alignment horizontal="center" vertical="center"/>
    </xf>
    <xf numFmtId="0" fontId="9" fillId="2" borderId="0" xfId="19" applyFont="1" applyFill="1" applyAlignment="1">
      <alignment vertical="center"/>
    </xf>
    <xf numFmtId="0" fontId="9" fillId="2" borderId="0" xfId="7" applyFont="1" applyFill="1" applyAlignment="1">
      <alignment vertical="center"/>
    </xf>
    <xf numFmtId="0" fontId="0" fillId="2" borderId="0" xfId="0" applyFill="1"/>
    <xf numFmtId="49" fontId="54" fillId="3" borderId="0" xfId="7" quotePrefix="1" applyNumberFormat="1" applyFont="1" applyFill="1" applyAlignment="1">
      <alignment horizontal="center" vertical="center"/>
    </xf>
    <xf numFmtId="14" fontId="54" fillId="3" borderId="0" xfId="7" applyNumberFormat="1" applyFont="1" applyFill="1" applyAlignment="1">
      <alignment horizontal="center" vertical="center"/>
    </xf>
    <xf numFmtId="0" fontId="8" fillId="3" borderId="3" xfId="0" applyFont="1" applyFill="1" applyBorder="1" applyAlignment="1">
      <alignment vertical="center" wrapText="1"/>
    </xf>
    <xf numFmtId="0" fontId="8" fillId="0" borderId="5" xfId="0" applyFont="1" applyBorder="1" applyAlignment="1">
      <alignment horizontal="left" vertical="center" wrapText="1"/>
    </xf>
    <xf numFmtId="0" fontId="12" fillId="0" borderId="3" xfId="7" applyFont="1" applyBorder="1" applyAlignment="1" applyProtection="1">
      <alignment horizontal="center" vertical="center"/>
      <protection hidden="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4" fillId="0" borderId="0" xfId="20" applyFont="1" applyAlignment="1">
      <alignment horizontal="center"/>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protection hidden="1"/>
    </xf>
    <xf numFmtId="0" fontId="12" fillId="0" borderId="3" xfId="7" applyFont="1" applyBorder="1" applyAlignment="1" applyProtection="1">
      <alignment horizontal="center" vertical="center" wrapText="1"/>
      <protection hidden="1"/>
    </xf>
    <xf numFmtId="0" fontId="52" fillId="2" borderId="0" xfId="0" applyFont="1" applyFill="1" applyAlignment="1">
      <alignment horizontal="center"/>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70" xfId="7" applyBorder="1" applyAlignment="1" applyProtection="1">
      <alignment horizontal="left" vertical="center" wrapText="1"/>
      <protection hidden="1"/>
    </xf>
    <xf numFmtId="0" fontId="8" fillId="0" borderId="71" xfId="7" applyBorder="1" applyAlignment="1" applyProtection="1">
      <alignment horizontal="left" vertical="center" wrapText="1"/>
      <protection hidden="1"/>
    </xf>
    <xf numFmtId="169" fontId="12" fillId="0" borderId="3" xfId="1"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5" fillId="0" borderId="0" xfId="20" applyFont="1" applyAlignment="1" applyProtection="1">
      <alignment horizontal="center"/>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197"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xf numFmtId="0" fontId="12" fillId="0" borderId="5" xfId="0" applyFont="1" applyBorder="1" applyAlignment="1">
      <alignment horizontal="left" vertical="center"/>
    </xf>
    <xf numFmtId="0" fontId="8" fillId="0" borderId="0" xfId="7" applyBorder="1" applyAlignment="1" applyProtection="1">
      <alignment vertical="center"/>
      <protection hidden="1"/>
    </xf>
    <xf numFmtId="169" fontId="8" fillId="0" borderId="3" xfId="16" applyNumberFormat="1" applyFont="1" applyFill="1" applyBorder="1" applyAlignment="1" applyProtection="1">
      <alignment vertical="center"/>
      <protection locked="0"/>
    </xf>
    <xf numFmtId="0" fontId="12" fillId="2" borderId="72" xfId="0" applyFont="1" applyFill="1" applyBorder="1"/>
    <xf numFmtId="0" fontId="12" fillId="2" borderId="73" xfId="0" applyFont="1" applyFill="1" applyBorder="1"/>
    <xf numFmtId="0" fontId="12" fillId="2" borderId="74" xfId="0" applyFont="1" applyFill="1" applyBorder="1"/>
    <xf numFmtId="0" fontId="0" fillId="0" borderId="3" xfId="0" applyBorder="1"/>
    <xf numFmtId="0" fontId="13" fillId="0" borderId="3" xfId="0" applyFont="1" applyBorder="1" applyAlignment="1">
      <alignment horizontal="center" vertical="center" wrapText="1"/>
    </xf>
    <xf numFmtId="9" fontId="0" fillId="0" borderId="3" xfId="0" applyNumberFormat="1" applyBorder="1"/>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4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PTyCI!$E$50:$F$50</c:f>
              <c:numCache>
                <c:formatCode>0.00%</c:formatCode>
                <c:ptCount val="2"/>
                <c:pt idx="0" formatCode="General">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PTyCI!$E$51:$F$51</c:f>
              <c:numCache>
                <c:formatCode>0.00%</c:formatCode>
                <c:ptCount val="2"/>
                <c:pt idx="0" formatCode="General">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48673792"/>
        <c:axId val="248675712"/>
      </c:lineChart>
      <c:catAx>
        <c:axId val="248673792"/>
        <c:scaling>
          <c:orientation val="minMax"/>
        </c:scaling>
        <c:delete val="0"/>
        <c:axPos val="b"/>
        <c:title>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8675712"/>
        <c:crossesAt val="0"/>
        <c:auto val="1"/>
        <c:lblAlgn val="ctr"/>
        <c:lblOffset val="100"/>
        <c:noMultiLvlLbl val="0"/>
      </c:catAx>
      <c:valAx>
        <c:axId val="2486757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4867379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PTyCI!$E$53:$F$53</c:f>
              <c:numCache>
                <c:formatCode>_-"$"* #,##0.00_-;\-"$"* #,##0.00_-;_-"$"* "-"??_-;_-@_-</c:formatCode>
                <c:ptCount val="2"/>
                <c:pt idx="0">
                  <c:v>0</c:v>
                </c:pt>
                <c:pt idx="1">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PTyCI!$E$54:$F$54</c:f>
              <c:numCache>
                <c:formatCode>_-"$"* #,##0.00_-;\-"$"* #,##0.00_-;_-"$"* "-"??_-;_-@_-</c:formatCode>
                <c:ptCount val="2"/>
                <c:pt idx="0">
                  <c:v>0</c:v>
                </c:pt>
                <c:pt idx="1">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48016256"/>
        <c:axId val="248018432"/>
      </c:lineChart>
      <c:catAx>
        <c:axId val="2480162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8018432"/>
        <c:crosses val="autoZero"/>
        <c:auto val="1"/>
        <c:lblAlgn val="ctr"/>
        <c:lblOffset val="100"/>
        <c:noMultiLvlLbl val="0"/>
      </c:catAx>
      <c:valAx>
        <c:axId val="24801843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480162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52" sqref="A52"/>
    </sheetView>
  </sheetViews>
  <sheetFormatPr baseColWidth="10" defaultRowHeight="12.75" x14ac:dyDescent="0.2"/>
  <cols>
    <col min="1" max="1" width="148.5703125" style="557" customWidth="1"/>
    <col min="2" max="16384" width="11.42578125" style="557"/>
  </cols>
  <sheetData>
    <row r="1" spans="1:7" ht="30" customHeight="1" x14ac:dyDescent="0.2">
      <c r="A1" s="560" t="s">
        <v>923</v>
      </c>
    </row>
    <row r="2" spans="1:7" ht="165" x14ac:dyDescent="0.2">
      <c r="A2" s="558" t="s">
        <v>1925</v>
      </c>
    </row>
    <row r="3" spans="1:7" ht="30" customHeight="1" x14ac:dyDescent="0.2">
      <c r="A3" s="560" t="s">
        <v>924</v>
      </c>
    </row>
    <row r="4" spans="1:7" ht="30" customHeight="1" x14ac:dyDescent="0.2">
      <c r="A4" s="560" t="s">
        <v>943</v>
      </c>
    </row>
    <row r="5" spans="1:7" ht="195" x14ac:dyDescent="0.2">
      <c r="A5" s="563" t="s">
        <v>1926</v>
      </c>
    </row>
    <row r="6" spans="1:7" ht="105.75" x14ac:dyDescent="0.2">
      <c r="A6" s="563" t="s">
        <v>1924</v>
      </c>
      <c r="B6" s="561"/>
      <c r="C6" s="561"/>
      <c r="D6" s="561"/>
      <c r="E6" s="561"/>
      <c r="F6" s="561"/>
      <c r="G6" s="561"/>
    </row>
    <row r="7" spans="1:7" ht="60" x14ac:dyDescent="0.2">
      <c r="A7" s="563" t="s">
        <v>1923</v>
      </c>
      <c r="B7" s="561"/>
      <c r="C7" s="561"/>
      <c r="D7" s="561"/>
      <c r="E7" s="561"/>
      <c r="F7" s="561"/>
      <c r="G7" s="561"/>
    </row>
    <row r="8" spans="1:7" ht="165" x14ac:dyDescent="0.2">
      <c r="A8" s="563" t="s">
        <v>1927</v>
      </c>
      <c r="B8" s="561"/>
      <c r="C8" s="561"/>
      <c r="D8" s="561"/>
      <c r="E8" s="561"/>
      <c r="F8" s="561"/>
      <c r="G8" s="561"/>
    </row>
    <row r="9" spans="1:7" ht="15" x14ac:dyDescent="0.2">
      <c r="A9" s="558" t="s">
        <v>944</v>
      </c>
      <c r="B9" s="561"/>
      <c r="C9" s="561"/>
      <c r="D9" s="561"/>
      <c r="E9" s="561"/>
      <c r="F9" s="561"/>
      <c r="G9" s="561"/>
    </row>
    <row r="10" spans="1:7" ht="45" customHeight="1" x14ac:dyDescent="0.2">
      <c r="A10" s="558" t="s">
        <v>945</v>
      </c>
      <c r="B10" s="561"/>
      <c r="C10" s="561"/>
      <c r="D10" s="561"/>
      <c r="E10" s="561"/>
      <c r="F10" s="561"/>
      <c r="G10" s="561"/>
    </row>
    <row r="11" spans="1:7" ht="30" x14ac:dyDescent="0.2">
      <c r="A11" s="558" t="s">
        <v>947</v>
      </c>
      <c r="B11" s="561" t="s">
        <v>3</v>
      </c>
      <c r="C11" s="561"/>
      <c r="D11" s="561"/>
      <c r="E11" s="561"/>
      <c r="F11" s="561"/>
      <c r="G11" s="561"/>
    </row>
    <row r="12" spans="1:7" ht="15" x14ac:dyDescent="0.2">
      <c r="A12" s="558" t="s">
        <v>1922</v>
      </c>
      <c r="B12" s="561"/>
      <c r="C12" s="561"/>
      <c r="D12" s="561"/>
      <c r="E12" s="561"/>
      <c r="F12" s="561"/>
      <c r="G12" s="561"/>
    </row>
    <row r="13" spans="1:7" ht="47.25" x14ac:dyDescent="0.2">
      <c r="A13" s="562" t="s">
        <v>1921</v>
      </c>
      <c r="B13" s="561"/>
      <c r="C13" s="561"/>
      <c r="D13" s="561"/>
      <c r="E13" s="561"/>
      <c r="F13" s="561"/>
      <c r="G13" s="561"/>
    </row>
    <row r="14" spans="1:7" ht="30" customHeight="1" x14ac:dyDescent="0.2">
      <c r="A14" s="560" t="s">
        <v>953</v>
      </c>
    </row>
    <row r="15" spans="1:7" ht="150" x14ac:dyDescent="0.2">
      <c r="A15" s="558" t="s">
        <v>1932</v>
      </c>
    </row>
    <row r="16" spans="1:7" ht="45" customHeight="1" x14ac:dyDescent="0.2">
      <c r="A16" s="558" t="s">
        <v>1920</v>
      </c>
      <c r="B16" s="561"/>
      <c r="C16" s="561"/>
      <c r="D16" s="561"/>
      <c r="E16" s="561"/>
      <c r="F16" s="561"/>
      <c r="G16" s="561"/>
    </row>
    <row r="17" spans="1:7" ht="30" customHeight="1" x14ac:dyDescent="0.2">
      <c r="A17" s="560" t="s">
        <v>925</v>
      </c>
    </row>
    <row r="18" spans="1:7" ht="45" customHeight="1" x14ac:dyDescent="0.2">
      <c r="A18" s="558" t="s">
        <v>1919</v>
      </c>
      <c r="B18" s="561"/>
      <c r="C18" s="561"/>
      <c r="D18" s="561"/>
      <c r="E18" s="561"/>
      <c r="F18" s="561"/>
      <c r="G18" s="561"/>
    </row>
    <row r="19" spans="1:7" ht="45" customHeight="1" x14ac:dyDescent="0.2">
      <c r="A19" s="558" t="s">
        <v>948</v>
      </c>
      <c r="B19" s="561"/>
      <c r="C19" s="561"/>
      <c r="D19" s="561"/>
      <c r="E19" s="561"/>
      <c r="F19" s="561"/>
      <c r="G19" s="561"/>
    </row>
    <row r="20" spans="1:7" ht="45" customHeight="1" x14ac:dyDescent="0.2">
      <c r="A20" s="558" t="s">
        <v>1918</v>
      </c>
      <c r="B20" s="561"/>
      <c r="C20" s="561"/>
      <c r="D20" s="561"/>
      <c r="E20" s="561"/>
      <c r="F20" s="561"/>
      <c r="G20" s="561"/>
    </row>
    <row r="21" spans="1:7" ht="30" x14ac:dyDescent="0.2">
      <c r="A21" s="558" t="s">
        <v>946</v>
      </c>
      <c r="B21" s="561"/>
      <c r="C21" s="561"/>
      <c r="D21" s="561"/>
      <c r="E21" s="561"/>
      <c r="F21" s="561"/>
      <c r="G21" s="561"/>
    </row>
    <row r="22" spans="1:7" ht="15" x14ac:dyDescent="0.2">
      <c r="A22" s="558"/>
      <c r="B22" s="561"/>
      <c r="C22" s="561"/>
      <c r="D22" s="561"/>
      <c r="E22" s="561"/>
      <c r="F22" s="561"/>
      <c r="G22" s="561"/>
    </row>
    <row r="23" spans="1:7" ht="30" customHeight="1" x14ac:dyDescent="0.2">
      <c r="A23" s="560" t="s">
        <v>926</v>
      </c>
    </row>
    <row r="24" spans="1:7" ht="45" x14ac:dyDescent="0.2">
      <c r="A24" s="558" t="s">
        <v>1917</v>
      </c>
      <c r="B24" s="561"/>
      <c r="C24" s="561"/>
      <c r="D24" s="561"/>
      <c r="E24" s="561"/>
      <c r="F24" s="561"/>
      <c r="G24" s="561"/>
    </row>
    <row r="25" spans="1:7" ht="15" x14ac:dyDescent="0.2">
      <c r="A25" s="558" t="s">
        <v>949</v>
      </c>
      <c r="B25" s="561"/>
      <c r="C25" s="561"/>
      <c r="D25" s="561"/>
      <c r="E25" s="561"/>
      <c r="F25" s="561"/>
      <c r="G25" s="561"/>
    </row>
    <row r="26" spans="1:7" ht="30" x14ac:dyDescent="0.2">
      <c r="A26" s="558" t="s">
        <v>1916</v>
      </c>
      <c r="B26" s="561"/>
      <c r="C26" s="561"/>
      <c r="D26" s="561"/>
      <c r="E26" s="561"/>
      <c r="F26" s="561"/>
      <c r="G26" s="561"/>
    </row>
    <row r="27" spans="1:7" ht="30" x14ac:dyDescent="0.2">
      <c r="A27" s="558" t="s">
        <v>1915</v>
      </c>
      <c r="B27" s="561"/>
      <c r="C27" s="561"/>
      <c r="D27" s="561"/>
      <c r="E27" s="561"/>
      <c r="F27" s="561"/>
      <c r="G27" s="561"/>
    </row>
    <row r="28" spans="1:7" ht="30" x14ac:dyDescent="0.2">
      <c r="A28" s="558" t="s">
        <v>1914</v>
      </c>
    </row>
    <row r="29" spans="1:7" ht="45" x14ac:dyDescent="0.2">
      <c r="A29" s="558" t="s">
        <v>955</v>
      </c>
    </row>
    <row r="30" spans="1:7" ht="31.5" x14ac:dyDescent="0.2">
      <c r="A30" s="558" t="s">
        <v>1933</v>
      </c>
    </row>
    <row r="31" spans="1:7" ht="135.75" x14ac:dyDescent="0.2">
      <c r="A31" s="558" t="s">
        <v>1913</v>
      </c>
    </row>
    <row r="32" spans="1:7" ht="30" customHeight="1" x14ac:dyDescent="0.2">
      <c r="A32" s="560" t="s">
        <v>927</v>
      </c>
    </row>
    <row r="33" spans="1:7" ht="45" x14ac:dyDescent="0.2">
      <c r="A33" s="558" t="s">
        <v>1912</v>
      </c>
    </row>
    <row r="34" spans="1:7" ht="150" x14ac:dyDescent="0.2">
      <c r="A34" s="558" t="s">
        <v>1911</v>
      </c>
    </row>
    <row r="35" spans="1:7" ht="120" x14ac:dyDescent="0.2">
      <c r="A35" s="558" t="s">
        <v>956</v>
      </c>
    </row>
    <row r="36" spans="1:7" ht="44.25" customHeight="1" x14ac:dyDescent="0.2">
      <c r="A36" s="558" t="s">
        <v>928</v>
      </c>
    </row>
    <row r="37" spans="1:7" ht="15" x14ac:dyDescent="0.2">
      <c r="A37" s="558" t="s">
        <v>1910</v>
      </c>
    </row>
    <row r="38" spans="1:7" ht="30" customHeight="1" x14ac:dyDescent="0.2">
      <c r="A38" s="560" t="s">
        <v>929</v>
      </c>
    </row>
    <row r="39" spans="1:7" ht="45" x14ac:dyDescent="0.2">
      <c r="A39" s="558" t="s">
        <v>950</v>
      </c>
      <c r="B39" s="561"/>
      <c r="C39" s="561"/>
      <c r="D39" s="561"/>
      <c r="E39" s="561"/>
      <c r="F39" s="561"/>
      <c r="G39" s="561"/>
    </row>
    <row r="40" spans="1:7" ht="30" x14ac:dyDescent="0.2">
      <c r="A40" s="558" t="s">
        <v>957</v>
      </c>
    </row>
    <row r="41" spans="1:7" ht="30" x14ac:dyDescent="0.2">
      <c r="A41" s="558" t="s">
        <v>958</v>
      </c>
    </row>
    <row r="42" spans="1:7" ht="15" x14ac:dyDescent="0.2">
      <c r="A42" s="558"/>
    </row>
    <row r="43" spans="1:7" ht="15.75" x14ac:dyDescent="0.2">
      <c r="A43" s="560" t="s">
        <v>930</v>
      </c>
    </row>
    <row r="44" spans="1:7" ht="45" x14ac:dyDescent="0.2">
      <c r="A44" s="558" t="s">
        <v>931</v>
      </c>
    </row>
    <row r="46" spans="1:7" ht="30" customHeight="1" x14ac:dyDescent="0.2">
      <c r="A46" s="560" t="s">
        <v>951</v>
      </c>
    </row>
    <row r="47" spans="1:7" ht="45" x14ac:dyDescent="0.2">
      <c r="A47" s="558" t="s">
        <v>952</v>
      </c>
    </row>
    <row r="48" spans="1:7" ht="30" x14ac:dyDescent="0.2">
      <c r="A48" s="558" t="s">
        <v>954</v>
      </c>
    </row>
    <row r="49" spans="1:1" ht="25.5" x14ac:dyDescent="0.2">
      <c r="A49" s="559" t="s">
        <v>1909</v>
      </c>
    </row>
    <row r="50" spans="1:1" ht="15" x14ac:dyDescent="0.2">
      <c r="A50" s="558"/>
    </row>
    <row r="51" spans="1:1" ht="30" customHeight="1" x14ac:dyDescent="0.2">
      <c r="A51" s="560" t="s">
        <v>1934</v>
      </c>
    </row>
    <row r="52" spans="1:1" ht="30" x14ac:dyDescent="0.2">
      <c r="A52" s="558" t="s">
        <v>1935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BZ227"/>
  <sheetViews>
    <sheetView view="pageBreakPreview" zoomScaleNormal="100" zoomScaleSheetLayoutView="100" workbookViewId="0">
      <selection activeCell="A28" sqref="A28:A29"/>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01" customWidth="1"/>
    <col min="7" max="7" width="12.140625" style="601" customWidth="1"/>
    <col min="8" max="8" width="13.140625" style="601" customWidth="1"/>
    <col min="9" max="9" width="10.7109375" style="8" customWidth="1"/>
    <col min="10" max="29" width="10.7109375" style="73" customWidth="1"/>
    <col min="30" max="78" width="11.42578125" style="73"/>
    <col min="79" max="16384" width="11.42578125" style="8"/>
  </cols>
  <sheetData>
    <row r="1" spans="1:78" s="2" customFormat="1" ht="20.100000000000001" customHeight="1" x14ac:dyDescent="0.2">
      <c r="A1" s="3" t="s">
        <v>8</v>
      </c>
      <c r="B1" s="3"/>
      <c r="C1" s="3" t="str">
        <f>Comitente</f>
        <v>DEPARTAMENTO DE HIDRÁULICA</v>
      </c>
      <c r="D1" s="4"/>
      <c r="F1" s="156"/>
      <c r="G1" s="156"/>
      <c r="H1" s="156"/>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s="5" customFormat="1" ht="20.100000000000001" customHeight="1" x14ac:dyDescent="0.2">
      <c r="A2" s="11" t="s">
        <v>9</v>
      </c>
      <c r="B2" s="11"/>
      <c r="C2" s="11" t="str">
        <f>Obra</f>
        <v>RECRECIMIENTO Y REPARACIÓN CANALES SARMIENTO, 9 DE JULIO Y CHIMBAS</v>
      </c>
      <c r="F2" s="33"/>
      <c r="G2" s="33"/>
      <c r="H2" s="33"/>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row>
    <row r="3" spans="1:78" s="5" customFormat="1" ht="20.100000000000001" customHeight="1" x14ac:dyDescent="0.2">
      <c r="A3" s="11" t="s">
        <v>13</v>
      </c>
      <c r="B3" s="11"/>
      <c r="C3" s="11" t="str">
        <f>Ubicación</f>
        <v>DEPARTAMENTOS SARMIENTO, 9 DE JULIO Y CHIMBAS</v>
      </c>
      <c r="F3" s="33"/>
      <c r="G3" s="33"/>
      <c r="H3" s="33"/>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row>
    <row r="4" spans="1:78" s="5" customFormat="1" ht="20.100000000000001" customHeight="1" x14ac:dyDescent="0.2">
      <c r="A4" s="11" t="s">
        <v>12</v>
      </c>
      <c r="B4" s="12"/>
      <c r="C4" s="55" t="str">
        <f>Licitación_N°</f>
        <v>____/23</v>
      </c>
      <c r="F4" s="33"/>
      <c r="G4" s="33"/>
      <c r="H4" s="33"/>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row>
    <row r="5" spans="1:78" s="5" customFormat="1" ht="20.100000000000001" customHeight="1" thickBot="1" x14ac:dyDescent="0.25">
      <c r="A5" s="11" t="s">
        <v>14</v>
      </c>
      <c r="B5" s="12"/>
      <c r="C5" s="56">
        <f>Plazo_Obra</f>
        <v>60</v>
      </c>
      <c r="F5" s="33"/>
      <c r="G5" s="33"/>
      <c r="H5" s="33"/>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row>
    <row r="6" spans="1:78" s="5" customFormat="1" ht="20.100000000000001" customHeight="1" thickBot="1" x14ac:dyDescent="0.25">
      <c r="A6" s="11" t="s">
        <v>10</v>
      </c>
      <c r="B6" s="11"/>
      <c r="C6" s="11">
        <f>Contratista</f>
        <v>0</v>
      </c>
      <c r="F6" s="588" t="s">
        <v>1945</v>
      </c>
      <c r="G6" s="589">
        <v>42948</v>
      </c>
      <c r="H6" s="590" t="e">
        <f ca="1">+'MED OBRA'!K6</f>
        <v>#REF!</v>
      </c>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row>
    <row r="7" spans="1:78" s="2" customFormat="1" ht="20.100000000000001" customHeight="1" x14ac:dyDescent="0.2">
      <c r="A7" s="650" t="s">
        <v>1953</v>
      </c>
      <c r="C7" s="650">
        <v>419</v>
      </c>
      <c r="F7" s="156"/>
      <c r="G7" s="156"/>
      <c r="H7" s="156"/>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s="2" customFormat="1" ht="20.100000000000001" customHeight="1" x14ac:dyDescent="0.2">
      <c r="A8" s="694" t="s">
        <v>1946</v>
      </c>
      <c r="B8" s="695"/>
      <c r="C8" s="695"/>
      <c r="D8" s="696"/>
      <c r="E8" s="7"/>
      <c r="F8" s="591"/>
      <c r="G8" s="591"/>
      <c r="H8" s="59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10" spans="1:78" ht="12.75" x14ac:dyDescent="0.2">
      <c r="A10" s="667" t="s">
        <v>893</v>
      </c>
      <c r="B10" s="698" t="s">
        <v>0</v>
      </c>
      <c r="C10" s="698"/>
      <c r="D10" s="699" t="s">
        <v>11</v>
      </c>
      <c r="E10" s="38"/>
      <c r="F10" s="703">
        <f>+'MED OBRA'!I10</f>
        <v>1</v>
      </c>
      <c r="G10" s="704"/>
      <c r="H10" s="705"/>
      <c r="I10" s="20"/>
    </row>
    <row r="11" spans="1:78" ht="25.5" x14ac:dyDescent="0.2">
      <c r="A11" s="667"/>
      <c r="B11" s="698"/>
      <c r="C11" s="698"/>
      <c r="D11" s="699"/>
      <c r="E11" s="38"/>
      <c r="F11" s="585" t="s">
        <v>1947</v>
      </c>
      <c r="G11" s="585" t="s">
        <v>1948</v>
      </c>
      <c r="H11" s="585" t="s">
        <v>1949</v>
      </c>
      <c r="I11" s="20"/>
    </row>
    <row r="12" spans="1:78" ht="20.100000000000001" customHeight="1" x14ac:dyDescent="0.2">
      <c r="A12" s="25"/>
      <c r="B12" s="42"/>
      <c r="C12" s="42"/>
      <c r="D12" s="43"/>
      <c r="E12" s="38"/>
      <c r="F12" s="592"/>
      <c r="G12" s="592"/>
      <c r="H12" s="592"/>
      <c r="I12" s="593"/>
    </row>
    <row r="13" spans="1:78" ht="20.100000000000001" customHeight="1" x14ac:dyDescent="0.2">
      <c r="A13" s="594" t="str">
        <f ca="1">+'MED OBRA'!A13</f>
        <v>1.1</v>
      </c>
      <c r="B13" s="701" t="str">
        <f ca="1">+'MED OBRA'!B13:C13</f>
        <v>TRABAJOS PREPARATORIOS</v>
      </c>
      <c r="C13" s="702"/>
      <c r="D13" s="595">
        <f ca="1">+'MED OBRA'!D13</f>
        <v>0</v>
      </c>
      <c r="E13" s="30"/>
      <c r="F13" s="596">
        <f>+'MED OBRA'!I13</f>
        <v>0</v>
      </c>
      <c r="G13" s="596">
        <f>+'MED OBRA'!J13</f>
        <v>0</v>
      </c>
      <c r="H13" s="596">
        <f>+'MED OBRA'!K13</f>
        <v>0</v>
      </c>
      <c r="I13" s="21"/>
    </row>
    <row r="14" spans="1:78" ht="20.100000000000001" customHeight="1" x14ac:dyDescent="0.2">
      <c r="A14" s="594" t="str">
        <f ca="1">+'MED OBRA'!A14</f>
        <v>1.1.1</v>
      </c>
      <c r="B14" s="701" t="str">
        <f ca="1">+'MED OBRA'!B14:C14</f>
        <v>Preparación y Limpieza de Superf.</v>
      </c>
      <c r="C14" s="702"/>
      <c r="D14" s="595">
        <f ca="1">+'MED OBRA'!D14</f>
        <v>0</v>
      </c>
      <c r="E14" s="30"/>
      <c r="F14" s="596">
        <f>+'MED OBRA'!I14</f>
        <v>0</v>
      </c>
      <c r="G14" s="596">
        <f>+'MED OBRA'!J14</f>
        <v>0</v>
      </c>
      <c r="H14" s="596">
        <f>+'MED OBRA'!K14</f>
        <v>0</v>
      </c>
      <c r="I14" s="21"/>
    </row>
    <row r="15" spans="1:78" ht="20.100000000000001" customHeight="1" x14ac:dyDescent="0.2">
      <c r="A15" s="594" t="str">
        <f ca="1">+'MED OBRA'!A15</f>
        <v>1.1.2</v>
      </c>
      <c r="B15" s="701" t="str">
        <f ca="1">+'MED OBRA'!B15:C15</f>
        <v>Replanteo</v>
      </c>
      <c r="C15" s="702"/>
      <c r="D15" s="595">
        <f ca="1">+'MED OBRA'!D15</f>
        <v>0</v>
      </c>
      <c r="E15" s="30"/>
      <c r="F15" s="596">
        <f>+'MED OBRA'!I15</f>
        <v>0</v>
      </c>
      <c r="G15" s="596">
        <f>+'MED OBRA'!J15</f>
        <v>0</v>
      </c>
      <c r="H15" s="596">
        <f>+'MED OBRA'!K15</f>
        <v>0</v>
      </c>
      <c r="I15" s="21"/>
    </row>
    <row r="16" spans="1:78" ht="20.100000000000001" customHeight="1" x14ac:dyDescent="0.2">
      <c r="A16" s="594" t="str">
        <f ca="1">+'MED OBRA'!A16</f>
        <v>1.2</v>
      </c>
      <c r="B16" s="701" t="str">
        <f ca="1">+'MED OBRA'!B16:C16</f>
        <v>ESTRUCTURA RESISTENTE</v>
      </c>
      <c r="C16" s="702"/>
      <c r="D16" s="595">
        <f ca="1">+'MED OBRA'!D16</f>
        <v>0</v>
      </c>
      <c r="E16" s="30"/>
      <c r="F16" s="596">
        <f>+'MED OBRA'!I16</f>
        <v>0</v>
      </c>
      <c r="G16" s="596">
        <f>+'MED OBRA'!J16</f>
        <v>0</v>
      </c>
      <c r="H16" s="596">
        <f>+'MED OBRA'!K16</f>
        <v>0</v>
      </c>
      <c r="I16" s="21"/>
    </row>
    <row r="17" spans="1:9" ht="20.100000000000001" customHeight="1" x14ac:dyDescent="0.2">
      <c r="A17" s="594" t="str">
        <f ca="1">+'MED OBRA'!A17</f>
        <v>1.2.1</v>
      </c>
      <c r="B17" s="701" t="str">
        <f ca="1">+'MED OBRA'!B17:C17</f>
        <v xml:space="preserve">Hormigón H-21  </v>
      </c>
      <c r="C17" s="702"/>
      <c r="D17" s="595">
        <f ca="1">+'MED OBRA'!D17</f>
        <v>0</v>
      </c>
      <c r="E17" s="30"/>
      <c r="F17" s="596">
        <f>+'MED OBRA'!I17</f>
        <v>0</v>
      </c>
      <c r="G17" s="596">
        <f>+'MED OBRA'!J17</f>
        <v>0</v>
      </c>
      <c r="H17" s="596">
        <f>+'MED OBRA'!K17</f>
        <v>0</v>
      </c>
      <c r="I17" s="21"/>
    </row>
    <row r="18" spans="1:9" ht="20.100000000000001" customHeight="1" x14ac:dyDescent="0.2">
      <c r="A18" s="594" t="str">
        <f ca="1">+'MED OBRA'!A18</f>
        <v>1.2.3</v>
      </c>
      <c r="B18" s="701" t="str">
        <f ca="1">+'MED OBRA'!B18:C18</f>
        <v>Anclajes Químicos</v>
      </c>
      <c r="C18" s="702"/>
      <c r="D18" s="595">
        <f ca="1">+'MED OBRA'!D18</f>
        <v>0</v>
      </c>
      <c r="E18" s="30"/>
      <c r="F18" s="596">
        <f>+'MED OBRA'!I18</f>
        <v>0</v>
      </c>
      <c r="G18" s="596">
        <f>+'MED OBRA'!J18</f>
        <v>0</v>
      </c>
      <c r="H18" s="596">
        <f>+'MED OBRA'!K18</f>
        <v>0</v>
      </c>
      <c r="I18" s="21"/>
    </row>
    <row r="19" spans="1:9" ht="20.100000000000001" customHeight="1" x14ac:dyDescent="0.2">
      <c r="A19" s="594" t="str">
        <f ca="1">+'MED OBRA'!A19</f>
        <v>1.2.4</v>
      </c>
      <c r="B19" s="701" t="str">
        <f ca="1">+'MED OBRA'!B19:C19</f>
        <v>Puente de Adherencia</v>
      </c>
      <c r="C19" s="702"/>
      <c r="D19" s="595">
        <f ca="1">+'MED OBRA'!D19</f>
        <v>0</v>
      </c>
      <c r="E19" s="30"/>
      <c r="F19" s="596">
        <f>+'MED OBRA'!I19</f>
        <v>0</v>
      </c>
      <c r="G19" s="596">
        <f>+'MED OBRA'!J19</f>
        <v>1</v>
      </c>
      <c r="H19" s="596">
        <f>+'MED OBRA'!K19</f>
        <v>1</v>
      </c>
      <c r="I19" s="21"/>
    </row>
    <row r="20" spans="1:9" ht="20.100000000000001" customHeight="1" x14ac:dyDescent="0.2">
      <c r="A20" s="594">
        <f ca="1">+'MED OBRA'!A20</f>
        <v>2</v>
      </c>
      <c r="B20" s="701" t="str">
        <f ca="1">+'MED OBRA'!B20:C20</f>
        <v>DPTO. 9 DE JULIO (R. BALMACEDA y R. ZUNGRY ALDAY)</v>
      </c>
      <c r="C20" s="702"/>
      <c r="D20" s="595">
        <f ca="1">+'MED OBRA'!D20</f>
        <v>0</v>
      </c>
      <c r="E20" s="30"/>
      <c r="F20" s="596">
        <f>+'MED OBRA'!I20</f>
        <v>0</v>
      </c>
      <c r="G20" s="596">
        <f>+'MED OBRA'!J20</f>
        <v>0</v>
      </c>
      <c r="H20" s="596">
        <f>+'MED OBRA'!K20</f>
        <v>0</v>
      </c>
      <c r="I20" s="21"/>
    </row>
    <row r="21" spans="1:9" ht="20.100000000000001" customHeight="1" x14ac:dyDescent="0.2">
      <c r="A21" s="594" t="str">
        <f ca="1">+'MED OBRA'!A21</f>
        <v>2.1</v>
      </c>
      <c r="B21" s="701" t="str">
        <f ca="1">+'MED OBRA'!B21:C21</f>
        <v>TRABAJOS PREPARATORIOS</v>
      </c>
      <c r="C21" s="702"/>
      <c r="D21" s="595">
        <f ca="1">+'MED OBRA'!D21</f>
        <v>0</v>
      </c>
      <c r="E21" s="30"/>
      <c r="F21" s="596">
        <f>+'MED OBRA'!I21</f>
        <v>0</v>
      </c>
      <c r="G21" s="596">
        <f>+'MED OBRA'!J21</f>
        <v>0</v>
      </c>
      <c r="H21" s="596">
        <f>+'MED OBRA'!K21</f>
        <v>0</v>
      </c>
      <c r="I21" s="21"/>
    </row>
    <row r="22" spans="1:9" ht="20.100000000000001" customHeight="1" x14ac:dyDescent="0.2">
      <c r="A22" s="594" t="str">
        <f ca="1">+'MED OBRA'!A22</f>
        <v>2.1.1</v>
      </c>
      <c r="B22" s="701" t="str">
        <f ca="1">+'MED OBRA'!B22:C22</f>
        <v>Preparación y Limpieza de Superf.</v>
      </c>
      <c r="C22" s="702"/>
      <c r="D22" s="595">
        <f ca="1">+'MED OBRA'!D22</f>
        <v>0</v>
      </c>
      <c r="E22" s="30"/>
      <c r="F22" s="596">
        <f>+'MED OBRA'!I22</f>
        <v>0</v>
      </c>
      <c r="G22" s="596">
        <f>+'MED OBRA'!J22</f>
        <v>0</v>
      </c>
      <c r="H22" s="596">
        <f>+'MED OBRA'!K22</f>
        <v>0</v>
      </c>
      <c r="I22" s="21"/>
    </row>
    <row r="23" spans="1:9" ht="20.100000000000001" customHeight="1" x14ac:dyDescent="0.2">
      <c r="A23" s="594" t="e">
        <f>+'MED OBRA'!A23</f>
        <v>#REF!</v>
      </c>
      <c r="B23" s="701" t="e">
        <f>+'MED OBRA'!B23:C23</f>
        <v>#REF!</v>
      </c>
      <c r="C23" s="702"/>
      <c r="D23" s="595" t="e">
        <f>+'MED OBRA'!D23</f>
        <v>#REF!</v>
      </c>
      <c r="E23" s="30"/>
      <c r="F23" s="596">
        <f>+'MED OBRA'!I23</f>
        <v>0</v>
      </c>
      <c r="G23" s="596">
        <f>+'MED OBRA'!J23</f>
        <v>0</v>
      </c>
      <c r="H23" s="596">
        <f>+'MED OBRA'!K23</f>
        <v>0</v>
      </c>
      <c r="I23" s="21"/>
    </row>
    <row r="24" spans="1:9" ht="20.100000000000001" customHeight="1" x14ac:dyDescent="0.2">
      <c r="A24" s="594" t="e">
        <f>+'MED OBRA'!A24</f>
        <v>#REF!</v>
      </c>
      <c r="B24" s="701" t="e">
        <f>+'MED OBRA'!B24:C24</f>
        <v>#REF!</v>
      </c>
      <c r="C24" s="702"/>
      <c r="D24" s="595" t="e">
        <f>+'MED OBRA'!D24</f>
        <v>#REF!</v>
      </c>
      <c r="E24" s="30"/>
      <c r="F24" s="596">
        <f>+'MED OBRA'!I24</f>
        <v>0</v>
      </c>
      <c r="G24" s="596">
        <f>+'MED OBRA'!J24</f>
        <v>0</v>
      </c>
      <c r="H24" s="596">
        <f>+'MED OBRA'!K24</f>
        <v>0</v>
      </c>
      <c r="I24" s="21"/>
    </row>
    <row r="25" spans="1:9" ht="20.100000000000001" customHeight="1" x14ac:dyDescent="0.2">
      <c r="A25" s="594" t="e">
        <f>+'MED OBRA'!A25</f>
        <v>#REF!</v>
      </c>
      <c r="B25" s="701" t="e">
        <f>+'MED OBRA'!B25:C25</f>
        <v>#REF!</v>
      </c>
      <c r="C25" s="702"/>
      <c r="D25" s="595" t="e">
        <f>+'MED OBRA'!D25</f>
        <v>#REF!</v>
      </c>
      <c r="E25" s="30"/>
      <c r="F25" s="596">
        <f>+'MED OBRA'!I25</f>
        <v>0</v>
      </c>
      <c r="G25" s="596">
        <f>+'MED OBRA'!J25</f>
        <v>0</v>
      </c>
      <c r="H25" s="596">
        <f>+'MED OBRA'!K25</f>
        <v>0</v>
      </c>
      <c r="I25" s="21"/>
    </row>
    <row r="26" spans="1:9" ht="20.100000000000001" customHeight="1" x14ac:dyDescent="0.2">
      <c r="A26" s="594" t="e">
        <f>+'MED OBRA'!A26</f>
        <v>#REF!</v>
      </c>
      <c r="B26" s="701" t="e">
        <f>+'MED OBRA'!B26:C26</f>
        <v>#REF!</v>
      </c>
      <c r="C26" s="702"/>
      <c r="D26" s="595" t="e">
        <f>+'MED OBRA'!D26</f>
        <v>#REF!</v>
      </c>
      <c r="E26" s="30"/>
      <c r="F26" s="596">
        <f>+'MED OBRA'!I26</f>
        <v>0</v>
      </c>
      <c r="G26" s="596">
        <f>+'MED OBRA'!J26</f>
        <v>0</v>
      </c>
      <c r="H26" s="596">
        <f>+'MED OBRA'!K26</f>
        <v>0</v>
      </c>
      <c r="I26" s="21"/>
    </row>
    <row r="27" spans="1:9" ht="20.100000000000001" customHeight="1" x14ac:dyDescent="0.2">
      <c r="A27" s="594" t="e">
        <f>+'MED OBRA'!A27</f>
        <v>#REF!</v>
      </c>
      <c r="B27" s="701" t="e">
        <f>+'MED OBRA'!B27:C27</f>
        <v>#REF!</v>
      </c>
      <c r="C27" s="702"/>
      <c r="D27" s="595" t="e">
        <f>+'MED OBRA'!D27</f>
        <v>#REF!</v>
      </c>
      <c r="E27" s="30"/>
      <c r="F27" s="596">
        <f>+'MED OBRA'!I27</f>
        <v>0</v>
      </c>
      <c r="G27" s="596">
        <f>+'MED OBRA'!J27</f>
        <v>0</v>
      </c>
      <c r="H27" s="596">
        <f>+'MED OBRA'!K27</f>
        <v>0</v>
      </c>
      <c r="I27" s="21"/>
    </row>
    <row r="28" spans="1:9" ht="20.100000000000001" customHeight="1" x14ac:dyDescent="0.2">
      <c r="A28" s="594" t="e">
        <f>+'MED OBRA'!A28</f>
        <v>#REF!</v>
      </c>
      <c r="B28" s="701" t="e">
        <f>+'MED OBRA'!B28:C28</f>
        <v>#REF!</v>
      </c>
      <c r="C28" s="702"/>
      <c r="D28" s="595" t="e">
        <f>+'MED OBRA'!D28</f>
        <v>#REF!</v>
      </c>
      <c r="E28" s="30"/>
      <c r="F28" s="596">
        <f>+'MED OBRA'!I28</f>
        <v>0</v>
      </c>
      <c r="G28" s="596">
        <f>+'MED OBRA'!J28</f>
        <v>0</v>
      </c>
      <c r="H28" s="596">
        <f>+'MED OBRA'!K28</f>
        <v>0</v>
      </c>
      <c r="I28" s="21"/>
    </row>
    <row r="29" spans="1:9" ht="20.100000000000001" customHeight="1" x14ac:dyDescent="0.2">
      <c r="A29" s="594" t="e">
        <f>+'MED OBRA'!A29</f>
        <v>#REF!</v>
      </c>
      <c r="B29" s="701" t="e">
        <f>+'MED OBRA'!B29:C29</f>
        <v>#REF!</v>
      </c>
      <c r="C29" s="702"/>
      <c r="D29" s="595" t="e">
        <f>+'MED OBRA'!D29</f>
        <v>#REF!</v>
      </c>
      <c r="E29" s="30"/>
      <c r="F29" s="596">
        <f>+'MED OBRA'!I29</f>
        <v>0</v>
      </c>
      <c r="G29" s="596">
        <f>+'MED OBRA'!J29</f>
        <v>0.500903462322</v>
      </c>
      <c r="H29" s="596">
        <f>+'MED OBRA'!K29</f>
        <v>0.500903462322</v>
      </c>
      <c r="I29" s="21"/>
    </row>
    <row r="30" spans="1:9" ht="20.100000000000001" customHeight="1" x14ac:dyDescent="0.2">
      <c r="A30" s="594" t="e">
        <f>+'MED OBRA'!A30</f>
        <v>#REF!</v>
      </c>
      <c r="B30" s="701" t="e">
        <f>+'MED OBRA'!B30:C30</f>
        <v>#REF!</v>
      </c>
      <c r="C30" s="702"/>
      <c r="D30" s="595" t="e">
        <f>+'MED OBRA'!D30</f>
        <v>#REF!</v>
      </c>
      <c r="E30" s="30"/>
      <c r="F30" s="596">
        <f>+'MED OBRA'!I30</f>
        <v>0</v>
      </c>
      <c r="G30" s="596">
        <f>+'MED OBRA'!J30</f>
        <v>0.72</v>
      </c>
      <c r="H30" s="596">
        <f>+'MED OBRA'!K30</f>
        <v>0.72</v>
      </c>
      <c r="I30" s="21"/>
    </row>
    <row r="31" spans="1:9" ht="20.100000000000001" customHeight="1" x14ac:dyDescent="0.2">
      <c r="A31" s="44" t="s">
        <v>3</v>
      </c>
      <c r="B31" s="29" t="s">
        <v>3</v>
      </c>
      <c r="C31" s="29"/>
      <c r="D31" s="45" t="s">
        <v>4</v>
      </c>
      <c r="E31" s="30"/>
      <c r="F31" s="597"/>
      <c r="G31" s="597"/>
      <c r="H31" s="597"/>
    </row>
    <row r="32" spans="1:9" ht="20.100000000000001" customHeight="1" x14ac:dyDescent="0.2">
      <c r="A32" s="44" t="s">
        <v>3</v>
      </c>
      <c r="B32" s="42" t="s">
        <v>7</v>
      </c>
      <c r="C32" s="46"/>
      <c r="D32" s="598" t="e">
        <f ca="1">SUM(D13:D31)</f>
        <v>#REF!</v>
      </c>
      <c r="E32" s="599"/>
      <c r="F32" s="600" t="e">
        <f ca="1">+SUMPRODUCT(F13:F30,$D$13:$D$30)</f>
        <v>#REF!</v>
      </c>
      <c r="G32" s="600" t="e">
        <f ca="1">+SUMPRODUCT(G13:G30,$D$13:$D$30)</f>
        <v>#REF!</v>
      </c>
      <c r="H32" s="600" t="e">
        <f ca="1">+SUMPRODUCT(H13:H30,$D$13:$D$30)</f>
        <v>#REF!</v>
      </c>
    </row>
    <row r="33" spans="1:8" ht="20.100000000000001" customHeight="1" x14ac:dyDescent="0.2">
      <c r="A33" s="5" t="s">
        <v>917</v>
      </c>
      <c r="B33" s="5"/>
      <c r="C33" s="5"/>
      <c r="D33" s="5"/>
      <c r="E33" s="5"/>
      <c r="F33" s="33"/>
      <c r="G33" s="33"/>
      <c r="H33" s="33"/>
    </row>
    <row r="34" spans="1:8" ht="20.100000000000001" customHeight="1" x14ac:dyDescent="0.2">
      <c r="E34" s="23"/>
    </row>
    <row r="35" spans="1:8" ht="20.100000000000001" customHeight="1" x14ac:dyDescent="0.2"/>
    <row r="36" spans="1:8" ht="20.100000000000001" customHeight="1" x14ac:dyDescent="0.2"/>
    <row r="37" spans="1:8" ht="20.100000000000001" customHeight="1" x14ac:dyDescent="0.2"/>
    <row r="38" spans="1:8" ht="20.100000000000001" customHeight="1" x14ac:dyDescent="0.2"/>
    <row r="39" spans="1:8" ht="20.100000000000001" customHeight="1" x14ac:dyDescent="0.2"/>
    <row r="40" spans="1:8" ht="20.100000000000001" customHeight="1" x14ac:dyDescent="0.2"/>
    <row r="41" spans="1:8" ht="20.100000000000001" customHeight="1" x14ac:dyDescent="0.2"/>
    <row r="42" spans="1:8" ht="20.100000000000001" customHeight="1" x14ac:dyDescent="0.2"/>
    <row r="43" spans="1:8" ht="20.100000000000001" customHeight="1" x14ac:dyDescent="0.2"/>
    <row r="44" spans="1:8" ht="20.100000000000001" customHeight="1" x14ac:dyDescent="0.2"/>
    <row r="45" spans="1:8" ht="20.100000000000001" customHeight="1" x14ac:dyDescent="0.2"/>
    <row r="46" spans="1:8" ht="20.100000000000001" customHeight="1" x14ac:dyDescent="0.2"/>
    <row r="47" spans="1:8" ht="20.100000000000001" customHeight="1" x14ac:dyDescent="0.2"/>
    <row r="48" spans="1: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3">
    <mergeCell ref="F10:H10"/>
    <mergeCell ref="B13:C13"/>
    <mergeCell ref="A8:D8"/>
    <mergeCell ref="A10:A11"/>
    <mergeCell ref="B10:C11"/>
    <mergeCell ref="D10:D11"/>
    <mergeCell ref="B18:C18"/>
    <mergeCell ref="B14:C14"/>
    <mergeCell ref="B15:C15"/>
    <mergeCell ref="B16:C16"/>
    <mergeCell ref="B17:C17"/>
    <mergeCell ref="B19:C19"/>
    <mergeCell ref="B20:C20"/>
    <mergeCell ref="B21:C21"/>
    <mergeCell ref="B22:C22"/>
    <mergeCell ref="B28:C28"/>
    <mergeCell ref="B29:C29"/>
    <mergeCell ref="B30:C30"/>
    <mergeCell ref="B23:C23"/>
    <mergeCell ref="B24:C24"/>
    <mergeCell ref="B25:C25"/>
    <mergeCell ref="B26:C26"/>
    <mergeCell ref="B27:C27"/>
  </mergeCells>
  <conditionalFormatting sqref="A31:A32 A13:B30">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1:C31">
    <cfRule type="expression" dxfId="74" priority="7" stopIfTrue="1">
      <formula>#REF!&gt;0</formula>
    </cfRule>
    <cfRule type="expression" dxfId="73" priority="8" stopIfTrue="1">
      <formula>#REF!&gt;0</formula>
    </cfRule>
    <cfRule type="expression" dxfId="72" priority="9"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CC227"/>
  <sheetViews>
    <sheetView view="pageBreakPreview" topLeftCell="A10" zoomScaleNormal="100" zoomScaleSheetLayoutView="100" workbookViewId="0">
      <selection activeCell="K32" sqref="I32:K32"/>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1.28515625" style="649" bestFit="1" customWidth="1"/>
    <col min="9" max="9" width="14" style="8" customWidth="1"/>
    <col min="10" max="10" width="12.42578125" style="8" customWidth="1"/>
    <col min="11" max="11" width="13.28515625" style="8" customWidth="1"/>
    <col min="12" max="12" width="10.7109375" style="8" customWidth="1"/>
    <col min="13" max="32" width="10.7109375" style="73" customWidth="1"/>
    <col min="33" max="81" width="11.42578125" style="73"/>
    <col min="82" max="16384" width="11.42578125" style="8"/>
  </cols>
  <sheetData>
    <row r="1" spans="1:81" s="2" customFormat="1" ht="20.100000000000001" customHeight="1" x14ac:dyDescent="0.2">
      <c r="A1" s="3" t="s">
        <v>8</v>
      </c>
      <c r="B1" s="3"/>
      <c r="C1" s="3" t="str">
        <f>Comitente</f>
        <v>DEPARTAMENTO DE HIDRÁULICA</v>
      </c>
      <c r="D1" s="4"/>
      <c r="H1" s="64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row>
    <row r="2" spans="1:81" s="5" customFormat="1" ht="20.100000000000001" customHeight="1" x14ac:dyDescent="0.2">
      <c r="A2" s="11" t="s">
        <v>9</v>
      </c>
      <c r="B2" s="11"/>
      <c r="C2" s="11" t="str">
        <f>Obra</f>
        <v>RECRECIMIENTO Y REPARACIÓN CANALES SARMIENTO, 9 DE JULIO Y CHIMBAS</v>
      </c>
      <c r="H2" s="64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row>
    <row r="3" spans="1:81" s="5" customFormat="1" ht="20.100000000000001" customHeight="1" x14ac:dyDescent="0.2">
      <c r="A3" s="11" t="s">
        <v>13</v>
      </c>
      <c r="B3" s="11"/>
      <c r="C3" s="11" t="str">
        <f>Ubicación</f>
        <v>DEPARTAMENTOS SARMIENTO, 9 DE JULIO Y CHIMBAS</v>
      </c>
      <c r="H3" s="64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row>
    <row r="4" spans="1:81" s="5" customFormat="1" ht="20.100000000000001" customHeight="1" x14ac:dyDescent="0.2">
      <c r="A4" s="11" t="s">
        <v>12</v>
      </c>
      <c r="B4" s="12"/>
      <c r="C4" s="55" t="str">
        <f>Licitación_N°</f>
        <v>____/23</v>
      </c>
      <c r="H4" s="64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row>
    <row r="5" spans="1:81" s="5" customFormat="1" ht="20.100000000000001" customHeight="1" thickBot="1" x14ac:dyDescent="0.25">
      <c r="A5" s="11" t="s">
        <v>14</v>
      </c>
      <c r="B5" s="12"/>
      <c r="C5" s="56">
        <f>Plazo_Obra</f>
        <v>60</v>
      </c>
      <c r="H5" s="64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row>
    <row r="6" spans="1:81" s="5" customFormat="1" ht="20.100000000000001" customHeight="1" thickBot="1" x14ac:dyDescent="0.25">
      <c r="A6" s="11" t="s">
        <v>10</v>
      </c>
      <c r="B6" s="11"/>
      <c r="C6" s="11">
        <f>+Contratista</f>
        <v>0</v>
      </c>
      <c r="H6" s="642"/>
      <c r="I6" s="602" t="s">
        <v>1945</v>
      </c>
      <c r="J6" s="603">
        <v>43831</v>
      </c>
      <c r="K6" s="604" t="e">
        <f ca="1">+J32</f>
        <v>#REF!</v>
      </c>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row>
    <row r="7" spans="1:81" s="2" customFormat="1" ht="20.100000000000001" customHeight="1" x14ac:dyDescent="0.2">
      <c r="C7" s="2">
        <v>419</v>
      </c>
      <c r="H7" s="643"/>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row>
    <row r="8" spans="1:81" s="2" customFormat="1" ht="20.100000000000001" customHeight="1" x14ac:dyDescent="0.2">
      <c r="A8" s="694" t="s">
        <v>1946</v>
      </c>
      <c r="B8" s="695"/>
      <c r="C8" s="695"/>
      <c r="D8" s="696"/>
      <c r="E8" s="7"/>
      <c r="F8" s="7"/>
      <c r="G8" s="7"/>
      <c r="H8" s="644"/>
      <c r="I8" s="7"/>
      <c r="J8" s="7"/>
      <c r="K8" s="7"/>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row>
    <row r="10" spans="1:81" ht="12.75" x14ac:dyDescent="0.2">
      <c r="A10" s="667" t="s">
        <v>893</v>
      </c>
      <c r="B10" s="698" t="s">
        <v>0</v>
      </c>
      <c r="C10" s="698"/>
      <c r="D10" s="699" t="s">
        <v>11</v>
      </c>
      <c r="E10" s="38"/>
      <c r="F10" s="699" t="s">
        <v>1950</v>
      </c>
      <c r="G10" s="699" t="s">
        <v>1951</v>
      </c>
      <c r="H10" s="708" t="s">
        <v>1952</v>
      </c>
      <c r="I10" s="709">
        <v>1</v>
      </c>
      <c r="J10" s="710"/>
      <c r="K10" s="711"/>
      <c r="L10" s="19"/>
    </row>
    <row r="11" spans="1:81" ht="25.5" x14ac:dyDescent="0.2">
      <c r="A11" s="667"/>
      <c r="B11" s="698"/>
      <c r="C11" s="698"/>
      <c r="D11" s="699"/>
      <c r="E11" s="38"/>
      <c r="F11" s="699"/>
      <c r="G11" s="699"/>
      <c r="H11" s="708"/>
      <c r="I11" s="585" t="s">
        <v>1947</v>
      </c>
      <c r="J11" s="585" t="s">
        <v>1948</v>
      </c>
      <c r="K11" s="585" t="s">
        <v>1949</v>
      </c>
      <c r="L11" s="20"/>
    </row>
    <row r="12" spans="1:81" ht="20.100000000000001" customHeight="1" thickBot="1" x14ac:dyDescent="0.25">
      <c r="A12" s="605"/>
      <c r="B12" s="606"/>
      <c r="C12" s="606"/>
      <c r="D12" s="607"/>
      <c r="E12" s="38"/>
      <c r="F12" s="38"/>
      <c r="G12" s="38"/>
      <c r="H12" s="645"/>
      <c r="I12" s="592"/>
      <c r="J12" s="592"/>
      <c r="K12" s="592"/>
      <c r="L12" s="593"/>
    </row>
    <row r="13" spans="1:81" ht="28.5" customHeight="1" thickBot="1" x14ac:dyDescent="0.25">
      <c r="A13" s="608" t="str">
        <f ca="1">+CyP!A18</f>
        <v>1.1</v>
      </c>
      <c r="B13" s="706" t="str">
        <f ca="1">+CyP!B18</f>
        <v>TRABAJOS PREPARATORIOS</v>
      </c>
      <c r="C13" s="707"/>
      <c r="D13" s="609">
        <f ca="1">+CyP!I18</f>
        <v>0</v>
      </c>
      <c r="E13" s="30"/>
      <c r="F13" s="610" t="str">
        <f t="shared" ref="F13:F30" ca="1" si="0">+B13</f>
        <v>TRABAJOS PREPARATORIOS</v>
      </c>
      <c r="G13" s="611">
        <v>1</v>
      </c>
      <c r="H13" s="646"/>
      <c r="I13" s="640"/>
      <c r="J13" s="612">
        <f t="shared" ref="J13:J30" si="1">+K13-I13</f>
        <v>0</v>
      </c>
      <c r="K13" s="639">
        <f t="shared" ref="K13:K18" si="2">+H13*G13</f>
        <v>0</v>
      </c>
    </row>
    <row r="14" spans="1:81" ht="28.5" customHeight="1" thickBot="1" x14ac:dyDescent="0.25">
      <c r="A14" s="608" t="str">
        <f ca="1">+CyP!A19</f>
        <v>1.1.1</v>
      </c>
      <c r="B14" s="706" t="str">
        <f ca="1">+CyP!B19</f>
        <v>Preparación y Limpieza de Superf.</v>
      </c>
      <c r="C14" s="707"/>
      <c r="D14" s="609">
        <f ca="1">+CyP!I19</f>
        <v>0</v>
      </c>
      <c r="E14" s="30"/>
      <c r="F14" s="610" t="str">
        <f t="shared" ca="1" si="0"/>
        <v>Preparación y Limpieza de Superf.</v>
      </c>
      <c r="G14" s="611">
        <v>1</v>
      </c>
      <c r="H14" s="646"/>
      <c r="I14" s="640"/>
      <c r="J14" s="612">
        <f t="shared" si="1"/>
        <v>0</v>
      </c>
      <c r="K14" s="639">
        <f t="shared" si="2"/>
        <v>0</v>
      </c>
    </row>
    <row r="15" spans="1:81" ht="28.5" customHeight="1" thickBot="1" x14ac:dyDescent="0.25">
      <c r="A15" s="608" t="str">
        <f ca="1">+CyP!A20</f>
        <v>1.1.2</v>
      </c>
      <c r="B15" s="706" t="str">
        <f ca="1">+CyP!B20</f>
        <v>Replanteo</v>
      </c>
      <c r="C15" s="707"/>
      <c r="D15" s="609">
        <f ca="1">+CyP!I20</f>
        <v>0</v>
      </c>
      <c r="E15" s="30"/>
      <c r="F15" s="610" t="str">
        <f t="shared" ca="1" si="0"/>
        <v>Replanteo</v>
      </c>
      <c r="G15" s="611">
        <v>1</v>
      </c>
      <c r="H15" s="646"/>
      <c r="I15" s="640"/>
      <c r="J15" s="612">
        <f t="shared" si="1"/>
        <v>0</v>
      </c>
      <c r="K15" s="639">
        <f t="shared" si="2"/>
        <v>0</v>
      </c>
    </row>
    <row r="16" spans="1:81" ht="28.5" customHeight="1" thickBot="1" x14ac:dyDescent="0.25">
      <c r="A16" s="608" t="str">
        <f ca="1">+CyP!A21</f>
        <v>1.2</v>
      </c>
      <c r="B16" s="706" t="str">
        <f ca="1">+CyP!B21</f>
        <v>ESTRUCTURA RESISTENTE</v>
      </c>
      <c r="C16" s="707"/>
      <c r="D16" s="609">
        <f ca="1">+CyP!I21</f>
        <v>0</v>
      </c>
      <c r="E16" s="30"/>
      <c r="F16" s="610" t="str">
        <f t="shared" ca="1" si="0"/>
        <v>ESTRUCTURA RESISTENTE</v>
      </c>
      <c r="G16" s="611">
        <v>1</v>
      </c>
      <c r="H16" s="646"/>
      <c r="I16" s="640"/>
      <c r="J16" s="612">
        <f t="shared" si="1"/>
        <v>0</v>
      </c>
      <c r="K16" s="639">
        <f t="shared" si="2"/>
        <v>0</v>
      </c>
    </row>
    <row r="17" spans="1:11" ht="28.5" customHeight="1" thickBot="1" x14ac:dyDescent="0.25">
      <c r="A17" s="608" t="str">
        <f ca="1">+CyP!A22</f>
        <v>1.2.1</v>
      </c>
      <c r="B17" s="706" t="str">
        <f ca="1">+CyP!B22</f>
        <v xml:space="preserve">Hormigón H-21  </v>
      </c>
      <c r="C17" s="707"/>
      <c r="D17" s="609">
        <f ca="1">+CyP!I22</f>
        <v>0</v>
      </c>
      <c r="E17" s="30"/>
      <c r="F17" s="610" t="str">
        <f t="shared" ca="1" si="0"/>
        <v xml:space="preserve">Hormigón H-21  </v>
      </c>
      <c r="G17" s="611">
        <v>1</v>
      </c>
      <c r="H17" s="646"/>
      <c r="I17" s="640"/>
      <c r="J17" s="612">
        <f t="shared" si="1"/>
        <v>0</v>
      </c>
      <c r="K17" s="639">
        <f t="shared" si="2"/>
        <v>0</v>
      </c>
    </row>
    <row r="18" spans="1:11" ht="28.5" customHeight="1" thickBot="1" x14ac:dyDescent="0.25">
      <c r="A18" s="608" t="str">
        <f ca="1">+CyP!A24</f>
        <v>1.2.3</v>
      </c>
      <c r="B18" s="706" t="str">
        <f ca="1">+CyP!B24</f>
        <v>Anclajes Químicos</v>
      </c>
      <c r="C18" s="707"/>
      <c r="D18" s="609">
        <f ca="1">+CyP!I24</f>
        <v>0</v>
      </c>
      <c r="E18" s="30"/>
      <c r="F18" s="610" t="str">
        <f t="shared" ca="1" si="0"/>
        <v>Anclajes Químicos</v>
      </c>
      <c r="G18" s="611">
        <v>1</v>
      </c>
      <c r="H18" s="646"/>
      <c r="I18" s="640"/>
      <c r="J18" s="612">
        <f t="shared" si="1"/>
        <v>0</v>
      </c>
      <c r="K18" s="639">
        <f t="shared" si="2"/>
        <v>0</v>
      </c>
    </row>
    <row r="19" spans="1:11" ht="28.5" customHeight="1" thickBot="1" x14ac:dyDescent="0.25">
      <c r="A19" s="608" t="str">
        <f ca="1">+CyP!A25</f>
        <v>1.2.4</v>
      </c>
      <c r="B19" s="706" t="str">
        <f ca="1">+CyP!B25</f>
        <v>Puente de Adherencia</v>
      </c>
      <c r="C19" s="707"/>
      <c r="D19" s="609">
        <f ca="1">+CyP!I25</f>
        <v>0</v>
      </c>
      <c r="E19" s="30"/>
      <c r="F19" s="610" t="str">
        <f t="shared" ca="1" si="0"/>
        <v>Puente de Adherencia</v>
      </c>
      <c r="G19" s="611">
        <v>1</v>
      </c>
      <c r="H19" s="646">
        <v>1</v>
      </c>
      <c r="I19" s="640"/>
      <c r="J19" s="612">
        <f t="shared" si="1"/>
        <v>1</v>
      </c>
      <c r="K19" s="639">
        <f>+H19*G19</f>
        <v>1</v>
      </c>
    </row>
    <row r="20" spans="1:11" ht="28.5" customHeight="1" thickBot="1" x14ac:dyDescent="0.25">
      <c r="A20" s="608">
        <f ca="1">+CyP!A27</f>
        <v>2</v>
      </c>
      <c r="B20" s="706" t="str">
        <f ca="1">+CyP!B27</f>
        <v>DPTO. 9 DE JULIO (R. BALMACEDA y R. ZUNGRY ALDAY)</v>
      </c>
      <c r="C20" s="707"/>
      <c r="D20" s="609">
        <f ca="1">+CyP!I27</f>
        <v>0</v>
      </c>
      <c r="E20" s="30"/>
      <c r="F20" s="610" t="str">
        <f t="shared" ca="1" si="0"/>
        <v>DPTO. 9 DE JULIO (R. BALMACEDA y R. ZUNGRY ALDAY)</v>
      </c>
      <c r="G20" s="611">
        <v>1</v>
      </c>
      <c r="H20" s="646"/>
      <c r="I20" s="640"/>
      <c r="J20" s="612">
        <f t="shared" si="1"/>
        <v>0</v>
      </c>
      <c r="K20" s="639">
        <f t="shared" ref="K20:K30" si="3">+H20*G20</f>
        <v>0</v>
      </c>
    </row>
    <row r="21" spans="1:11" ht="28.5" customHeight="1" thickBot="1" x14ac:dyDescent="0.25">
      <c r="A21" s="608" t="str">
        <f ca="1">+CyP!A28</f>
        <v>2.1</v>
      </c>
      <c r="B21" s="706" t="str">
        <f ca="1">+CyP!B28</f>
        <v>TRABAJOS PREPARATORIOS</v>
      </c>
      <c r="C21" s="707"/>
      <c r="D21" s="609">
        <f ca="1">+CyP!I28</f>
        <v>0</v>
      </c>
      <c r="E21" s="30"/>
      <c r="F21" s="610" t="str">
        <f t="shared" ca="1" si="0"/>
        <v>TRABAJOS PREPARATORIOS</v>
      </c>
      <c r="G21" s="611">
        <v>1</v>
      </c>
      <c r="H21" s="646"/>
      <c r="I21" s="640"/>
      <c r="J21" s="612">
        <f t="shared" si="1"/>
        <v>0</v>
      </c>
      <c r="K21" s="639">
        <f t="shared" si="3"/>
        <v>0</v>
      </c>
    </row>
    <row r="22" spans="1:11" ht="28.5" customHeight="1" thickBot="1" x14ac:dyDescent="0.25">
      <c r="A22" s="608" t="str">
        <f ca="1">+CyP!A29</f>
        <v>2.1.1</v>
      </c>
      <c r="B22" s="706" t="str">
        <f ca="1">+CyP!B29</f>
        <v>Preparación y Limpieza de Superf.</v>
      </c>
      <c r="C22" s="707"/>
      <c r="D22" s="609">
        <f ca="1">+CyP!I29</f>
        <v>0</v>
      </c>
      <c r="E22" s="30"/>
      <c r="F22" s="610" t="str">
        <f t="shared" ca="1" si="0"/>
        <v>Preparación y Limpieza de Superf.</v>
      </c>
      <c r="G22" s="611">
        <v>1</v>
      </c>
      <c r="H22" s="646"/>
      <c r="I22" s="640"/>
      <c r="J22" s="612">
        <f t="shared" si="1"/>
        <v>0</v>
      </c>
      <c r="K22" s="639">
        <f t="shared" si="3"/>
        <v>0</v>
      </c>
    </row>
    <row r="23" spans="1:11" ht="28.5" customHeight="1" thickBot="1" x14ac:dyDescent="0.25">
      <c r="A23" s="608" t="e">
        <f>+CyP!#REF!</f>
        <v>#REF!</v>
      </c>
      <c r="B23" s="706" t="e">
        <f>+CyP!#REF!</f>
        <v>#REF!</v>
      </c>
      <c r="C23" s="707"/>
      <c r="D23" s="609" t="e">
        <f>+CyP!#REF!</f>
        <v>#REF!</v>
      </c>
      <c r="E23" s="30"/>
      <c r="F23" s="610" t="e">
        <f t="shared" si="0"/>
        <v>#REF!</v>
      </c>
      <c r="G23" s="611">
        <v>1</v>
      </c>
      <c r="H23" s="646"/>
      <c r="I23" s="640"/>
      <c r="J23" s="612">
        <f t="shared" si="1"/>
        <v>0</v>
      </c>
      <c r="K23" s="639">
        <f t="shared" si="3"/>
        <v>0</v>
      </c>
    </row>
    <row r="24" spans="1:11" ht="28.5" customHeight="1" thickBot="1" x14ac:dyDescent="0.25">
      <c r="A24" s="608" t="e">
        <f>+CyP!#REF!</f>
        <v>#REF!</v>
      </c>
      <c r="B24" s="706" t="e">
        <f>+CyP!#REF!</f>
        <v>#REF!</v>
      </c>
      <c r="C24" s="707"/>
      <c r="D24" s="609" t="e">
        <f>+CyP!#REF!</f>
        <v>#REF!</v>
      </c>
      <c r="E24" s="30"/>
      <c r="F24" s="610" t="e">
        <f t="shared" si="0"/>
        <v>#REF!</v>
      </c>
      <c r="G24" s="611">
        <v>1</v>
      </c>
      <c r="H24" s="646"/>
      <c r="I24" s="640"/>
      <c r="J24" s="612">
        <f t="shared" si="1"/>
        <v>0</v>
      </c>
      <c r="K24" s="639">
        <f t="shared" si="3"/>
        <v>0</v>
      </c>
    </row>
    <row r="25" spans="1:11" ht="28.5" customHeight="1" thickBot="1" x14ac:dyDescent="0.25">
      <c r="A25" s="608" t="e">
        <f>+CyP!#REF!</f>
        <v>#REF!</v>
      </c>
      <c r="B25" s="706" t="e">
        <f>+CyP!#REF!</f>
        <v>#REF!</v>
      </c>
      <c r="C25" s="707"/>
      <c r="D25" s="609" t="e">
        <f>+CyP!#REF!</f>
        <v>#REF!</v>
      </c>
      <c r="E25" s="30"/>
      <c r="F25" s="610" t="e">
        <f t="shared" si="0"/>
        <v>#REF!</v>
      </c>
      <c r="G25" s="611">
        <v>1</v>
      </c>
      <c r="H25" s="646"/>
      <c r="I25" s="640"/>
      <c r="J25" s="612">
        <f t="shared" si="1"/>
        <v>0</v>
      </c>
      <c r="K25" s="639">
        <f t="shared" si="3"/>
        <v>0</v>
      </c>
    </row>
    <row r="26" spans="1:11" ht="28.5" customHeight="1" thickBot="1" x14ac:dyDescent="0.25">
      <c r="A26" s="608" t="e">
        <f>+CyP!#REF!</f>
        <v>#REF!</v>
      </c>
      <c r="B26" s="706" t="e">
        <f>+CyP!#REF!</f>
        <v>#REF!</v>
      </c>
      <c r="C26" s="707"/>
      <c r="D26" s="609" t="e">
        <f>+CyP!#REF!</f>
        <v>#REF!</v>
      </c>
      <c r="E26" s="30"/>
      <c r="F26" s="610" t="e">
        <f t="shared" si="0"/>
        <v>#REF!</v>
      </c>
      <c r="G26" s="611">
        <v>1</v>
      </c>
      <c r="H26" s="646"/>
      <c r="I26" s="640"/>
      <c r="J26" s="612">
        <f t="shared" si="1"/>
        <v>0</v>
      </c>
      <c r="K26" s="639">
        <f t="shared" si="3"/>
        <v>0</v>
      </c>
    </row>
    <row r="27" spans="1:11" ht="28.5" customHeight="1" thickBot="1" x14ac:dyDescent="0.25">
      <c r="A27" s="608" t="e">
        <f>+CyP!#REF!</f>
        <v>#REF!</v>
      </c>
      <c r="B27" s="706" t="e">
        <f>+CyP!#REF!</f>
        <v>#REF!</v>
      </c>
      <c r="C27" s="707"/>
      <c r="D27" s="609" t="e">
        <f>+CyP!#REF!</f>
        <v>#REF!</v>
      </c>
      <c r="E27" s="30"/>
      <c r="F27" s="610" t="e">
        <f t="shared" si="0"/>
        <v>#REF!</v>
      </c>
      <c r="G27" s="611">
        <v>1</v>
      </c>
      <c r="H27" s="646"/>
      <c r="I27" s="640"/>
      <c r="J27" s="612">
        <f t="shared" si="1"/>
        <v>0</v>
      </c>
      <c r="K27" s="639">
        <f t="shared" si="3"/>
        <v>0</v>
      </c>
    </row>
    <row r="28" spans="1:11" ht="28.5" customHeight="1" thickBot="1" x14ac:dyDescent="0.25">
      <c r="A28" s="608" t="e">
        <f>+CyP!#REF!</f>
        <v>#REF!</v>
      </c>
      <c r="B28" s="706" t="e">
        <f>+CyP!#REF!</f>
        <v>#REF!</v>
      </c>
      <c r="C28" s="707"/>
      <c r="D28" s="609" t="e">
        <f>+CyP!#REF!</f>
        <v>#REF!</v>
      </c>
      <c r="E28" s="30"/>
      <c r="F28" s="610" t="e">
        <f t="shared" si="0"/>
        <v>#REF!</v>
      </c>
      <c r="G28" s="611">
        <v>1</v>
      </c>
      <c r="H28" s="646"/>
      <c r="I28" s="640"/>
      <c r="J28" s="612">
        <f t="shared" si="1"/>
        <v>0</v>
      </c>
      <c r="K28" s="639">
        <f t="shared" si="3"/>
        <v>0</v>
      </c>
    </row>
    <row r="29" spans="1:11" ht="28.5" customHeight="1" thickBot="1" x14ac:dyDescent="0.25">
      <c r="A29" s="608" t="e">
        <f>+CyP!#REF!</f>
        <v>#REF!</v>
      </c>
      <c r="B29" s="706" t="e">
        <f>+CyP!#REF!</f>
        <v>#REF!</v>
      </c>
      <c r="C29" s="707"/>
      <c r="D29" s="609" t="e">
        <f>+CyP!#REF!</f>
        <v>#REF!</v>
      </c>
      <c r="E29" s="30"/>
      <c r="F29" s="610" t="e">
        <f t="shared" si="0"/>
        <v>#REF!</v>
      </c>
      <c r="G29" s="611">
        <v>1</v>
      </c>
      <c r="H29" s="646">
        <v>0.500903462322</v>
      </c>
      <c r="I29" s="640"/>
      <c r="J29" s="612">
        <f t="shared" si="1"/>
        <v>0.500903462322</v>
      </c>
      <c r="K29" s="639">
        <f t="shared" si="3"/>
        <v>0.500903462322</v>
      </c>
    </row>
    <row r="30" spans="1:11" ht="28.5" customHeight="1" thickBot="1" x14ac:dyDescent="0.25">
      <c r="A30" s="608" t="e">
        <f>+CyP!#REF!</f>
        <v>#REF!</v>
      </c>
      <c r="B30" s="706" t="e">
        <f>+CyP!#REF!</f>
        <v>#REF!</v>
      </c>
      <c r="C30" s="707"/>
      <c r="D30" s="609" t="e">
        <f>+CyP!#REF!</f>
        <v>#REF!</v>
      </c>
      <c r="E30" s="30"/>
      <c r="F30" s="610" t="e">
        <f t="shared" si="0"/>
        <v>#REF!</v>
      </c>
      <c r="G30" s="611">
        <v>1</v>
      </c>
      <c r="H30" s="646">
        <v>0.72</v>
      </c>
      <c r="I30" s="640"/>
      <c r="J30" s="612">
        <f t="shared" si="1"/>
        <v>0.72</v>
      </c>
      <c r="K30" s="639">
        <f t="shared" si="3"/>
        <v>0.72</v>
      </c>
    </row>
    <row r="31" spans="1:11" ht="20.100000000000001" customHeight="1" x14ac:dyDescent="0.2">
      <c r="A31" s="613" t="s">
        <v>3</v>
      </c>
      <c r="B31" s="614" t="s">
        <v>3</v>
      </c>
      <c r="C31" s="614"/>
      <c r="D31" s="615" t="s">
        <v>4</v>
      </c>
      <c r="E31" s="30"/>
      <c r="F31" s="30"/>
      <c r="G31" s="30"/>
      <c r="H31" s="642"/>
      <c r="I31" s="597"/>
      <c r="J31" s="597"/>
      <c r="K31" s="597"/>
    </row>
    <row r="32" spans="1:11" ht="20.100000000000001" customHeight="1" x14ac:dyDescent="0.2">
      <c r="A32" s="44" t="s">
        <v>3</v>
      </c>
      <c r="B32" s="42" t="s">
        <v>7</v>
      </c>
      <c r="C32" s="46"/>
      <c r="D32" s="616" t="e">
        <f ca="1">SUM(D13:D31)</f>
        <v>#REF!</v>
      </c>
      <c r="E32" s="599"/>
      <c r="F32" s="599"/>
      <c r="G32" s="599"/>
      <c r="H32" s="647"/>
      <c r="I32" s="617" t="e">
        <f t="shared" ref="I32:J32" ca="1" si="4">+SUMPRODUCT(I13:I30,$D$13:$D$30)</f>
        <v>#REF!</v>
      </c>
      <c r="J32" s="617" t="e">
        <f t="shared" ca="1" si="4"/>
        <v>#REF!</v>
      </c>
      <c r="K32" s="617" t="e">
        <f ca="1">+SUMPRODUCT(K13:K30,$D$13:$D$30)</f>
        <v>#REF!</v>
      </c>
    </row>
    <row r="33" spans="1:11" ht="20.100000000000001" customHeight="1" x14ac:dyDescent="0.2">
      <c r="A33" s="5"/>
      <c r="B33" s="5"/>
      <c r="C33" s="5"/>
      <c r="D33" s="5"/>
      <c r="E33" s="5"/>
      <c r="F33" s="5"/>
      <c r="G33" s="5"/>
      <c r="H33" s="642"/>
      <c r="I33" s="5"/>
      <c r="J33" s="5"/>
      <c r="K33" s="5"/>
    </row>
    <row r="34" spans="1:11" ht="20.100000000000001" customHeight="1" x14ac:dyDescent="0.2">
      <c r="E34" s="23"/>
      <c r="F34" s="23"/>
      <c r="G34" s="23"/>
      <c r="H34" s="648"/>
      <c r="I34" s="23"/>
    </row>
    <row r="35" spans="1:11" ht="20.100000000000001" customHeight="1" x14ac:dyDescent="0.2"/>
    <row r="36" spans="1:11" ht="20.100000000000001" customHeight="1" x14ac:dyDescent="0.2"/>
    <row r="37" spans="1:11" ht="20.100000000000001" customHeight="1" x14ac:dyDescent="0.2"/>
    <row r="38" spans="1:11" ht="20.100000000000001" customHeight="1" x14ac:dyDescent="0.2"/>
    <row r="39" spans="1:11" ht="20.100000000000001" customHeight="1" x14ac:dyDescent="0.2"/>
    <row r="40" spans="1:11" ht="20.100000000000001" customHeight="1" x14ac:dyDescent="0.2"/>
    <row r="41" spans="1:11" ht="20.100000000000001" customHeight="1" x14ac:dyDescent="0.2"/>
    <row r="42" spans="1:11" ht="20.100000000000001" customHeight="1" x14ac:dyDescent="0.2"/>
    <row r="43" spans="1:11" ht="20.100000000000001" customHeight="1" x14ac:dyDescent="0.2"/>
    <row r="44" spans="1:11" ht="20.100000000000001" customHeight="1" x14ac:dyDescent="0.2"/>
    <row r="45" spans="1:11" ht="20.100000000000001" customHeight="1" x14ac:dyDescent="0.2"/>
    <row r="46" spans="1:11" ht="20.100000000000001" customHeight="1" x14ac:dyDescent="0.2"/>
    <row r="47" spans="1:11" ht="20.100000000000001" customHeight="1" x14ac:dyDescent="0.2"/>
    <row r="48" spans="1:1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6">
    <mergeCell ref="H10:H11"/>
    <mergeCell ref="I10:K10"/>
    <mergeCell ref="G10:G11"/>
    <mergeCell ref="B18:C18"/>
    <mergeCell ref="B19:C19"/>
    <mergeCell ref="B13:C13"/>
    <mergeCell ref="B14:C14"/>
    <mergeCell ref="B15:C15"/>
    <mergeCell ref="B16:C16"/>
    <mergeCell ref="B17:C17"/>
    <mergeCell ref="A8:D8"/>
    <mergeCell ref="A10:A11"/>
    <mergeCell ref="B10:C11"/>
    <mergeCell ref="D10:D11"/>
    <mergeCell ref="F10:F11"/>
    <mergeCell ref="B30:C30"/>
    <mergeCell ref="B27:C27"/>
    <mergeCell ref="B28:C28"/>
    <mergeCell ref="B29:C29"/>
    <mergeCell ref="B20:C20"/>
    <mergeCell ref="B21:C21"/>
    <mergeCell ref="B22:C22"/>
    <mergeCell ref="B23:C23"/>
    <mergeCell ref="B24:C24"/>
    <mergeCell ref="B25:C25"/>
    <mergeCell ref="B26:C26"/>
  </mergeCells>
  <conditionalFormatting sqref="A31:A32 A13:B30">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B31:C31">
    <cfRule type="expression" dxfId="68" priority="7" stopIfTrue="1">
      <formula>#REF!&gt;0</formula>
    </cfRule>
    <cfRule type="expression" dxfId="67" priority="8" stopIfTrue="1">
      <formula>#REF!&gt;0</formula>
    </cfRule>
    <cfRule type="expression" dxfId="66" priority="9" stopIfTrue="1">
      <formula>#REF!&gt;0</formula>
    </cfRule>
  </conditionalFormatting>
  <pageMargins left="0.7" right="0.7" top="0.75" bottom="0.75" header="0.3" footer="0.3"/>
  <pageSetup scale="53" orientation="portrait" r:id="rId1"/>
  <colBreaks count="1" manualBreakCount="1">
    <brk id="11" max="3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7"/>
  <sheetViews>
    <sheetView workbookViewId="0">
      <selection activeCell="C32" sqref="C32"/>
    </sheetView>
  </sheetViews>
  <sheetFormatPr baseColWidth="10" defaultRowHeight="12.75" x14ac:dyDescent="0.2"/>
  <cols>
    <col min="1" max="1" width="8.42578125" style="564" customWidth="1"/>
    <col min="2" max="2" width="12.42578125" style="65" customWidth="1"/>
    <col min="3" max="3" width="48.5703125" style="65" customWidth="1"/>
    <col min="4" max="4" width="9" style="65" customWidth="1"/>
    <col min="5" max="5" width="13.5703125" style="65" bestFit="1" customWidth="1"/>
    <col min="6" max="16384" width="11.42578125" style="65"/>
  </cols>
  <sheetData>
    <row r="1" spans="1:6" s="575" customFormat="1" x14ac:dyDescent="0.2">
      <c r="A1" s="575" t="s">
        <v>1940</v>
      </c>
    </row>
    <row r="2" spans="1:6" s="575" customFormat="1" x14ac:dyDescent="0.2">
      <c r="A2" s="575" t="s">
        <v>1941</v>
      </c>
    </row>
    <row r="3" spans="1:6" s="575" customFormat="1" x14ac:dyDescent="0.2">
      <c r="A3" s="575" t="s">
        <v>1942</v>
      </c>
    </row>
    <row r="4" spans="1:6" s="575" customFormat="1" x14ac:dyDescent="0.2"/>
    <row r="5" spans="1:6" s="575" customFormat="1" x14ac:dyDescent="0.2"/>
    <row r="6" spans="1:6" ht="15.75" x14ac:dyDescent="0.2">
      <c r="B6" s="713" t="s">
        <v>1723</v>
      </c>
      <c r="C6" s="713"/>
      <c r="D6" s="713"/>
      <c r="E6" s="713"/>
      <c r="F6" s="713"/>
    </row>
    <row r="8" spans="1:6" s="67" customFormat="1" x14ac:dyDescent="0.2">
      <c r="A8" s="568"/>
      <c r="B8" s="100" t="s">
        <v>1722</v>
      </c>
      <c r="C8" s="100" t="s">
        <v>1700</v>
      </c>
      <c r="D8" s="100" t="s">
        <v>1</v>
      </c>
      <c r="E8" s="712" t="s">
        <v>1724</v>
      </c>
      <c r="F8" s="712"/>
    </row>
    <row r="9" spans="1:6" x14ac:dyDescent="0.2">
      <c r="B9" s="581"/>
      <c r="C9" s="581"/>
      <c r="D9" s="581"/>
      <c r="E9" s="582"/>
      <c r="F9" s="583"/>
    </row>
    <row r="10" spans="1:6" x14ac:dyDescent="0.2">
      <c r="A10" s="568">
        <v>1</v>
      </c>
      <c r="B10" s="100" t="str">
        <f t="shared" ref="B10:B47" si="0">IFERROR(VLOOKUP(A10,T_NumeroItem,2,FALSE),"")</f>
        <v>1.1.1</v>
      </c>
      <c r="C10" s="469" t="str">
        <f t="shared" ref="C10:C47" si="1">IFERROR(VLOOKUP(B10,T_Datos,2,FALSE),"")</f>
        <v>Preparación y Limpieza de Superf.</v>
      </c>
      <c r="D10" s="100" t="str">
        <f t="shared" ref="D10:D47" si="2">IFERROR(VLOOKUP(B10,T_Datos,3,FALSE),"")</f>
        <v>GL</v>
      </c>
      <c r="E10" s="582"/>
      <c r="F10" s="584" t="str">
        <f>D10&amp;"/dia"</f>
        <v>GL/dia</v>
      </c>
    </row>
    <row r="11" spans="1:6" x14ac:dyDescent="0.2">
      <c r="A11" s="568">
        <v>2</v>
      </c>
      <c r="B11" s="100" t="str">
        <f t="shared" si="0"/>
        <v>1.1.2</v>
      </c>
      <c r="C11" s="469" t="str">
        <f t="shared" si="1"/>
        <v>Replanteo</v>
      </c>
      <c r="D11" s="100" t="str">
        <f t="shared" si="2"/>
        <v>GL</v>
      </c>
      <c r="E11" s="582"/>
      <c r="F11" s="584" t="str">
        <f t="shared" ref="F11:F47" si="3">D11&amp;"/dia"</f>
        <v>GL/dia</v>
      </c>
    </row>
    <row r="12" spans="1:6" x14ac:dyDescent="0.2">
      <c r="A12" s="568">
        <v>3</v>
      </c>
      <c r="B12" s="100" t="str">
        <f t="shared" si="0"/>
        <v>1.2.1</v>
      </c>
      <c r="C12" s="469" t="str">
        <f t="shared" si="1"/>
        <v xml:space="preserve">Hormigón H-21  </v>
      </c>
      <c r="D12" s="100" t="str">
        <f t="shared" si="2"/>
        <v>M3</v>
      </c>
      <c r="E12" s="582"/>
      <c r="F12" s="584" t="str">
        <f t="shared" si="3"/>
        <v>M3/dia</v>
      </c>
    </row>
    <row r="13" spans="1:6" x14ac:dyDescent="0.2">
      <c r="A13" s="568">
        <v>4</v>
      </c>
      <c r="B13" s="100" t="str">
        <f t="shared" si="0"/>
        <v>1.2.2</v>
      </c>
      <c r="C13" s="469" t="str">
        <f t="shared" si="1"/>
        <v>Armadura puesta en obra</v>
      </c>
      <c r="D13" s="100" t="str">
        <f t="shared" si="2"/>
        <v>KG</v>
      </c>
      <c r="E13" s="582"/>
      <c r="F13" s="584" t="str">
        <f t="shared" si="3"/>
        <v>KG/dia</v>
      </c>
    </row>
    <row r="14" spans="1:6" x14ac:dyDescent="0.2">
      <c r="A14" s="568">
        <v>5</v>
      </c>
      <c r="B14" s="100" t="str">
        <f t="shared" si="0"/>
        <v>1.2.3</v>
      </c>
      <c r="C14" s="469" t="str">
        <f t="shared" si="1"/>
        <v>Anclajes Químicos</v>
      </c>
      <c r="D14" s="100" t="str">
        <f t="shared" si="2"/>
        <v>GL</v>
      </c>
      <c r="E14" s="582"/>
      <c r="F14" s="584" t="str">
        <f t="shared" si="3"/>
        <v>GL/dia</v>
      </c>
    </row>
    <row r="15" spans="1:6" x14ac:dyDescent="0.2">
      <c r="A15" s="568">
        <v>6</v>
      </c>
      <c r="B15" s="100" t="str">
        <f t="shared" si="0"/>
        <v>1.2.4</v>
      </c>
      <c r="C15" s="469" t="str">
        <f t="shared" si="1"/>
        <v>Puente de Adherencia</v>
      </c>
      <c r="D15" s="100" t="str">
        <f t="shared" si="2"/>
        <v>GL</v>
      </c>
      <c r="E15" s="582"/>
      <c r="F15" s="584" t="str">
        <f t="shared" si="3"/>
        <v>GL/dia</v>
      </c>
    </row>
    <row r="16" spans="1:6" x14ac:dyDescent="0.2">
      <c r="A16" s="568">
        <v>7</v>
      </c>
      <c r="B16" s="100" t="str">
        <f t="shared" si="0"/>
        <v>1.2.5</v>
      </c>
      <c r="C16" s="469" t="str">
        <f t="shared" si="1"/>
        <v>Juntas de Contracción y dilatación</v>
      </c>
      <c r="D16" s="100" t="str">
        <f t="shared" si="2"/>
        <v>ML</v>
      </c>
      <c r="E16" s="582"/>
      <c r="F16" s="584" t="str">
        <f t="shared" si="3"/>
        <v>ML/dia</v>
      </c>
    </row>
    <row r="17" spans="1:6" x14ac:dyDescent="0.2">
      <c r="A17" s="568">
        <v>8</v>
      </c>
      <c r="B17" s="100" t="str">
        <f t="shared" si="0"/>
        <v>2.1.1</v>
      </c>
      <c r="C17" s="469" t="str">
        <f t="shared" si="1"/>
        <v>Preparación y Limpieza de Superf.</v>
      </c>
      <c r="D17" s="100" t="str">
        <f t="shared" si="2"/>
        <v>GL</v>
      </c>
      <c r="E17" s="582"/>
      <c r="F17" s="584" t="str">
        <f t="shared" si="3"/>
        <v>GL/dia</v>
      </c>
    </row>
    <row r="18" spans="1:6" x14ac:dyDescent="0.2">
      <c r="A18" s="568">
        <v>9</v>
      </c>
      <c r="B18" s="100" t="str">
        <f t="shared" si="0"/>
        <v>2.1.2</v>
      </c>
      <c r="C18" s="469" t="str">
        <f t="shared" si="1"/>
        <v>Replanteo</v>
      </c>
      <c r="D18" s="100" t="str">
        <f t="shared" si="2"/>
        <v>GL</v>
      </c>
      <c r="E18" s="582"/>
      <c r="F18" s="584" t="str">
        <f t="shared" si="3"/>
        <v>GL/dia</v>
      </c>
    </row>
    <row r="19" spans="1:6" x14ac:dyDescent="0.2">
      <c r="A19" s="568">
        <v>10</v>
      </c>
      <c r="B19" s="100" t="str">
        <f t="shared" si="0"/>
        <v>2.2.1</v>
      </c>
      <c r="C19" s="469" t="str">
        <f t="shared" si="1"/>
        <v xml:space="preserve">Hormigón H-21  </v>
      </c>
      <c r="D19" s="100" t="str">
        <f t="shared" si="2"/>
        <v>M3</v>
      </c>
      <c r="E19" s="582"/>
      <c r="F19" s="584" t="str">
        <f t="shared" si="3"/>
        <v>M3/dia</v>
      </c>
    </row>
    <row r="20" spans="1:6" x14ac:dyDescent="0.2">
      <c r="A20" s="568">
        <v>11</v>
      </c>
      <c r="B20" s="100" t="str">
        <f t="shared" si="0"/>
        <v>2.2.2</v>
      </c>
      <c r="C20" s="469" t="str">
        <f t="shared" si="1"/>
        <v>Armadura puesta en obra</v>
      </c>
      <c r="D20" s="100" t="str">
        <f t="shared" si="2"/>
        <v>KG</v>
      </c>
      <c r="E20" s="582"/>
      <c r="F20" s="584" t="str">
        <f t="shared" si="3"/>
        <v>KG/dia</v>
      </c>
    </row>
    <row r="21" spans="1:6" x14ac:dyDescent="0.2">
      <c r="A21" s="568">
        <v>12</v>
      </c>
      <c r="B21" s="100" t="str">
        <f t="shared" si="0"/>
        <v>2.2.3</v>
      </c>
      <c r="C21" s="469" t="str">
        <f t="shared" si="1"/>
        <v>Anclajes Químicos</v>
      </c>
      <c r="D21" s="100" t="str">
        <f t="shared" si="2"/>
        <v>GL</v>
      </c>
      <c r="E21" s="582"/>
      <c r="F21" s="584" t="str">
        <f t="shared" si="3"/>
        <v>GL/dia</v>
      </c>
    </row>
    <row r="22" spans="1:6" x14ac:dyDescent="0.2">
      <c r="A22" s="568">
        <v>13</v>
      </c>
      <c r="B22" s="100" t="str">
        <f t="shared" si="0"/>
        <v>2.2.4</v>
      </c>
      <c r="C22" s="469" t="str">
        <f t="shared" si="1"/>
        <v>Puente de Adherencia</v>
      </c>
      <c r="D22" s="100" t="str">
        <f t="shared" si="2"/>
        <v>GL</v>
      </c>
      <c r="E22" s="582"/>
      <c r="F22" s="584" t="str">
        <f t="shared" si="3"/>
        <v>GL/dia</v>
      </c>
    </row>
    <row r="23" spans="1:6" x14ac:dyDescent="0.2">
      <c r="A23" s="568">
        <v>14</v>
      </c>
      <c r="B23" s="100" t="str">
        <f t="shared" si="0"/>
        <v>3.1.1</v>
      </c>
      <c r="C23" s="469" t="str">
        <f t="shared" si="1"/>
        <v>Preparación y Limpieza de Superf.</v>
      </c>
      <c r="D23" s="100" t="str">
        <f t="shared" si="2"/>
        <v>GL</v>
      </c>
      <c r="E23" s="582"/>
      <c r="F23" s="584" t="str">
        <f t="shared" si="3"/>
        <v>GL/dia</v>
      </c>
    </row>
    <row r="24" spans="1:6" x14ac:dyDescent="0.2">
      <c r="A24" s="568">
        <v>15</v>
      </c>
      <c r="B24" s="100" t="str">
        <f t="shared" si="0"/>
        <v>3.1.2</v>
      </c>
      <c r="C24" s="469" t="str">
        <f t="shared" si="1"/>
        <v>Replanteo</v>
      </c>
      <c r="D24" s="100" t="str">
        <f t="shared" si="2"/>
        <v>GL</v>
      </c>
      <c r="E24" s="582"/>
      <c r="F24" s="584" t="str">
        <f t="shared" si="3"/>
        <v>GL/dia</v>
      </c>
    </row>
    <row r="25" spans="1:6" x14ac:dyDescent="0.2">
      <c r="A25" s="568">
        <v>16</v>
      </c>
      <c r="B25" s="100" t="str">
        <f t="shared" si="0"/>
        <v>3.2.1</v>
      </c>
      <c r="C25" s="469" t="str">
        <f t="shared" si="1"/>
        <v xml:space="preserve">Hormigón H-21  </v>
      </c>
      <c r="D25" s="100" t="str">
        <f t="shared" si="2"/>
        <v>M3</v>
      </c>
      <c r="E25" s="582"/>
      <c r="F25" s="584" t="str">
        <f t="shared" si="3"/>
        <v>M3/dia</v>
      </c>
    </row>
    <row r="26" spans="1:6" x14ac:dyDescent="0.2">
      <c r="A26" s="568">
        <v>17</v>
      </c>
      <c r="B26" s="100" t="str">
        <f t="shared" si="0"/>
        <v>3.2.2</v>
      </c>
      <c r="C26" s="469" t="str">
        <f t="shared" si="1"/>
        <v>Armadura puesta en obra</v>
      </c>
      <c r="D26" s="100" t="str">
        <f t="shared" si="2"/>
        <v>KG</v>
      </c>
      <c r="E26" s="582"/>
      <c r="F26" s="584" t="str">
        <f t="shared" si="3"/>
        <v>KG/dia</v>
      </c>
    </row>
    <row r="27" spans="1:6" x14ac:dyDescent="0.2">
      <c r="A27" s="568">
        <v>18</v>
      </c>
      <c r="B27" s="100" t="str">
        <f t="shared" si="0"/>
        <v>3.2.3</v>
      </c>
      <c r="C27" s="469" t="str">
        <f t="shared" si="1"/>
        <v>Anclajes Químicos</v>
      </c>
      <c r="D27" s="100" t="str">
        <f t="shared" si="2"/>
        <v>GL</v>
      </c>
      <c r="E27" s="582"/>
      <c r="F27" s="584" t="str">
        <f t="shared" si="3"/>
        <v>GL/dia</v>
      </c>
    </row>
    <row r="28" spans="1:6" x14ac:dyDescent="0.2">
      <c r="A28" s="568">
        <v>19</v>
      </c>
      <c r="B28" s="100" t="str">
        <f t="shared" si="0"/>
        <v>3.2.4</v>
      </c>
      <c r="C28" s="469" t="str">
        <f t="shared" si="1"/>
        <v>Puente de Adherencia</v>
      </c>
      <c r="D28" s="100" t="str">
        <f t="shared" si="2"/>
        <v>GL</v>
      </c>
      <c r="E28" s="582"/>
      <c r="F28" s="584" t="str">
        <f t="shared" si="3"/>
        <v>GL/dia</v>
      </c>
    </row>
    <row r="29" spans="1:6" x14ac:dyDescent="0.2">
      <c r="A29" s="568">
        <v>20</v>
      </c>
      <c r="B29" s="100" t="str">
        <f t="shared" si="0"/>
        <v>3.3.1</v>
      </c>
      <c r="C29" s="469" t="str">
        <f t="shared" si="1"/>
        <v>Demolicion</v>
      </c>
      <c r="D29" s="100" t="str">
        <f t="shared" si="2"/>
        <v>M3</v>
      </c>
      <c r="E29" s="582"/>
      <c r="F29" s="584" t="str">
        <f t="shared" si="3"/>
        <v>M3/dia</v>
      </c>
    </row>
    <row r="30" spans="1:6" x14ac:dyDescent="0.2">
      <c r="A30" s="568">
        <v>21</v>
      </c>
      <c r="B30" s="100" t="str">
        <f t="shared" si="0"/>
        <v>3.3.2</v>
      </c>
      <c r="C30" s="469" t="str">
        <f t="shared" si="1"/>
        <v>Relleno y Compactacion</v>
      </c>
      <c r="D30" s="100" t="str">
        <f t="shared" si="2"/>
        <v>M3</v>
      </c>
      <c r="E30" s="582"/>
      <c r="F30" s="584" t="str">
        <f t="shared" si="3"/>
        <v>M3/dia</v>
      </c>
    </row>
    <row r="31" spans="1:6" x14ac:dyDescent="0.2">
      <c r="A31" s="568">
        <v>22</v>
      </c>
      <c r="B31" s="100" t="str">
        <f t="shared" si="0"/>
        <v>3.3.3</v>
      </c>
      <c r="C31" s="469" t="str">
        <f t="shared" si="1"/>
        <v xml:space="preserve">Hormigón H-21  </v>
      </c>
      <c r="D31" s="100" t="str">
        <f t="shared" si="2"/>
        <v>M3</v>
      </c>
      <c r="E31" s="582"/>
      <c r="F31" s="584" t="str">
        <f t="shared" si="3"/>
        <v>M3/dia</v>
      </c>
    </row>
    <row r="32" spans="1:6" x14ac:dyDescent="0.2">
      <c r="A32" s="568">
        <v>23</v>
      </c>
      <c r="B32" s="100" t="str">
        <f t="shared" si="0"/>
        <v>3.3.4</v>
      </c>
      <c r="C32" s="469" t="str">
        <f t="shared" si="1"/>
        <v>Armadura puesta en obra</v>
      </c>
      <c r="D32" s="100" t="str">
        <f t="shared" si="2"/>
        <v>KG</v>
      </c>
      <c r="E32" s="582"/>
      <c r="F32" s="584" t="str">
        <f t="shared" si="3"/>
        <v>KG/dia</v>
      </c>
    </row>
    <row r="33" spans="1:6" x14ac:dyDescent="0.2">
      <c r="A33" s="568">
        <v>24</v>
      </c>
      <c r="B33" s="100" t="str">
        <f t="shared" si="0"/>
        <v>3.3.5</v>
      </c>
      <c r="C33" s="469" t="str">
        <f t="shared" si="1"/>
        <v>Puente de Adherencia</v>
      </c>
      <c r="D33" s="100" t="str">
        <f t="shared" si="2"/>
        <v>GL</v>
      </c>
      <c r="E33" s="582"/>
      <c r="F33" s="584" t="str">
        <f t="shared" si="3"/>
        <v>GL/dia</v>
      </c>
    </row>
    <row r="34" spans="1:6" x14ac:dyDescent="0.2">
      <c r="A34" s="568">
        <v>25</v>
      </c>
      <c r="B34" s="100" t="str">
        <f t="shared" si="0"/>
        <v>3.3.6</v>
      </c>
      <c r="C34" s="469" t="str">
        <f t="shared" si="1"/>
        <v>Juntas de Construccion y Dilatacion</v>
      </c>
      <c r="D34" s="100" t="str">
        <f t="shared" si="2"/>
        <v>ML</v>
      </c>
      <c r="E34" s="582"/>
      <c r="F34" s="584" t="str">
        <f t="shared" si="3"/>
        <v>ML/dia</v>
      </c>
    </row>
    <row r="35" spans="1:6" x14ac:dyDescent="0.2">
      <c r="A35" s="568">
        <v>26</v>
      </c>
      <c r="B35" s="100" t="str">
        <f t="shared" si="0"/>
        <v/>
      </c>
      <c r="C35" s="469" t="str">
        <f t="shared" si="1"/>
        <v/>
      </c>
      <c r="D35" s="100" t="str">
        <f t="shared" si="2"/>
        <v/>
      </c>
      <c r="E35" s="582"/>
      <c r="F35" s="584" t="str">
        <f t="shared" si="3"/>
        <v>/dia</v>
      </c>
    </row>
    <row r="36" spans="1:6" x14ac:dyDescent="0.2">
      <c r="A36" s="568">
        <v>27</v>
      </c>
      <c r="B36" s="100" t="str">
        <f t="shared" si="0"/>
        <v/>
      </c>
      <c r="C36" s="469" t="str">
        <f t="shared" si="1"/>
        <v/>
      </c>
      <c r="D36" s="100" t="str">
        <f t="shared" si="2"/>
        <v/>
      </c>
      <c r="E36" s="582"/>
      <c r="F36" s="584" t="str">
        <f t="shared" si="3"/>
        <v>/dia</v>
      </c>
    </row>
    <row r="37" spans="1:6" x14ac:dyDescent="0.2">
      <c r="A37" s="568">
        <v>28</v>
      </c>
      <c r="B37" s="100" t="str">
        <f t="shared" si="0"/>
        <v/>
      </c>
      <c r="C37" s="469" t="str">
        <f t="shared" si="1"/>
        <v/>
      </c>
      <c r="D37" s="100" t="str">
        <f t="shared" si="2"/>
        <v/>
      </c>
      <c r="E37" s="582"/>
      <c r="F37" s="584" t="str">
        <f t="shared" si="3"/>
        <v>/dia</v>
      </c>
    </row>
    <row r="38" spans="1:6" x14ac:dyDescent="0.2">
      <c r="A38" s="568">
        <v>29</v>
      </c>
      <c r="B38" s="100" t="str">
        <f t="shared" si="0"/>
        <v/>
      </c>
      <c r="C38" s="469" t="str">
        <f t="shared" si="1"/>
        <v/>
      </c>
      <c r="D38" s="100" t="str">
        <f t="shared" si="2"/>
        <v/>
      </c>
      <c r="E38" s="582"/>
      <c r="F38" s="584" t="str">
        <f t="shared" si="3"/>
        <v>/dia</v>
      </c>
    </row>
    <row r="39" spans="1:6" x14ac:dyDescent="0.2">
      <c r="A39" s="568">
        <v>30</v>
      </c>
      <c r="B39" s="100" t="str">
        <f t="shared" si="0"/>
        <v/>
      </c>
      <c r="C39" s="469" t="str">
        <f t="shared" si="1"/>
        <v/>
      </c>
      <c r="D39" s="100" t="str">
        <f t="shared" si="2"/>
        <v/>
      </c>
      <c r="E39" s="582"/>
      <c r="F39" s="584" t="str">
        <f t="shared" si="3"/>
        <v>/dia</v>
      </c>
    </row>
    <row r="40" spans="1:6" x14ac:dyDescent="0.2">
      <c r="A40" s="568">
        <v>31</v>
      </c>
      <c r="B40" s="100" t="str">
        <f t="shared" si="0"/>
        <v/>
      </c>
      <c r="C40" s="469" t="str">
        <f t="shared" si="1"/>
        <v/>
      </c>
      <c r="D40" s="100" t="str">
        <f t="shared" si="2"/>
        <v/>
      </c>
      <c r="E40" s="582"/>
      <c r="F40" s="584" t="str">
        <f t="shared" si="3"/>
        <v>/dia</v>
      </c>
    </row>
    <row r="41" spans="1:6" x14ac:dyDescent="0.2">
      <c r="A41" s="568">
        <v>32</v>
      </c>
      <c r="B41" s="100" t="str">
        <f t="shared" si="0"/>
        <v/>
      </c>
      <c r="C41" s="469" t="str">
        <f t="shared" si="1"/>
        <v/>
      </c>
      <c r="D41" s="100" t="str">
        <f t="shared" si="2"/>
        <v/>
      </c>
      <c r="E41" s="582"/>
      <c r="F41" s="584" t="str">
        <f t="shared" si="3"/>
        <v>/dia</v>
      </c>
    </row>
    <row r="42" spans="1:6" x14ac:dyDescent="0.2">
      <c r="A42" s="568">
        <v>33</v>
      </c>
      <c r="B42" s="100" t="str">
        <f t="shared" si="0"/>
        <v/>
      </c>
      <c r="C42" s="469" t="str">
        <f t="shared" si="1"/>
        <v/>
      </c>
      <c r="D42" s="100" t="str">
        <f t="shared" si="2"/>
        <v/>
      </c>
      <c r="E42" s="582"/>
      <c r="F42" s="584" t="str">
        <f t="shared" si="3"/>
        <v>/dia</v>
      </c>
    </row>
    <row r="43" spans="1:6" x14ac:dyDescent="0.2">
      <c r="A43" s="568">
        <v>34</v>
      </c>
      <c r="B43" s="100" t="str">
        <f t="shared" si="0"/>
        <v/>
      </c>
      <c r="C43" s="469" t="str">
        <f t="shared" si="1"/>
        <v/>
      </c>
      <c r="D43" s="100" t="str">
        <f t="shared" si="2"/>
        <v/>
      </c>
      <c r="E43" s="582"/>
      <c r="F43" s="584" t="str">
        <f t="shared" si="3"/>
        <v>/dia</v>
      </c>
    </row>
    <row r="44" spans="1:6" x14ac:dyDescent="0.2">
      <c r="A44" s="568">
        <v>35</v>
      </c>
      <c r="B44" s="100" t="str">
        <f t="shared" si="0"/>
        <v/>
      </c>
      <c r="C44" s="469" t="str">
        <f t="shared" si="1"/>
        <v/>
      </c>
      <c r="D44" s="100" t="str">
        <f t="shared" si="2"/>
        <v/>
      </c>
      <c r="E44" s="582"/>
      <c r="F44" s="584" t="str">
        <f t="shared" si="3"/>
        <v>/dia</v>
      </c>
    </row>
    <row r="45" spans="1:6" x14ac:dyDescent="0.2">
      <c r="A45" s="568">
        <v>36</v>
      </c>
      <c r="B45" s="100" t="str">
        <f t="shared" si="0"/>
        <v/>
      </c>
      <c r="C45" s="469" t="str">
        <f t="shared" si="1"/>
        <v/>
      </c>
      <c r="D45" s="100" t="str">
        <f t="shared" si="2"/>
        <v/>
      </c>
      <c r="E45" s="582"/>
      <c r="F45" s="584" t="str">
        <f t="shared" si="3"/>
        <v>/dia</v>
      </c>
    </row>
    <row r="46" spans="1:6" x14ac:dyDescent="0.2">
      <c r="A46" s="568">
        <v>37</v>
      </c>
      <c r="B46" s="100" t="str">
        <f t="shared" si="0"/>
        <v/>
      </c>
      <c r="C46" s="469" t="str">
        <f t="shared" si="1"/>
        <v/>
      </c>
      <c r="D46" s="100" t="str">
        <f t="shared" si="2"/>
        <v/>
      </c>
      <c r="E46" s="582"/>
      <c r="F46" s="584" t="str">
        <f t="shared" si="3"/>
        <v>/dia</v>
      </c>
    </row>
    <row r="47" spans="1:6" x14ac:dyDescent="0.2">
      <c r="A47" s="568">
        <v>38</v>
      </c>
      <c r="B47" s="100" t="str">
        <f t="shared" si="0"/>
        <v/>
      </c>
      <c r="C47" s="469" t="str">
        <f t="shared" si="1"/>
        <v/>
      </c>
      <c r="D47" s="100" t="str">
        <f t="shared" si="2"/>
        <v/>
      </c>
      <c r="E47" s="582"/>
      <c r="F47" s="584"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
    <pageSetUpPr fitToPage="1"/>
  </sheetPr>
  <dimension ref="C1:L3"/>
  <sheetViews>
    <sheetView showGridLines="0" zoomScale="90" zoomScaleNormal="90" zoomScaleSheetLayoutView="75" workbookViewId="0">
      <selection activeCell="Q19" sqref="Q19"/>
    </sheetView>
  </sheetViews>
  <sheetFormatPr baseColWidth="10" defaultColWidth="10.7109375" defaultRowHeight="15" x14ac:dyDescent="0.25"/>
  <cols>
    <col min="1" max="16384" width="10.7109375" style="1"/>
  </cols>
  <sheetData>
    <row r="1" spans="3:12" ht="23.25" x14ac:dyDescent="0.35">
      <c r="C1" s="714" t="str">
        <f>"OBRA: " &amp; UPPER(Obra)</f>
        <v>OBRA: RECRECIMIENTO Y REPARACIÓN CANALES SARMIENTO, 9 DE JULIO Y CHIMBAS</v>
      </c>
      <c r="D1" s="714"/>
      <c r="E1" s="714"/>
      <c r="F1" s="714"/>
      <c r="G1" s="714"/>
      <c r="H1" s="714"/>
      <c r="I1" s="714"/>
      <c r="J1" s="714"/>
      <c r="K1" s="714"/>
      <c r="L1" s="714"/>
    </row>
    <row r="2" spans="3:12" ht="23.25" x14ac:dyDescent="0.35">
      <c r="C2" s="714" t="s">
        <v>932</v>
      </c>
      <c r="D2" s="714"/>
      <c r="E2" s="714"/>
      <c r="F2" s="714"/>
      <c r="G2" s="714"/>
      <c r="H2" s="714"/>
      <c r="I2" s="714"/>
      <c r="J2" s="714"/>
      <c r="K2" s="714"/>
      <c r="L2" s="714"/>
    </row>
    <row r="3" spans="3:12" ht="23.25" x14ac:dyDescent="0.35">
      <c r="C3" s="714" t="s">
        <v>933</v>
      </c>
      <c r="D3" s="714"/>
      <c r="E3" s="714"/>
      <c r="F3" s="714"/>
      <c r="G3" s="714"/>
      <c r="H3" s="714"/>
      <c r="I3" s="714"/>
      <c r="J3" s="714"/>
      <c r="K3" s="714"/>
      <c r="L3" s="71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pageSetUpPr fitToPage="1"/>
  </sheetPr>
  <dimension ref="C1:J3"/>
  <sheetViews>
    <sheetView showGridLines="0" topLeftCell="C1" zoomScaleNormal="100" zoomScaleSheetLayoutView="75" workbookViewId="0">
      <selection activeCell="L40" sqref="L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15" t="str">
        <f>"OBRA: " &amp; UPPER(Obra)</f>
        <v>OBRA: RECRECIMIENTO Y REPARACIÓN CANALES SARMIENTO, 9 DE JULIO Y CHIMBAS</v>
      </c>
      <c r="D1" s="715"/>
      <c r="E1" s="715"/>
      <c r="F1" s="715"/>
      <c r="G1" s="715"/>
      <c r="H1" s="715"/>
      <c r="I1" s="715"/>
      <c r="J1" s="715"/>
    </row>
    <row r="2" spans="3:10" ht="23.25" x14ac:dyDescent="0.35">
      <c r="C2" s="714" t="s">
        <v>934</v>
      </c>
      <c r="D2" s="714"/>
      <c r="E2" s="714"/>
      <c r="F2" s="714"/>
      <c r="G2" s="714"/>
      <c r="H2" s="714"/>
      <c r="I2" s="714"/>
      <c r="J2" s="714"/>
    </row>
    <row r="3" spans="3:10" ht="23.25" x14ac:dyDescent="0.35">
      <c r="C3" s="714" t="s">
        <v>935</v>
      </c>
      <c r="D3" s="714"/>
      <c r="E3" s="714"/>
      <c r="F3" s="714"/>
      <c r="G3" s="714"/>
      <c r="H3" s="714"/>
      <c r="I3" s="714"/>
      <c r="J3" s="71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DEPARTAMENTO DE HIDRÁULICA</v>
      </c>
      <c r="E1" s="4"/>
    </row>
    <row r="2" spans="1:6" s="5" customFormat="1" ht="20.100000000000001" customHeight="1" x14ac:dyDescent="0.2">
      <c r="A2" s="11" t="s">
        <v>9</v>
      </c>
      <c r="B2" s="11" t="str">
        <f>Obra</f>
        <v>RECRECIMIENTO Y REPARACIÓN CANALES SARMIENTO, 9 DE JULIO Y CHIMBAS</v>
      </c>
    </row>
    <row r="3" spans="1:6" s="5" customFormat="1" ht="20.100000000000001" customHeight="1" x14ac:dyDescent="0.2">
      <c r="A3" s="11" t="s">
        <v>13</v>
      </c>
      <c r="B3" s="11" t="str">
        <f>Ubicación</f>
        <v>DEPARTAMENTOS SARMIENTO, 9 DE JULIO Y CHIMBAS</v>
      </c>
    </row>
    <row r="4" spans="1:6" s="5" customFormat="1" ht="20.100000000000001" customHeight="1" x14ac:dyDescent="0.2">
      <c r="A4" s="11" t="s">
        <v>12</v>
      </c>
      <c r="B4" s="12" t="str">
        <f>Licitación_N°</f>
        <v>____/23</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720" t="s">
        <v>34</v>
      </c>
      <c r="B7" s="721"/>
      <c r="C7" s="721"/>
      <c r="D7" s="721"/>
      <c r="E7" s="722"/>
    </row>
    <row r="8" spans="1:6" ht="20.100000000000001" customHeight="1" x14ac:dyDescent="0.2">
      <c r="A8" s="723" t="s">
        <v>708</v>
      </c>
      <c r="B8" s="724"/>
      <c r="C8" s="725"/>
      <c r="D8" s="725"/>
      <c r="E8" s="726"/>
    </row>
    <row r="10" spans="1:6" ht="20.100000000000001" customHeight="1" x14ac:dyDescent="0.2">
      <c r="A10" s="718"/>
      <c r="B10" s="719"/>
      <c r="C10" s="49" t="s">
        <v>38</v>
      </c>
      <c r="D10" s="50" t="s">
        <v>35</v>
      </c>
      <c r="E10" s="50" t="s">
        <v>36</v>
      </c>
    </row>
    <row r="11" spans="1:6" ht="20.100000000000001" customHeight="1" x14ac:dyDescent="0.2">
      <c r="A11" s="716" t="s">
        <v>922</v>
      </c>
      <c r="B11" s="717"/>
      <c r="C11" s="68">
        <f>ROUND(SUBTOTAL(9,C12:C34),2)</f>
        <v>0</v>
      </c>
      <c r="D11" s="14">
        <f>SUBTOTAL(9,D12:D34)</f>
        <v>0</v>
      </c>
      <c r="E11" s="10"/>
    </row>
    <row r="12" spans="1:6" ht="20.100000000000001" customHeight="1" x14ac:dyDescent="0.2">
      <c r="A12" s="90"/>
      <c r="B12" s="91"/>
      <c r="C12" s="92"/>
      <c r="D12" s="13">
        <f t="shared" ref="D12:D34" si="0">IFERROR(C12/GG_Obra,0)</f>
        <v>0</v>
      </c>
      <c r="E12" s="13">
        <f t="shared" ref="E12:E34" si="1">IFERROR(C12/GG_Pesos,0)</f>
        <v>0</v>
      </c>
    </row>
    <row r="13" spans="1:6" ht="20.100000000000001" customHeight="1" x14ac:dyDescent="0.2">
      <c r="A13" s="90"/>
      <c r="B13" s="91"/>
      <c r="C13" s="92"/>
      <c r="D13" s="13">
        <f t="shared" si="0"/>
        <v>0</v>
      </c>
      <c r="E13" s="13">
        <f t="shared" si="1"/>
        <v>0</v>
      </c>
    </row>
    <row r="14" spans="1:6" ht="20.100000000000001" customHeight="1" x14ac:dyDescent="0.2">
      <c r="A14" s="90"/>
      <c r="B14" s="91"/>
      <c r="C14" s="92"/>
      <c r="D14" s="13">
        <f t="shared" si="0"/>
        <v>0</v>
      </c>
      <c r="E14" s="13">
        <f t="shared" si="1"/>
        <v>0</v>
      </c>
    </row>
    <row r="15" spans="1:6" ht="20.100000000000001" customHeight="1" x14ac:dyDescent="0.2">
      <c r="A15" s="90"/>
      <c r="B15" s="91"/>
      <c r="C15" s="92"/>
      <c r="D15" s="13">
        <f t="shared" si="0"/>
        <v>0</v>
      </c>
      <c r="E15" s="13">
        <f t="shared" si="1"/>
        <v>0</v>
      </c>
    </row>
    <row r="16" spans="1:6" ht="20.100000000000001" customHeight="1" x14ac:dyDescent="0.2">
      <c r="A16" s="90"/>
      <c r="B16" s="91"/>
      <c r="C16" s="92"/>
      <c r="D16" s="13">
        <f t="shared" si="0"/>
        <v>0</v>
      </c>
      <c r="E16" s="13">
        <f t="shared" si="1"/>
        <v>0</v>
      </c>
    </row>
    <row r="17" spans="1:5" ht="20.100000000000001" customHeight="1" x14ac:dyDescent="0.2">
      <c r="A17" s="718"/>
      <c r="B17" s="719"/>
      <c r="C17" s="69"/>
      <c r="D17" s="13">
        <f t="shared" si="0"/>
        <v>0</v>
      </c>
      <c r="E17" s="13">
        <f t="shared" si="1"/>
        <v>0</v>
      </c>
    </row>
    <row r="18" spans="1:5" ht="20.100000000000001" customHeight="1" x14ac:dyDescent="0.2">
      <c r="A18" s="718"/>
      <c r="B18" s="719"/>
      <c r="C18" s="69"/>
      <c r="D18" s="13">
        <f t="shared" si="0"/>
        <v>0</v>
      </c>
      <c r="E18" s="13">
        <f t="shared" si="1"/>
        <v>0</v>
      </c>
    </row>
    <row r="19" spans="1:5" ht="20.100000000000001" customHeight="1" x14ac:dyDescent="0.2">
      <c r="A19" s="718"/>
      <c r="B19" s="719"/>
      <c r="C19" s="69"/>
      <c r="D19" s="13">
        <f t="shared" si="0"/>
        <v>0</v>
      </c>
      <c r="E19" s="13">
        <f t="shared" si="1"/>
        <v>0</v>
      </c>
    </row>
    <row r="20" spans="1:5" ht="20.100000000000001" customHeight="1" x14ac:dyDescent="0.2">
      <c r="A20" s="718"/>
      <c r="B20" s="719"/>
      <c r="C20" s="69"/>
      <c r="D20" s="13">
        <f t="shared" si="0"/>
        <v>0</v>
      </c>
      <c r="E20" s="13">
        <f t="shared" si="1"/>
        <v>0</v>
      </c>
    </row>
    <row r="21" spans="1:5" ht="20.100000000000001" customHeight="1" x14ac:dyDescent="0.2">
      <c r="A21" s="718"/>
      <c r="B21" s="719"/>
      <c r="C21" s="69"/>
      <c r="D21" s="13">
        <f t="shared" si="0"/>
        <v>0</v>
      </c>
      <c r="E21" s="13">
        <f t="shared" si="1"/>
        <v>0</v>
      </c>
    </row>
    <row r="22" spans="1:5" ht="20.100000000000001" customHeight="1" x14ac:dyDescent="0.2">
      <c r="A22" s="718"/>
      <c r="B22" s="719"/>
      <c r="C22" s="69"/>
      <c r="D22" s="13">
        <f t="shared" si="0"/>
        <v>0</v>
      </c>
      <c r="E22" s="13">
        <f t="shared" si="1"/>
        <v>0</v>
      </c>
    </row>
    <row r="23" spans="1:5" ht="20.100000000000001" customHeight="1" x14ac:dyDescent="0.2">
      <c r="A23" s="718"/>
      <c r="B23" s="719"/>
      <c r="C23" s="69"/>
      <c r="D23" s="13">
        <f t="shared" si="0"/>
        <v>0</v>
      </c>
      <c r="E23" s="13">
        <f t="shared" si="1"/>
        <v>0</v>
      </c>
    </row>
    <row r="24" spans="1:5" ht="20.100000000000001" customHeight="1" x14ac:dyDescent="0.2">
      <c r="A24" s="718"/>
      <c r="B24" s="719"/>
      <c r="C24" s="69"/>
      <c r="D24" s="13">
        <f t="shared" si="0"/>
        <v>0</v>
      </c>
      <c r="E24" s="13">
        <f t="shared" si="1"/>
        <v>0</v>
      </c>
    </row>
    <row r="25" spans="1:5" ht="20.100000000000001" customHeight="1" x14ac:dyDescent="0.2">
      <c r="A25" s="718"/>
      <c r="B25" s="719"/>
      <c r="C25" s="69"/>
      <c r="D25" s="13">
        <f t="shared" ref="D25:D28" si="2">IFERROR(C25/GG_Obra,0)</f>
        <v>0</v>
      </c>
      <c r="E25" s="13">
        <f t="shared" ref="E25:E28" si="3">IFERROR(C25/GG_Pesos,0)</f>
        <v>0</v>
      </c>
    </row>
    <row r="26" spans="1:5" ht="20.100000000000001" customHeight="1" x14ac:dyDescent="0.2">
      <c r="A26" s="718"/>
      <c r="B26" s="719"/>
      <c r="C26" s="69"/>
      <c r="D26" s="13">
        <f t="shared" si="2"/>
        <v>0</v>
      </c>
      <c r="E26" s="13">
        <f t="shared" si="3"/>
        <v>0</v>
      </c>
    </row>
    <row r="27" spans="1:5" ht="20.100000000000001" customHeight="1" x14ac:dyDescent="0.2">
      <c r="A27" s="718"/>
      <c r="B27" s="719"/>
      <c r="C27" s="69"/>
      <c r="D27" s="13">
        <f t="shared" si="2"/>
        <v>0</v>
      </c>
      <c r="E27" s="13">
        <f t="shared" si="3"/>
        <v>0</v>
      </c>
    </row>
    <row r="28" spans="1:5" ht="20.100000000000001" customHeight="1" x14ac:dyDescent="0.2">
      <c r="A28" s="718"/>
      <c r="B28" s="719"/>
      <c r="C28" s="69"/>
      <c r="D28" s="13">
        <f t="shared" si="2"/>
        <v>0</v>
      </c>
      <c r="E28" s="13">
        <f t="shared" si="3"/>
        <v>0</v>
      </c>
    </row>
    <row r="29" spans="1:5" ht="20.100000000000001" customHeight="1" x14ac:dyDescent="0.2">
      <c r="A29" s="718"/>
      <c r="B29" s="719"/>
      <c r="C29" s="69"/>
      <c r="D29" s="13">
        <f t="shared" si="0"/>
        <v>0</v>
      </c>
      <c r="E29" s="13">
        <f t="shared" si="1"/>
        <v>0</v>
      </c>
    </row>
    <row r="30" spans="1:5" ht="20.100000000000001" customHeight="1" x14ac:dyDescent="0.2">
      <c r="A30" s="718"/>
      <c r="B30" s="719"/>
      <c r="C30" s="69"/>
      <c r="D30" s="13">
        <f t="shared" si="0"/>
        <v>0</v>
      </c>
      <c r="E30" s="13">
        <f t="shared" si="1"/>
        <v>0</v>
      </c>
    </row>
    <row r="31" spans="1:5" ht="20.100000000000001" customHeight="1" x14ac:dyDescent="0.2">
      <c r="A31" s="718"/>
      <c r="B31" s="719"/>
      <c r="C31" s="69"/>
      <c r="D31" s="13">
        <f t="shared" si="0"/>
        <v>0</v>
      </c>
      <c r="E31" s="13">
        <f t="shared" si="1"/>
        <v>0</v>
      </c>
    </row>
    <row r="32" spans="1:5" ht="20.100000000000001" customHeight="1" x14ac:dyDescent="0.2">
      <c r="A32" s="718"/>
      <c r="B32" s="719"/>
      <c r="C32" s="69"/>
      <c r="D32" s="13">
        <f t="shared" si="0"/>
        <v>0</v>
      </c>
      <c r="E32" s="13">
        <f t="shared" si="1"/>
        <v>0</v>
      </c>
    </row>
    <row r="33" spans="1:5" ht="20.100000000000001" customHeight="1" x14ac:dyDescent="0.2">
      <c r="A33" s="718"/>
      <c r="B33" s="719"/>
      <c r="C33" s="69"/>
      <c r="D33" s="13">
        <f t="shared" si="0"/>
        <v>0</v>
      </c>
      <c r="E33" s="13">
        <f t="shared" si="1"/>
        <v>0</v>
      </c>
    </row>
    <row r="34" spans="1:5" ht="20.100000000000001" customHeight="1" x14ac:dyDescent="0.2">
      <c r="A34" s="718"/>
      <c r="B34" s="719"/>
      <c r="C34" s="69"/>
      <c r="D34" s="13">
        <f t="shared" si="0"/>
        <v>0</v>
      </c>
      <c r="E34" s="13">
        <f t="shared" si="1"/>
        <v>0</v>
      </c>
    </row>
    <row r="35" spans="1:5" ht="20.100000000000001" customHeight="1" x14ac:dyDescent="0.2">
      <c r="A35" s="51"/>
      <c r="E35" s="52"/>
    </row>
    <row r="36" spans="1:5" ht="20.100000000000001" customHeight="1" x14ac:dyDescent="0.2">
      <c r="A36" s="716" t="s">
        <v>37</v>
      </c>
      <c r="B36" s="717"/>
      <c r="C36" s="68">
        <f>ROUND(SUBTOTAL(9,C37:C73),2)</f>
        <v>0</v>
      </c>
      <c r="D36" s="47">
        <f>SUBTOTAL(9,D37:D80)</f>
        <v>0</v>
      </c>
      <c r="E36" s="52"/>
    </row>
    <row r="37" spans="1:5" ht="20.100000000000001" customHeight="1" x14ac:dyDescent="0.2">
      <c r="A37" s="86"/>
      <c r="B37" s="87"/>
      <c r="C37" s="88"/>
      <c r="D37" s="13">
        <f t="shared" ref="D37:D73" si="4">IFERROR(C37/GG_Empresa,0)</f>
        <v>0</v>
      </c>
      <c r="E37" s="13">
        <f t="shared" ref="E37:E73" si="5">IFERROR(C37/GG_Pesos,0)</f>
        <v>0</v>
      </c>
    </row>
    <row r="38" spans="1:5" ht="20.100000000000001" customHeight="1" x14ac:dyDescent="0.2">
      <c r="A38" s="86"/>
      <c r="B38" s="87"/>
      <c r="C38" s="88"/>
      <c r="D38" s="13">
        <f t="shared" si="4"/>
        <v>0</v>
      </c>
      <c r="E38" s="13">
        <f t="shared" si="5"/>
        <v>0</v>
      </c>
    </row>
    <row r="39" spans="1:5" ht="20.100000000000001" customHeight="1" x14ac:dyDescent="0.2">
      <c r="A39" s="86"/>
      <c r="B39" s="87"/>
      <c r="C39" s="88"/>
      <c r="D39" s="13">
        <f t="shared" si="4"/>
        <v>0</v>
      </c>
      <c r="E39" s="13">
        <f t="shared" si="5"/>
        <v>0</v>
      </c>
    </row>
    <row r="40" spans="1:5" ht="20.100000000000001" customHeight="1" x14ac:dyDescent="0.2">
      <c r="A40" s="86"/>
      <c r="B40" s="87"/>
      <c r="C40" s="88"/>
      <c r="D40" s="13">
        <f t="shared" si="4"/>
        <v>0</v>
      </c>
      <c r="E40" s="13">
        <f t="shared" si="5"/>
        <v>0</v>
      </c>
    </row>
    <row r="41" spans="1:5" ht="20.100000000000001" customHeight="1" x14ac:dyDescent="0.2">
      <c r="A41" s="86"/>
      <c r="B41" s="87"/>
      <c r="C41" s="88"/>
      <c r="D41" s="13">
        <f t="shared" ref="D41:D60" si="6">IFERROR(C41/GG_Empresa,0)</f>
        <v>0</v>
      </c>
      <c r="E41" s="13">
        <f t="shared" ref="E41:E60" si="7">IFERROR(C41/GG_Pesos,0)</f>
        <v>0</v>
      </c>
    </row>
    <row r="42" spans="1:5" ht="20.100000000000001" customHeight="1" x14ac:dyDescent="0.2">
      <c r="A42" s="86"/>
      <c r="B42" s="87"/>
      <c r="C42" s="88"/>
      <c r="D42" s="13">
        <f t="shared" si="6"/>
        <v>0</v>
      </c>
      <c r="E42" s="13">
        <f t="shared" si="7"/>
        <v>0</v>
      </c>
    </row>
    <row r="43" spans="1:5" ht="20.100000000000001" customHeight="1" x14ac:dyDescent="0.2">
      <c r="A43" s="86"/>
      <c r="B43" s="87"/>
      <c r="C43" s="88"/>
      <c r="D43" s="13">
        <f t="shared" si="6"/>
        <v>0</v>
      </c>
      <c r="E43" s="13">
        <f t="shared" si="7"/>
        <v>0</v>
      </c>
    </row>
    <row r="44" spans="1:5" ht="20.100000000000001" customHeight="1" x14ac:dyDescent="0.2">
      <c r="A44" s="86"/>
      <c r="B44" s="87"/>
      <c r="C44" s="88"/>
      <c r="D44" s="13">
        <f t="shared" si="6"/>
        <v>0</v>
      </c>
      <c r="E44" s="13">
        <f t="shared" si="7"/>
        <v>0</v>
      </c>
    </row>
    <row r="45" spans="1:5" ht="20.100000000000001" customHeight="1" x14ac:dyDescent="0.2">
      <c r="A45" s="86"/>
      <c r="B45" s="87"/>
      <c r="C45" s="88"/>
      <c r="D45" s="13">
        <f t="shared" si="6"/>
        <v>0</v>
      </c>
      <c r="E45" s="13">
        <f t="shared" si="7"/>
        <v>0</v>
      </c>
    </row>
    <row r="46" spans="1:5" ht="20.100000000000001" customHeight="1" x14ac:dyDescent="0.2">
      <c r="A46" s="86"/>
      <c r="B46" s="87"/>
      <c r="C46" s="88"/>
      <c r="D46" s="13">
        <f t="shared" si="6"/>
        <v>0</v>
      </c>
      <c r="E46" s="13">
        <f t="shared" si="7"/>
        <v>0</v>
      </c>
    </row>
    <row r="47" spans="1:5" ht="20.100000000000001" customHeight="1" x14ac:dyDescent="0.2">
      <c r="A47" s="86"/>
      <c r="B47" s="87"/>
      <c r="C47" s="88"/>
      <c r="D47" s="13">
        <f t="shared" si="6"/>
        <v>0</v>
      </c>
      <c r="E47" s="13">
        <f t="shared" si="7"/>
        <v>0</v>
      </c>
    </row>
    <row r="48" spans="1:5" ht="20.100000000000001" customHeight="1" x14ac:dyDescent="0.2">
      <c r="A48" s="86"/>
      <c r="B48" s="87"/>
      <c r="C48" s="88"/>
      <c r="D48" s="13">
        <f t="shared" si="6"/>
        <v>0</v>
      </c>
      <c r="E48" s="13">
        <f t="shared" si="7"/>
        <v>0</v>
      </c>
    </row>
    <row r="49" spans="1:5" ht="20.100000000000001" customHeight="1" x14ac:dyDescent="0.2">
      <c r="A49" s="86"/>
      <c r="B49" s="87"/>
      <c r="C49" s="88"/>
      <c r="D49" s="13">
        <f t="shared" si="6"/>
        <v>0</v>
      </c>
      <c r="E49" s="13">
        <f t="shared" si="7"/>
        <v>0</v>
      </c>
    </row>
    <row r="50" spans="1:5" ht="20.100000000000001" customHeight="1" x14ac:dyDescent="0.2">
      <c r="A50" s="86"/>
      <c r="B50" s="87"/>
      <c r="C50" s="88"/>
      <c r="D50" s="13">
        <f t="shared" si="6"/>
        <v>0</v>
      </c>
      <c r="E50" s="13">
        <f t="shared" si="7"/>
        <v>0</v>
      </c>
    </row>
    <row r="51" spans="1:5" ht="20.100000000000001" customHeight="1" x14ac:dyDescent="0.2">
      <c r="A51" s="86"/>
      <c r="B51" s="87"/>
      <c r="C51" s="88"/>
      <c r="D51" s="13">
        <f t="shared" si="6"/>
        <v>0</v>
      </c>
      <c r="E51" s="13">
        <f t="shared" si="7"/>
        <v>0</v>
      </c>
    </row>
    <row r="52" spans="1:5" ht="20.100000000000001" customHeight="1" x14ac:dyDescent="0.2">
      <c r="A52" s="86"/>
      <c r="B52" s="87"/>
      <c r="C52" s="88"/>
      <c r="D52" s="13">
        <f t="shared" si="6"/>
        <v>0</v>
      </c>
      <c r="E52" s="13">
        <f t="shared" si="7"/>
        <v>0</v>
      </c>
    </row>
    <row r="53" spans="1:5" ht="20.100000000000001" customHeight="1" x14ac:dyDescent="0.2">
      <c r="A53" s="86"/>
      <c r="B53" s="87"/>
      <c r="C53" s="88"/>
      <c r="D53" s="13">
        <f t="shared" si="6"/>
        <v>0</v>
      </c>
      <c r="E53" s="13">
        <f t="shared" si="7"/>
        <v>0</v>
      </c>
    </row>
    <row r="54" spans="1:5" ht="20.100000000000001" customHeight="1" x14ac:dyDescent="0.2">
      <c r="A54" s="86"/>
      <c r="B54" s="87"/>
      <c r="C54" s="88"/>
      <c r="D54" s="13">
        <f t="shared" si="6"/>
        <v>0</v>
      </c>
      <c r="E54" s="13">
        <f t="shared" si="7"/>
        <v>0</v>
      </c>
    </row>
    <row r="55" spans="1:5" ht="20.100000000000001" customHeight="1" x14ac:dyDescent="0.2">
      <c r="A55" s="86"/>
      <c r="B55" s="87"/>
      <c r="C55" s="88"/>
      <c r="D55" s="13">
        <f t="shared" si="6"/>
        <v>0</v>
      </c>
      <c r="E55" s="13">
        <f t="shared" si="7"/>
        <v>0</v>
      </c>
    </row>
    <row r="56" spans="1:5" ht="20.100000000000001" customHeight="1" x14ac:dyDescent="0.2">
      <c r="A56" s="86"/>
      <c r="B56" s="87"/>
      <c r="C56" s="88"/>
      <c r="D56" s="13">
        <f t="shared" si="6"/>
        <v>0</v>
      </c>
      <c r="E56" s="13">
        <f t="shared" si="7"/>
        <v>0</v>
      </c>
    </row>
    <row r="57" spans="1:5" ht="20.100000000000001" customHeight="1" x14ac:dyDescent="0.2">
      <c r="A57" s="86"/>
      <c r="B57" s="87"/>
      <c r="C57" s="88"/>
      <c r="D57" s="13">
        <f t="shared" si="6"/>
        <v>0</v>
      </c>
      <c r="E57" s="13">
        <f t="shared" si="7"/>
        <v>0</v>
      </c>
    </row>
    <row r="58" spans="1:5" ht="20.100000000000001" customHeight="1" x14ac:dyDescent="0.2">
      <c r="A58" s="86"/>
      <c r="B58" s="89"/>
      <c r="C58" s="88"/>
      <c r="D58" s="13">
        <f t="shared" si="6"/>
        <v>0</v>
      </c>
      <c r="E58" s="13">
        <f t="shared" si="7"/>
        <v>0</v>
      </c>
    </row>
    <row r="59" spans="1:5" ht="20.100000000000001" customHeight="1" x14ac:dyDescent="0.2">
      <c r="A59" s="86"/>
      <c r="B59" s="89"/>
      <c r="C59" s="88"/>
      <c r="D59" s="13">
        <f t="shared" si="6"/>
        <v>0</v>
      </c>
      <c r="E59" s="13">
        <f t="shared" si="7"/>
        <v>0</v>
      </c>
    </row>
    <row r="60" spans="1:5" ht="20.100000000000001" customHeight="1" x14ac:dyDescent="0.2">
      <c r="A60" s="86"/>
      <c r="B60" s="89"/>
      <c r="C60" s="88"/>
      <c r="D60" s="13">
        <f t="shared" si="6"/>
        <v>0</v>
      </c>
      <c r="E60" s="13">
        <f t="shared" si="7"/>
        <v>0</v>
      </c>
    </row>
    <row r="61" spans="1:5" ht="20.100000000000001" customHeight="1" x14ac:dyDescent="0.2">
      <c r="A61" s="86"/>
      <c r="B61" s="89"/>
      <c r="C61" s="88"/>
      <c r="D61" s="13">
        <f t="shared" si="4"/>
        <v>0</v>
      </c>
      <c r="E61" s="13">
        <f t="shared" si="5"/>
        <v>0</v>
      </c>
    </row>
    <row r="62" spans="1:5" ht="20.100000000000001" customHeight="1" x14ac:dyDescent="0.2">
      <c r="A62" s="86"/>
      <c r="B62" s="89"/>
      <c r="C62" s="88"/>
      <c r="D62" s="13">
        <f t="shared" si="4"/>
        <v>0</v>
      </c>
      <c r="E62" s="13">
        <f t="shared" si="5"/>
        <v>0</v>
      </c>
    </row>
    <row r="63" spans="1:5" ht="20.100000000000001" customHeight="1" x14ac:dyDescent="0.2">
      <c r="A63" s="86"/>
      <c r="B63" s="89"/>
      <c r="C63" s="88"/>
      <c r="D63" s="13">
        <f t="shared" si="4"/>
        <v>0</v>
      </c>
      <c r="E63" s="13">
        <f t="shared" si="5"/>
        <v>0</v>
      </c>
    </row>
    <row r="64" spans="1:5" ht="20.100000000000001" customHeight="1" x14ac:dyDescent="0.2">
      <c r="A64" s="86"/>
      <c r="B64" s="89"/>
      <c r="C64" s="88"/>
      <c r="D64" s="13">
        <f t="shared" si="4"/>
        <v>0</v>
      </c>
      <c r="E64" s="13">
        <f t="shared" si="5"/>
        <v>0</v>
      </c>
    </row>
    <row r="65" spans="1:5" ht="20.100000000000001" customHeight="1" x14ac:dyDescent="0.2">
      <c r="A65" s="86"/>
      <c r="B65" s="89"/>
      <c r="C65" s="88"/>
      <c r="D65" s="13">
        <f t="shared" si="4"/>
        <v>0</v>
      </c>
      <c r="E65" s="13">
        <f t="shared" si="5"/>
        <v>0</v>
      </c>
    </row>
    <row r="66" spans="1:5" ht="20.100000000000001" customHeight="1" x14ac:dyDescent="0.2">
      <c r="A66" s="86"/>
      <c r="B66" s="89"/>
      <c r="C66" s="88"/>
      <c r="D66" s="13">
        <f t="shared" si="4"/>
        <v>0</v>
      </c>
      <c r="E66" s="13">
        <f t="shared" si="5"/>
        <v>0</v>
      </c>
    </row>
    <row r="67" spans="1:5" ht="20.100000000000001" customHeight="1" x14ac:dyDescent="0.2">
      <c r="A67" s="86"/>
      <c r="B67" s="89"/>
      <c r="C67" s="88"/>
      <c r="D67" s="13">
        <f t="shared" si="4"/>
        <v>0</v>
      </c>
      <c r="E67" s="13">
        <f t="shared" si="5"/>
        <v>0</v>
      </c>
    </row>
    <row r="68" spans="1:5" ht="20.100000000000001" customHeight="1" x14ac:dyDescent="0.2">
      <c r="A68" s="86"/>
      <c r="B68" s="89"/>
      <c r="C68" s="88"/>
      <c r="D68" s="13">
        <f t="shared" si="4"/>
        <v>0</v>
      </c>
      <c r="E68" s="13">
        <f t="shared" si="5"/>
        <v>0</v>
      </c>
    </row>
    <row r="69" spans="1:5" ht="20.100000000000001" customHeight="1" x14ac:dyDescent="0.2">
      <c r="A69" s="86"/>
      <c r="B69" s="89"/>
      <c r="C69" s="88"/>
      <c r="D69" s="13">
        <f t="shared" si="4"/>
        <v>0</v>
      </c>
      <c r="E69" s="13">
        <f t="shared" si="5"/>
        <v>0</v>
      </c>
    </row>
    <row r="70" spans="1:5" ht="20.100000000000001" customHeight="1" x14ac:dyDescent="0.2">
      <c r="A70" s="86"/>
      <c r="B70" s="89"/>
      <c r="C70" s="88"/>
      <c r="D70" s="13">
        <f t="shared" ref="D70:D72" si="8">IFERROR(C70/GG_Empresa,0)</f>
        <v>0</v>
      </c>
      <c r="E70" s="13">
        <f t="shared" ref="E70:E72" si="9">IFERROR(C70/GG_Pesos,0)</f>
        <v>0</v>
      </c>
    </row>
    <row r="71" spans="1:5" ht="20.100000000000001" customHeight="1" x14ac:dyDescent="0.2">
      <c r="A71" s="86"/>
      <c r="B71" s="89"/>
      <c r="C71" s="88"/>
      <c r="D71" s="13">
        <f t="shared" si="8"/>
        <v>0</v>
      </c>
      <c r="E71" s="13">
        <f t="shared" si="9"/>
        <v>0</v>
      </c>
    </row>
    <row r="72" spans="1:5" ht="20.100000000000001" customHeight="1" x14ac:dyDescent="0.2">
      <c r="A72" s="86"/>
      <c r="B72" s="89"/>
      <c r="C72" s="88"/>
      <c r="D72" s="13">
        <f t="shared" si="8"/>
        <v>0</v>
      </c>
      <c r="E72" s="13">
        <f t="shared" si="9"/>
        <v>0</v>
      </c>
    </row>
    <row r="73" spans="1:5" ht="20.100000000000001" customHeight="1" x14ac:dyDescent="0.2">
      <c r="A73" s="86"/>
      <c r="B73" s="89"/>
      <c r="C73" s="88"/>
      <c r="D73" s="13">
        <f t="shared" si="4"/>
        <v>0</v>
      </c>
      <c r="E73" s="13">
        <f t="shared" si="5"/>
        <v>0</v>
      </c>
    </row>
    <row r="74" spans="1:5" ht="20.100000000000001" customHeight="1" x14ac:dyDescent="0.2">
      <c r="A74" s="51"/>
      <c r="E74" s="52"/>
    </row>
    <row r="75" spans="1:5" ht="20.100000000000001" customHeight="1" x14ac:dyDescent="0.2">
      <c r="A75" s="716" t="s">
        <v>709</v>
      </c>
      <c r="B75" s="717"/>
      <c r="C75" s="68">
        <f>ROUND(SUBTOTAL(9,C11:C73),2)</f>
        <v>0</v>
      </c>
      <c r="D75" s="53"/>
      <c r="E75" s="54">
        <f>SUBTOTAL(9,E11:E73)</f>
        <v>0</v>
      </c>
    </row>
    <row r="76" spans="1:5" ht="20.100000000000001" customHeight="1" x14ac:dyDescent="0.2">
      <c r="E76" s="48"/>
    </row>
    <row r="77" spans="1:5" ht="20.100000000000001" customHeight="1" x14ac:dyDescent="0.2">
      <c r="D77" s="48"/>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zoomScale="120" zoomScaleNormal="120" workbookViewId="0">
      <selection activeCell="D25" sqref="D25"/>
    </sheetView>
  </sheetViews>
  <sheetFormatPr baseColWidth="10" defaultRowHeight="11.25" x14ac:dyDescent="0.2"/>
  <cols>
    <col min="1" max="1" width="19.28515625" style="301" customWidth="1"/>
    <col min="2" max="2" width="19.140625" style="301" customWidth="1"/>
    <col min="3" max="3" width="37.7109375" style="301" customWidth="1"/>
    <col min="4" max="4" width="12.42578125" style="301" customWidth="1"/>
    <col min="5" max="5" width="11.42578125" style="301"/>
    <col min="6" max="6" width="12" style="301" bestFit="1" customWidth="1"/>
    <col min="7" max="7" width="12.7109375" style="301" customWidth="1"/>
    <col min="8" max="8" width="11.42578125" style="301"/>
    <col min="9" max="9" width="12.85546875" style="301" bestFit="1" customWidth="1"/>
    <col min="10" max="10" width="13.28515625" style="301" bestFit="1" customWidth="1"/>
    <col min="11" max="16384" width="11.42578125" style="301"/>
  </cols>
  <sheetData>
    <row r="1" spans="1:7" x14ac:dyDescent="0.2">
      <c r="A1" s="727" t="s">
        <v>1596</v>
      </c>
      <c r="B1" s="727"/>
      <c r="C1" s="727"/>
      <c r="D1" s="727"/>
      <c r="E1" s="727"/>
      <c r="F1" s="727"/>
      <c r="G1" s="727"/>
    </row>
    <row r="2" spans="1:7" x14ac:dyDescent="0.2">
      <c r="A2" s="302" t="s">
        <v>711</v>
      </c>
      <c r="B2" s="302" t="str">
        <f>Comitente</f>
        <v>DEPARTAMENTO DE HIDRÁULICA</v>
      </c>
      <c r="C2" s="303"/>
      <c r="D2" s="304"/>
      <c r="E2" s="304"/>
      <c r="F2" s="305"/>
      <c r="G2" s="305"/>
    </row>
    <row r="3" spans="1:7" x14ac:dyDescent="0.2">
      <c r="A3" s="302" t="s">
        <v>712</v>
      </c>
      <c r="B3" s="302">
        <f>Contratista</f>
        <v>0</v>
      </c>
      <c r="C3" s="306"/>
      <c r="D3" s="306"/>
      <c r="E3" s="306"/>
      <c r="F3" s="302"/>
      <c r="G3" s="302"/>
    </row>
    <row r="4" spans="1:7" x14ac:dyDescent="0.2">
      <c r="A4" s="302" t="s">
        <v>21</v>
      </c>
      <c r="B4" s="302" t="str">
        <f>Obra</f>
        <v>RECRECIMIENTO Y REPARACIÓN CANALES SARMIENTO, 9 DE JULIO Y CHIMBAS</v>
      </c>
      <c r="C4" s="306"/>
      <c r="D4" s="302" t="s">
        <v>32</v>
      </c>
      <c r="E4" s="302">
        <f>Fecha_Base</f>
        <v>0</v>
      </c>
    </row>
    <row r="5" spans="1:7" x14ac:dyDescent="0.2">
      <c r="A5" s="307" t="s">
        <v>710</v>
      </c>
      <c r="B5" s="307" t="str">
        <f>Ubicación</f>
        <v>DEPARTAMENTOS SARMIENTO, 9 DE JULIO Y CHIMBAS</v>
      </c>
      <c r="C5" s="307"/>
      <c r="D5" s="308"/>
      <c r="E5" s="309"/>
      <c r="F5" s="310"/>
      <c r="G5" s="311"/>
    </row>
    <row r="6" spans="1:7" x14ac:dyDescent="0.2">
      <c r="A6" s="307"/>
      <c r="B6" s="307"/>
      <c r="C6" s="307"/>
      <c r="D6" s="308"/>
      <c r="E6" s="309"/>
      <c r="F6" s="310"/>
      <c r="G6" s="311"/>
    </row>
    <row r="7" spans="1:7" x14ac:dyDescent="0.2">
      <c r="A7" s="307"/>
      <c r="B7" s="312"/>
      <c r="C7" s="313" t="s">
        <v>1597</v>
      </c>
      <c r="D7" s="308"/>
      <c r="E7" s="309"/>
      <c r="F7" s="307"/>
      <c r="G7" s="314"/>
    </row>
    <row r="8" spans="1:7" x14ac:dyDescent="0.2">
      <c r="A8" s="307"/>
      <c r="B8" s="312"/>
      <c r="C8" s="315"/>
      <c r="D8" s="316" t="s">
        <v>1598</v>
      </c>
      <c r="F8" s="307"/>
      <c r="G8" s="314"/>
    </row>
    <row r="9" spans="1:7" x14ac:dyDescent="0.2">
      <c r="A9" s="307"/>
      <c r="B9" s="312"/>
      <c r="C9" s="315"/>
      <c r="D9" s="309"/>
      <c r="F9" s="307"/>
      <c r="G9" s="314"/>
    </row>
    <row r="10" spans="1:7" x14ac:dyDescent="0.2">
      <c r="A10" s="317" t="s">
        <v>1599</v>
      </c>
      <c r="C10" s="301" t="s">
        <v>985</v>
      </c>
      <c r="D10" s="340">
        <f>IF(V_U_Equipo+8*Interés_Anual/(2*2000)=0,0,8*Porcentaje_amortizaciónl_Equipo/V_U_Equipo)</f>
        <v>8.0000000000000004E-4</v>
      </c>
      <c r="F10" s="318"/>
      <c r="G10" s="314"/>
    </row>
    <row r="11" spans="1:7" x14ac:dyDescent="0.2">
      <c r="A11" s="319"/>
      <c r="C11" s="312"/>
      <c r="D11" s="341"/>
      <c r="F11" s="321"/>
      <c r="G11" s="314"/>
    </row>
    <row r="12" spans="1:7" x14ac:dyDescent="0.2">
      <c r="A12" s="307"/>
      <c r="D12" s="342"/>
      <c r="F12" s="307"/>
      <c r="G12" s="314"/>
    </row>
    <row r="13" spans="1:7" x14ac:dyDescent="0.2">
      <c r="A13" s="317" t="s">
        <v>986</v>
      </c>
      <c r="C13" s="301" t="s">
        <v>986</v>
      </c>
      <c r="D13" s="340">
        <f>IF(V_U_Equipo+8*Interés_Anual/(2*2000)=0,0,8*Interés_Anual/(2*2000))</f>
        <v>2.8000000000000003E-4</v>
      </c>
      <c r="F13" s="318"/>
      <c r="G13" s="314"/>
    </row>
    <row r="14" spans="1:7" x14ac:dyDescent="0.2">
      <c r="A14" s="319"/>
      <c r="C14" s="312"/>
      <c r="D14" s="341"/>
      <c r="F14" s="321"/>
      <c r="G14" s="314"/>
    </row>
    <row r="15" spans="1:7" x14ac:dyDescent="0.2">
      <c r="A15" s="319"/>
      <c r="C15" s="312"/>
      <c r="D15" s="341"/>
      <c r="F15" s="321"/>
      <c r="G15" s="314"/>
    </row>
    <row r="16" spans="1:7" x14ac:dyDescent="0.2">
      <c r="A16" s="317" t="s">
        <v>987</v>
      </c>
      <c r="C16" s="301" t="s">
        <v>987</v>
      </c>
      <c r="D16" s="340">
        <f>IF(V_U_Equipo*Porc_repuestos_reparaciones_de_amortización=0,0,8*Porcentaje_amortizaciónl_Equipo/V_U_Equipo*Porc_repuestos_reparaciones_de_amortización)</f>
        <v>5.5999999999999995E-4</v>
      </c>
      <c r="F16" s="321"/>
      <c r="G16" s="314"/>
    </row>
    <row r="17" spans="1:7" x14ac:dyDescent="0.2">
      <c r="A17" s="317"/>
      <c r="C17" s="312"/>
      <c r="D17" s="320"/>
      <c r="F17" s="307"/>
      <c r="G17" s="308"/>
    </row>
    <row r="18" spans="1:7" x14ac:dyDescent="0.2">
      <c r="A18" s="317"/>
      <c r="C18" s="312"/>
      <c r="F18" s="307"/>
      <c r="G18" s="308"/>
    </row>
    <row r="19" spans="1:7" x14ac:dyDescent="0.2">
      <c r="A19" s="317" t="s">
        <v>1592</v>
      </c>
      <c r="C19" s="301" t="s">
        <v>870</v>
      </c>
      <c r="D19" s="339">
        <f>Consumo_gasoil_Equipo_porHP*8*Precio_gasoil</f>
        <v>0</v>
      </c>
      <c r="F19" s="307"/>
      <c r="G19" s="308"/>
    </row>
    <row r="20" spans="1:7" x14ac:dyDescent="0.2">
      <c r="A20" s="307"/>
      <c r="C20" s="312"/>
      <c r="F20" s="307"/>
      <c r="G20" s="308"/>
    </row>
    <row r="21" spans="1:7" x14ac:dyDescent="0.2">
      <c r="A21" s="307"/>
      <c r="C21" s="312"/>
      <c r="F21" s="307"/>
      <c r="G21" s="308"/>
    </row>
    <row r="22" spans="1:7" x14ac:dyDescent="0.2">
      <c r="A22" s="307"/>
      <c r="C22" s="301" t="s">
        <v>988</v>
      </c>
      <c r="D22" s="339">
        <f>Consumo_gasoil_Equipo_porHP*8*Precio_gasoil*Porcentaje_lubricantes_respecto_al_combustible</f>
        <v>0</v>
      </c>
      <c r="F22" s="307"/>
      <c r="G22" s="322"/>
    </row>
    <row r="23" spans="1:7" x14ac:dyDescent="0.2">
      <c r="A23" s="307"/>
      <c r="B23" s="312"/>
      <c r="C23" s="312"/>
      <c r="E23" s="322"/>
      <c r="F23" s="307"/>
      <c r="G23" s="308"/>
    </row>
    <row r="24" spans="1:7" x14ac:dyDescent="0.2">
      <c r="A24" s="307"/>
      <c r="B24" s="312" t="s">
        <v>1600</v>
      </c>
      <c r="E24" s="320"/>
      <c r="F24" s="307"/>
      <c r="G24" s="323"/>
    </row>
    <row r="25" spans="1:7" x14ac:dyDescent="0.2">
      <c r="A25" s="307"/>
      <c r="B25" s="324" t="s">
        <v>1601</v>
      </c>
      <c r="C25" s="325"/>
      <c r="D25" s="326">
        <v>10000</v>
      </c>
      <c r="E25" s="309"/>
      <c r="F25" s="307"/>
      <c r="G25" s="323"/>
    </row>
    <row r="26" spans="1:7" x14ac:dyDescent="0.2">
      <c r="A26" s="307"/>
      <c r="B26" s="324" t="s">
        <v>1602</v>
      </c>
      <c r="C26" s="325"/>
      <c r="D26" s="327">
        <v>1</v>
      </c>
      <c r="E26" s="309"/>
      <c r="F26" s="307"/>
      <c r="G26" s="323"/>
    </row>
    <row r="27" spans="1:7" x14ac:dyDescent="0.2">
      <c r="A27" s="307"/>
      <c r="B27" s="328" t="s">
        <v>1603</v>
      </c>
      <c r="C27" s="325"/>
      <c r="D27" s="327">
        <v>0.14000000000000001</v>
      </c>
      <c r="E27" s="309"/>
      <c r="F27" s="307"/>
      <c r="G27" s="323"/>
    </row>
    <row r="28" spans="1:7" x14ac:dyDescent="0.2">
      <c r="A28" s="307"/>
      <c r="B28" s="328" t="s">
        <v>1604</v>
      </c>
      <c r="C28" s="325"/>
      <c r="D28" s="327">
        <v>0.7</v>
      </c>
      <c r="E28" s="309"/>
      <c r="F28" s="307"/>
      <c r="G28" s="323"/>
    </row>
    <row r="29" spans="1:7" x14ac:dyDescent="0.2">
      <c r="A29" s="307"/>
      <c r="B29" s="328" t="s">
        <v>1605</v>
      </c>
      <c r="C29" s="325"/>
      <c r="D29" s="329">
        <v>0.12</v>
      </c>
      <c r="E29" s="309"/>
      <c r="F29" s="307"/>
      <c r="G29" s="323"/>
    </row>
    <row r="30" spans="1:7" x14ac:dyDescent="0.2">
      <c r="A30" s="307"/>
      <c r="B30" s="328" t="s">
        <v>1606</v>
      </c>
      <c r="C30" s="325"/>
      <c r="D30" s="330">
        <f>+Insumos!C78</f>
        <v>0</v>
      </c>
      <c r="E30" s="309"/>
      <c r="F30" s="307"/>
      <c r="G30" s="308"/>
    </row>
    <row r="31" spans="1:7" x14ac:dyDescent="0.2">
      <c r="A31" s="307"/>
      <c r="B31" s="328" t="s">
        <v>1607</v>
      </c>
      <c r="C31" s="325"/>
      <c r="D31" s="327">
        <v>0.3</v>
      </c>
      <c r="E31" s="309"/>
      <c r="F31" s="307"/>
      <c r="G31" s="308"/>
    </row>
    <row r="33" spans="1:7" x14ac:dyDescent="0.2">
      <c r="C33" s="313" t="s">
        <v>1608</v>
      </c>
    </row>
    <row r="34" spans="1:7" x14ac:dyDescent="0.2">
      <c r="C34" s="313"/>
      <c r="E34" s="301" t="s">
        <v>1598</v>
      </c>
    </row>
    <row r="35" spans="1:7" x14ac:dyDescent="0.2">
      <c r="A35" s="307"/>
      <c r="B35" s="312"/>
      <c r="C35" s="315"/>
      <c r="D35" s="308"/>
      <c r="E35" s="309"/>
      <c r="F35" s="307"/>
      <c r="G35" s="308"/>
    </row>
    <row r="36" spans="1:7" x14ac:dyDescent="0.2">
      <c r="A36" s="307"/>
      <c r="B36" s="312"/>
      <c r="C36" s="301" t="s">
        <v>985</v>
      </c>
      <c r="D36" s="318"/>
      <c r="E36" s="331">
        <f>IF(V_U_Camioneta_meses=0,0,P_Camioneta_Amortizar/V_U_Camioneta_meses)</f>
        <v>0</v>
      </c>
      <c r="F36" s="318"/>
      <c r="G36" s="313"/>
    </row>
    <row r="37" spans="1:7" x14ac:dyDescent="0.2">
      <c r="A37" s="307"/>
      <c r="B37" s="312"/>
      <c r="C37" s="312"/>
      <c r="D37" s="318"/>
      <c r="E37" s="322"/>
      <c r="F37" s="318"/>
      <c r="G37" s="313"/>
    </row>
    <row r="38" spans="1:7" x14ac:dyDescent="0.2">
      <c r="A38" s="307"/>
      <c r="B38" s="312"/>
      <c r="D38" s="309"/>
      <c r="E38" s="320"/>
      <c r="F38" s="321"/>
      <c r="G38" s="314"/>
    </row>
    <row r="39" spans="1:7" x14ac:dyDescent="0.2">
      <c r="A39" s="307"/>
      <c r="B39" s="312"/>
      <c r="C39" s="301" t="s">
        <v>986</v>
      </c>
      <c r="D39" s="309"/>
      <c r="E39" s="331">
        <f>Interés_Anual/(2*12)</f>
        <v>5.8333333333333336E-3</v>
      </c>
      <c r="F39" s="321"/>
      <c r="G39" s="314"/>
    </row>
    <row r="40" spans="1:7" x14ac:dyDescent="0.2">
      <c r="A40" s="307"/>
      <c r="B40" s="312"/>
      <c r="C40" s="312"/>
      <c r="D40" s="309"/>
      <c r="E40" s="320"/>
      <c r="F40" s="321"/>
      <c r="G40" s="314"/>
    </row>
    <row r="41" spans="1:7" x14ac:dyDescent="0.2">
      <c r="A41" s="307"/>
      <c r="B41" s="312"/>
      <c r="C41" s="312"/>
      <c r="D41" s="309"/>
      <c r="E41" s="320"/>
      <c r="F41" s="321"/>
      <c r="G41" s="314"/>
    </row>
    <row r="42" spans="1:7" x14ac:dyDescent="0.2">
      <c r="A42" s="307"/>
      <c r="B42" s="312"/>
      <c r="C42" s="301" t="s">
        <v>1622</v>
      </c>
      <c r="D42" s="309"/>
      <c r="E42" s="331">
        <f>D59/12</f>
        <v>0</v>
      </c>
      <c r="F42" s="321"/>
      <c r="G42" s="314"/>
    </row>
    <row r="43" spans="1:7" x14ac:dyDescent="0.2">
      <c r="A43" s="307"/>
      <c r="B43" s="312"/>
      <c r="C43" s="312"/>
      <c r="E43" s="320"/>
      <c r="F43" s="307"/>
      <c r="G43" s="308"/>
    </row>
    <row r="44" spans="1:7" x14ac:dyDescent="0.2">
      <c r="A44" s="307"/>
      <c r="B44" s="312"/>
      <c r="C44" s="312"/>
      <c r="E44" s="320"/>
      <c r="F44" s="307"/>
      <c r="G44" s="308"/>
    </row>
    <row r="45" spans="1:7" x14ac:dyDescent="0.2">
      <c r="A45" s="307"/>
      <c r="B45" s="312"/>
      <c r="C45" s="301" t="s">
        <v>1609</v>
      </c>
      <c r="E45" s="331">
        <f>D60/12</f>
        <v>0</v>
      </c>
      <c r="F45" s="307"/>
      <c r="G45" s="308"/>
    </row>
    <row r="46" spans="1:7" x14ac:dyDescent="0.2">
      <c r="A46" s="307"/>
      <c r="B46" s="312"/>
      <c r="C46" s="312"/>
      <c r="E46" s="320"/>
      <c r="F46" s="307"/>
      <c r="G46" s="308"/>
    </row>
    <row r="47" spans="1:7" x14ac:dyDescent="0.2">
      <c r="A47" s="307"/>
      <c r="B47" s="312"/>
      <c r="C47" s="312"/>
      <c r="E47" s="320"/>
      <c r="F47" s="307"/>
      <c r="G47" s="308"/>
    </row>
    <row r="48" spans="1:7" x14ac:dyDescent="0.2">
      <c r="A48" s="307"/>
      <c r="B48" s="312"/>
      <c r="C48" s="301" t="s">
        <v>1592</v>
      </c>
      <c r="E48" s="332">
        <f>Consumo_gasoil_Camioneta_porkm*Precio_gasoil*(1+Porcentaje_Lubricantes_Camionetas)</f>
        <v>0</v>
      </c>
      <c r="F48" s="307"/>
      <c r="G48" s="308"/>
    </row>
    <row r="49" spans="1:7" x14ac:dyDescent="0.2">
      <c r="A49" s="307"/>
      <c r="B49" s="312"/>
      <c r="C49" s="312"/>
      <c r="E49" s="320"/>
      <c r="F49" s="307"/>
      <c r="G49" s="308"/>
    </row>
    <row r="50" spans="1:7" x14ac:dyDescent="0.2">
      <c r="A50" s="307"/>
      <c r="B50" s="312"/>
      <c r="C50" s="312"/>
      <c r="E50" s="320"/>
      <c r="F50" s="307"/>
      <c r="G50" s="308"/>
    </row>
    <row r="51" spans="1:7" x14ac:dyDescent="0.2">
      <c r="A51" s="307"/>
      <c r="B51" s="312"/>
      <c r="C51" s="312" t="s">
        <v>1610</v>
      </c>
      <c r="E51" s="332">
        <f>IF(V_U_cámara_cubiertas_Camionetas=0,0,Cant_Cubiertas_Camioneta*Costo_de_cámaras_y_cubiertas_Camionetas/V_U_cámara_cubiertas_Camionetas)</f>
        <v>0</v>
      </c>
      <c r="F51" s="307"/>
      <c r="G51" s="308"/>
    </row>
    <row r="52" spans="1:7" x14ac:dyDescent="0.2">
      <c r="A52" s="307"/>
      <c r="B52" s="312"/>
      <c r="C52" s="312"/>
      <c r="E52" s="320"/>
      <c r="F52" s="307"/>
      <c r="G52" s="308"/>
    </row>
    <row r="53" spans="1:7" x14ac:dyDescent="0.2">
      <c r="A53" s="307"/>
      <c r="B53" s="312"/>
      <c r="C53" s="312"/>
      <c r="E53" s="320"/>
      <c r="F53" s="307"/>
      <c r="G53" s="308"/>
    </row>
    <row r="54" spans="1:7" x14ac:dyDescent="0.2">
      <c r="A54" s="307"/>
      <c r="B54" s="312"/>
      <c r="C54" s="312"/>
      <c r="E54" s="322"/>
      <c r="F54" s="307"/>
      <c r="G54" s="308"/>
    </row>
    <row r="55" spans="1:7" x14ac:dyDescent="0.2">
      <c r="B55" s="324" t="s">
        <v>1611</v>
      </c>
      <c r="C55" s="325"/>
      <c r="D55" s="327"/>
    </row>
    <row r="56" spans="1:7" x14ac:dyDescent="0.2">
      <c r="B56" s="333" t="s">
        <v>1612</v>
      </c>
      <c r="C56" s="325"/>
      <c r="D56" s="334"/>
    </row>
    <row r="57" spans="1:7" x14ac:dyDescent="0.2">
      <c r="B57" s="333" t="s">
        <v>1613</v>
      </c>
      <c r="C57" s="325"/>
      <c r="D57" s="335"/>
    </row>
    <row r="58" spans="1:7" x14ac:dyDescent="0.2">
      <c r="B58" s="333" t="s">
        <v>1614</v>
      </c>
      <c r="C58" s="325"/>
      <c r="D58" s="343"/>
    </row>
    <row r="59" spans="1:7" x14ac:dyDescent="0.2">
      <c r="B59" s="333" t="s">
        <v>1615</v>
      </c>
      <c r="C59" s="325"/>
      <c r="D59" s="327"/>
    </row>
    <row r="60" spans="1:7" x14ac:dyDescent="0.2">
      <c r="B60" s="333" t="s">
        <v>1616</v>
      </c>
      <c r="C60" s="325"/>
      <c r="D60" s="327"/>
    </row>
    <row r="61" spans="1:7" x14ac:dyDescent="0.2">
      <c r="B61" s="333" t="s">
        <v>1617</v>
      </c>
      <c r="C61" s="325"/>
      <c r="D61" s="336"/>
    </row>
    <row r="62" spans="1:7" x14ac:dyDescent="0.2">
      <c r="B62" s="333" t="s">
        <v>1618</v>
      </c>
      <c r="C62" s="325"/>
      <c r="D62" s="327"/>
    </row>
    <row r="63" spans="1:7" x14ac:dyDescent="0.2">
      <c r="B63" s="333" t="s">
        <v>1619</v>
      </c>
      <c r="C63" s="325"/>
      <c r="D63" s="337"/>
    </row>
    <row r="64" spans="1:7" x14ac:dyDescent="0.2">
      <c r="B64" s="333" t="s">
        <v>1620</v>
      </c>
      <c r="C64" s="325"/>
      <c r="D64" s="344"/>
    </row>
    <row r="65" spans="2:4" x14ac:dyDescent="0.2">
      <c r="B65" s="333" t="s">
        <v>1621</v>
      </c>
      <c r="C65" s="325"/>
      <c r="D65" s="338"/>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workbookViewId="0">
      <selection activeCell="S52" sqref="S52"/>
    </sheetView>
  </sheetViews>
  <sheetFormatPr baseColWidth="10" defaultRowHeight="15" customHeight="1" x14ac:dyDescent="0.2"/>
  <cols>
    <col min="1" max="14" width="10.7109375" style="346" customWidth="1"/>
    <col min="15" max="15" width="23.7109375" style="346" customWidth="1"/>
    <col min="16" max="16" width="10.28515625" style="346" customWidth="1"/>
    <col min="17" max="256" width="11.42578125" style="346"/>
    <col min="257" max="257" width="7" style="346" customWidth="1"/>
    <col min="258" max="258" width="10.7109375" style="346" customWidth="1"/>
    <col min="259" max="259" width="10.5703125" style="346" customWidth="1"/>
    <col min="260" max="260" width="10.7109375" style="346" customWidth="1"/>
    <col min="261" max="261" width="10.28515625" style="346" customWidth="1"/>
    <col min="262" max="262" width="10.7109375" style="346" customWidth="1"/>
    <col min="263" max="263" width="9.42578125" style="346" customWidth="1"/>
    <col min="264" max="264" width="10.5703125" style="346" customWidth="1"/>
    <col min="265" max="265" width="13.7109375" style="346" customWidth="1"/>
    <col min="266" max="267" width="10.42578125" style="346" customWidth="1"/>
    <col min="268" max="268" width="10.28515625" style="346" customWidth="1"/>
    <col min="269" max="269" width="9.42578125" style="346" customWidth="1"/>
    <col min="270" max="270" width="8.7109375" style="346" customWidth="1"/>
    <col min="271" max="271" width="10.42578125" style="346" customWidth="1"/>
    <col min="272" max="272" width="10.28515625" style="346" customWidth="1"/>
    <col min="273" max="512" width="11.42578125" style="346"/>
    <col min="513" max="513" width="7" style="346" customWidth="1"/>
    <col min="514" max="514" width="10.7109375" style="346" customWidth="1"/>
    <col min="515" max="515" width="10.5703125" style="346" customWidth="1"/>
    <col min="516" max="516" width="10.7109375" style="346" customWidth="1"/>
    <col min="517" max="517" width="10.28515625" style="346" customWidth="1"/>
    <col min="518" max="518" width="10.7109375" style="346" customWidth="1"/>
    <col min="519" max="519" width="9.42578125" style="346" customWidth="1"/>
    <col min="520" max="520" width="10.5703125" style="346" customWidth="1"/>
    <col min="521" max="521" width="13.7109375" style="346" customWidth="1"/>
    <col min="522" max="523" width="10.42578125" style="346" customWidth="1"/>
    <col min="524" max="524" width="10.28515625" style="346" customWidth="1"/>
    <col min="525" max="525" width="9.42578125" style="346" customWidth="1"/>
    <col min="526" max="526" width="8.7109375" style="346" customWidth="1"/>
    <col min="527" max="527" width="10.42578125" style="346" customWidth="1"/>
    <col min="528" max="528" width="10.28515625" style="346" customWidth="1"/>
    <col min="529" max="768" width="11.42578125" style="346"/>
    <col min="769" max="769" width="7" style="346" customWidth="1"/>
    <col min="770" max="770" width="10.7109375" style="346" customWidth="1"/>
    <col min="771" max="771" width="10.5703125" style="346" customWidth="1"/>
    <col min="772" max="772" width="10.7109375" style="346" customWidth="1"/>
    <col min="773" max="773" width="10.28515625" style="346" customWidth="1"/>
    <col min="774" max="774" width="10.7109375" style="346" customWidth="1"/>
    <col min="775" max="775" width="9.42578125" style="346" customWidth="1"/>
    <col min="776" max="776" width="10.5703125" style="346" customWidth="1"/>
    <col min="777" max="777" width="13.7109375" style="346" customWidth="1"/>
    <col min="778" max="779" width="10.42578125" style="346" customWidth="1"/>
    <col min="780" max="780" width="10.28515625" style="346" customWidth="1"/>
    <col min="781" max="781" width="9.42578125" style="346" customWidth="1"/>
    <col min="782" max="782" width="8.7109375" style="346" customWidth="1"/>
    <col min="783" max="783" width="10.42578125" style="346" customWidth="1"/>
    <col min="784" max="784" width="10.28515625" style="346" customWidth="1"/>
    <col min="785" max="1024" width="11.42578125" style="346"/>
    <col min="1025" max="1025" width="7" style="346" customWidth="1"/>
    <col min="1026" max="1026" width="10.7109375" style="346" customWidth="1"/>
    <col min="1027" max="1027" width="10.5703125" style="346" customWidth="1"/>
    <col min="1028" max="1028" width="10.7109375" style="346" customWidth="1"/>
    <col min="1029" max="1029" width="10.28515625" style="346" customWidth="1"/>
    <col min="1030" max="1030" width="10.7109375" style="346" customWidth="1"/>
    <col min="1031" max="1031" width="9.42578125" style="346" customWidth="1"/>
    <col min="1032" max="1032" width="10.5703125" style="346" customWidth="1"/>
    <col min="1033" max="1033" width="13.7109375" style="346" customWidth="1"/>
    <col min="1034" max="1035" width="10.42578125" style="346" customWidth="1"/>
    <col min="1036" max="1036" width="10.28515625" style="346" customWidth="1"/>
    <col min="1037" max="1037" width="9.42578125" style="346" customWidth="1"/>
    <col min="1038" max="1038" width="8.7109375" style="346" customWidth="1"/>
    <col min="1039" max="1039" width="10.42578125" style="346" customWidth="1"/>
    <col min="1040" max="1040" width="10.28515625" style="346" customWidth="1"/>
    <col min="1041" max="1280" width="11.42578125" style="346"/>
    <col min="1281" max="1281" width="7" style="346" customWidth="1"/>
    <col min="1282" max="1282" width="10.7109375" style="346" customWidth="1"/>
    <col min="1283" max="1283" width="10.5703125" style="346" customWidth="1"/>
    <col min="1284" max="1284" width="10.7109375" style="346" customWidth="1"/>
    <col min="1285" max="1285" width="10.28515625" style="346" customWidth="1"/>
    <col min="1286" max="1286" width="10.7109375" style="346" customWidth="1"/>
    <col min="1287" max="1287" width="9.42578125" style="346" customWidth="1"/>
    <col min="1288" max="1288" width="10.5703125" style="346" customWidth="1"/>
    <col min="1289" max="1289" width="13.7109375" style="346" customWidth="1"/>
    <col min="1290" max="1291" width="10.42578125" style="346" customWidth="1"/>
    <col min="1292" max="1292" width="10.28515625" style="346" customWidth="1"/>
    <col min="1293" max="1293" width="9.42578125" style="346" customWidth="1"/>
    <col min="1294" max="1294" width="8.7109375" style="346" customWidth="1"/>
    <col min="1295" max="1295" width="10.42578125" style="346" customWidth="1"/>
    <col min="1296" max="1296" width="10.28515625" style="346" customWidth="1"/>
    <col min="1297" max="1536" width="11.42578125" style="346"/>
    <col min="1537" max="1537" width="7" style="346" customWidth="1"/>
    <col min="1538" max="1538" width="10.7109375" style="346" customWidth="1"/>
    <col min="1539" max="1539" width="10.5703125" style="346" customWidth="1"/>
    <col min="1540" max="1540" width="10.7109375" style="346" customWidth="1"/>
    <col min="1541" max="1541" width="10.28515625" style="346" customWidth="1"/>
    <col min="1542" max="1542" width="10.7109375" style="346" customWidth="1"/>
    <col min="1543" max="1543" width="9.42578125" style="346" customWidth="1"/>
    <col min="1544" max="1544" width="10.5703125" style="346" customWidth="1"/>
    <col min="1545" max="1545" width="13.7109375" style="346" customWidth="1"/>
    <col min="1546" max="1547" width="10.42578125" style="346" customWidth="1"/>
    <col min="1548" max="1548" width="10.28515625" style="346" customWidth="1"/>
    <col min="1549" max="1549" width="9.42578125" style="346" customWidth="1"/>
    <col min="1550" max="1550" width="8.7109375" style="346" customWidth="1"/>
    <col min="1551" max="1551" width="10.42578125" style="346" customWidth="1"/>
    <col min="1552" max="1552" width="10.28515625" style="346" customWidth="1"/>
    <col min="1553" max="1792" width="11.42578125" style="346"/>
    <col min="1793" max="1793" width="7" style="346" customWidth="1"/>
    <col min="1794" max="1794" width="10.7109375" style="346" customWidth="1"/>
    <col min="1795" max="1795" width="10.5703125" style="346" customWidth="1"/>
    <col min="1796" max="1796" width="10.7109375" style="346" customWidth="1"/>
    <col min="1797" max="1797" width="10.28515625" style="346" customWidth="1"/>
    <col min="1798" max="1798" width="10.7109375" style="346" customWidth="1"/>
    <col min="1799" max="1799" width="9.42578125" style="346" customWidth="1"/>
    <col min="1800" max="1800" width="10.5703125" style="346" customWidth="1"/>
    <col min="1801" max="1801" width="13.7109375" style="346" customWidth="1"/>
    <col min="1802" max="1803" width="10.42578125" style="346" customWidth="1"/>
    <col min="1804" max="1804" width="10.28515625" style="346" customWidth="1"/>
    <col min="1805" max="1805" width="9.42578125" style="346" customWidth="1"/>
    <col min="1806" max="1806" width="8.7109375" style="346" customWidth="1"/>
    <col min="1807" max="1807" width="10.42578125" style="346" customWidth="1"/>
    <col min="1808" max="1808" width="10.28515625" style="346" customWidth="1"/>
    <col min="1809" max="2048" width="11.42578125" style="346"/>
    <col min="2049" max="2049" width="7" style="346" customWidth="1"/>
    <col min="2050" max="2050" width="10.7109375" style="346" customWidth="1"/>
    <col min="2051" max="2051" width="10.5703125" style="346" customWidth="1"/>
    <col min="2052" max="2052" width="10.7109375" style="346" customWidth="1"/>
    <col min="2053" max="2053" width="10.28515625" style="346" customWidth="1"/>
    <col min="2054" max="2054" width="10.7109375" style="346" customWidth="1"/>
    <col min="2055" max="2055" width="9.42578125" style="346" customWidth="1"/>
    <col min="2056" max="2056" width="10.5703125" style="346" customWidth="1"/>
    <col min="2057" max="2057" width="13.7109375" style="346" customWidth="1"/>
    <col min="2058" max="2059" width="10.42578125" style="346" customWidth="1"/>
    <col min="2060" max="2060" width="10.28515625" style="346" customWidth="1"/>
    <col min="2061" max="2061" width="9.42578125" style="346" customWidth="1"/>
    <col min="2062" max="2062" width="8.7109375" style="346" customWidth="1"/>
    <col min="2063" max="2063" width="10.42578125" style="346" customWidth="1"/>
    <col min="2064" max="2064" width="10.28515625" style="346" customWidth="1"/>
    <col min="2065" max="2304" width="11.42578125" style="346"/>
    <col min="2305" max="2305" width="7" style="346" customWidth="1"/>
    <col min="2306" max="2306" width="10.7109375" style="346" customWidth="1"/>
    <col min="2307" max="2307" width="10.5703125" style="346" customWidth="1"/>
    <col min="2308" max="2308" width="10.7109375" style="346" customWidth="1"/>
    <col min="2309" max="2309" width="10.28515625" style="346" customWidth="1"/>
    <col min="2310" max="2310" width="10.7109375" style="346" customWidth="1"/>
    <col min="2311" max="2311" width="9.42578125" style="346" customWidth="1"/>
    <col min="2312" max="2312" width="10.5703125" style="346" customWidth="1"/>
    <col min="2313" max="2313" width="13.7109375" style="346" customWidth="1"/>
    <col min="2314" max="2315" width="10.42578125" style="346" customWidth="1"/>
    <col min="2316" max="2316" width="10.28515625" style="346" customWidth="1"/>
    <col min="2317" max="2317" width="9.42578125" style="346" customWidth="1"/>
    <col min="2318" max="2318" width="8.7109375" style="346" customWidth="1"/>
    <col min="2319" max="2319" width="10.42578125" style="346" customWidth="1"/>
    <col min="2320" max="2320" width="10.28515625" style="346" customWidth="1"/>
    <col min="2321" max="2560" width="11.42578125" style="346"/>
    <col min="2561" max="2561" width="7" style="346" customWidth="1"/>
    <col min="2562" max="2562" width="10.7109375" style="346" customWidth="1"/>
    <col min="2563" max="2563" width="10.5703125" style="346" customWidth="1"/>
    <col min="2564" max="2564" width="10.7109375" style="346" customWidth="1"/>
    <col min="2565" max="2565" width="10.28515625" style="346" customWidth="1"/>
    <col min="2566" max="2566" width="10.7109375" style="346" customWidth="1"/>
    <col min="2567" max="2567" width="9.42578125" style="346" customWidth="1"/>
    <col min="2568" max="2568" width="10.5703125" style="346" customWidth="1"/>
    <col min="2569" max="2569" width="13.7109375" style="346" customWidth="1"/>
    <col min="2570" max="2571" width="10.42578125" style="346" customWidth="1"/>
    <col min="2572" max="2572" width="10.28515625" style="346" customWidth="1"/>
    <col min="2573" max="2573" width="9.42578125" style="346" customWidth="1"/>
    <col min="2574" max="2574" width="8.7109375" style="346" customWidth="1"/>
    <col min="2575" max="2575" width="10.42578125" style="346" customWidth="1"/>
    <col min="2576" max="2576" width="10.28515625" style="346" customWidth="1"/>
    <col min="2577" max="2816" width="11.42578125" style="346"/>
    <col min="2817" max="2817" width="7" style="346" customWidth="1"/>
    <col min="2818" max="2818" width="10.7109375" style="346" customWidth="1"/>
    <col min="2819" max="2819" width="10.5703125" style="346" customWidth="1"/>
    <col min="2820" max="2820" width="10.7109375" style="346" customWidth="1"/>
    <col min="2821" max="2821" width="10.28515625" style="346" customWidth="1"/>
    <col min="2822" max="2822" width="10.7109375" style="346" customWidth="1"/>
    <col min="2823" max="2823" width="9.42578125" style="346" customWidth="1"/>
    <col min="2824" max="2824" width="10.5703125" style="346" customWidth="1"/>
    <col min="2825" max="2825" width="13.7109375" style="346" customWidth="1"/>
    <col min="2826" max="2827" width="10.42578125" style="346" customWidth="1"/>
    <col min="2828" max="2828" width="10.28515625" style="346" customWidth="1"/>
    <col min="2829" max="2829" width="9.42578125" style="346" customWidth="1"/>
    <col min="2830" max="2830" width="8.7109375" style="346" customWidth="1"/>
    <col min="2831" max="2831" width="10.42578125" style="346" customWidth="1"/>
    <col min="2832" max="2832" width="10.28515625" style="346" customWidth="1"/>
    <col min="2833" max="3072" width="11.42578125" style="346"/>
    <col min="3073" max="3073" width="7" style="346" customWidth="1"/>
    <col min="3074" max="3074" width="10.7109375" style="346" customWidth="1"/>
    <col min="3075" max="3075" width="10.5703125" style="346" customWidth="1"/>
    <col min="3076" max="3076" width="10.7109375" style="346" customWidth="1"/>
    <col min="3077" max="3077" width="10.28515625" style="346" customWidth="1"/>
    <col min="3078" max="3078" width="10.7109375" style="346" customWidth="1"/>
    <col min="3079" max="3079" width="9.42578125" style="346" customWidth="1"/>
    <col min="3080" max="3080" width="10.5703125" style="346" customWidth="1"/>
    <col min="3081" max="3081" width="13.7109375" style="346" customWidth="1"/>
    <col min="3082" max="3083" width="10.42578125" style="346" customWidth="1"/>
    <col min="3084" max="3084" width="10.28515625" style="346" customWidth="1"/>
    <col min="3085" max="3085" width="9.42578125" style="346" customWidth="1"/>
    <col min="3086" max="3086" width="8.7109375" style="346" customWidth="1"/>
    <col min="3087" max="3087" width="10.42578125" style="346" customWidth="1"/>
    <col min="3088" max="3088" width="10.28515625" style="346" customWidth="1"/>
    <col min="3089" max="3328" width="11.42578125" style="346"/>
    <col min="3329" max="3329" width="7" style="346" customWidth="1"/>
    <col min="3330" max="3330" width="10.7109375" style="346" customWidth="1"/>
    <col min="3331" max="3331" width="10.5703125" style="346" customWidth="1"/>
    <col min="3332" max="3332" width="10.7109375" style="346" customWidth="1"/>
    <col min="3333" max="3333" width="10.28515625" style="346" customWidth="1"/>
    <col min="3334" max="3334" width="10.7109375" style="346" customWidth="1"/>
    <col min="3335" max="3335" width="9.42578125" style="346" customWidth="1"/>
    <col min="3336" max="3336" width="10.5703125" style="346" customWidth="1"/>
    <col min="3337" max="3337" width="13.7109375" style="346" customWidth="1"/>
    <col min="3338" max="3339" width="10.42578125" style="346" customWidth="1"/>
    <col min="3340" max="3340" width="10.28515625" style="346" customWidth="1"/>
    <col min="3341" max="3341" width="9.42578125" style="346" customWidth="1"/>
    <col min="3342" max="3342" width="8.7109375" style="346" customWidth="1"/>
    <col min="3343" max="3343" width="10.42578125" style="346" customWidth="1"/>
    <col min="3344" max="3344" width="10.28515625" style="346" customWidth="1"/>
    <col min="3345" max="3584" width="11.42578125" style="346"/>
    <col min="3585" max="3585" width="7" style="346" customWidth="1"/>
    <col min="3586" max="3586" width="10.7109375" style="346" customWidth="1"/>
    <col min="3587" max="3587" width="10.5703125" style="346" customWidth="1"/>
    <col min="3588" max="3588" width="10.7109375" style="346" customWidth="1"/>
    <col min="3589" max="3589" width="10.28515625" style="346" customWidth="1"/>
    <col min="3590" max="3590" width="10.7109375" style="346" customWidth="1"/>
    <col min="3591" max="3591" width="9.42578125" style="346" customWidth="1"/>
    <col min="3592" max="3592" width="10.5703125" style="346" customWidth="1"/>
    <col min="3593" max="3593" width="13.7109375" style="346" customWidth="1"/>
    <col min="3594" max="3595" width="10.42578125" style="346" customWidth="1"/>
    <col min="3596" max="3596" width="10.28515625" style="346" customWidth="1"/>
    <col min="3597" max="3597" width="9.42578125" style="346" customWidth="1"/>
    <col min="3598" max="3598" width="8.7109375" style="346" customWidth="1"/>
    <col min="3599" max="3599" width="10.42578125" style="346" customWidth="1"/>
    <col min="3600" max="3600" width="10.28515625" style="346" customWidth="1"/>
    <col min="3601" max="3840" width="11.42578125" style="346"/>
    <col min="3841" max="3841" width="7" style="346" customWidth="1"/>
    <col min="3842" max="3842" width="10.7109375" style="346" customWidth="1"/>
    <col min="3843" max="3843" width="10.5703125" style="346" customWidth="1"/>
    <col min="3844" max="3844" width="10.7109375" style="346" customWidth="1"/>
    <col min="3845" max="3845" width="10.28515625" style="346" customWidth="1"/>
    <col min="3846" max="3846" width="10.7109375" style="346" customWidth="1"/>
    <col min="3847" max="3847" width="9.42578125" style="346" customWidth="1"/>
    <col min="3848" max="3848" width="10.5703125" style="346" customWidth="1"/>
    <col min="3849" max="3849" width="13.7109375" style="346" customWidth="1"/>
    <col min="3850" max="3851" width="10.42578125" style="346" customWidth="1"/>
    <col min="3852" max="3852" width="10.28515625" style="346" customWidth="1"/>
    <col min="3853" max="3853" width="9.42578125" style="346" customWidth="1"/>
    <col min="3854" max="3854" width="8.7109375" style="346" customWidth="1"/>
    <col min="3855" max="3855" width="10.42578125" style="346" customWidth="1"/>
    <col min="3856" max="3856" width="10.28515625" style="346" customWidth="1"/>
    <col min="3857" max="4096" width="11.42578125" style="346"/>
    <col min="4097" max="4097" width="7" style="346" customWidth="1"/>
    <col min="4098" max="4098" width="10.7109375" style="346" customWidth="1"/>
    <col min="4099" max="4099" width="10.5703125" style="346" customWidth="1"/>
    <col min="4100" max="4100" width="10.7109375" style="346" customWidth="1"/>
    <col min="4101" max="4101" width="10.28515625" style="346" customWidth="1"/>
    <col min="4102" max="4102" width="10.7109375" style="346" customWidth="1"/>
    <col min="4103" max="4103" width="9.42578125" style="346" customWidth="1"/>
    <col min="4104" max="4104" width="10.5703125" style="346" customWidth="1"/>
    <col min="4105" max="4105" width="13.7109375" style="346" customWidth="1"/>
    <col min="4106" max="4107" width="10.42578125" style="346" customWidth="1"/>
    <col min="4108" max="4108" width="10.28515625" style="346" customWidth="1"/>
    <col min="4109" max="4109" width="9.42578125" style="346" customWidth="1"/>
    <col min="4110" max="4110" width="8.7109375" style="346" customWidth="1"/>
    <col min="4111" max="4111" width="10.42578125" style="346" customWidth="1"/>
    <col min="4112" max="4112" width="10.28515625" style="346" customWidth="1"/>
    <col min="4113" max="4352" width="11.42578125" style="346"/>
    <col min="4353" max="4353" width="7" style="346" customWidth="1"/>
    <col min="4354" max="4354" width="10.7109375" style="346" customWidth="1"/>
    <col min="4355" max="4355" width="10.5703125" style="346" customWidth="1"/>
    <col min="4356" max="4356" width="10.7109375" style="346" customWidth="1"/>
    <col min="4357" max="4357" width="10.28515625" style="346" customWidth="1"/>
    <col min="4358" max="4358" width="10.7109375" style="346" customWidth="1"/>
    <col min="4359" max="4359" width="9.42578125" style="346" customWidth="1"/>
    <col min="4360" max="4360" width="10.5703125" style="346" customWidth="1"/>
    <col min="4361" max="4361" width="13.7109375" style="346" customWidth="1"/>
    <col min="4362" max="4363" width="10.42578125" style="346" customWidth="1"/>
    <col min="4364" max="4364" width="10.28515625" style="346" customWidth="1"/>
    <col min="4365" max="4365" width="9.42578125" style="346" customWidth="1"/>
    <col min="4366" max="4366" width="8.7109375" style="346" customWidth="1"/>
    <col min="4367" max="4367" width="10.42578125" style="346" customWidth="1"/>
    <col min="4368" max="4368" width="10.28515625" style="346" customWidth="1"/>
    <col min="4369" max="4608" width="11.42578125" style="346"/>
    <col min="4609" max="4609" width="7" style="346" customWidth="1"/>
    <col min="4610" max="4610" width="10.7109375" style="346" customWidth="1"/>
    <col min="4611" max="4611" width="10.5703125" style="346" customWidth="1"/>
    <col min="4612" max="4612" width="10.7109375" style="346" customWidth="1"/>
    <col min="4613" max="4613" width="10.28515625" style="346" customWidth="1"/>
    <col min="4614" max="4614" width="10.7109375" style="346" customWidth="1"/>
    <col min="4615" max="4615" width="9.42578125" style="346" customWidth="1"/>
    <col min="4616" max="4616" width="10.5703125" style="346" customWidth="1"/>
    <col min="4617" max="4617" width="13.7109375" style="346" customWidth="1"/>
    <col min="4618" max="4619" width="10.42578125" style="346" customWidth="1"/>
    <col min="4620" max="4620" width="10.28515625" style="346" customWidth="1"/>
    <col min="4621" max="4621" width="9.42578125" style="346" customWidth="1"/>
    <col min="4622" max="4622" width="8.7109375" style="346" customWidth="1"/>
    <col min="4623" max="4623" width="10.42578125" style="346" customWidth="1"/>
    <col min="4624" max="4624" width="10.28515625" style="346" customWidth="1"/>
    <col min="4625" max="4864" width="11.42578125" style="346"/>
    <col min="4865" max="4865" width="7" style="346" customWidth="1"/>
    <col min="4866" max="4866" width="10.7109375" style="346" customWidth="1"/>
    <col min="4867" max="4867" width="10.5703125" style="346" customWidth="1"/>
    <col min="4868" max="4868" width="10.7109375" style="346" customWidth="1"/>
    <col min="4869" max="4869" width="10.28515625" style="346" customWidth="1"/>
    <col min="4870" max="4870" width="10.7109375" style="346" customWidth="1"/>
    <col min="4871" max="4871" width="9.42578125" style="346" customWidth="1"/>
    <col min="4872" max="4872" width="10.5703125" style="346" customWidth="1"/>
    <col min="4873" max="4873" width="13.7109375" style="346" customWidth="1"/>
    <col min="4874" max="4875" width="10.42578125" style="346" customWidth="1"/>
    <col min="4876" max="4876" width="10.28515625" style="346" customWidth="1"/>
    <col min="4877" max="4877" width="9.42578125" style="346" customWidth="1"/>
    <col min="4878" max="4878" width="8.7109375" style="346" customWidth="1"/>
    <col min="4879" max="4879" width="10.42578125" style="346" customWidth="1"/>
    <col min="4880" max="4880" width="10.28515625" style="346" customWidth="1"/>
    <col min="4881" max="5120" width="11.42578125" style="346"/>
    <col min="5121" max="5121" width="7" style="346" customWidth="1"/>
    <col min="5122" max="5122" width="10.7109375" style="346" customWidth="1"/>
    <col min="5123" max="5123" width="10.5703125" style="346" customWidth="1"/>
    <col min="5124" max="5124" width="10.7109375" style="346" customWidth="1"/>
    <col min="5125" max="5125" width="10.28515625" style="346" customWidth="1"/>
    <col min="5126" max="5126" width="10.7109375" style="346" customWidth="1"/>
    <col min="5127" max="5127" width="9.42578125" style="346" customWidth="1"/>
    <col min="5128" max="5128" width="10.5703125" style="346" customWidth="1"/>
    <col min="5129" max="5129" width="13.7109375" style="346" customWidth="1"/>
    <col min="5130" max="5131" width="10.42578125" style="346" customWidth="1"/>
    <col min="5132" max="5132" width="10.28515625" style="346" customWidth="1"/>
    <col min="5133" max="5133" width="9.42578125" style="346" customWidth="1"/>
    <col min="5134" max="5134" width="8.7109375" style="346" customWidth="1"/>
    <col min="5135" max="5135" width="10.42578125" style="346" customWidth="1"/>
    <col min="5136" max="5136" width="10.28515625" style="346" customWidth="1"/>
    <col min="5137" max="5376" width="11.42578125" style="346"/>
    <col min="5377" max="5377" width="7" style="346" customWidth="1"/>
    <col min="5378" max="5378" width="10.7109375" style="346" customWidth="1"/>
    <col min="5379" max="5379" width="10.5703125" style="346" customWidth="1"/>
    <col min="5380" max="5380" width="10.7109375" style="346" customWidth="1"/>
    <col min="5381" max="5381" width="10.28515625" style="346" customWidth="1"/>
    <col min="5382" max="5382" width="10.7109375" style="346" customWidth="1"/>
    <col min="5383" max="5383" width="9.42578125" style="346" customWidth="1"/>
    <col min="5384" max="5384" width="10.5703125" style="346" customWidth="1"/>
    <col min="5385" max="5385" width="13.7109375" style="346" customWidth="1"/>
    <col min="5386" max="5387" width="10.42578125" style="346" customWidth="1"/>
    <col min="5388" max="5388" width="10.28515625" style="346" customWidth="1"/>
    <col min="5389" max="5389" width="9.42578125" style="346" customWidth="1"/>
    <col min="5390" max="5390" width="8.7109375" style="346" customWidth="1"/>
    <col min="5391" max="5391" width="10.42578125" style="346" customWidth="1"/>
    <col min="5392" max="5392" width="10.28515625" style="346" customWidth="1"/>
    <col min="5393" max="5632" width="11.42578125" style="346"/>
    <col min="5633" max="5633" width="7" style="346" customWidth="1"/>
    <col min="5634" max="5634" width="10.7109375" style="346" customWidth="1"/>
    <col min="5635" max="5635" width="10.5703125" style="346" customWidth="1"/>
    <col min="5636" max="5636" width="10.7109375" style="346" customWidth="1"/>
    <col min="5637" max="5637" width="10.28515625" style="346" customWidth="1"/>
    <col min="5638" max="5638" width="10.7109375" style="346" customWidth="1"/>
    <col min="5639" max="5639" width="9.42578125" style="346" customWidth="1"/>
    <col min="5640" max="5640" width="10.5703125" style="346" customWidth="1"/>
    <col min="5641" max="5641" width="13.7109375" style="346" customWidth="1"/>
    <col min="5642" max="5643" width="10.42578125" style="346" customWidth="1"/>
    <col min="5644" max="5644" width="10.28515625" style="346" customWidth="1"/>
    <col min="5645" max="5645" width="9.42578125" style="346" customWidth="1"/>
    <col min="5646" max="5646" width="8.7109375" style="346" customWidth="1"/>
    <col min="5647" max="5647" width="10.42578125" style="346" customWidth="1"/>
    <col min="5648" max="5648" width="10.28515625" style="346" customWidth="1"/>
    <col min="5649" max="5888" width="11.42578125" style="346"/>
    <col min="5889" max="5889" width="7" style="346" customWidth="1"/>
    <col min="5890" max="5890" width="10.7109375" style="346" customWidth="1"/>
    <col min="5891" max="5891" width="10.5703125" style="346" customWidth="1"/>
    <col min="5892" max="5892" width="10.7109375" style="346" customWidth="1"/>
    <col min="5893" max="5893" width="10.28515625" style="346" customWidth="1"/>
    <col min="5894" max="5894" width="10.7109375" style="346" customWidth="1"/>
    <col min="5895" max="5895" width="9.42578125" style="346" customWidth="1"/>
    <col min="5896" max="5896" width="10.5703125" style="346" customWidth="1"/>
    <col min="5897" max="5897" width="13.7109375" style="346" customWidth="1"/>
    <col min="5898" max="5899" width="10.42578125" style="346" customWidth="1"/>
    <col min="5900" max="5900" width="10.28515625" style="346" customWidth="1"/>
    <col min="5901" max="5901" width="9.42578125" style="346" customWidth="1"/>
    <col min="5902" max="5902" width="8.7109375" style="346" customWidth="1"/>
    <col min="5903" max="5903" width="10.42578125" style="346" customWidth="1"/>
    <col min="5904" max="5904" width="10.28515625" style="346" customWidth="1"/>
    <col min="5905" max="6144" width="11.42578125" style="346"/>
    <col min="6145" max="6145" width="7" style="346" customWidth="1"/>
    <col min="6146" max="6146" width="10.7109375" style="346" customWidth="1"/>
    <col min="6147" max="6147" width="10.5703125" style="346" customWidth="1"/>
    <col min="6148" max="6148" width="10.7109375" style="346" customWidth="1"/>
    <col min="6149" max="6149" width="10.28515625" style="346" customWidth="1"/>
    <col min="6150" max="6150" width="10.7109375" style="346" customWidth="1"/>
    <col min="6151" max="6151" width="9.42578125" style="346" customWidth="1"/>
    <col min="6152" max="6152" width="10.5703125" style="346" customWidth="1"/>
    <col min="6153" max="6153" width="13.7109375" style="346" customWidth="1"/>
    <col min="6154" max="6155" width="10.42578125" style="346" customWidth="1"/>
    <col min="6156" max="6156" width="10.28515625" style="346" customWidth="1"/>
    <col min="6157" max="6157" width="9.42578125" style="346" customWidth="1"/>
    <col min="6158" max="6158" width="8.7109375" style="346" customWidth="1"/>
    <col min="6159" max="6159" width="10.42578125" style="346" customWidth="1"/>
    <col min="6160" max="6160" width="10.28515625" style="346" customWidth="1"/>
    <col min="6161" max="6400" width="11.42578125" style="346"/>
    <col min="6401" max="6401" width="7" style="346" customWidth="1"/>
    <col min="6402" max="6402" width="10.7109375" style="346" customWidth="1"/>
    <col min="6403" max="6403" width="10.5703125" style="346" customWidth="1"/>
    <col min="6404" max="6404" width="10.7109375" style="346" customWidth="1"/>
    <col min="6405" max="6405" width="10.28515625" style="346" customWidth="1"/>
    <col min="6406" max="6406" width="10.7109375" style="346" customWidth="1"/>
    <col min="6407" max="6407" width="9.42578125" style="346" customWidth="1"/>
    <col min="6408" max="6408" width="10.5703125" style="346" customWidth="1"/>
    <col min="6409" max="6409" width="13.7109375" style="346" customWidth="1"/>
    <col min="6410" max="6411" width="10.42578125" style="346" customWidth="1"/>
    <col min="6412" max="6412" width="10.28515625" style="346" customWidth="1"/>
    <col min="6413" max="6413" width="9.42578125" style="346" customWidth="1"/>
    <col min="6414" max="6414" width="8.7109375" style="346" customWidth="1"/>
    <col min="6415" max="6415" width="10.42578125" style="346" customWidth="1"/>
    <col min="6416" max="6416" width="10.28515625" style="346" customWidth="1"/>
    <col min="6417" max="6656" width="11.42578125" style="346"/>
    <col min="6657" max="6657" width="7" style="346" customWidth="1"/>
    <col min="6658" max="6658" width="10.7109375" style="346" customWidth="1"/>
    <col min="6659" max="6659" width="10.5703125" style="346" customWidth="1"/>
    <col min="6660" max="6660" width="10.7109375" style="346" customWidth="1"/>
    <col min="6661" max="6661" width="10.28515625" style="346" customWidth="1"/>
    <col min="6662" max="6662" width="10.7109375" style="346" customWidth="1"/>
    <col min="6663" max="6663" width="9.42578125" style="346" customWidth="1"/>
    <col min="6664" max="6664" width="10.5703125" style="346" customWidth="1"/>
    <col min="6665" max="6665" width="13.7109375" style="346" customWidth="1"/>
    <col min="6666" max="6667" width="10.42578125" style="346" customWidth="1"/>
    <col min="6668" max="6668" width="10.28515625" style="346" customWidth="1"/>
    <col min="6669" max="6669" width="9.42578125" style="346" customWidth="1"/>
    <col min="6670" max="6670" width="8.7109375" style="346" customWidth="1"/>
    <col min="6671" max="6671" width="10.42578125" style="346" customWidth="1"/>
    <col min="6672" max="6672" width="10.28515625" style="346" customWidth="1"/>
    <col min="6673" max="6912" width="11.42578125" style="346"/>
    <col min="6913" max="6913" width="7" style="346" customWidth="1"/>
    <col min="6914" max="6914" width="10.7109375" style="346" customWidth="1"/>
    <col min="6915" max="6915" width="10.5703125" style="346" customWidth="1"/>
    <col min="6916" max="6916" width="10.7109375" style="346" customWidth="1"/>
    <col min="6917" max="6917" width="10.28515625" style="346" customWidth="1"/>
    <col min="6918" max="6918" width="10.7109375" style="346" customWidth="1"/>
    <col min="6919" max="6919" width="9.42578125" style="346" customWidth="1"/>
    <col min="6920" max="6920" width="10.5703125" style="346" customWidth="1"/>
    <col min="6921" max="6921" width="13.7109375" style="346" customWidth="1"/>
    <col min="6922" max="6923" width="10.42578125" style="346" customWidth="1"/>
    <col min="6924" max="6924" width="10.28515625" style="346" customWidth="1"/>
    <col min="6925" max="6925" width="9.42578125" style="346" customWidth="1"/>
    <col min="6926" max="6926" width="8.7109375" style="346" customWidth="1"/>
    <col min="6927" max="6927" width="10.42578125" style="346" customWidth="1"/>
    <col min="6928" max="6928" width="10.28515625" style="346" customWidth="1"/>
    <col min="6929" max="7168" width="11.42578125" style="346"/>
    <col min="7169" max="7169" width="7" style="346" customWidth="1"/>
    <col min="7170" max="7170" width="10.7109375" style="346" customWidth="1"/>
    <col min="7171" max="7171" width="10.5703125" style="346" customWidth="1"/>
    <col min="7172" max="7172" width="10.7109375" style="346" customWidth="1"/>
    <col min="7173" max="7173" width="10.28515625" style="346" customWidth="1"/>
    <col min="7174" max="7174" width="10.7109375" style="346" customWidth="1"/>
    <col min="7175" max="7175" width="9.42578125" style="346" customWidth="1"/>
    <col min="7176" max="7176" width="10.5703125" style="346" customWidth="1"/>
    <col min="7177" max="7177" width="13.7109375" style="346" customWidth="1"/>
    <col min="7178" max="7179" width="10.42578125" style="346" customWidth="1"/>
    <col min="7180" max="7180" width="10.28515625" style="346" customWidth="1"/>
    <col min="7181" max="7181" width="9.42578125" style="346" customWidth="1"/>
    <col min="7182" max="7182" width="8.7109375" style="346" customWidth="1"/>
    <col min="7183" max="7183" width="10.42578125" style="346" customWidth="1"/>
    <col min="7184" max="7184" width="10.28515625" style="346" customWidth="1"/>
    <col min="7185" max="7424" width="11.42578125" style="346"/>
    <col min="7425" max="7425" width="7" style="346" customWidth="1"/>
    <col min="7426" max="7426" width="10.7109375" style="346" customWidth="1"/>
    <col min="7427" max="7427" width="10.5703125" style="346" customWidth="1"/>
    <col min="7428" max="7428" width="10.7109375" style="346" customWidth="1"/>
    <col min="7429" max="7429" width="10.28515625" style="346" customWidth="1"/>
    <col min="7430" max="7430" width="10.7109375" style="346" customWidth="1"/>
    <col min="7431" max="7431" width="9.42578125" style="346" customWidth="1"/>
    <col min="7432" max="7432" width="10.5703125" style="346" customWidth="1"/>
    <col min="7433" max="7433" width="13.7109375" style="346" customWidth="1"/>
    <col min="7434" max="7435" width="10.42578125" style="346" customWidth="1"/>
    <col min="7436" max="7436" width="10.28515625" style="346" customWidth="1"/>
    <col min="7437" max="7437" width="9.42578125" style="346" customWidth="1"/>
    <col min="7438" max="7438" width="8.7109375" style="346" customWidth="1"/>
    <col min="7439" max="7439" width="10.42578125" style="346" customWidth="1"/>
    <col min="7440" max="7440" width="10.28515625" style="346" customWidth="1"/>
    <col min="7441" max="7680" width="11.42578125" style="346"/>
    <col min="7681" max="7681" width="7" style="346" customWidth="1"/>
    <col min="7682" max="7682" width="10.7109375" style="346" customWidth="1"/>
    <col min="7683" max="7683" width="10.5703125" style="346" customWidth="1"/>
    <col min="7684" max="7684" width="10.7109375" style="346" customWidth="1"/>
    <col min="7685" max="7685" width="10.28515625" style="346" customWidth="1"/>
    <col min="7686" max="7686" width="10.7109375" style="346" customWidth="1"/>
    <col min="7687" max="7687" width="9.42578125" style="346" customWidth="1"/>
    <col min="7688" max="7688" width="10.5703125" style="346" customWidth="1"/>
    <col min="7689" max="7689" width="13.7109375" style="346" customWidth="1"/>
    <col min="7690" max="7691" width="10.42578125" style="346" customWidth="1"/>
    <col min="7692" max="7692" width="10.28515625" style="346" customWidth="1"/>
    <col min="7693" max="7693" width="9.42578125" style="346" customWidth="1"/>
    <col min="7694" max="7694" width="8.7109375" style="346" customWidth="1"/>
    <col min="7695" max="7695" width="10.42578125" style="346" customWidth="1"/>
    <col min="7696" max="7696" width="10.28515625" style="346" customWidth="1"/>
    <col min="7697" max="7936" width="11.42578125" style="346"/>
    <col min="7937" max="7937" width="7" style="346" customWidth="1"/>
    <col min="7938" max="7938" width="10.7109375" style="346" customWidth="1"/>
    <col min="7939" max="7939" width="10.5703125" style="346" customWidth="1"/>
    <col min="7940" max="7940" width="10.7109375" style="346" customWidth="1"/>
    <col min="7941" max="7941" width="10.28515625" style="346" customWidth="1"/>
    <col min="7942" max="7942" width="10.7109375" style="346" customWidth="1"/>
    <col min="7943" max="7943" width="9.42578125" style="346" customWidth="1"/>
    <col min="7944" max="7944" width="10.5703125" style="346" customWidth="1"/>
    <col min="7945" max="7945" width="13.7109375" style="346" customWidth="1"/>
    <col min="7946" max="7947" width="10.42578125" style="346" customWidth="1"/>
    <col min="7948" max="7948" width="10.28515625" style="346" customWidth="1"/>
    <col min="7949" max="7949" width="9.42578125" style="346" customWidth="1"/>
    <col min="7950" max="7950" width="8.7109375" style="346" customWidth="1"/>
    <col min="7951" max="7951" width="10.42578125" style="346" customWidth="1"/>
    <col min="7952" max="7952" width="10.28515625" style="346" customWidth="1"/>
    <col min="7953" max="8192" width="11.42578125" style="346"/>
    <col min="8193" max="8193" width="7" style="346" customWidth="1"/>
    <col min="8194" max="8194" width="10.7109375" style="346" customWidth="1"/>
    <col min="8195" max="8195" width="10.5703125" style="346" customWidth="1"/>
    <col min="8196" max="8196" width="10.7109375" style="346" customWidth="1"/>
    <col min="8197" max="8197" width="10.28515625" style="346" customWidth="1"/>
    <col min="8198" max="8198" width="10.7109375" style="346" customWidth="1"/>
    <col min="8199" max="8199" width="9.42578125" style="346" customWidth="1"/>
    <col min="8200" max="8200" width="10.5703125" style="346" customWidth="1"/>
    <col min="8201" max="8201" width="13.7109375" style="346" customWidth="1"/>
    <col min="8202" max="8203" width="10.42578125" style="346" customWidth="1"/>
    <col min="8204" max="8204" width="10.28515625" style="346" customWidth="1"/>
    <col min="8205" max="8205" width="9.42578125" style="346" customWidth="1"/>
    <col min="8206" max="8206" width="8.7109375" style="346" customWidth="1"/>
    <col min="8207" max="8207" width="10.42578125" style="346" customWidth="1"/>
    <col min="8208" max="8208" width="10.28515625" style="346" customWidth="1"/>
    <col min="8209" max="8448" width="11.42578125" style="346"/>
    <col min="8449" max="8449" width="7" style="346" customWidth="1"/>
    <col min="8450" max="8450" width="10.7109375" style="346" customWidth="1"/>
    <col min="8451" max="8451" width="10.5703125" style="346" customWidth="1"/>
    <col min="8452" max="8452" width="10.7109375" style="346" customWidth="1"/>
    <col min="8453" max="8453" width="10.28515625" style="346" customWidth="1"/>
    <col min="8454" max="8454" width="10.7109375" style="346" customWidth="1"/>
    <col min="8455" max="8455" width="9.42578125" style="346" customWidth="1"/>
    <col min="8456" max="8456" width="10.5703125" style="346" customWidth="1"/>
    <col min="8457" max="8457" width="13.7109375" style="346" customWidth="1"/>
    <col min="8458" max="8459" width="10.42578125" style="346" customWidth="1"/>
    <col min="8460" max="8460" width="10.28515625" style="346" customWidth="1"/>
    <col min="8461" max="8461" width="9.42578125" style="346" customWidth="1"/>
    <col min="8462" max="8462" width="8.7109375" style="346" customWidth="1"/>
    <col min="8463" max="8463" width="10.42578125" style="346" customWidth="1"/>
    <col min="8464" max="8464" width="10.28515625" style="346" customWidth="1"/>
    <col min="8465" max="8704" width="11.42578125" style="346"/>
    <col min="8705" max="8705" width="7" style="346" customWidth="1"/>
    <col min="8706" max="8706" width="10.7109375" style="346" customWidth="1"/>
    <col min="8707" max="8707" width="10.5703125" style="346" customWidth="1"/>
    <col min="8708" max="8708" width="10.7109375" style="346" customWidth="1"/>
    <col min="8709" max="8709" width="10.28515625" style="346" customWidth="1"/>
    <col min="8710" max="8710" width="10.7109375" style="346" customWidth="1"/>
    <col min="8711" max="8711" width="9.42578125" style="346" customWidth="1"/>
    <col min="8712" max="8712" width="10.5703125" style="346" customWidth="1"/>
    <col min="8713" max="8713" width="13.7109375" style="346" customWidth="1"/>
    <col min="8714" max="8715" width="10.42578125" style="346" customWidth="1"/>
    <col min="8716" max="8716" width="10.28515625" style="346" customWidth="1"/>
    <col min="8717" max="8717" width="9.42578125" style="346" customWidth="1"/>
    <col min="8718" max="8718" width="8.7109375" style="346" customWidth="1"/>
    <col min="8719" max="8719" width="10.42578125" style="346" customWidth="1"/>
    <col min="8720" max="8720" width="10.28515625" style="346" customWidth="1"/>
    <col min="8721" max="8960" width="11.42578125" style="346"/>
    <col min="8961" max="8961" width="7" style="346" customWidth="1"/>
    <col min="8962" max="8962" width="10.7109375" style="346" customWidth="1"/>
    <col min="8963" max="8963" width="10.5703125" style="346" customWidth="1"/>
    <col min="8964" max="8964" width="10.7109375" style="346" customWidth="1"/>
    <col min="8965" max="8965" width="10.28515625" style="346" customWidth="1"/>
    <col min="8966" max="8966" width="10.7109375" style="346" customWidth="1"/>
    <col min="8967" max="8967" width="9.42578125" style="346" customWidth="1"/>
    <col min="8968" max="8968" width="10.5703125" style="346" customWidth="1"/>
    <col min="8969" max="8969" width="13.7109375" style="346" customWidth="1"/>
    <col min="8970" max="8971" width="10.42578125" style="346" customWidth="1"/>
    <col min="8972" max="8972" width="10.28515625" style="346" customWidth="1"/>
    <col min="8973" max="8973" width="9.42578125" style="346" customWidth="1"/>
    <col min="8974" max="8974" width="8.7109375" style="346" customWidth="1"/>
    <col min="8975" max="8975" width="10.42578125" style="346" customWidth="1"/>
    <col min="8976" max="8976" width="10.28515625" style="346" customWidth="1"/>
    <col min="8977" max="9216" width="11.42578125" style="346"/>
    <col min="9217" max="9217" width="7" style="346" customWidth="1"/>
    <col min="9218" max="9218" width="10.7109375" style="346" customWidth="1"/>
    <col min="9219" max="9219" width="10.5703125" style="346" customWidth="1"/>
    <col min="9220" max="9220" width="10.7109375" style="346" customWidth="1"/>
    <col min="9221" max="9221" width="10.28515625" style="346" customWidth="1"/>
    <col min="9222" max="9222" width="10.7109375" style="346" customWidth="1"/>
    <col min="9223" max="9223" width="9.42578125" style="346" customWidth="1"/>
    <col min="9224" max="9224" width="10.5703125" style="346" customWidth="1"/>
    <col min="9225" max="9225" width="13.7109375" style="346" customWidth="1"/>
    <col min="9226" max="9227" width="10.42578125" style="346" customWidth="1"/>
    <col min="9228" max="9228" width="10.28515625" style="346" customWidth="1"/>
    <col min="9229" max="9229" width="9.42578125" style="346" customWidth="1"/>
    <col min="9230" max="9230" width="8.7109375" style="346" customWidth="1"/>
    <col min="9231" max="9231" width="10.42578125" style="346" customWidth="1"/>
    <col min="9232" max="9232" width="10.28515625" style="346" customWidth="1"/>
    <col min="9233" max="9472" width="11.42578125" style="346"/>
    <col min="9473" max="9473" width="7" style="346" customWidth="1"/>
    <col min="9474" max="9474" width="10.7109375" style="346" customWidth="1"/>
    <col min="9475" max="9475" width="10.5703125" style="346" customWidth="1"/>
    <col min="9476" max="9476" width="10.7109375" style="346" customWidth="1"/>
    <col min="9477" max="9477" width="10.28515625" style="346" customWidth="1"/>
    <col min="9478" max="9478" width="10.7109375" style="346" customWidth="1"/>
    <col min="9479" max="9479" width="9.42578125" style="346" customWidth="1"/>
    <col min="9480" max="9480" width="10.5703125" style="346" customWidth="1"/>
    <col min="9481" max="9481" width="13.7109375" style="346" customWidth="1"/>
    <col min="9482" max="9483" width="10.42578125" style="346" customWidth="1"/>
    <col min="9484" max="9484" width="10.28515625" style="346" customWidth="1"/>
    <col min="9485" max="9485" width="9.42578125" style="346" customWidth="1"/>
    <col min="9486" max="9486" width="8.7109375" style="346" customWidth="1"/>
    <col min="9487" max="9487" width="10.42578125" style="346" customWidth="1"/>
    <col min="9488" max="9488" width="10.28515625" style="346" customWidth="1"/>
    <col min="9489" max="9728" width="11.42578125" style="346"/>
    <col min="9729" max="9729" width="7" style="346" customWidth="1"/>
    <col min="9730" max="9730" width="10.7109375" style="346" customWidth="1"/>
    <col min="9731" max="9731" width="10.5703125" style="346" customWidth="1"/>
    <col min="9732" max="9732" width="10.7109375" style="346" customWidth="1"/>
    <col min="9733" max="9733" width="10.28515625" style="346" customWidth="1"/>
    <col min="9734" max="9734" width="10.7109375" style="346" customWidth="1"/>
    <col min="9735" max="9735" width="9.42578125" style="346" customWidth="1"/>
    <col min="9736" max="9736" width="10.5703125" style="346" customWidth="1"/>
    <col min="9737" max="9737" width="13.7109375" style="346" customWidth="1"/>
    <col min="9738" max="9739" width="10.42578125" style="346" customWidth="1"/>
    <col min="9740" max="9740" width="10.28515625" style="346" customWidth="1"/>
    <col min="9741" max="9741" width="9.42578125" style="346" customWidth="1"/>
    <col min="9742" max="9742" width="8.7109375" style="346" customWidth="1"/>
    <col min="9743" max="9743" width="10.42578125" style="346" customWidth="1"/>
    <col min="9744" max="9744" width="10.28515625" style="346" customWidth="1"/>
    <col min="9745" max="9984" width="11.42578125" style="346"/>
    <col min="9985" max="9985" width="7" style="346" customWidth="1"/>
    <col min="9986" max="9986" width="10.7109375" style="346" customWidth="1"/>
    <col min="9987" max="9987" width="10.5703125" style="346" customWidth="1"/>
    <col min="9988" max="9988" width="10.7109375" style="346" customWidth="1"/>
    <col min="9989" max="9989" width="10.28515625" style="346" customWidth="1"/>
    <col min="9990" max="9990" width="10.7109375" style="346" customWidth="1"/>
    <col min="9991" max="9991" width="9.42578125" style="346" customWidth="1"/>
    <col min="9992" max="9992" width="10.5703125" style="346" customWidth="1"/>
    <col min="9993" max="9993" width="13.7109375" style="346" customWidth="1"/>
    <col min="9994" max="9995" width="10.42578125" style="346" customWidth="1"/>
    <col min="9996" max="9996" width="10.28515625" style="346" customWidth="1"/>
    <col min="9997" max="9997" width="9.42578125" style="346" customWidth="1"/>
    <col min="9998" max="9998" width="8.7109375" style="346" customWidth="1"/>
    <col min="9999" max="9999" width="10.42578125" style="346" customWidth="1"/>
    <col min="10000" max="10000" width="10.28515625" style="346" customWidth="1"/>
    <col min="10001" max="10240" width="11.42578125" style="346"/>
    <col min="10241" max="10241" width="7" style="346" customWidth="1"/>
    <col min="10242" max="10242" width="10.7109375" style="346" customWidth="1"/>
    <col min="10243" max="10243" width="10.5703125" style="346" customWidth="1"/>
    <col min="10244" max="10244" width="10.7109375" style="346" customWidth="1"/>
    <col min="10245" max="10245" width="10.28515625" style="346" customWidth="1"/>
    <col min="10246" max="10246" width="10.7109375" style="346" customWidth="1"/>
    <col min="10247" max="10247" width="9.42578125" style="346" customWidth="1"/>
    <col min="10248" max="10248" width="10.5703125" style="346" customWidth="1"/>
    <col min="10249" max="10249" width="13.7109375" style="346" customWidth="1"/>
    <col min="10250" max="10251" width="10.42578125" style="346" customWidth="1"/>
    <col min="10252" max="10252" width="10.28515625" style="346" customWidth="1"/>
    <col min="10253" max="10253" width="9.42578125" style="346" customWidth="1"/>
    <col min="10254" max="10254" width="8.7109375" style="346" customWidth="1"/>
    <col min="10255" max="10255" width="10.42578125" style="346" customWidth="1"/>
    <col min="10256" max="10256" width="10.28515625" style="346" customWidth="1"/>
    <col min="10257" max="10496" width="11.42578125" style="346"/>
    <col min="10497" max="10497" width="7" style="346" customWidth="1"/>
    <col min="10498" max="10498" width="10.7109375" style="346" customWidth="1"/>
    <col min="10499" max="10499" width="10.5703125" style="346" customWidth="1"/>
    <col min="10500" max="10500" width="10.7109375" style="346" customWidth="1"/>
    <col min="10501" max="10501" width="10.28515625" style="346" customWidth="1"/>
    <col min="10502" max="10502" width="10.7109375" style="346" customWidth="1"/>
    <col min="10503" max="10503" width="9.42578125" style="346" customWidth="1"/>
    <col min="10504" max="10504" width="10.5703125" style="346" customWidth="1"/>
    <col min="10505" max="10505" width="13.7109375" style="346" customWidth="1"/>
    <col min="10506" max="10507" width="10.42578125" style="346" customWidth="1"/>
    <col min="10508" max="10508" width="10.28515625" style="346" customWidth="1"/>
    <col min="10509" max="10509" width="9.42578125" style="346" customWidth="1"/>
    <col min="10510" max="10510" width="8.7109375" style="346" customWidth="1"/>
    <col min="10511" max="10511" width="10.42578125" style="346" customWidth="1"/>
    <col min="10512" max="10512" width="10.28515625" style="346" customWidth="1"/>
    <col min="10513" max="10752" width="11.42578125" style="346"/>
    <col min="10753" max="10753" width="7" style="346" customWidth="1"/>
    <col min="10754" max="10754" width="10.7109375" style="346" customWidth="1"/>
    <col min="10755" max="10755" width="10.5703125" style="346" customWidth="1"/>
    <col min="10756" max="10756" width="10.7109375" style="346" customWidth="1"/>
    <col min="10757" max="10757" width="10.28515625" style="346" customWidth="1"/>
    <col min="10758" max="10758" width="10.7109375" style="346" customWidth="1"/>
    <col min="10759" max="10759" width="9.42578125" style="346" customWidth="1"/>
    <col min="10760" max="10760" width="10.5703125" style="346" customWidth="1"/>
    <col min="10761" max="10761" width="13.7109375" style="346" customWidth="1"/>
    <col min="10762" max="10763" width="10.42578125" style="346" customWidth="1"/>
    <col min="10764" max="10764" width="10.28515625" style="346" customWidth="1"/>
    <col min="10765" max="10765" width="9.42578125" style="346" customWidth="1"/>
    <col min="10766" max="10766" width="8.7109375" style="346" customWidth="1"/>
    <col min="10767" max="10767" width="10.42578125" style="346" customWidth="1"/>
    <col min="10768" max="10768" width="10.28515625" style="346" customWidth="1"/>
    <col min="10769" max="11008" width="11.42578125" style="346"/>
    <col min="11009" max="11009" width="7" style="346" customWidth="1"/>
    <col min="11010" max="11010" width="10.7109375" style="346" customWidth="1"/>
    <col min="11011" max="11011" width="10.5703125" style="346" customWidth="1"/>
    <col min="11012" max="11012" width="10.7109375" style="346" customWidth="1"/>
    <col min="11013" max="11013" width="10.28515625" style="346" customWidth="1"/>
    <col min="11014" max="11014" width="10.7109375" style="346" customWidth="1"/>
    <col min="11015" max="11015" width="9.42578125" style="346" customWidth="1"/>
    <col min="11016" max="11016" width="10.5703125" style="346" customWidth="1"/>
    <col min="11017" max="11017" width="13.7109375" style="346" customWidth="1"/>
    <col min="11018" max="11019" width="10.42578125" style="346" customWidth="1"/>
    <col min="11020" max="11020" width="10.28515625" style="346" customWidth="1"/>
    <col min="11021" max="11021" width="9.42578125" style="346" customWidth="1"/>
    <col min="11022" max="11022" width="8.7109375" style="346" customWidth="1"/>
    <col min="11023" max="11023" width="10.42578125" style="346" customWidth="1"/>
    <col min="11024" max="11024" width="10.28515625" style="346" customWidth="1"/>
    <col min="11025" max="11264" width="11.42578125" style="346"/>
    <col min="11265" max="11265" width="7" style="346" customWidth="1"/>
    <col min="11266" max="11266" width="10.7109375" style="346" customWidth="1"/>
    <col min="11267" max="11267" width="10.5703125" style="346" customWidth="1"/>
    <col min="11268" max="11268" width="10.7109375" style="346" customWidth="1"/>
    <col min="11269" max="11269" width="10.28515625" style="346" customWidth="1"/>
    <col min="11270" max="11270" width="10.7109375" style="346" customWidth="1"/>
    <col min="11271" max="11271" width="9.42578125" style="346" customWidth="1"/>
    <col min="11272" max="11272" width="10.5703125" style="346" customWidth="1"/>
    <col min="11273" max="11273" width="13.7109375" style="346" customWidth="1"/>
    <col min="11274" max="11275" width="10.42578125" style="346" customWidth="1"/>
    <col min="11276" max="11276" width="10.28515625" style="346" customWidth="1"/>
    <col min="11277" max="11277" width="9.42578125" style="346" customWidth="1"/>
    <col min="11278" max="11278" width="8.7109375" style="346" customWidth="1"/>
    <col min="11279" max="11279" width="10.42578125" style="346" customWidth="1"/>
    <col min="11280" max="11280" width="10.28515625" style="346" customWidth="1"/>
    <col min="11281" max="11520" width="11.42578125" style="346"/>
    <col min="11521" max="11521" width="7" style="346" customWidth="1"/>
    <col min="11522" max="11522" width="10.7109375" style="346" customWidth="1"/>
    <col min="11523" max="11523" width="10.5703125" style="346" customWidth="1"/>
    <col min="11524" max="11524" width="10.7109375" style="346" customWidth="1"/>
    <col min="11525" max="11525" width="10.28515625" style="346" customWidth="1"/>
    <col min="11526" max="11526" width="10.7109375" style="346" customWidth="1"/>
    <col min="11527" max="11527" width="9.42578125" style="346" customWidth="1"/>
    <col min="11528" max="11528" width="10.5703125" style="346" customWidth="1"/>
    <col min="11529" max="11529" width="13.7109375" style="346" customWidth="1"/>
    <col min="11530" max="11531" width="10.42578125" style="346" customWidth="1"/>
    <col min="11532" max="11532" width="10.28515625" style="346" customWidth="1"/>
    <col min="11533" max="11533" width="9.42578125" style="346" customWidth="1"/>
    <col min="11534" max="11534" width="8.7109375" style="346" customWidth="1"/>
    <col min="11535" max="11535" width="10.42578125" style="346" customWidth="1"/>
    <col min="11536" max="11536" width="10.28515625" style="346" customWidth="1"/>
    <col min="11537" max="11776" width="11.42578125" style="346"/>
    <col min="11777" max="11777" width="7" style="346" customWidth="1"/>
    <col min="11778" max="11778" width="10.7109375" style="346" customWidth="1"/>
    <col min="11779" max="11779" width="10.5703125" style="346" customWidth="1"/>
    <col min="11780" max="11780" width="10.7109375" style="346" customWidth="1"/>
    <col min="11781" max="11781" width="10.28515625" style="346" customWidth="1"/>
    <col min="11782" max="11782" width="10.7109375" style="346" customWidth="1"/>
    <col min="11783" max="11783" width="9.42578125" style="346" customWidth="1"/>
    <col min="11784" max="11784" width="10.5703125" style="346" customWidth="1"/>
    <col min="11785" max="11785" width="13.7109375" style="346" customWidth="1"/>
    <col min="11786" max="11787" width="10.42578125" style="346" customWidth="1"/>
    <col min="11788" max="11788" width="10.28515625" style="346" customWidth="1"/>
    <col min="11789" max="11789" width="9.42578125" style="346" customWidth="1"/>
    <col min="11790" max="11790" width="8.7109375" style="346" customWidth="1"/>
    <col min="11791" max="11791" width="10.42578125" style="346" customWidth="1"/>
    <col min="11792" max="11792" width="10.28515625" style="346" customWidth="1"/>
    <col min="11793" max="12032" width="11.42578125" style="346"/>
    <col min="12033" max="12033" width="7" style="346" customWidth="1"/>
    <col min="12034" max="12034" width="10.7109375" style="346" customWidth="1"/>
    <col min="12035" max="12035" width="10.5703125" style="346" customWidth="1"/>
    <col min="12036" max="12036" width="10.7109375" style="346" customWidth="1"/>
    <col min="12037" max="12037" width="10.28515625" style="346" customWidth="1"/>
    <col min="12038" max="12038" width="10.7109375" style="346" customWidth="1"/>
    <col min="12039" max="12039" width="9.42578125" style="346" customWidth="1"/>
    <col min="12040" max="12040" width="10.5703125" style="346" customWidth="1"/>
    <col min="12041" max="12041" width="13.7109375" style="346" customWidth="1"/>
    <col min="12042" max="12043" width="10.42578125" style="346" customWidth="1"/>
    <col min="12044" max="12044" width="10.28515625" style="346" customWidth="1"/>
    <col min="12045" max="12045" width="9.42578125" style="346" customWidth="1"/>
    <col min="12046" max="12046" width="8.7109375" style="346" customWidth="1"/>
    <col min="12047" max="12047" width="10.42578125" style="346" customWidth="1"/>
    <col min="12048" max="12048" width="10.28515625" style="346" customWidth="1"/>
    <col min="12049" max="12288" width="11.42578125" style="346"/>
    <col min="12289" max="12289" width="7" style="346" customWidth="1"/>
    <col min="12290" max="12290" width="10.7109375" style="346" customWidth="1"/>
    <col min="12291" max="12291" width="10.5703125" style="346" customWidth="1"/>
    <col min="12292" max="12292" width="10.7109375" style="346" customWidth="1"/>
    <col min="12293" max="12293" width="10.28515625" style="346" customWidth="1"/>
    <col min="12294" max="12294" width="10.7109375" style="346" customWidth="1"/>
    <col min="12295" max="12295" width="9.42578125" style="346" customWidth="1"/>
    <col min="12296" max="12296" width="10.5703125" style="346" customWidth="1"/>
    <col min="12297" max="12297" width="13.7109375" style="346" customWidth="1"/>
    <col min="12298" max="12299" width="10.42578125" style="346" customWidth="1"/>
    <col min="12300" max="12300" width="10.28515625" style="346" customWidth="1"/>
    <col min="12301" max="12301" width="9.42578125" style="346" customWidth="1"/>
    <col min="12302" max="12302" width="8.7109375" style="346" customWidth="1"/>
    <col min="12303" max="12303" width="10.42578125" style="346" customWidth="1"/>
    <col min="12304" max="12304" width="10.28515625" style="346" customWidth="1"/>
    <col min="12305" max="12544" width="11.42578125" style="346"/>
    <col min="12545" max="12545" width="7" style="346" customWidth="1"/>
    <col min="12546" max="12546" width="10.7109375" style="346" customWidth="1"/>
    <col min="12547" max="12547" width="10.5703125" style="346" customWidth="1"/>
    <col min="12548" max="12548" width="10.7109375" style="346" customWidth="1"/>
    <col min="12549" max="12549" width="10.28515625" style="346" customWidth="1"/>
    <col min="12550" max="12550" width="10.7109375" style="346" customWidth="1"/>
    <col min="12551" max="12551" width="9.42578125" style="346" customWidth="1"/>
    <col min="12552" max="12552" width="10.5703125" style="346" customWidth="1"/>
    <col min="12553" max="12553" width="13.7109375" style="346" customWidth="1"/>
    <col min="12554" max="12555" width="10.42578125" style="346" customWidth="1"/>
    <col min="12556" max="12556" width="10.28515625" style="346" customWidth="1"/>
    <col min="12557" max="12557" width="9.42578125" style="346" customWidth="1"/>
    <col min="12558" max="12558" width="8.7109375" style="346" customWidth="1"/>
    <col min="12559" max="12559" width="10.42578125" style="346" customWidth="1"/>
    <col min="12560" max="12560" width="10.28515625" style="346" customWidth="1"/>
    <col min="12561" max="12800" width="11.42578125" style="346"/>
    <col min="12801" max="12801" width="7" style="346" customWidth="1"/>
    <col min="12802" max="12802" width="10.7109375" style="346" customWidth="1"/>
    <col min="12803" max="12803" width="10.5703125" style="346" customWidth="1"/>
    <col min="12804" max="12804" width="10.7109375" style="346" customWidth="1"/>
    <col min="12805" max="12805" width="10.28515625" style="346" customWidth="1"/>
    <col min="12806" max="12806" width="10.7109375" style="346" customWidth="1"/>
    <col min="12807" max="12807" width="9.42578125" style="346" customWidth="1"/>
    <col min="12808" max="12808" width="10.5703125" style="346" customWidth="1"/>
    <col min="12809" max="12809" width="13.7109375" style="346" customWidth="1"/>
    <col min="12810" max="12811" width="10.42578125" style="346" customWidth="1"/>
    <col min="12812" max="12812" width="10.28515625" style="346" customWidth="1"/>
    <col min="12813" max="12813" width="9.42578125" style="346" customWidth="1"/>
    <col min="12814" max="12814" width="8.7109375" style="346" customWidth="1"/>
    <col min="12815" max="12815" width="10.42578125" style="346" customWidth="1"/>
    <col min="12816" max="12816" width="10.28515625" style="346" customWidth="1"/>
    <col min="12817" max="13056" width="11.42578125" style="346"/>
    <col min="13057" max="13057" width="7" style="346" customWidth="1"/>
    <col min="13058" max="13058" width="10.7109375" style="346" customWidth="1"/>
    <col min="13059" max="13059" width="10.5703125" style="346" customWidth="1"/>
    <col min="13060" max="13060" width="10.7109375" style="346" customWidth="1"/>
    <col min="13061" max="13061" width="10.28515625" style="346" customWidth="1"/>
    <col min="13062" max="13062" width="10.7109375" style="346" customWidth="1"/>
    <col min="13063" max="13063" width="9.42578125" style="346" customWidth="1"/>
    <col min="13064" max="13064" width="10.5703125" style="346" customWidth="1"/>
    <col min="13065" max="13065" width="13.7109375" style="346" customWidth="1"/>
    <col min="13066" max="13067" width="10.42578125" style="346" customWidth="1"/>
    <col min="13068" max="13068" width="10.28515625" style="346" customWidth="1"/>
    <col min="13069" max="13069" width="9.42578125" style="346" customWidth="1"/>
    <col min="13070" max="13070" width="8.7109375" style="346" customWidth="1"/>
    <col min="13071" max="13071" width="10.42578125" style="346" customWidth="1"/>
    <col min="13072" max="13072" width="10.28515625" style="346" customWidth="1"/>
    <col min="13073" max="13312" width="11.42578125" style="346"/>
    <col min="13313" max="13313" width="7" style="346" customWidth="1"/>
    <col min="13314" max="13314" width="10.7109375" style="346" customWidth="1"/>
    <col min="13315" max="13315" width="10.5703125" style="346" customWidth="1"/>
    <col min="13316" max="13316" width="10.7109375" style="346" customWidth="1"/>
    <col min="13317" max="13317" width="10.28515625" style="346" customWidth="1"/>
    <col min="13318" max="13318" width="10.7109375" style="346" customWidth="1"/>
    <col min="13319" max="13319" width="9.42578125" style="346" customWidth="1"/>
    <col min="13320" max="13320" width="10.5703125" style="346" customWidth="1"/>
    <col min="13321" max="13321" width="13.7109375" style="346" customWidth="1"/>
    <col min="13322" max="13323" width="10.42578125" style="346" customWidth="1"/>
    <col min="13324" max="13324" width="10.28515625" style="346" customWidth="1"/>
    <col min="13325" max="13325" width="9.42578125" style="346" customWidth="1"/>
    <col min="13326" max="13326" width="8.7109375" style="346" customWidth="1"/>
    <col min="13327" max="13327" width="10.42578125" style="346" customWidth="1"/>
    <col min="13328" max="13328" width="10.28515625" style="346" customWidth="1"/>
    <col min="13329" max="13568" width="11.42578125" style="346"/>
    <col min="13569" max="13569" width="7" style="346" customWidth="1"/>
    <col min="13570" max="13570" width="10.7109375" style="346" customWidth="1"/>
    <col min="13571" max="13571" width="10.5703125" style="346" customWidth="1"/>
    <col min="13572" max="13572" width="10.7109375" style="346" customWidth="1"/>
    <col min="13573" max="13573" width="10.28515625" style="346" customWidth="1"/>
    <col min="13574" max="13574" width="10.7109375" style="346" customWidth="1"/>
    <col min="13575" max="13575" width="9.42578125" style="346" customWidth="1"/>
    <col min="13576" max="13576" width="10.5703125" style="346" customWidth="1"/>
    <col min="13577" max="13577" width="13.7109375" style="346" customWidth="1"/>
    <col min="13578" max="13579" width="10.42578125" style="346" customWidth="1"/>
    <col min="13580" max="13580" width="10.28515625" style="346" customWidth="1"/>
    <col min="13581" max="13581" width="9.42578125" style="346" customWidth="1"/>
    <col min="13582" max="13582" width="8.7109375" style="346" customWidth="1"/>
    <col min="13583" max="13583" width="10.42578125" style="346" customWidth="1"/>
    <col min="13584" max="13584" width="10.28515625" style="346" customWidth="1"/>
    <col min="13585" max="13824" width="11.42578125" style="346"/>
    <col min="13825" max="13825" width="7" style="346" customWidth="1"/>
    <col min="13826" max="13826" width="10.7109375" style="346" customWidth="1"/>
    <col min="13827" max="13827" width="10.5703125" style="346" customWidth="1"/>
    <col min="13828" max="13828" width="10.7109375" style="346" customWidth="1"/>
    <col min="13829" max="13829" width="10.28515625" style="346" customWidth="1"/>
    <col min="13830" max="13830" width="10.7109375" style="346" customWidth="1"/>
    <col min="13831" max="13831" width="9.42578125" style="346" customWidth="1"/>
    <col min="13832" max="13832" width="10.5703125" style="346" customWidth="1"/>
    <col min="13833" max="13833" width="13.7109375" style="346" customWidth="1"/>
    <col min="13834" max="13835" width="10.42578125" style="346" customWidth="1"/>
    <col min="13836" max="13836" width="10.28515625" style="346" customWidth="1"/>
    <col min="13837" max="13837" width="9.42578125" style="346" customWidth="1"/>
    <col min="13838" max="13838" width="8.7109375" style="346" customWidth="1"/>
    <col min="13839" max="13839" width="10.42578125" style="346" customWidth="1"/>
    <col min="13840" max="13840" width="10.28515625" style="346" customWidth="1"/>
    <col min="13841" max="14080" width="11.42578125" style="346"/>
    <col min="14081" max="14081" width="7" style="346" customWidth="1"/>
    <col min="14082" max="14082" width="10.7109375" style="346" customWidth="1"/>
    <col min="14083" max="14083" width="10.5703125" style="346" customWidth="1"/>
    <col min="14084" max="14084" width="10.7109375" style="346" customWidth="1"/>
    <col min="14085" max="14085" width="10.28515625" style="346" customWidth="1"/>
    <col min="14086" max="14086" width="10.7109375" style="346" customWidth="1"/>
    <col min="14087" max="14087" width="9.42578125" style="346" customWidth="1"/>
    <col min="14088" max="14088" width="10.5703125" style="346" customWidth="1"/>
    <col min="14089" max="14089" width="13.7109375" style="346" customWidth="1"/>
    <col min="14090" max="14091" width="10.42578125" style="346" customWidth="1"/>
    <col min="14092" max="14092" width="10.28515625" style="346" customWidth="1"/>
    <col min="14093" max="14093" width="9.42578125" style="346" customWidth="1"/>
    <col min="14094" max="14094" width="8.7109375" style="346" customWidth="1"/>
    <col min="14095" max="14095" width="10.42578125" style="346" customWidth="1"/>
    <col min="14096" max="14096" width="10.28515625" style="346" customWidth="1"/>
    <col min="14097" max="14336" width="11.42578125" style="346"/>
    <col min="14337" max="14337" width="7" style="346" customWidth="1"/>
    <col min="14338" max="14338" width="10.7109375" style="346" customWidth="1"/>
    <col min="14339" max="14339" width="10.5703125" style="346" customWidth="1"/>
    <col min="14340" max="14340" width="10.7109375" style="346" customWidth="1"/>
    <col min="14341" max="14341" width="10.28515625" style="346" customWidth="1"/>
    <col min="14342" max="14342" width="10.7109375" style="346" customWidth="1"/>
    <col min="14343" max="14343" width="9.42578125" style="346" customWidth="1"/>
    <col min="14344" max="14344" width="10.5703125" style="346" customWidth="1"/>
    <col min="14345" max="14345" width="13.7109375" style="346" customWidth="1"/>
    <col min="14346" max="14347" width="10.42578125" style="346" customWidth="1"/>
    <col min="14348" max="14348" width="10.28515625" style="346" customWidth="1"/>
    <col min="14349" max="14349" width="9.42578125" style="346" customWidth="1"/>
    <col min="14350" max="14350" width="8.7109375" style="346" customWidth="1"/>
    <col min="14351" max="14351" width="10.42578125" style="346" customWidth="1"/>
    <col min="14352" max="14352" width="10.28515625" style="346" customWidth="1"/>
    <col min="14353" max="14592" width="11.42578125" style="346"/>
    <col min="14593" max="14593" width="7" style="346" customWidth="1"/>
    <col min="14594" max="14594" width="10.7109375" style="346" customWidth="1"/>
    <col min="14595" max="14595" width="10.5703125" style="346" customWidth="1"/>
    <col min="14596" max="14596" width="10.7109375" style="346" customWidth="1"/>
    <col min="14597" max="14597" width="10.28515625" style="346" customWidth="1"/>
    <col min="14598" max="14598" width="10.7109375" style="346" customWidth="1"/>
    <col min="14599" max="14599" width="9.42578125" style="346" customWidth="1"/>
    <col min="14600" max="14600" width="10.5703125" style="346" customWidth="1"/>
    <col min="14601" max="14601" width="13.7109375" style="346" customWidth="1"/>
    <col min="14602" max="14603" width="10.42578125" style="346" customWidth="1"/>
    <col min="14604" max="14604" width="10.28515625" style="346" customWidth="1"/>
    <col min="14605" max="14605" width="9.42578125" style="346" customWidth="1"/>
    <col min="14606" max="14606" width="8.7109375" style="346" customWidth="1"/>
    <col min="14607" max="14607" width="10.42578125" style="346" customWidth="1"/>
    <col min="14608" max="14608" width="10.28515625" style="346" customWidth="1"/>
    <col min="14609" max="14848" width="11.42578125" style="346"/>
    <col min="14849" max="14849" width="7" style="346" customWidth="1"/>
    <col min="14850" max="14850" width="10.7109375" style="346" customWidth="1"/>
    <col min="14851" max="14851" width="10.5703125" style="346" customWidth="1"/>
    <col min="14852" max="14852" width="10.7109375" style="346" customWidth="1"/>
    <col min="14853" max="14853" width="10.28515625" style="346" customWidth="1"/>
    <col min="14854" max="14854" width="10.7109375" style="346" customWidth="1"/>
    <col min="14855" max="14855" width="9.42578125" style="346" customWidth="1"/>
    <col min="14856" max="14856" width="10.5703125" style="346" customWidth="1"/>
    <col min="14857" max="14857" width="13.7109375" style="346" customWidth="1"/>
    <col min="14858" max="14859" width="10.42578125" style="346" customWidth="1"/>
    <col min="14860" max="14860" width="10.28515625" style="346" customWidth="1"/>
    <col min="14861" max="14861" width="9.42578125" style="346" customWidth="1"/>
    <col min="14862" max="14862" width="8.7109375" style="346" customWidth="1"/>
    <col min="14863" max="14863" width="10.42578125" style="346" customWidth="1"/>
    <col min="14864" max="14864" width="10.28515625" style="346" customWidth="1"/>
    <col min="14865" max="15104" width="11.42578125" style="346"/>
    <col min="15105" max="15105" width="7" style="346" customWidth="1"/>
    <col min="15106" max="15106" width="10.7109375" style="346" customWidth="1"/>
    <col min="15107" max="15107" width="10.5703125" style="346" customWidth="1"/>
    <col min="15108" max="15108" width="10.7109375" style="346" customWidth="1"/>
    <col min="15109" max="15109" width="10.28515625" style="346" customWidth="1"/>
    <col min="15110" max="15110" width="10.7109375" style="346" customWidth="1"/>
    <col min="15111" max="15111" width="9.42578125" style="346" customWidth="1"/>
    <col min="15112" max="15112" width="10.5703125" style="346" customWidth="1"/>
    <col min="15113" max="15113" width="13.7109375" style="346" customWidth="1"/>
    <col min="15114" max="15115" width="10.42578125" style="346" customWidth="1"/>
    <col min="15116" max="15116" width="10.28515625" style="346" customWidth="1"/>
    <col min="15117" max="15117" width="9.42578125" style="346" customWidth="1"/>
    <col min="15118" max="15118" width="8.7109375" style="346" customWidth="1"/>
    <col min="15119" max="15119" width="10.42578125" style="346" customWidth="1"/>
    <col min="15120" max="15120" width="10.28515625" style="346" customWidth="1"/>
    <col min="15121" max="15360" width="11.42578125" style="346"/>
    <col min="15361" max="15361" width="7" style="346" customWidth="1"/>
    <col min="15362" max="15362" width="10.7109375" style="346" customWidth="1"/>
    <col min="15363" max="15363" width="10.5703125" style="346" customWidth="1"/>
    <col min="15364" max="15364" width="10.7109375" style="346" customWidth="1"/>
    <col min="15365" max="15365" width="10.28515625" style="346" customWidth="1"/>
    <col min="15366" max="15366" width="10.7109375" style="346" customWidth="1"/>
    <col min="15367" max="15367" width="9.42578125" style="346" customWidth="1"/>
    <col min="15368" max="15368" width="10.5703125" style="346" customWidth="1"/>
    <col min="15369" max="15369" width="13.7109375" style="346" customWidth="1"/>
    <col min="15370" max="15371" width="10.42578125" style="346" customWidth="1"/>
    <col min="15372" max="15372" width="10.28515625" style="346" customWidth="1"/>
    <col min="15373" max="15373" width="9.42578125" style="346" customWidth="1"/>
    <col min="15374" max="15374" width="8.7109375" style="346" customWidth="1"/>
    <col min="15375" max="15375" width="10.42578125" style="346" customWidth="1"/>
    <col min="15376" max="15376" width="10.28515625" style="346" customWidth="1"/>
    <col min="15377" max="15616" width="11.42578125" style="346"/>
    <col min="15617" max="15617" width="7" style="346" customWidth="1"/>
    <col min="15618" max="15618" width="10.7109375" style="346" customWidth="1"/>
    <col min="15619" max="15619" width="10.5703125" style="346" customWidth="1"/>
    <col min="15620" max="15620" width="10.7109375" style="346" customWidth="1"/>
    <col min="15621" max="15621" width="10.28515625" style="346" customWidth="1"/>
    <col min="15622" max="15622" width="10.7109375" style="346" customWidth="1"/>
    <col min="15623" max="15623" width="9.42578125" style="346" customWidth="1"/>
    <col min="15624" max="15624" width="10.5703125" style="346" customWidth="1"/>
    <col min="15625" max="15625" width="13.7109375" style="346" customWidth="1"/>
    <col min="15626" max="15627" width="10.42578125" style="346" customWidth="1"/>
    <col min="15628" max="15628" width="10.28515625" style="346" customWidth="1"/>
    <col min="15629" max="15629" width="9.42578125" style="346" customWidth="1"/>
    <col min="15630" max="15630" width="8.7109375" style="346" customWidth="1"/>
    <col min="15631" max="15631" width="10.42578125" style="346" customWidth="1"/>
    <col min="15632" max="15632" width="10.28515625" style="346" customWidth="1"/>
    <col min="15633" max="15872" width="11.42578125" style="346"/>
    <col min="15873" max="15873" width="7" style="346" customWidth="1"/>
    <col min="15874" max="15874" width="10.7109375" style="346" customWidth="1"/>
    <col min="15875" max="15875" width="10.5703125" style="346" customWidth="1"/>
    <col min="15876" max="15876" width="10.7109375" style="346" customWidth="1"/>
    <col min="15877" max="15877" width="10.28515625" style="346" customWidth="1"/>
    <col min="15878" max="15878" width="10.7109375" style="346" customWidth="1"/>
    <col min="15879" max="15879" width="9.42578125" style="346" customWidth="1"/>
    <col min="15880" max="15880" width="10.5703125" style="346" customWidth="1"/>
    <col min="15881" max="15881" width="13.7109375" style="346" customWidth="1"/>
    <col min="15882" max="15883" width="10.42578125" style="346" customWidth="1"/>
    <col min="15884" max="15884" width="10.28515625" style="346" customWidth="1"/>
    <col min="15885" max="15885" width="9.42578125" style="346" customWidth="1"/>
    <col min="15886" max="15886" width="8.7109375" style="346" customWidth="1"/>
    <col min="15887" max="15887" width="10.42578125" style="346" customWidth="1"/>
    <col min="15888" max="15888" width="10.28515625" style="346" customWidth="1"/>
    <col min="15889" max="16128" width="11.42578125" style="346"/>
    <col min="16129" max="16129" width="7" style="346" customWidth="1"/>
    <col min="16130" max="16130" width="10.7109375" style="346" customWidth="1"/>
    <col min="16131" max="16131" width="10.5703125" style="346" customWidth="1"/>
    <col min="16132" max="16132" width="10.7109375" style="346" customWidth="1"/>
    <col min="16133" max="16133" width="10.28515625" style="346" customWidth="1"/>
    <col min="16134" max="16134" width="10.7109375" style="346" customWidth="1"/>
    <col min="16135" max="16135" width="9.42578125" style="346" customWidth="1"/>
    <col min="16136" max="16136" width="10.5703125" style="346" customWidth="1"/>
    <col min="16137" max="16137" width="13.7109375" style="346" customWidth="1"/>
    <col min="16138" max="16139" width="10.42578125" style="346" customWidth="1"/>
    <col min="16140" max="16140" width="10.28515625" style="346" customWidth="1"/>
    <col min="16141" max="16141" width="9.42578125" style="346" customWidth="1"/>
    <col min="16142" max="16142" width="8.7109375" style="346" customWidth="1"/>
    <col min="16143" max="16143" width="10.42578125" style="346" customWidth="1"/>
    <col min="16144" max="16144" width="10.28515625" style="346" customWidth="1"/>
    <col min="16145" max="16384" width="11.42578125" style="346"/>
  </cols>
  <sheetData>
    <row r="1" spans="1:21" ht="15" customHeight="1" x14ac:dyDescent="0.2">
      <c r="A1" s="728" t="s">
        <v>1623</v>
      </c>
      <c r="B1" s="728"/>
      <c r="C1" s="728"/>
      <c r="D1" s="728"/>
      <c r="E1" s="728"/>
      <c r="F1" s="728"/>
      <c r="G1" s="728"/>
      <c r="H1" s="728"/>
      <c r="I1" s="728"/>
      <c r="J1" s="728"/>
      <c r="K1" s="728"/>
      <c r="L1" s="728"/>
      <c r="M1" s="728"/>
      <c r="N1" s="728"/>
      <c r="O1" s="728"/>
      <c r="P1" s="728"/>
    </row>
    <row r="2" spans="1:21" ht="15" customHeight="1" x14ac:dyDescent="0.2">
      <c r="A2" s="728" t="s">
        <v>1624</v>
      </c>
      <c r="B2" s="728"/>
      <c r="C2" s="728"/>
      <c r="D2" s="728"/>
      <c r="E2" s="728"/>
      <c r="F2" s="728" t="s">
        <v>1625</v>
      </c>
      <c r="G2" s="728"/>
      <c r="H2" s="728"/>
      <c r="I2" s="728"/>
      <c r="J2" s="728"/>
      <c r="K2" s="728"/>
      <c r="L2" s="728"/>
      <c r="M2" s="728"/>
      <c r="N2" s="728"/>
      <c r="O2" s="728"/>
      <c r="P2" s="728"/>
    </row>
    <row r="3" spans="1:21" ht="15" customHeight="1" x14ac:dyDescent="0.2">
      <c r="E3" s="347"/>
    </row>
    <row r="4" spans="1:21" ht="15" customHeight="1" x14ac:dyDescent="0.25">
      <c r="A4" s="729" t="s">
        <v>1626</v>
      </c>
      <c r="B4" s="729"/>
      <c r="C4" s="729"/>
      <c r="D4" s="729"/>
      <c r="E4" s="729"/>
      <c r="F4" s="347"/>
      <c r="K4" s="347"/>
      <c r="N4" s="347" t="s">
        <v>1627</v>
      </c>
      <c r="O4" s="348">
        <f>IF(HorasAmortizaciónEquipoCamión=0,0,ROUND(Valor_CamiónSolo*PorcentajeEquipoAmortizarCamión/HorasAmortizaciónEquipoCamión,3))</f>
        <v>0</v>
      </c>
    </row>
    <row r="5" spans="1:21" ht="15" customHeight="1" x14ac:dyDescent="0.2">
      <c r="F5" s="347"/>
      <c r="K5" s="347"/>
      <c r="O5" s="349"/>
    </row>
    <row r="6" spans="1:21" ht="15" customHeight="1" x14ac:dyDescent="0.2">
      <c r="A6" s="410"/>
      <c r="B6" s="410"/>
      <c r="C6" s="410"/>
      <c r="D6" s="410"/>
      <c r="E6" s="410"/>
      <c r="F6" s="347"/>
      <c r="K6" s="347"/>
      <c r="O6" s="349"/>
    </row>
    <row r="7" spans="1:21" ht="15" customHeight="1" x14ac:dyDescent="0.2">
      <c r="A7" s="734" t="s">
        <v>1628</v>
      </c>
      <c r="B7" s="735"/>
      <c r="C7" s="735"/>
      <c r="D7" s="736"/>
      <c r="E7" s="388"/>
      <c r="F7" s="347"/>
      <c r="G7" s="350"/>
      <c r="I7" s="730"/>
      <c r="J7" s="351"/>
      <c r="K7" s="352"/>
      <c r="N7" s="347" t="s">
        <v>1629</v>
      </c>
      <c r="O7" s="379">
        <f>ROUND(Valor_CamiónSolo*E10/4000,3)</f>
        <v>0</v>
      </c>
      <c r="Q7" s="350"/>
      <c r="R7" s="353"/>
      <c r="S7" s="730"/>
      <c r="T7" s="354"/>
      <c r="U7" s="351"/>
    </row>
    <row r="8" spans="1:21" ht="15" customHeight="1" x14ac:dyDescent="0.2">
      <c r="A8" s="734" t="s">
        <v>1630</v>
      </c>
      <c r="B8" s="735"/>
      <c r="C8" s="735"/>
      <c r="D8" s="736"/>
      <c r="E8" s="389"/>
      <c r="F8" s="347"/>
      <c r="G8" s="731"/>
      <c r="H8" s="731"/>
      <c r="I8" s="730"/>
      <c r="K8" s="347"/>
      <c r="O8" s="349"/>
      <c r="Q8" s="731"/>
      <c r="R8" s="731"/>
      <c r="S8" s="730"/>
    </row>
    <row r="9" spans="1:21" ht="15" customHeight="1" x14ac:dyDescent="0.2">
      <c r="A9" s="734" t="s">
        <v>1631</v>
      </c>
      <c r="B9" s="735"/>
      <c r="C9" s="735"/>
      <c r="D9" s="736"/>
      <c r="E9" s="390"/>
      <c r="F9" s="347"/>
      <c r="K9" s="347"/>
      <c r="O9" s="349"/>
    </row>
    <row r="10" spans="1:21" ht="15" customHeight="1" x14ac:dyDescent="0.2">
      <c r="A10" s="734" t="s">
        <v>1632</v>
      </c>
      <c r="B10" s="735"/>
      <c r="C10" s="735"/>
      <c r="D10" s="736"/>
      <c r="E10" s="390"/>
      <c r="F10" s="347"/>
      <c r="K10" s="347"/>
      <c r="N10" s="347" t="s">
        <v>1633</v>
      </c>
      <c r="O10" s="348">
        <f>ROUND(O4*Porcentaje_Reparaciones_Repuestos,3)</f>
        <v>0</v>
      </c>
    </row>
    <row r="11" spans="1:21" ht="15" customHeight="1" x14ac:dyDescent="0.2">
      <c r="A11" s="734" t="s">
        <v>1634</v>
      </c>
      <c r="B11" s="735"/>
      <c r="C11" s="735"/>
      <c r="D11" s="736"/>
      <c r="E11" s="390"/>
      <c r="F11" s="347"/>
      <c r="K11" s="347"/>
      <c r="O11" s="349"/>
    </row>
    <row r="12" spans="1:21" ht="15" customHeight="1" x14ac:dyDescent="0.2">
      <c r="A12" s="734" t="s">
        <v>1635</v>
      </c>
      <c r="B12" s="735"/>
      <c r="C12" s="735"/>
      <c r="D12" s="736"/>
      <c r="E12" s="390"/>
      <c r="F12" s="347"/>
      <c r="K12" s="347"/>
      <c r="O12" s="349"/>
    </row>
    <row r="13" spans="1:21" ht="15" customHeight="1" x14ac:dyDescent="0.2">
      <c r="A13" s="734" t="s">
        <v>1636</v>
      </c>
      <c r="B13" s="735"/>
      <c r="C13" s="735"/>
      <c r="D13" s="736"/>
      <c r="E13" s="389"/>
      <c r="F13" s="347"/>
      <c r="K13" s="347"/>
      <c r="N13" s="347" t="s">
        <v>1637</v>
      </c>
      <c r="O13" s="348">
        <f>ROUND(Tiempo_lavado_en_horas*Mano_Obra_Lavado*Cantidad_lavado_al_mes*12/2000,3)</f>
        <v>0</v>
      </c>
    </row>
    <row r="14" spans="1:21" ht="15" customHeight="1" x14ac:dyDescent="0.2">
      <c r="A14" s="734" t="s">
        <v>1638</v>
      </c>
      <c r="B14" s="735"/>
      <c r="C14" s="735"/>
      <c r="D14" s="736"/>
      <c r="E14" s="391"/>
      <c r="F14" s="347"/>
      <c r="K14" s="347"/>
      <c r="O14" s="349"/>
    </row>
    <row r="15" spans="1:21" ht="15" customHeight="1" x14ac:dyDescent="0.2">
      <c r="A15" s="734" t="s">
        <v>1639</v>
      </c>
      <c r="B15" s="735"/>
      <c r="C15" s="735"/>
      <c r="D15" s="736"/>
      <c r="E15" s="392"/>
      <c r="F15" s="347"/>
      <c r="G15" s="350"/>
      <c r="I15" s="730"/>
      <c r="J15" s="351"/>
      <c r="K15" s="352"/>
      <c r="O15" s="349"/>
      <c r="Q15" s="355"/>
      <c r="R15" s="356"/>
      <c r="S15" s="730"/>
      <c r="T15" s="354"/>
      <c r="U15" s="357"/>
    </row>
    <row r="16" spans="1:21" ht="15" customHeight="1" x14ac:dyDescent="0.2">
      <c r="A16" s="734" t="s">
        <v>1640</v>
      </c>
      <c r="B16" s="735"/>
      <c r="C16" s="735"/>
      <c r="D16" s="736"/>
      <c r="E16" s="393"/>
      <c r="F16" s="347"/>
      <c r="G16" s="731"/>
      <c r="H16" s="731"/>
      <c r="I16" s="730"/>
      <c r="K16" s="347"/>
      <c r="N16" s="347" t="s">
        <v>1641</v>
      </c>
      <c r="O16" s="348">
        <f>ROUND(Valor_CamiónSolo*PorSegurosPatentesImpustoCamión/2000,3)</f>
        <v>0</v>
      </c>
      <c r="Q16" s="732"/>
      <c r="R16" s="732"/>
      <c r="S16" s="730"/>
    </row>
    <row r="17" spans="1:21" ht="15" customHeight="1" x14ac:dyDescent="0.2">
      <c r="A17" s="734" t="s">
        <v>1642</v>
      </c>
      <c r="B17" s="735"/>
      <c r="C17" s="735"/>
      <c r="D17" s="736"/>
      <c r="E17" s="394"/>
      <c r="F17" s="347"/>
      <c r="K17" s="347"/>
      <c r="O17" s="349"/>
    </row>
    <row r="18" spans="1:21" ht="15" customHeight="1" x14ac:dyDescent="0.2">
      <c r="A18" s="734" t="s">
        <v>1643</v>
      </c>
      <c r="B18" s="735"/>
      <c r="C18" s="735"/>
      <c r="D18" s="736"/>
      <c r="E18" s="395"/>
      <c r="F18" s="347"/>
      <c r="K18" s="347"/>
      <c r="O18" s="349"/>
    </row>
    <row r="19" spans="1:21" ht="15" customHeight="1" x14ac:dyDescent="0.2">
      <c r="A19" s="734" t="s">
        <v>1644</v>
      </c>
      <c r="B19" s="735"/>
      <c r="C19" s="735"/>
      <c r="D19" s="736"/>
      <c r="E19" s="396"/>
      <c r="F19" s="347"/>
      <c r="G19" s="350"/>
      <c r="J19" s="351"/>
      <c r="K19" s="352"/>
      <c r="N19" s="347" t="s">
        <v>1645</v>
      </c>
      <c r="O19" s="348">
        <f>IF(V_Ul_cámara_cubiertas_CamiónSolo=0,0,ROUND(Cantidad_camaras_cubiertas*Valor_cámara_cubiertas_CamiónSolo/V_Ul_cámara_cubiertas_CamiónSolo,3))</f>
        <v>0</v>
      </c>
      <c r="Q19" s="358"/>
      <c r="R19" s="359"/>
      <c r="S19" s="360"/>
      <c r="T19" s="354"/>
      <c r="U19" s="361"/>
    </row>
    <row r="20" spans="1:21" ht="15" customHeight="1" x14ac:dyDescent="0.2">
      <c r="A20" s="734" t="s">
        <v>1646</v>
      </c>
      <c r="B20" s="735"/>
      <c r="C20" s="735"/>
      <c r="D20" s="736"/>
      <c r="E20" s="390"/>
      <c r="F20" s="347"/>
      <c r="G20" s="731"/>
      <c r="H20" s="731"/>
      <c r="K20" s="347"/>
      <c r="O20" s="349"/>
    </row>
    <row r="21" spans="1:21" ht="15" customHeight="1" x14ac:dyDescent="0.2">
      <c r="A21" s="734" t="s">
        <v>1697</v>
      </c>
      <c r="B21" s="735"/>
      <c r="C21" s="735"/>
      <c r="D21" s="736" t="s">
        <v>1647</v>
      </c>
      <c r="E21" s="397"/>
      <c r="G21" s="742"/>
      <c r="H21" s="742"/>
      <c r="I21" s="742"/>
      <c r="K21" s="347"/>
      <c r="O21" s="349"/>
    </row>
    <row r="22" spans="1:21" ht="15" customHeight="1" x14ac:dyDescent="0.2">
      <c r="A22" s="734" t="s">
        <v>1698</v>
      </c>
      <c r="B22" s="735"/>
      <c r="C22" s="735"/>
      <c r="D22" s="736" t="s">
        <v>1648</v>
      </c>
      <c r="E22" s="398"/>
      <c r="K22" s="347"/>
      <c r="N22" s="347" t="s">
        <v>1649</v>
      </c>
      <c r="O22" s="348">
        <f>ROUND(Consumo_gasoil_CamiónSolo_porkm*Costo_gasoil*(1+Porcentaje_Lubricantes),3)</f>
        <v>0</v>
      </c>
    </row>
    <row r="23" spans="1:21" ht="15" customHeight="1" x14ac:dyDescent="0.25">
      <c r="A23" s="411"/>
      <c r="B23" s="411"/>
      <c r="C23" s="411"/>
      <c r="D23" s="411"/>
      <c r="E23" s="411"/>
      <c r="G23" s="362"/>
      <c r="H23" s="363"/>
      <c r="I23" s="364"/>
      <c r="J23" s="365"/>
      <c r="K23" s="352"/>
    </row>
    <row r="25" spans="1:21" ht="15" customHeight="1" x14ac:dyDescent="0.2">
      <c r="A25" s="738" t="s">
        <v>1650</v>
      </c>
      <c r="B25" s="738"/>
      <c r="C25" s="738"/>
      <c r="D25" s="738"/>
      <c r="E25" s="738"/>
      <c r="F25" s="738"/>
      <c r="G25" s="738"/>
      <c r="H25" s="739" t="s">
        <v>1651</v>
      </c>
      <c r="I25" s="739"/>
      <c r="J25" s="739"/>
      <c r="K25" s="739"/>
      <c r="L25" s="739"/>
      <c r="M25" s="739"/>
      <c r="N25" s="739"/>
      <c r="O25" s="739"/>
      <c r="P25" s="740" t="s">
        <v>1652</v>
      </c>
    </row>
    <row r="26" spans="1:21" ht="15" customHeight="1" x14ac:dyDescent="0.2">
      <c r="A26" s="366" t="s">
        <v>1653</v>
      </c>
      <c r="B26" s="366" t="s">
        <v>1654</v>
      </c>
      <c r="C26" s="366" t="s">
        <v>1655</v>
      </c>
      <c r="D26" s="366" t="s">
        <v>1656</v>
      </c>
      <c r="E26" s="366" t="s">
        <v>1657</v>
      </c>
      <c r="F26" s="366" t="s">
        <v>983</v>
      </c>
      <c r="G26" s="366" t="s">
        <v>1658</v>
      </c>
      <c r="H26" s="741" t="s">
        <v>1599</v>
      </c>
      <c r="I26" s="741" t="s">
        <v>1659</v>
      </c>
      <c r="J26" s="366" t="s">
        <v>1660</v>
      </c>
      <c r="K26" s="366" t="s">
        <v>1661</v>
      </c>
      <c r="L26" s="366" t="s">
        <v>1662</v>
      </c>
      <c r="M26" s="366" t="s">
        <v>1663</v>
      </c>
      <c r="N26" s="366" t="s">
        <v>1664</v>
      </c>
      <c r="O26" s="367" t="s">
        <v>1665</v>
      </c>
      <c r="P26" s="740"/>
    </row>
    <row r="27" spans="1:21" ht="15" customHeight="1" x14ac:dyDescent="0.2">
      <c r="A27" s="366" t="s">
        <v>1666</v>
      </c>
      <c r="B27" s="366" t="s">
        <v>1667</v>
      </c>
      <c r="C27" s="366" t="s">
        <v>1668</v>
      </c>
      <c r="D27" s="366" t="s">
        <v>1669</v>
      </c>
      <c r="E27" s="366" t="s">
        <v>1670</v>
      </c>
      <c r="F27" s="366" t="s">
        <v>1671</v>
      </c>
      <c r="G27" s="366" t="s">
        <v>1672</v>
      </c>
      <c r="H27" s="741"/>
      <c r="I27" s="741"/>
      <c r="J27" s="366" t="s">
        <v>1673</v>
      </c>
      <c r="K27" s="366" t="s">
        <v>1674</v>
      </c>
      <c r="L27" s="366" t="s">
        <v>1675</v>
      </c>
      <c r="M27" s="366" t="s">
        <v>1676</v>
      </c>
      <c r="N27" s="366" t="s">
        <v>1677</v>
      </c>
      <c r="O27" s="367" t="s">
        <v>1678</v>
      </c>
      <c r="P27" s="740"/>
    </row>
    <row r="28" spans="1:21" ht="15" customHeight="1" x14ac:dyDescent="0.2">
      <c r="A28" s="737" t="s">
        <v>1679</v>
      </c>
      <c r="B28" s="737" t="s">
        <v>1680</v>
      </c>
      <c r="C28" s="737" t="s">
        <v>1681</v>
      </c>
      <c r="D28" s="737" t="s">
        <v>1682</v>
      </c>
      <c r="E28" s="737" t="s">
        <v>1683</v>
      </c>
      <c r="F28" s="737" t="s">
        <v>1684</v>
      </c>
      <c r="G28" s="737" t="s">
        <v>1685</v>
      </c>
      <c r="H28" s="737" t="s">
        <v>1686</v>
      </c>
      <c r="I28" s="737" t="s">
        <v>1687</v>
      </c>
      <c r="J28" s="737" t="s">
        <v>1688</v>
      </c>
      <c r="K28" s="737" t="s">
        <v>1689</v>
      </c>
      <c r="L28" s="737" t="s">
        <v>1690</v>
      </c>
      <c r="M28" s="737" t="s">
        <v>1691</v>
      </c>
      <c r="N28" s="737" t="s">
        <v>1692</v>
      </c>
      <c r="O28" s="737" t="s">
        <v>1693</v>
      </c>
      <c r="P28" s="733" t="s">
        <v>1694</v>
      </c>
    </row>
    <row r="29" spans="1:21" ht="15" customHeight="1" x14ac:dyDescent="0.2">
      <c r="A29" s="737"/>
      <c r="B29" s="737"/>
      <c r="C29" s="737"/>
      <c r="D29" s="737"/>
      <c r="E29" s="737"/>
      <c r="F29" s="737"/>
      <c r="G29" s="737"/>
      <c r="H29" s="737"/>
      <c r="I29" s="737"/>
      <c r="J29" s="737"/>
      <c r="K29" s="737"/>
      <c r="L29" s="737"/>
      <c r="M29" s="737"/>
      <c r="N29" s="737"/>
      <c r="O29" s="737"/>
      <c r="P29" s="733"/>
    </row>
    <row r="30" spans="1:21" ht="15" customHeight="1" x14ac:dyDescent="0.2">
      <c r="A30" s="368">
        <v>1</v>
      </c>
      <c r="B30" s="369"/>
      <c r="C30" s="370">
        <f>IF(B30=0,0,(2*A30*60)/B30)</f>
        <v>0</v>
      </c>
      <c r="D30" s="371"/>
      <c r="E30" s="370">
        <f t="shared" ref="E30:E64" si="0">+C30+D30</f>
        <v>0</v>
      </c>
      <c r="F30" s="372"/>
      <c r="G30" s="373">
        <f t="shared" ref="G30:G64" si="1">+A30*2</f>
        <v>2</v>
      </c>
      <c r="H30" s="374">
        <f t="shared" ref="H30:H64" si="2">A*(E30/60)</f>
        <v>0</v>
      </c>
      <c r="I30" s="374">
        <f t="shared" ref="I30:I38" si="3">B*(E30/60)</f>
        <v>0</v>
      </c>
      <c r="J30" s="374">
        <f t="shared" ref="J30:J38" si="4">C_*(C30/60)</f>
        <v>0</v>
      </c>
      <c r="K30" s="374">
        <f t="shared" ref="K30:K38" si="5">D*(E30/60)</f>
        <v>0</v>
      </c>
      <c r="L30" s="374">
        <f t="shared" ref="L30:L38" si="6">E*(E30/60)</f>
        <v>0</v>
      </c>
      <c r="M30" s="374">
        <f t="shared" ref="M30:M38" si="7">+G30*F_</f>
        <v>0</v>
      </c>
      <c r="N30" s="374">
        <f t="shared" ref="N30:N38" si="8">Mano_Obra_Lavado*(E30/60)</f>
        <v>0</v>
      </c>
      <c r="O30" s="374">
        <f t="shared" ref="O30:O38" si="9">+G30*G</f>
        <v>0</v>
      </c>
      <c r="P30" s="375">
        <f>IF(F30=0,0,ROUND(SUM(H30:O30)/F30,3))</f>
        <v>0</v>
      </c>
      <c r="R30" s="376"/>
    </row>
    <row r="31" spans="1:21" ht="15" customHeight="1" x14ac:dyDescent="0.2">
      <c r="A31" s="368">
        <v>1.5</v>
      </c>
      <c r="B31" s="369"/>
      <c r="C31" s="370">
        <f t="shared" ref="C31:C64" si="10">IF(B31=0,0,(2*A31*60)/B31)</f>
        <v>0</v>
      </c>
      <c r="D31" s="371"/>
      <c r="E31" s="370">
        <f t="shared" si="0"/>
        <v>0</v>
      </c>
      <c r="F31" s="372"/>
      <c r="G31" s="373">
        <f t="shared" si="1"/>
        <v>3</v>
      </c>
      <c r="H31" s="374">
        <f t="shared" si="2"/>
        <v>0</v>
      </c>
      <c r="I31" s="374">
        <f t="shared" si="3"/>
        <v>0</v>
      </c>
      <c r="J31" s="374">
        <f t="shared" si="4"/>
        <v>0</v>
      </c>
      <c r="K31" s="374">
        <f t="shared" si="5"/>
        <v>0</v>
      </c>
      <c r="L31" s="374">
        <f t="shared" si="6"/>
        <v>0</v>
      </c>
      <c r="M31" s="374">
        <f t="shared" si="7"/>
        <v>0</v>
      </c>
      <c r="N31" s="374">
        <f t="shared" si="8"/>
        <v>0</v>
      </c>
      <c r="O31" s="374">
        <f t="shared" si="9"/>
        <v>0</v>
      </c>
      <c r="P31" s="375">
        <f t="shared" ref="P31:P64" si="11">IF(F31=0,0,ROUND(SUM(H31:O31)/F31,3))</f>
        <v>0</v>
      </c>
      <c r="R31" s="376"/>
    </row>
    <row r="32" spans="1:21" ht="15" customHeight="1" x14ac:dyDescent="0.2">
      <c r="A32" s="368">
        <v>2</v>
      </c>
      <c r="B32" s="369"/>
      <c r="C32" s="370">
        <f t="shared" si="10"/>
        <v>0</v>
      </c>
      <c r="D32" s="371"/>
      <c r="E32" s="370">
        <f t="shared" si="0"/>
        <v>0</v>
      </c>
      <c r="F32" s="372"/>
      <c r="G32" s="373">
        <f t="shared" si="1"/>
        <v>4</v>
      </c>
      <c r="H32" s="374">
        <f t="shared" si="2"/>
        <v>0</v>
      </c>
      <c r="I32" s="374">
        <f t="shared" si="3"/>
        <v>0</v>
      </c>
      <c r="J32" s="374">
        <f t="shared" si="4"/>
        <v>0</v>
      </c>
      <c r="K32" s="374">
        <f t="shared" si="5"/>
        <v>0</v>
      </c>
      <c r="L32" s="374">
        <f t="shared" si="6"/>
        <v>0</v>
      </c>
      <c r="M32" s="374">
        <f t="shared" si="7"/>
        <v>0</v>
      </c>
      <c r="N32" s="374">
        <f t="shared" si="8"/>
        <v>0</v>
      </c>
      <c r="O32" s="374">
        <f t="shared" si="9"/>
        <v>0</v>
      </c>
      <c r="P32" s="375">
        <f t="shared" si="11"/>
        <v>0</v>
      </c>
      <c r="R32" s="376"/>
    </row>
    <row r="33" spans="1:18" ht="15" customHeight="1" x14ac:dyDescent="0.2">
      <c r="A33" s="368">
        <v>2.5</v>
      </c>
      <c r="B33" s="369"/>
      <c r="C33" s="370">
        <f t="shared" si="10"/>
        <v>0</v>
      </c>
      <c r="D33" s="371"/>
      <c r="E33" s="370">
        <f t="shared" si="0"/>
        <v>0</v>
      </c>
      <c r="F33" s="372"/>
      <c r="G33" s="373">
        <f t="shared" si="1"/>
        <v>5</v>
      </c>
      <c r="H33" s="374">
        <f t="shared" si="2"/>
        <v>0</v>
      </c>
      <c r="I33" s="374">
        <f t="shared" si="3"/>
        <v>0</v>
      </c>
      <c r="J33" s="374">
        <f t="shared" si="4"/>
        <v>0</v>
      </c>
      <c r="K33" s="374">
        <f t="shared" si="5"/>
        <v>0</v>
      </c>
      <c r="L33" s="374">
        <f t="shared" si="6"/>
        <v>0</v>
      </c>
      <c r="M33" s="374">
        <f t="shared" si="7"/>
        <v>0</v>
      </c>
      <c r="N33" s="374">
        <f t="shared" si="8"/>
        <v>0</v>
      </c>
      <c r="O33" s="374">
        <f t="shared" si="9"/>
        <v>0</v>
      </c>
      <c r="P33" s="375">
        <f t="shared" si="11"/>
        <v>0</v>
      </c>
      <c r="R33" s="376"/>
    </row>
    <row r="34" spans="1:18" ht="15" customHeight="1" x14ac:dyDescent="0.2">
      <c r="A34" s="368">
        <v>3</v>
      </c>
      <c r="B34" s="369"/>
      <c r="C34" s="370">
        <f t="shared" si="10"/>
        <v>0</v>
      </c>
      <c r="D34" s="371"/>
      <c r="E34" s="370">
        <f t="shared" si="0"/>
        <v>0</v>
      </c>
      <c r="F34" s="372"/>
      <c r="G34" s="373">
        <f t="shared" si="1"/>
        <v>6</v>
      </c>
      <c r="H34" s="374">
        <f t="shared" si="2"/>
        <v>0</v>
      </c>
      <c r="I34" s="374">
        <f t="shared" si="3"/>
        <v>0</v>
      </c>
      <c r="J34" s="374">
        <f t="shared" si="4"/>
        <v>0</v>
      </c>
      <c r="K34" s="374">
        <f t="shared" si="5"/>
        <v>0</v>
      </c>
      <c r="L34" s="374">
        <f t="shared" si="6"/>
        <v>0</v>
      </c>
      <c r="M34" s="374">
        <f t="shared" si="7"/>
        <v>0</v>
      </c>
      <c r="N34" s="374">
        <f t="shared" si="8"/>
        <v>0</v>
      </c>
      <c r="O34" s="374">
        <f t="shared" si="9"/>
        <v>0</v>
      </c>
      <c r="P34" s="375">
        <f t="shared" si="11"/>
        <v>0</v>
      </c>
      <c r="R34" s="376"/>
    </row>
    <row r="35" spans="1:18" ht="15" customHeight="1" x14ac:dyDescent="0.2">
      <c r="A35" s="368">
        <v>3.5</v>
      </c>
      <c r="B35" s="369"/>
      <c r="C35" s="370">
        <f t="shared" si="10"/>
        <v>0</v>
      </c>
      <c r="D35" s="371"/>
      <c r="E35" s="370">
        <f t="shared" si="0"/>
        <v>0</v>
      </c>
      <c r="F35" s="372"/>
      <c r="G35" s="373">
        <f t="shared" si="1"/>
        <v>7</v>
      </c>
      <c r="H35" s="374">
        <f t="shared" si="2"/>
        <v>0</v>
      </c>
      <c r="I35" s="374">
        <f t="shared" si="3"/>
        <v>0</v>
      </c>
      <c r="J35" s="374">
        <f t="shared" si="4"/>
        <v>0</v>
      </c>
      <c r="K35" s="374">
        <f t="shared" si="5"/>
        <v>0</v>
      </c>
      <c r="L35" s="374">
        <f t="shared" si="6"/>
        <v>0</v>
      </c>
      <c r="M35" s="374">
        <f t="shared" si="7"/>
        <v>0</v>
      </c>
      <c r="N35" s="374">
        <f t="shared" si="8"/>
        <v>0</v>
      </c>
      <c r="O35" s="374">
        <f t="shared" si="9"/>
        <v>0</v>
      </c>
      <c r="P35" s="375">
        <f t="shared" si="11"/>
        <v>0</v>
      </c>
      <c r="R35" s="376"/>
    </row>
    <row r="36" spans="1:18" ht="15" customHeight="1" x14ac:dyDescent="0.2">
      <c r="A36" s="368">
        <v>4</v>
      </c>
      <c r="B36" s="369"/>
      <c r="C36" s="370">
        <f t="shared" si="10"/>
        <v>0</v>
      </c>
      <c r="D36" s="371"/>
      <c r="E36" s="370">
        <f t="shared" si="0"/>
        <v>0</v>
      </c>
      <c r="F36" s="372"/>
      <c r="G36" s="373">
        <f t="shared" si="1"/>
        <v>8</v>
      </c>
      <c r="H36" s="374">
        <f t="shared" si="2"/>
        <v>0</v>
      </c>
      <c r="I36" s="374">
        <f t="shared" si="3"/>
        <v>0</v>
      </c>
      <c r="J36" s="374">
        <f t="shared" si="4"/>
        <v>0</v>
      </c>
      <c r="K36" s="374">
        <f t="shared" si="5"/>
        <v>0</v>
      </c>
      <c r="L36" s="374">
        <f t="shared" si="6"/>
        <v>0</v>
      </c>
      <c r="M36" s="374">
        <f t="shared" si="7"/>
        <v>0</v>
      </c>
      <c r="N36" s="374">
        <f t="shared" si="8"/>
        <v>0</v>
      </c>
      <c r="O36" s="374">
        <f t="shared" si="9"/>
        <v>0</v>
      </c>
      <c r="P36" s="375">
        <f t="shared" si="11"/>
        <v>0</v>
      </c>
      <c r="R36" s="376"/>
    </row>
    <row r="37" spans="1:18" ht="15" customHeight="1" x14ac:dyDescent="0.2">
      <c r="A37" s="368">
        <v>4.5</v>
      </c>
      <c r="B37" s="369"/>
      <c r="C37" s="370">
        <f t="shared" si="10"/>
        <v>0</v>
      </c>
      <c r="D37" s="371"/>
      <c r="E37" s="370">
        <f t="shared" si="0"/>
        <v>0</v>
      </c>
      <c r="F37" s="372"/>
      <c r="G37" s="373">
        <f t="shared" si="1"/>
        <v>9</v>
      </c>
      <c r="H37" s="374">
        <f t="shared" si="2"/>
        <v>0</v>
      </c>
      <c r="I37" s="374">
        <f t="shared" si="3"/>
        <v>0</v>
      </c>
      <c r="J37" s="374">
        <f t="shared" si="4"/>
        <v>0</v>
      </c>
      <c r="K37" s="374">
        <f t="shared" si="5"/>
        <v>0</v>
      </c>
      <c r="L37" s="374">
        <f t="shared" si="6"/>
        <v>0</v>
      </c>
      <c r="M37" s="374">
        <f t="shared" si="7"/>
        <v>0</v>
      </c>
      <c r="N37" s="374">
        <f t="shared" si="8"/>
        <v>0</v>
      </c>
      <c r="O37" s="374">
        <f t="shared" si="9"/>
        <v>0</v>
      </c>
      <c r="P37" s="375">
        <f t="shared" si="11"/>
        <v>0</v>
      </c>
      <c r="R37" s="376"/>
    </row>
    <row r="38" spans="1:18" ht="15" customHeight="1" x14ac:dyDescent="0.2">
      <c r="A38" s="368">
        <v>5</v>
      </c>
      <c r="B38" s="369"/>
      <c r="C38" s="370">
        <f t="shared" si="10"/>
        <v>0</v>
      </c>
      <c r="D38" s="371"/>
      <c r="E38" s="370">
        <f t="shared" si="0"/>
        <v>0</v>
      </c>
      <c r="F38" s="372"/>
      <c r="G38" s="373">
        <f t="shared" si="1"/>
        <v>10</v>
      </c>
      <c r="H38" s="374">
        <f t="shared" si="2"/>
        <v>0</v>
      </c>
      <c r="I38" s="374">
        <f t="shared" si="3"/>
        <v>0</v>
      </c>
      <c r="J38" s="374">
        <f t="shared" si="4"/>
        <v>0</v>
      </c>
      <c r="K38" s="374">
        <f t="shared" si="5"/>
        <v>0</v>
      </c>
      <c r="L38" s="374">
        <f t="shared" si="6"/>
        <v>0</v>
      </c>
      <c r="M38" s="374">
        <f t="shared" si="7"/>
        <v>0</v>
      </c>
      <c r="N38" s="374">
        <f t="shared" si="8"/>
        <v>0</v>
      </c>
      <c r="O38" s="374">
        <f t="shared" si="9"/>
        <v>0</v>
      </c>
      <c r="P38" s="375">
        <f t="shared" si="11"/>
        <v>0</v>
      </c>
      <c r="R38" s="376"/>
    </row>
    <row r="39" spans="1:18" ht="15" customHeight="1" x14ac:dyDescent="0.2">
      <c r="A39" s="368">
        <v>6</v>
      </c>
      <c r="B39" s="369"/>
      <c r="C39" s="370">
        <f t="shared" si="10"/>
        <v>0</v>
      </c>
      <c r="D39" s="371"/>
      <c r="E39" s="370">
        <f t="shared" si="0"/>
        <v>0</v>
      </c>
      <c r="F39" s="372"/>
      <c r="G39" s="373">
        <f t="shared" si="1"/>
        <v>12</v>
      </c>
      <c r="H39" s="374">
        <f t="shared" si="2"/>
        <v>0</v>
      </c>
      <c r="I39" s="374">
        <f t="shared" ref="I39:I64" si="12">B*(E39/60)</f>
        <v>0</v>
      </c>
      <c r="J39" s="374">
        <f t="shared" ref="J39:J64" si="13">C_*(C39/60)</f>
        <v>0</v>
      </c>
      <c r="K39" s="374">
        <f t="shared" ref="K39:K64" si="14">D*(E39/60)</f>
        <v>0</v>
      </c>
      <c r="L39" s="374">
        <f t="shared" ref="L39:L64" si="15">E*(E39/60)</f>
        <v>0</v>
      </c>
      <c r="M39" s="374">
        <f t="shared" ref="M39:M64" si="16">+G39*F_</f>
        <v>0</v>
      </c>
      <c r="N39" s="374">
        <f t="shared" ref="N39:N64" si="17">Mano_Obra_Lavado*(E39/60)</f>
        <v>0</v>
      </c>
      <c r="O39" s="374">
        <f t="shared" ref="O39:O64" si="18">+G39*G</f>
        <v>0</v>
      </c>
      <c r="P39" s="375">
        <f t="shared" si="11"/>
        <v>0</v>
      </c>
      <c r="R39" s="376"/>
    </row>
    <row r="40" spans="1:18" ht="15" customHeight="1" x14ac:dyDescent="0.2">
      <c r="A40" s="368">
        <v>7</v>
      </c>
      <c r="B40" s="369"/>
      <c r="C40" s="370">
        <f t="shared" si="10"/>
        <v>0</v>
      </c>
      <c r="D40" s="371"/>
      <c r="E40" s="370">
        <f t="shared" si="0"/>
        <v>0</v>
      </c>
      <c r="F40" s="372"/>
      <c r="G40" s="373">
        <f t="shared" si="1"/>
        <v>14</v>
      </c>
      <c r="H40" s="374">
        <f t="shared" si="2"/>
        <v>0</v>
      </c>
      <c r="I40" s="374">
        <f t="shared" si="12"/>
        <v>0</v>
      </c>
      <c r="J40" s="374">
        <f t="shared" si="13"/>
        <v>0</v>
      </c>
      <c r="K40" s="374">
        <f t="shared" si="14"/>
        <v>0</v>
      </c>
      <c r="L40" s="374">
        <f t="shared" si="15"/>
        <v>0</v>
      </c>
      <c r="M40" s="374">
        <f t="shared" si="16"/>
        <v>0</v>
      </c>
      <c r="N40" s="374">
        <f t="shared" si="17"/>
        <v>0</v>
      </c>
      <c r="O40" s="374">
        <f t="shared" si="18"/>
        <v>0</v>
      </c>
      <c r="P40" s="375">
        <f t="shared" si="11"/>
        <v>0</v>
      </c>
      <c r="R40" s="376"/>
    </row>
    <row r="41" spans="1:18" ht="15" customHeight="1" x14ac:dyDescent="0.2">
      <c r="A41" s="368">
        <v>8</v>
      </c>
      <c r="B41" s="369"/>
      <c r="C41" s="370">
        <f t="shared" si="10"/>
        <v>0</v>
      </c>
      <c r="D41" s="371"/>
      <c r="E41" s="370">
        <f t="shared" si="0"/>
        <v>0</v>
      </c>
      <c r="F41" s="372"/>
      <c r="G41" s="373">
        <f t="shared" si="1"/>
        <v>16</v>
      </c>
      <c r="H41" s="374">
        <f t="shared" si="2"/>
        <v>0</v>
      </c>
      <c r="I41" s="374">
        <f t="shared" si="12"/>
        <v>0</v>
      </c>
      <c r="J41" s="374">
        <f t="shared" si="13"/>
        <v>0</v>
      </c>
      <c r="K41" s="374">
        <f t="shared" si="14"/>
        <v>0</v>
      </c>
      <c r="L41" s="374">
        <f t="shared" si="15"/>
        <v>0</v>
      </c>
      <c r="M41" s="374">
        <f t="shared" si="16"/>
        <v>0</v>
      </c>
      <c r="N41" s="374">
        <f t="shared" si="17"/>
        <v>0</v>
      </c>
      <c r="O41" s="374">
        <f t="shared" si="18"/>
        <v>0</v>
      </c>
      <c r="P41" s="375">
        <f t="shared" si="11"/>
        <v>0</v>
      </c>
      <c r="R41" s="376"/>
    </row>
    <row r="42" spans="1:18" ht="15" customHeight="1" x14ac:dyDescent="0.2">
      <c r="A42" s="368">
        <v>9</v>
      </c>
      <c r="B42" s="369"/>
      <c r="C42" s="370">
        <f t="shared" si="10"/>
        <v>0</v>
      </c>
      <c r="D42" s="371"/>
      <c r="E42" s="370">
        <f t="shared" si="0"/>
        <v>0</v>
      </c>
      <c r="F42" s="372"/>
      <c r="G42" s="373">
        <f t="shared" si="1"/>
        <v>18</v>
      </c>
      <c r="H42" s="374">
        <f t="shared" si="2"/>
        <v>0</v>
      </c>
      <c r="I42" s="374">
        <f t="shared" si="12"/>
        <v>0</v>
      </c>
      <c r="J42" s="374">
        <f t="shared" si="13"/>
        <v>0</v>
      </c>
      <c r="K42" s="374">
        <f t="shared" si="14"/>
        <v>0</v>
      </c>
      <c r="L42" s="374">
        <f t="shared" si="15"/>
        <v>0</v>
      </c>
      <c r="M42" s="374">
        <f t="shared" si="16"/>
        <v>0</v>
      </c>
      <c r="N42" s="374">
        <f t="shared" si="17"/>
        <v>0</v>
      </c>
      <c r="O42" s="374">
        <f t="shared" si="18"/>
        <v>0</v>
      </c>
      <c r="P42" s="375">
        <f t="shared" si="11"/>
        <v>0</v>
      </c>
      <c r="R42" s="376"/>
    </row>
    <row r="43" spans="1:18" ht="15" customHeight="1" x14ac:dyDescent="0.2">
      <c r="A43" s="368">
        <v>10</v>
      </c>
      <c r="B43" s="369"/>
      <c r="C43" s="370">
        <f t="shared" si="10"/>
        <v>0</v>
      </c>
      <c r="D43" s="371"/>
      <c r="E43" s="370">
        <f t="shared" si="0"/>
        <v>0</v>
      </c>
      <c r="F43" s="372"/>
      <c r="G43" s="373">
        <f t="shared" si="1"/>
        <v>20</v>
      </c>
      <c r="H43" s="374">
        <f t="shared" si="2"/>
        <v>0</v>
      </c>
      <c r="I43" s="374">
        <f t="shared" si="12"/>
        <v>0</v>
      </c>
      <c r="J43" s="374">
        <f t="shared" si="13"/>
        <v>0</v>
      </c>
      <c r="K43" s="374">
        <f t="shared" si="14"/>
        <v>0</v>
      </c>
      <c r="L43" s="374">
        <f t="shared" si="15"/>
        <v>0</v>
      </c>
      <c r="M43" s="374">
        <f t="shared" si="16"/>
        <v>0</v>
      </c>
      <c r="N43" s="374">
        <f t="shared" si="17"/>
        <v>0</v>
      </c>
      <c r="O43" s="374">
        <f t="shared" si="18"/>
        <v>0</v>
      </c>
      <c r="P43" s="375">
        <f t="shared" si="11"/>
        <v>0</v>
      </c>
      <c r="R43" s="376"/>
    </row>
    <row r="44" spans="1:18" ht="15" customHeight="1" x14ac:dyDescent="0.2">
      <c r="A44" s="368">
        <v>12</v>
      </c>
      <c r="B44" s="369"/>
      <c r="C44" s="370">
        <f t="shared" si="10"/>
        <v>0</v>
      </c>
      <c r="D44" s="371"/>
      <c r="E44" s="370">
        <f t="shared" si="0"/>
        <v>0</v>
      </c>
      <c r="F44" s="372"/>
      <c r="G44" s="373">
        <f t="shared" si="1"/>
        <v>24</v>
      </c>
      <c r="H44" s="374">
        <f t="shared" si="2"/>
        <v>0</v>
      </c>
      <c r="I44" s="374">
        <f t="shared" si="12"/>
        <v>0</v>
      </c>
      <c r="J44" s="374">
        <f t="shared" si="13"/>
        <v>0</v>
      </c>
      <c r="K44" s="374">
        <f t="shared" si="14"/>
        <v>0</v>
      </c>
      <c r="L44" s="374">
        <f t="shared" si="15"/>
        <v>0</v>
      </c>
      <c r="M44" s="374">
        <f t="shared" si="16"/>
        <v>0</v>
      </c>
      <c r="N44" s="374">
        <f t="shared" si="17"/>
        <v>0</v>
      </c>
      <c r="O44" s="374">
        <f t="shared" si="18"/>
        <v>0</v>
      </c>
      <c r="P44" s="375">
        <f t="shared" si="11"/>
        <v>0</v>
      </c>
      <c r="R44" s="376"/>
    </row>
    <row r="45" spans="1:18" ht="15" customHeight="1" x14ac:dyDescent="0.2">
      <c r="A45" s="368">
        <v>15</v>
      </c>
      <c r="B45" s="369"/>
      <c r="C45" s="370">
        <f t="shared" si="10"/>
        <v>0</v>
      </c>
      <c r="D45" s="371"/>
      <c r="E45" s="370">
        <f t="shared" si="0"/>
        <v>0</v>
      </c>
      <c r="F45" s="372"/>
      <c r="G45" s="373">
        <f t="shared" si="1"/>
        <v>30</v>
      </c>
      <c r="H45" s="374">
        <f t="shared" si="2"/>
        <v>0</v>
      </c>
      <c r="I45" s="374">
        <f t="shared" si="12"/>
        <v>0</v>
      </c>
      <c r="J45" s="374">
        <f t="shared" si="13"/>
        <v>0</v>
      </c>
      <c r="K45" s="374">
        <f t="shared" si="14"/>
        <v>0</v>
      </c>
      <c r="L45" s="374">
        <f t="shared" si="15"/>
        <v>0</v>
      </c>
      <c r="M45" s="374">
        <f t="shared" si="16"/>
        <v>0</v>
      </c>
      <c r="N45" s="374">
        <f t="shared" si="17"/>
        <v>0</v>
      </c>
      <c r="O45" s="374">
        <f t="shared" si="18"/>
        <v>0</v>
      </c>
      <c r="P45" s="375">
        <f t="shared" si="11"/>
        <v>0</v>
      </c>
      <c r="R45" s="376"/>
    </row>
    <row r="46" spans="1:18" ht="15" customHeight="1" x14ac:dyDescent="0.2">
      <c r="A46" s="368">
        <v>17</v>
      </c>
      <c r="B46" s="369"/>
      <c r="C46" s="370">
        <f t="shared" si="10"/>
        <v>0</v>
      </c>
      <c r="D46" s="371"/>
      <c r="E46" s="370">
        <f t="shared" si="0"/>
        <v>0</v>
      </c>
      <c r="F46" s="372"/>
      <c r="G46" s="373">
        <f t="shared" si="1"/>
        <v>34</v>
      </c>
      <c r="H46" s="374">
        <f t="shared" si="2"/>
        <v>0</v>
      </c>
      <c r="I46" s="374">
        <f t="shared" si="12"/>
        <v>0</v>
      </c>
      <c r="J46" s="374">
        <f t="shared" si="13"/>
        <v>0</v>
      </c>
      <c r="K46" s="374">
        <f t="shared" si="14"/>
        <v>0</v>
      </c>
      <c r="L46" s="374">
        <f t="shared" si="15"/>
        <v>0</v>
      </c>
      <c r="M46" s="374">
        <f t="shared" si="16"/>
        <v>0</v>
      </c>
      <c r="N46" s="374">
        <f t="shared" si="17"/>
        <v>0</v>
      </c>
      <c r="O46" s="374">
        <f t="shared" si="18"/>
        <v>0</v>
      </c>
      <c r="P46" s="375">
        <f t="shared" si="11"/>
        <v>0</v>
      </c>
      <c r="R46" s="376"/>
    </row>
    <row r="47" spans="1:18" ht="15" customHeight="1" x14ac:dyDescent="0.2">
      <c r="A47" s="368">
        <v>19</v>
      </c>
      <c r="B47" s="369"/>
      <c r="C47" s="370">
        <f t="shared" si="10"/>
        <v>0</v>
      </c>
      <c r="D47" s="371"/>
      <c r="E47" s="370">
        <f t="shared" si="0"/>
        <v>0</v>
      </c>
      <c r="F47" s="372"/>
      <c r="G47" s="373">
        <f t="shared" si="1"/>
        <v>38</v>
      </c>
      <c r="H47" s="374">
        <f t="shared" si="2"/>
        <v>0</v>
      </c>
      <c r="I47" s="374">
        <f t="shared" si="12"/>
        <v>0</v>
      </c>
      <c r="J47" s="374">
        <f t="shared" si="13"/>
        <v>0</v>
      </c>
      <c r="K47" s="374">
        <f t="shared" si="14"/>
        <v>0</v>
      </c>
      <c r="L47" s="374">
        <f t="shared" si="15"/>
        <v>0</v>
      </c>
      <c r="M47" s="374">
        <f t="shared" si="16"/>
        <v>0</v>
      </c>
      <c r="N47" s="374">
        <f t="shared" si="17"/>
        <v>0</v>
      </c>
      <c r="O47" s="374">
        <f t="shared" si="18"/>
        <v>0</v>
      </c>
      <c r="P47" s="375">
        <f t="shared" si="11"/>
        <v>0</v>
      </c>
      <c r="R47" s="376"/>
    </row>
    <row r="48" spans="1:18" ht="15" customHeight="1" x14ac:dyDescent="0.2">
      <c r="A48" s="368">
        <v>20</v>
      </c>
      <c r="B48" s="369"/>
      <c r="C48" s="370">
        <f t="shared" si="10"/>
        <v>0</v>
      </c>
      <c r="D48" s="371"/>
      <c r="E48" s="370">
        <f t="shared" si="0"/>
        <v>0</v>
      </c>
      <c r="F48" s="372"/>
      <c r="G48" s="373">
        <f t="shared" si="1"/>
        <v>40</v>
      </c>
      <c r="H48" s="374">
        <f t="shared" si="2"/>
        <v>0</v>
      </c>
      <c r="I48" s="374">
        <f t="shared" si="12"/>
        <v>0</v>
      </c>
      <c r="J48" s="374">
        <f t="shared" si="13"/>
        <v>0</v>
      </c>
      <c r="K48" s="374">
        <f t="shared" si="14"/>
        <v>0</v>
      </c>
      <c r="L48" s="374">
        <f t="shared" si="15"/>
        <v>0</v>
      </c>
      <c r="M48" s="374">
        <f t="shared" si="16"/>
        <v>0</v>
      </c>
      <c r="N48" s="374">
        <f t="shared" si="17"/>
        <v>0</v>
      </c>
      <c r="O48" s="374">
        <f t="shared" si="18"/>
        <v>0</v>
      </c>
      <c r="P48" s="375">
        <f t="shared" si="11"/>
        <v>0</v>
      </c>
      <c r="R48" s="376"/>
    </row>
    <row r="49" spans="1:18" ht="15" customHeight="1" x14ac:dyDescent="0.2">
      <c r="A49" s="368">
        <v>25</v>
      </c>
      <c r="B49" s="369"/>
      <c r="C49" s="370">
        <f t="shared" si="10"/>
        <v>0</v>
      </c>
      <c r="D49" s="371"/>
      <c r="E49" s="370">
        <f t="shared" si="0"/>
        <v>0</v>
      </c>
      <c r="F49" s="372"/>
      <c r="G49" s="373">
        <f t="shared" si="1"/>
        <v>50</v>
      </c>
      <c r="H49" s="374">
        <f t="shared" si="2"/>
        <v>0</v>
      </c>
      <c r="I49" s="374">
        <f t="shared" si="12"/>
        <v>0</v>
      </c>
      <c r="J49" s="374">
        <f t="shared" si="13"/>
        <v>0</v>
      </c>
      <c r="K49" s="374">
        <f t="shared" si="14"/>
        <v>0</v>
      </c>
      <c r="L49" s="374">
        <f t="shared" si="15"/>
        <v>0</v>
      </c>
      <c r="M49" s="374">
        <f t="shared" si="16"/>
        <v>0</v>
      </c>
      <c r="N49" s="374">
        <f t="shared" si="17"/>
        <v>0</v>
      </c>
      <c r="O49" s="374">
        <f t="shared" si="18"/>
        <v>0</v>
      </c>
      <c r="P49" s="375">
        <f t="shared" si="11"/>
        <v>0</v>
      </c>
      <c r="R49" s="376"/>
    </row>
    <row r="50" spans="1:18" ht="15" customHeight="1" x14ac:dyDescent="0.2">
      <c r="A50" s="368">
        <v>30</v>
      </c>
      <c r="B50" s="369"/>
      <c r="C50" s="370">
        <f t="shared" si="10"/>
        <v>0</v>
      </c>
      <c r="D50" s="371"/>
      <c r="E50" s="370">
        <f t="shared" si="0"/>
        <v>0</v>
      </c>
      <c r="F50" s="372"/>
      <c r="G50" s="373">
        <f t="shared" si="1"/>
        <v>60</v>
      </c>
      <c r="H50" s="374">
        <f t="shared" si="2"/>
        <v>0</v>
      </c>
      <c r="I50" s="374">
        <f t="shared" si="12"/>
        <v>0</v>
      </c>
      <c r="J50" s="374">
        <f t="shared" si="13"/>
        <v>0</v>
      </c>
      <c r="K50" s="374">
        <f t="shared" si="14"/>
        <v>0</v>
      </c>
      <c r="L50" s="374">
        <f t="shared" si="15"/>
        <v>0</v>
      </c>
      <c r="M50" s="374">
        <f t="shared" si="16"/>
        <v>0</v>
      </c>
      <c r="N50" s="374">
        <f t="shared" si="17"/>
        <v>0</v>
      </c>
      <c r="O50" s="374">
        <f t="shared" si="18"/>
        <v>0</v>
      </c>
      <c r="P50" s="375">
        <f t="shared" si="11"/>
        <v>0</v>
      </c>
      <c r="R50" s="376"/>
    </row>
    <row r="51" spans="1:18" ht="15" customHeight="1" x14ac:dyDescent="0.2">
      <c r="A51" s="368">
        <v>35</v>
      </c>
      <c r="B51" s="369"/>
      <c r="C51" s="370">
        <f t="shared" si="10"/>
        <v>0</v>
      </c>
      <c r="D51" s="371"/>
      <c r="E51" s="370">
        <f t="shared" si="0"/>
        <v>0</v>
      </c>
      <c r="F51" s="372"/>
      <c r="G51" s="373">
        <f t="shared" si="1"/>
        <v>70</v>
      </c>
      <c r="H51" s="374">
        <f t="shared" si="2"/>
        <v>0</v>
      </c>
      <c r="I51" s="374">
        <f t="shared" si="12"/>
        <v>0</v>
      </c>
      <c r="J51" s="374">
        <f t="shared" si="13"/>
        <v>0</v>
      </c>
      <c r="K51" s="374">
        <f t="shared" si="14"/>
        <v>0</v>
      </c>
      <c r="L51" s="374">
        <f t="shared" si="15"/>
        <v>0</v>
      </c>
      <c r="M51" s="374">
        <f t="shared" si="16"/>
        <v>0</v>
      </c>
      <c r="N51" s="374">
        <f t="shared" si="17"/>
        <v>0</v>
      </c>
      <c r="O51" s="374">
        <f t="shared" si="18"/>
        <v>0</v>
      </c>
      <c r="P51" s="375">
        <f t="shared" si="11"/>
        <v>0</v>
      </c>
      <c r="R51" s="376"/>
    </row>
    <row r="52" spans="1:18" ht="15" customHeight="1" x14ac:dyDescent="0.2">
      <c r="A52" s="368">
        <v>40</v>
      </c>
      <c r="B52" s="369"/>
      <c r="C52" s="370">
        <f t="shared" si="10"/>
        <v>0</v>
      </c>
      <c r="D52" s="371"/>
      <c r="E52" s="370">
        <f t="shared" si="0"/>
        <v>0</v>
      </c>
      <c r="F52" s="372"/>
      <c r="G52" s="373">
        <f t="shared" si="1"/>
        <v>80</v>
      </c>
      <c r="H52" s="374">
        <f t="shared" si="2"/>
        <v>0</v>
      </c>
      <c r="I52" s="374">
        <f t="shared" si="12"/>
        <v>0</v>
      </c>
      <c r="J52" s="374">
        <f t="shared" si="13"/>
        <v>0</v>
      </c>
      <c r="K52" s="374">
        <f t="shared" si="14"/>
        <v>0</v>
      </c>
      <c r="L52" s="374">
        <f t="shared" si="15"/>
        <v>0</v>
      </c>
      <c r="M52" s="374">
        <f t="shared" si="16"/>
        <v>0</v>
      </c>
      <c r="N52" s="374">
        <f t="shared" si="17"/>
        <v>0</v>
      </c>
      <c r="O52" s="374">
        <f t="shared" si="18"/>
        <v>0</v>
      </c>
      <c r="P52" s="375">
        <f t="shared" si="11"/>
        <v>0</v>
      </c>
      <c r="R52" s="376"/>
    </row>
    <row r="53" spans="1:18" ht="15" customHeight="1" x14ac:dyDescent="0.2">
      <c r="A53" s="368">
        <v>45</v>
      </c>
      <c r="B53" s="369"/>
      <c r="C53" s="370">
        <f t="shared" si="10"/>
        <v>0</v>
      </c>
      <c r="D53" s="371"/>
      <c r="E53" s="370">
        <f t="shared" si="0"/>
        <v>0</v>
      </c>
      <c r="F53" s="372"/>
      <c r="G53" s="373">
        <f t="shared" si="1"/>
        <v>90</v>
      </c>
      <c r="H53" s="374">
        <f t="shared" si="2"/>
        <v>0</v>
      </c>
      <c r="I53" s="374">
        <f t="shared" si="12"/>
        <v>0</v>
      </c>
      <c r="J53" s="374">
        <f t="shared" si="13"/>
        <v>0</v>
      </c>
      <c r="K53" s="374">
        <f t="shared" si="14"/>
        <v>0</v>
      </c>
      <c r="L53" s="374">
        <f t="shared" si="15"/>
        <v>0</v>
      </c>
      <c r="M53" s="374">
        <f t="shared" si="16"/>
        <v>0</v>
      </c>
      <c r="N53" s="374">
        <f t="shared" si="17"/>
        <v>0</v>
      </c>
      <c r="O53" s="374">
        <f t="shared" si="18"/>
        <v>0</v>
      </c>
      <c r="P53" s="375">
        <f t="shared" si="11"/>
        <v>0</v>
      </c>
      <c r="R53" s="376"/>
    </row>
    <row r="54" spans="1:18" ht="15" customHeight="1" x14ac:dyDescent="0.2">
      <c r="A54" s="368">
        <v>50</v>
      </c>
      <c r="B54" s="369"/>
      <c r="C54" s="370">
        <f t="shared" si="10"/>
        <v>0</v>
      </c>
      <c r="D54" s="371"/>
      <c r="E54" s="370">
        <f t="shared" si="0"/>
        <v>0</v>
      </c>
      <c r="F54" s="372"/>
      <c r="G54" s="373">
        <f t="shared" si="1"/>
        <v>100</v>
      </c>
      <c r="H54" s="374">
        <f t="shared" si="2"/>
        <v>0</v>
      </c>
      <c r="I54" s="374">
        <f t="shared" si="12"/>
        <v>0</v>
      </c>
      <c r="J54" s="374">
        <f t="shared" si="13"/>
        <v>0</v>
      </c>
      <c r="K54" s="374">
        <f t="shared" si="14"/>
        <v>0</v>
      </c>
      <c r="L54" s="374">
        <f t="shared" si="15"/>
        <v>0</v>
      </c>
      <c r="M54" s="374">
        <f t="shared" si="16"/>
        <v>0</v>
      </c>
      <c r="N54" s="374">
        <f t="shared" si="17"/>
        <v>0</v>
      </c>
      <c r="O54" s="374">
        <f t="shared" si="18"/>
        <v>0</v>
      </c>
      <c r="P54" s="375">
        <f t="shared" si="11"/>
        <v>0</v>
      </c>
      <c r="R54" s="376"/>
    </row>
    <row r="55" spans="1:18" ht="15" customHeight="1" x14ac:dyDescent="0.2">
      <c r="A55" s="368">
        <v>55</v>
      </c>
      <c r="B55" s="369"/>
      <c r="C55" s="370">
        <f t="shared" si="10"/>
        <v>0</v>
      </c>
      <c r="D55" s="371"/>
      <c r="E55" s="370">
        <f t="shared" si="0"/>
        <v>0</v>
      </c>
      <c r="F55" s="372"/>
      <c r="G55" s="373">
        <f t="shared" si="1"/>
        <v>110</v>
      </c>
      <c r="H55" s="374">
        <f t="shared" si="2"/>
        <v>0</v>
      </c>
      <c r="I55" s="374">
        <f t="shared" si="12"/>
        <v>0</v>
      </c>
      <c r="J55" s="374">
        <f t="shared" si="13"/>
        <v>0</v>
      </c>
      <c r="K55" s="374">
        <f t="shared" si="14"/>
        <v>0</v>
      </c>
      <c r="L55" s="374">
        <f t="shared" si="15"/>
        <v>0</v>
      </c>
      <c r="M55" s="374">
        <f t="shared" si="16"/>
        <v>0</v>
      </c>
      <c r="N55" s="374">
        <f t="shared" si="17"/>
        <v>0</v>
      </c>
      <c r="O55" s="374">
        <f t="shared" si="18"/>
        <v>0</v>
      </c>
      <c r="P55" s="375">
        <f t="shared" si="11"/>
        <v>0</v>
      </c>
      <c r="R55" s="376"/>
    </row>
    <row r="56" spans="1:18" ht="15" customHeight="1" x14ac:dyDescent="0.2">
      <c r="A56" s="368">
        <v>60</v>
      </c>
      <c r="B56" s="369"/>
      <c r="C56" s="370">
        <f t="shared" si="10"/>
        <v>0</v>
      </c>
      <c r="D56" s="371"/>
      <c r="E56" s="370">
        <f t="shared" si="0"/>
        <v>0</v>
      </c>
      <c r="F56" s="372"/>
      <c r="G56" s="373">
        <f t="shared" si="1"/>
        <v>120</v>
      </c>
      <c r="H56" s="374">
        <f t="shared" si="2"/>
        <v>0</v>
      </c>
      <c r="I56" s="374">
        <f t="shared" si="12"/>
        <v>0</v>
      </c>
      <c r="J56" s="374">
        <f t="shared" si="13"/>
        <v>0</v>
      </c>
      <c r="K56" s="374">
        <f t="shared" si="14"/>
        <v>0</v>
      </c>
      <c r="L56" s="374">
        <f t="shared" si="15"/>
        <v>0</v>
      </c>
      <c r="M56" s="374">
        <f t="shared" si="16"/>
        <v>0</v>
      </c>
      <c r="N56" s="374">
        <f t="shared" si="17"/>
        <v>0</v>
      </c>
      <c r="O56" s="374">
        <f t="shared" si="18"/>
        <v>0</v>
      </c>
      <c r="P56" s="375">
        <f t="shared" si="11"/>
        <v>0</v>
      </c>
      <c r="R56" s="376"/>
    </row>
    <row r="57" spans="1:18" ht="15" customHeight="1" x14ac:dyDescent="0.2">
      <c r="A57" s="368">
        <v>65</v>
      </c>
      <c r="B57" s="369"/>
      <c r="C57" s="370">
        <f t="shared" si="10"/>
        <v>0</v>
      </c>
      <c r="D57" s="371"/>
      <c r="E57" s="370">
        <f t="shared" si="0"/>
        <v>0</v>
      </c>
      <c r="F57" s="372"/>
      <c r="G57" s="373">
        <f t="shared" si="1"/>
        <v>130</v>
      </c>
      <c r="H57" s="374">
        <f t="shared" si="2"/>
        <v>0</v>
      </c>
      <c r="I57" s="374">
        <f t="shared" si="12"/>
        <v>0</v>
      </c>
      <c r="J57" s="374">
        <f t="shared" si="13"/>
        <v>0</v>
      </c>
      <c r="K57" s="374">
        <f t="shared" si="14"/>
        <v>0</v>
      </c>
      <c r="L57" s="374">
        <f t="shared" si="15"/>
        <v>0</v>
      </c>
      <c r="M57" s="374">
        <f t="shared" si="16"/>
        <v>0</v>
      </c>
      <c r="N57" s="374">
        <f t="shared" si="17"/>
        <v>0</v>
      </c>
      <c r="O57" s="374">
        <f t="shared" si="18"/>
        <v>0</v>
      </c>
      <c r="P57" s="375">
        <f t="shared" si="11"/>
        <v>0</v>
      </c>
      <c r="R57" s="376"/>
    </row>
    <row r="58" spans="1:18" ht="15" customHeight="1" x14ac:dyDescent="0.2">
      <c r="A58" s="368">
        <v>70</v>
      </c>
      <c r="B58" s="369"/>
      <c r="C58" s="370">
        <f t="shared" si="10"/>
        <v>0</v>
      </c>
      <c r="D58" s="371"/>
      <c r="E58" s="370">
        <f t="shared" si="0"/>
        <v>0</v>
      </c>
      <c r="F58" s="372"/>
      <c r="G58" s="373">
        <f t="shared" si="1"/>
        <v>140</v>
      </c>
      <c r="H58" s="374">
        <f t="shared" si="2"/>
        <v>0</v>
      </c>
      <c r="I58" s="374">
        <f t="shared" si="12"/>
        <v>0</v>
      </c>
      <c r="J58" s="374">
        <f t="shared" si="13"/>
        <v>0</v>
      </c>
      <c r="K58" s="374">
        <f t="shared" si="14"/>
        <v>0</v>
      </c>
      <c r="L58" s="374">
        <f t="shared" si="15"/>
        <v>0</v>
      </c>
      <c r="M58" s="374">
        <f t="shared" si="16"/>
        <v>0</v>
      </c>
      <c r="N58" s="374">
        <f t="shared" si="17"/>
        <v>0</v>
      </c>
      <c r="O58" s="374">
        <f t="shared" si="18"/>
        <v>0</v>
      </c>
      <c r="P58" s="375">
        <f t="shared" si="11"/>
        <v>0</v>
      </c>
      <c r="R58" s="376"/>
    </row>
    <row r="59" spans="1:18" ht="15" customHeight="1" x14ac:dyDescent="0.2">
      <c r="A59" s="368">
        <v>75</v>
      </c>
      <c r="B59" s="369"/>
      <c r="C59" s="370">
        <f t="shared" si="10"/>
        <v>0</v>
      </c>
      <c r="D59" s="371"/>
      <c r="E59" s="370">
        <f t="shared" si="0"/>
        <v>0</v>
      </c>
      <c r="F59" s="372"/>
      <c r="G59" s="373">
        <f t="shared" si="1"/>
        <v>150</v>
      </c>
      <c r="H59" s="374">
        <f t="shared" si="2"/>
        <v>0</v>
      </c>
      <c r="I59" s="374">
        <f t="shared" si="12"/>
        <v>0</v>
      </c>
      <c r="J59" s="374">
        <f t="shared" si="13"/>
        <v>0</v>
      </c>
      <c r="K59" s="374">
        <f t="shared" si="14"/>
        <v>0</v>
      </c>
      <c r="L59" s="374">
        <f t="shared" si="15"/>
        <v>0</v>
      </c>
      <c r="M59" s="374">
        <f t="shared" si="16"/>
        <v>0</v>
      </c>
      <c r="N59" s="374">
        <f t="shared" si="17"/>
        <v>0</v>
      </c>
      <c r="O59" s="374">
        <f t="shared" si="18"/>
        <v>0</v>
      </c>
      <c r="P59" s="375">
        <f t="shared" si="11"/>
        <v>0</v>
      </c>
      <c r="R59" s="376"/>
    </row>
    <row r="60" spans="1:18" ht="15" customHeight="1" x14ac:dyDescent="0.2">
      <c r="A60" s="368">
        <v>80</v>
      </c>
      <c r="B60" s="369"/>
      <c r="C60" s="370">
        <f t="shared" si="10"/>
        <v>0</v>
      </c>
      <c r="D60" s="371"/>
      <c r="E60" s="370">
        <f t="shared" si="0"/>
        <v>0</v>
      </c>
      <c r="F60" s="372"/>
      <c r="G60" s="373">
        <f t="shared" si="1"/>
        <v>160</v>
      </c>
      <c r="H60" s="374">
        <f t="shared" si="2"/>
        <v>0</v>
      </c>
      <c r="I60" s="374">
        <f t="shared" si="12"/>
        <v>0</v>
      </c>
      <c r="J60" s="374">
        <f t="shared" si="13"/>
        <v>0</v>
      </c>
      <c r="K60" s="374">
        <f t="shared" si="14"/>
        <v>0</v>
      </c>
      <c r="L60" s="374">
        <f t="shared" si="15"/>
        <v>0</v>
      </c>
      <c r="M60" s="374">
        <f t="shared" si="16"/>
        <v>0</v>
      </c>
      <c r="N60" s="374">
        <f t="shared" si="17"/>
        <v>0</v>
      </c>
      <c r="O60" s="374">
        <f t="shared" si="18"/>
        <v>0</v>
      </c>
      <c r="P60" s="375">
        <f t="shared" si="11"/>
        <v>0</v>
      </c>
      <c r="R60" s="376"/>
    </row>
    <row r="61" spans="1:18" ht="15" customHeight="1" x14ac:dyDescent="0.2">
      <c r="A61" s="368">
        <v>85</v>
      </c>
      <c r="B61" s="369"/>
      <c r="C61" s="370">
        <f t="shared" si="10"/>
        <v>0</v>
      </c>
      <c r="D61" s="371"/>
      <c r="E61" s="370">
        <f t="shared" si="0"/>
        <v>0</v>
      </c>
      <c r="F61" s="372"/>
      <c r="G61" s="373">
        <f t="shared" si="1"/>
        <v>170</v>
      </c>
      <c r="H61" s="374">
        <f t="shared" si="2"/>
        <v>0</v>
      </c>
      <c r="I61" s="374">
        <f t="shared" si="12"/>
        <v>0</v>
      </c>
      <c r="J61" s="374">
        <f t="shared" si="13"/>
        <v>0</v>
      </c>
      <c r="K61" s="374">
        <f t="shared" si="14"/>
        <v>0</v>
      </c>
      <c r="L61" s="374">
        <f t="shared" si="15"/>
        <v>0</v>
      </c>
      <c r="M61" s="374">
        <f t="shared" si="16"/>
        <v>0</v>
      </c>
      <c r="N61" s="374">
        <f t="shared" si="17"/>
        <v>0</v>
      </c>
      <c r="O61" s="374">
        <f t="shared" si="18"/>
        <v>0</v>
      </c>
      <c r="P61" s="375">
        <f t="shared" si="11"/>
        <v>0</v>
      </c>
      <c r="R61" s="376"/>
    </row>
    <row r="62" spans="1:18" ht="15" customHeight="1" x14ac:dyDescent="0.2">
      <c r="A62" s="368">
        <v>90</v>
      </c>
      <c r="B62" s="369"/>
      <c r="C62" s="370">
        <f t="shared" si="10"/>
        <v>0</v>
      </c>
      <c r="D62" s="371"/>
      <c r="E62" s="370">
        <f t="shared" si="0"/>
        <v>0</v>
      </c>
      <c r="F62" s="372"/>
      <c r="G62" s="373">
        <f t="shared" si="1"/>
        <v>180</v>
      </c>
      <c r="H62" s="374">
        <f t="shared" si="2"/>
        <v>0</v>
      </c>
      <c r="I62" s="374">
        <f t="shared" si="12"/>
        <v>0</v>
      </c>
      <c r="J62" s="374">
        <f t="shared" si="13"/>
        <v>0</v>
      </c>
      <c r="K62" s="374">
        <f t="shared" si="14"/>
        <v>0</v>
      </c>
      <c r="L62" s="374">
        <f t="shared" si="15"/>
        <v>0</v>
      </c>
      <c r="M62" s="374">
        <f t="shared" si="16"/>
        <v>0</v>
      </c>
      <c r="N62" s="374">
        <f t="shared" si="17"/>
        <v>0</v>
      </c>
      <c r="O62" s="374">
        <f t="shared" si="18"/>
        <v>0</v>
      </c>
      <c r="P62" s="375">
        <f t="shared" si="11"/>
        <v>0</v>
      </c>
      <c r="R62" s="376"/>
    </row>
    <row r="63" spans="1:18" ht="15" customHeight="1" x14ac:dyDescent="0.2">
      <c r="A63" s="368">
        <v>95</v>
      </c>
      <c r="B63" s="369"/>
      <c r="C63" s="370">
        <f t="shared" si="10"/>
        <v>0</v>
      </c>
      <c r="D63" s="371"/>
      <c r="E63" s="370">
        <f t="shared" si="0"/>
        <v>0</v>
      </c>
      <c r="F63" s="372"/>
      <c r="G63" s="373">
        <f t="shared" si="1"/>
        <v>190</v>
      </c>
      <c r="H63" s="374">
        <f t="shared" si="2"/>
        <v>0</v>
      </c>
      <c r="I63" s="374">
        <f t="shared" si="12"/>
        <v>0</v>
      </c>
      <c r="J63" s="374">
        <f t="shared" si="13"/>
        <v>0</v>
      </c>
      <c r="K63" s="374">
        <f t="shared" si="14"/>
        <v>0</v>
      </c>
      <c r="L63" s="374">
        <f t="shared" si="15"/>
        <v>0</v>
      </c>
      <c r="M63" s="374">
        <f t="shared" si="16"/>
        <v>0</v>
      </c>
      <c r="N63" s="374">
        <f t="shared" si="17"/>
        <v>0</v>
      </c>
      <c r="O63" s="374">
        <f t="shared" si="18"/>
        <v>0</v>
      </c>
      <c r="P63" s="375">
        <f t="shared" si="11"/>
        <v>0</v>
      </c>
      <c r="R63" s="376"/>
    </row>
    <row r="64" spans="1:18" ht="15" customHeight="1" x14ac:dyDescent="0.2">
      <c r="A64" s="368">
        <v>100</v>
      </c>
      <c r="B64" s="369"/>
      <c r="C64" s="370">
        <f t="shared" si="10"/>
        <v>0</v>
      </c>
      <c r="D64" s="371"/>
      <c r="E64" s="370">
        <f t="shared" si="0"/>
        <v>0</v>
      </c>
      <c r="F64" s="372"/>
      <c r="G64" s="373">
        <f t="shared" si="1"/>
        <v>200</v>
      </c>
      <c r="H64" s="374">
        <f t="shared" si="2"/>
        <v>0</v>
      </c>
      <c r="I64" s="374">
        <f t="shared" si="12"/>
        <v>0</v>
      </c>
      <c r="J64" s="374">
        <f t="shared" si="13"/>
        <v>0</v>
      </c>
      <c r="K64" s="374">
        <f t="shared" si="14"/>
        <v>0</v>
      </c>
      <c r="L64" s="374">
        <f t="shared" si="15"/>
        <v>0</v>
      </c>
      <c r="M64" s="374">
        <f t="shared" si="16"/>
        <v>0</v>
      </c>
      <c r="N64" s="374">
        <f t="shared" si="17"/>
        <v>0</v>
      </c>
      <c r="O64" s="374">
        <f t="shared" si="18"/>
        <v>0</v>
      </c>
      <c r="P64" s="375">
        <f t="shared" si="11"/>
        <v>0</v>
      </c>
      <c r="R64" s="376"/>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46" customWidth="1"/>
    <col min="2" max="4" width="10.7109375" style="346" customWidth="1"/>
    <col min="5" max="5" width="13.85546875" style="346" bestFit="1" customWidth="1"/>
    <col min="6" max="6" width="10.7109375" style="346" customWidth="1"/>
    <col min="7" max="7" width="9.42578125" style="346" customWidth="1"/>
    <col min="8" max="8" width="10.5703125" style="346" customWidth="1"/>
    <col min="9" max="9" width="13.7109375" style="346" customWidth="1"/>
    <col min="10" max="11" width="10.42578125" style="346" customWidth="1"/>
    <col min="12" max="12" width="10.28515625" style="346" customWidth="1"/>
    <col min="13" max="13" width="9.42578125" style="346" customWidth="1"/>
    <col min="14" max="14" width="8.7109375" style="346" customWidth="1"/>
    <col min="15" max="15" width="13.28515625" style="346" bestFit="1" customWidth="1"/>
    <col min="16" max="16" width="10.28515625" style="346" customWidth="1"/>
    <col min="17" max="256" width="11.42578125" style="346"/>
    <col min="257" max="257" width="7" style="346" customWidth="1"/>
    <col min="258" max="258" width="10.7109375" style="346" customWidth="1"/>
    <col min="259" max="259" width="10.5703125" style="346" customWidth="1"/>
    <col min="260" max="260" width="10.7109375" style="346" customWidth="1"/>
    <col min="261" max="261" width="10.28515625" style="346" customWidth="1"/>
    <col min="262" max="262" width="10.7109375" style="346" customWidth="1"/>
    <col min="263" max="263" width="9.42578125" style="346" customWidth="1"/>
    <col min="264" max="264" width="10.5703125" style="346" customWidth="1"/>
    <col min="265" max="265" width="13.7109375" style="346" customWidth="1"/>
    <col min="266" max="267" width="10.42578125" style="346" customWidth="1"/>
    <col min="268" max="268" width="10.28515625" style="346" customWidth="1"/>
    <col min="269" max="269" width="9.42578125" style="346" customWidth="1"/>
    <col min="270" max="270" width="8.7109375" style="346" customWidth="1"/>
    <col min="271" max="271" width="10.42578125" style="346" customWidth="1"/>
    <col min="272" max="272" width="10.28515625" style="346" customWidth="1"/>
    <col min="273" max="512" width="11.42578125" style="346"/>
    <col min="513" max="513" width="7" style="346" customWidth="1"/>
    <col min="514" max="514" width="10.7109375" style="346" customWidth="1"/>
    <col min="515" max="515" width="10.5703125" style="346" customWidth="1"/>
    <col min="516" max="516" width="10.7109375" style="346" customWidth="1"/>
    <col min="517" max="517" width="10.28515625" style="346" customWidth="1"/>
    <col min="518" max="518" width="10.7109375" style="346" customWidth="1"/>
    <col min="519" max="519" width="9.42578125" style="346" customWidth="1"/>
    <col min="520" max="520" width="10.5703125" style="346" customWidth="1"/>
    <col min="521" max="521" width="13.7109375" style="346" customWidth="1"/>
    <col min="522" max="523" width="10.42578125" style="346" customWidth="1"/>
    <col min="524" max="524" width="10.28515625" style="346" customWidth="1"/>
    <col min="525" max="525" width="9.42578125" style="346" customWidth="1"/>
    <col min="526" max="526" width="8.7109375" style="346" customWidth="1"/>
    <col min="527" max="527" width="10.42578125" style="346" customWidth="1"/>
    <col min="528" max="528" width="10.28515625" style="346" customWidth="1"/>
    <col min="529" max="768" width="11.42578125" style="346"/>
    <col min="769" max="769" width="7" style="346" customWidth="1"/>
    <col min="770" max="770" width="10.7109375" style="346" customWidth="1"/>
    <col min="771" max="771" width="10.5703125" style="346" customWidth="1"/>
    <col min="772" max="772" width="10.7109375" style="346" customWidth="1"/>
    <col min="773" max="773" width="10.28515625" style="346" customWidth="1"/>
    <col min="774" max="774" width="10.7109375" style="346" customWidth="1"/>
    <col min="775" max="775" width="9.42578125" style="346" customWidth="1"/>
    <col min="776" max="776" width="10.5703125" style="346" customWidth="1"/>
    <col min="777" max="777" width="13.7109375" style="346" customWidth="1"/>
    <col min="778" max="779" width="10.42578125" style="346" customWidth="1"/>
    <col min="780" max="780" width="10.28515625" style="346" customWidth="1"/>
    <col min="781" max="781" width="9.42578125" style="346" customWidth="1"/>
    <col min="782" max="782" width="8.7109375" style="346" customWidth="1"/>
    <col min="783" max="783" width="10.42578125" style="346" customWidth="1"/>
    <col min="784" max="784" width="10.28515625" style="346" customWidth="1"/>
    <col min="785" max="1024" width="11.42578125" style="346"/>
    <col min="1025" max="1025" width="7" style="346" customWidth="1"/>
    <col min="1026" max="1026" width="10.7109375" style="346" customWidth="1"/>
    <col min="1027" max="1027" width="10.5703125" style="346" customWidth="1"/>
    <col min="1028" max="1028" width="10.7109375" style="346" customWidth="1"/>
    <col min="1029" max="1029" width="10.28515625" style="346" customWidth="1"/>
    <col min="1030" max="1030" width="10.7109375" style="346" customWidth="1"/>
    <col min="1031" max="1031" width="9.42578125" style="346" customWidth="1"/>
    <col min="1032" max="1032" width="10.5703125" style="346" customWidth="1"/>
    <col min="1033" max="1033" width="13.7109375" style="346" customWidth="1"/>
    <col min="1034" max="1035" width="10.42578125" style="346" customWidth="1"/>
    <col min="1036" max="1036" width="10.28515625" style="346" customWidth="1"/>
    <col min="1037" max="1037" width="9.42578125" style="346" customWidth="1"/>
    <col min="1038" max="1038" width="8.7109375" style="346" customWidth="1"/>
    <col min="1039" max="1039" width="10.42578125" style="346" customWidth="1"/>
    <col min="1040" max="1040" width="10.28515625" style="346" customWidth="1"/>
    <col min="1041" max="1280" width="11.42578125" style="346"/>
    <col min="1281" max="1281" width="7" style="346" customWidth="1"/>
    <col min="1282" max="1282" width="10.7109375" style="346" customWidth="1"/>
    <col min="1283" max="1283" width="10.5703125" style="346" customWidth="1"/>
    <col min="1284" max="1284" width="10.7109375" style="346" customWidth="1"/>
    <col min="1285" max="1285" width="10.28515625" style="346" customWidth="1"/>
    <col min="1286" max="1286" width="10.7109375" style="346" customWidth="1"/>
    <col min="1287" max="1287" width="9.42578125" style="346" customWidth="1"/>
    <col min="1288" max="1288" width="10.5703125" style="346" customWidth="1"/>
    <col min="1289" max="1289" width="13.7109375" style="346" customWidth="1"/>
    <col min="1290" max="1291" width="10.42578125" style="346" customWidth="1"/>
    <col min="1292" max="1292" width="10.28515625" style="346" customWidth="1"/>
    <col min="1293" max="1293" width="9.42578125" style="346" customWidth="1"/>
    <col min="1294" max="1294" width="8.7109375" style="346" customWidth="1"/>
    <col min="1295" max="1295" width="10.42578125" style="346" customWidth="1"/>
    <col min="1296" max="1296" width="10.28515625" style="346" customWidth="1"/>
    <col min="1297" max="1536" width="11.42578125" style="346"/>
    <col min="1537" max="1537" width="7" style="346" customWidth="1"/>
    <col min="1538" max="1538" width="10.7109375" style="346" customWidth="1"/>
    <col min="1539" max="1539" width="10.5703125" style="346" customWidth="1"/>
    <col min="1540" max="1540" width="10.7109375" style="346" customWidth="1"/>
    <col min="1541" max="1541" width="10.28515625" style="346" customWidth="1"/>
    <col min="1542" max="1542" width="10.7109375" style="346" customWidth="1"/>
    <col min="1543" max="1543" width="9.42578125" style="346" customWidth="1"/>
    <col min="1544" max="1544" width="10.5703125" style="346" customWidth="1"/>
    <col min="1545" max="1545" width="13.7109375" style="346" customWidth="1"/>
    <col min="1546" max="1547" width="10.42578125" style="346" customWidth="1"/>
    <col min="1548" max="1548" width="10.28515625" style="346" customWidth="1"/>
    <col min="1549" max="1549" width="9.42578125" style="346" customWidth="1"/>
    <col min="1550" max="1550" width="8.7109375" style="346" customWidth="1"/>
    <col min="1551" max="1551" width="10.42578125" style="346" customWidth="1"/>
    <col min="1552" max="1552" width="10.28515625" style="346" customWidth="1"/>
    <col min="1553" max="1792" width="11.42578125" style="346"/>
    <col min="1793" max="1793" width="7" style="346" customWidth="1"/>
    <col min="1794" max="1794" width="10.7109375" style="346" customWidth="1"/>
    <col min="1795" max="1795" width="10.5703125" style="346" customWidth="1"/>
    <col min="1796" max="1796" width="10.7109375" style="346" customWidth="1"/>
    <col min="1797" max="1797" width="10.28515625" style="346" customWidth="1"/>
    <col min="1798" max="1798" width="10.7109375" style="346" customWidth="1"/>
    <col min="1799" max="1799" width="9.42578125" style="346" customWidth="1"/>
    <col min="1800" max="1800" width="10.5703125" style="346" customWidth="1"/>
    <col min="1801" max="1801" width="13.7109375" style="346" customWidth="1"/>
    <col min="1802" max="1803" width="10.42578125" style="346" customWidth="1"/>
    <col min="1804" max="1804" width="10.28515625" style="346" customWidth="1"/>
    <col min="1805" max="1805" width="9.42578125" style="346" customWidth="1"/>
    <col min="1806" max="1806" width="8.7109375" style="346" customWidth="1"/>
    <col min="1807" max="1807" width="10.42578125" style="346" customWidth="1"/>
    <col min="1808" max="1808" width="10.28515625" style="346" customWidth="1"/>
    <col min="1809" max="2048" width="11.42578125" style="346"/>
    <col min="2049" max="2049" width="7" style="346" customWidth="1"/>
    <col min="2050" max="2050" width="10.7109375" style="346" customWidth="1"/>
    <col min="2051" max="2051" width="10.5703125" style="346" customWidth="1"/>
    <col min="2052" max="2052" width="10.7109375" style="346" customWidth="1"/>
    <col min="2053" max="2053" width="10.28515625" style="346" customWidth="1"/>
    <col min="2054" max="2054" width="10.7109375" style="346" customWidth="1"/>
    <col min="2055" max="2055" width="9.42578125" style="346" customWidth="1"/>
    <col min="2056" max="2056" width="10.5703125" style="346" customWidth="1"/>
    <col min="2057" max="2057" width="13.7109375" style="346" customWidth="1"/>
    <col min="2058" max="2059" width="10.42578125" style="346" customWidth="1"/>
    <col min="2060" max="2060" width="10.28515625" style="346" customWidth="1"/>
    <col min="2061" max="2061" width="9.42578125" style="346" customWidth="1"/>
    <col min="2062" max="2062" width="8.7109375" style="346" customWidth="1"/>
    <col min="2063" max="2063" width="10.42578125" style="346" customWidth="1"/>
    <col min="2064" max="2064" width="10.28515625" style="346" customWidth="1"/>
    <col min="2065" max="2304" width="11.42578125" style="346"/>
    <col min="2305" max="2305" width="7" style="346" customWidth="1"/>
    <col min="2306" max="2306" width="10.7109375" style="346" customWidth="1"/>
    <col min="2307" max="2307" width="10.5703125" style="346" customWidth="1"/>
    <col min="2308" max="2308" width="10.7109375" style="346" customWidth="1"/>
    <col min="2309" max="2309" width="10.28515625" style="346" customWidth="1"/>
    <col min="2310" max="2310" width="10.7109375" style="346" customWidth="1"/>
    <col min="2311" max="2311" width="9.42578125" style="346" customWidth="1"/>
    <col min="2312" max="2312" width="10.5703125" style="346" customWidth="1"/>
    <col min="2313" max="2313" width="13.7109375" style="346" customWidth="1"/>
    <col min="2314" max="2315" width="10.42578125" style="346" customWidth="1"/>
    <col min="2316" max="2316" width="10.28515625" style="346" customWidth="1"/>
    <col min="2317" max="2317" width="9.42578125" style="346" customWidth="1"/>
    <col min="2318" max="2318" width="8.7109375" style="346" customWidth="1"/>
    <col min="2319" max="2319" width="10.42578125" style="346" customWidth="1"/>
    <col min="2320" max="2320" width="10.28515625" style="346" customWidth="1"/>
    <col min="2321" max="2560" width="11.42578125" style="346"/>
    <col min="2561" max="2561" width="7" style="346" customWidth="1"/>
    <col min="2562" max="2562" width="10.7109375" style="346" customWidth="1"/>
    <col min="2563" max="2563" width="10.5703125" style="346" customWidth="1"/>
    <col min="2564" max="2564" width="10.7109375" style="346" customWidth="1"/>
    <col min="2565" max="2565" width="10.28515625" style="346" customWidth="1"/>
    <col min="2566" max="2566" width="10.7109375" style="346" customWidth="1"/>
    <col min="2567" max="2567" width="9.42578125" style="346" customWidth="1"/>
    <col min="2568" max="2568" width="10.5703125" style="346" customWidth="1"/>
    <col min="2569" max="2569" width="13.7109375" style="346" customWidth="1"/>
    <col min="2570" max="2571" width="10.42578125" style="346" customWidth="1"/>
    <col min="2572" max="2572" width="10.28515625" style="346" customWidth="1"/>
    <col min="2573" max="2573" width="9.42578125" style="346" customWidth="1"/>
    <col min="2574" max="2574" width="8.7109375" style="346" customWidth="1"/>
    <col min="2575" max="2575" width="10.42578125" style="346" customWidth="1"/>
    <col min="2576" max="2576" width="10.28515625" style="346" customWidth="1"/>
    <col min="2577" max="2816" width="11.42578125" style="346"/>
    <col min="2817" max="2817" width="7" style="346" customWidth="1"/>
    <col min="2818" max="2818" width="10.7109375" style="346" customWidth="1"/>
    <col min="2819" max="2819" width="10.5703125" style="346" customWidth="1"/>
    <col min="2820" max="2820" width="10.7109375" style="346" customWidth="1"/>
    <col min="2821" max="2821" width="10.28515625" style="346" customWidth="1"/>
    <col min="2822" max="2822" width="10.7109375" style="346" customWidth="1"/>
    <col min="2823" max="2823" width="9.42578125" style="346" customWidth="1"/>
    <col min="2824" max="2824" width="10.5703125" style="346" customWidth="1"/>
    <col min="2825" max="2825" width="13.7109375" style="346" customWidth="1"/>
    <col min="2826" max="2827" width="10.42578125" style="346" customWidth="1"/>
    <col min="2828" max="2828" width="10.28515625" style="346" customWidth="1"/>
    <col min="2829" max="2829" width="9.42578125" style="346" customWidth="1"/>
    <col min="2830" max="2830" width="8.7109375" style="346" customWidth="1"/>
    <col min="2831" max="2831" width="10.42578125" style="346" customWidth="1"/>
    <col min="2832" max="2832" width="10.28515625" style="346" customWidth="1"/>
    <col min="2833" max="3072" width="11.42578125" style="346"/>
    <col min="3073" max="3073" width="7" style="346" customWidth="1"/>
    <col min="3074" max="3074" width="10.7109375" style="346" customWidth="1"/>
    <col min="3075" max="3075" width="10.5703125" style="346" customWidth="1"/>
    <col min="3076" max="3076" width="10.7109375" style="346" customWidth="1"/>
    <col min="3077" max="3077" width="10.28515625" style="346" customWidth="1"/>
    <col min="3078" max="3078" width="10.7109375" style="346" customWidth="1"/>
    <col min="3079" max="3079" width="9.42578125" style="346" customWidth="1"/>
    <col min="3080" max="3080" width="10.5703125" style="346" customWidth="1"/>
    <col min="3081" max="3081" width="13.7109375" style="346" customWidth="1"/>
    <col min="3082" max="3083" width="10.42578125" style="346" customWidth="1"/>
    <col min="3084" max="3084" width="10.28515625" style="346" customWidth="1"/>
    <col min="3085" max="3085" width="9.42578125" style="346" customWidth="1"/>
    <col min="3086" max="3086" width="8.7109375" style="346" customWidth="1"/>
    <col min="3087" max="3087" width="10.42578125" style="346" customWidth="1"/>
    <col min="3088" max="3088" width="10.28515625" style="346" customWidth="1"/>
    <col min="3089" max="3328" width="11.42578125" style="346"/>
    <col min="3329" max="3329" width="7" style="346" customWidth="1"/>
    <col min="3330" max="3330" width="10.7109375" style="346" customWidth="1"/>
    <col min="3331" max="3331" width="10.5703125" style="346" customWidth="1"/>
    <col min="3332" max="3332" width="10.7109375" style="346" customWidth="1"/>
    <col min="3333" max="3333" width="10.28515625" style="346" customWidth="1"/>
    <col min="3334" max="3334" width="10.7109375" style="346" customWidth="1"/>
    <col min="3335" max="3335" width="9.42578125" style="346" customWidth="1"/>
    <col min="3336" max="3336" width="10.5703125" style="346" customWidth="1"/>
    <col min="3337" max="3337" width="13.7109375" style="346" customWidth="1"/>
    <col min="3338" max="3339" width="10.42578125" style="346" customWidth="1"/>
    <col min="3340" max="3340" width="10.28515625" style="346" customWidth="1"/>
    <col min="3341" max="3341" width="9.42578125" style="346" customWidth="1"/>
    <col min="3342" max="3342" width="8.7109375" style="346" customWidth="1"/>
    <col min="3343" max="3343" width="10.42578125" style="346" customWidth="1"/>
    <col min="3344" max="3344" width="10.28515625" style="346" customWidth="1"/>
    <col min="3345" max="3584" width="11.42578125" style="346"/>
    <col min="3585" max="3585" width="7" style="346" customWidth="1"/>
    <col min="3586" max="3586" width="10.7109375" style="346" customWidth="1"/>
    <col min="3587" max="3587" width="10.5703125" style="346" customWidth="1"/>
    <col min="3588" max="3588" width="10.7109375" style="346" customWidth="1"/>
    <col min="3589" max="3589" width="10.28515625" style="346" customWidth="1"/>
    <col min="3590" max="3590" width="10.7109375" style="346" customWidth="1"/>
    <col min="3591" max="3591" width="9.42578125" style="346" customWidth="1"/>
    <col min="3592" max="3592" width="10.5703125" style="346" customWidth="1"/>
    <col min="3593" max="3593" width="13.7109375" style="346" customWidth="1"/>
    <col min="3594" max="3595" width="10.42578125" style="346" customWidth="1"/>
    <col min="3596" max="3596" width="10.28515625" style="346" customWidth="1"/>
    <col min="3597" max="3597" width="9.42578125" style="346" customWidth="1"/>
    <col min="3598" max="3598" width="8.7109375" style="346" customWidth="1"/>
    <col min="3599" max="3599" width="10.42578125" style="346" customWidth="1"/>
    <col min="3600" max="3600" width="10.28515625" style="346" customWidth="1"/>
    <col min="3601" max="3840" width="11.42578125" style="346"/>
    <col min="3841" max="3841" width="7" style="346" customWidth="1"/>
    <col min="3842" max="3842" width="10.7109375" style="346" customWidth="1"/>
    <col min="3843" max="3843" width="10.5703125" style="346" customWidth="1"/>
    <col min="3844" max="3844" width="10.7109375" style="346" customWidth="1"/>
    <col min="3845" max="3845" width="10.28515625" style="346" customWidth="1"/>
    <col min="3846" max="3846" width="10.7109375" style="346" customWidth="1"/>
    <col min="3847" max="3847" width="9.42578125" style="346" customWidth="1"/>
    <col min="3848" max="3848" width="10.5703125" style="346" customWidth="1"/>
    <col min="3849" max="3849" width="13.7109375" style="346" customWidth="1"/>
    <col min="3850" max="3851" width="10.42578125" style="346" customWidth="1"/>
    <col min="3852" max="3852" width="10.28515625" style="346" customWidth="1"/>
    <col min="3853" max="3853" width="9.42578125" style="346" customWidth="1"/>
    <col min="3854" max="3854" width="8.7109375" style="346" customWidth="1"/>
    <col min="3855" max="3855" width="10.42578125" style="346" customWidth="1"/>
    <col min="3856" max="3856" width="10.28515625" style="346" customWidth="1"/>
    <col min="3857" max="4096" width="11.42578125" style="346"/>
    <col min="4097" max="4097" width="7" style="346" customWidth="1"/>
    <col min="4098" max="4098" width="10.7109375" style="346" customWidth="1"/>
    <col min="4099" max="4099" width="10.5703125" style="346" customWidth="1"/>
    <col min="4100" max="4100" width="10.7109375" style="346" customWidth="1"/>
    <col min="4101" max="4101" width="10.28515625" style="346" customWidth="1"/>
    <col min="4102" max="4102" width="10.7109375" style="346" customWidth="1"/>
    <col min="4103" max="4103" width="9.42578125" style="346" customWidth="1"/>
    <col min="4104" max="4104" width="10.5703125" style="346" customWidth="1"/>
    <col min="4105" max="4105" width="13.7109375" style="346" customWidth="1"/>
    <col min="4106" max="4107" width="10.42578125" style="346" customWidth="1"/>
    <col min="4108" max="4108" width="10.28515625" style="346" customWidth="1"/>
    <col min="4109" max="4109" width="9.42578125" style="346" customWidth="1"/>
    <col min="4110" max="4110" width="8.7109375" style="346" customWidth="1"/>
    <col min="4111" max="4111" width="10.42578125" style="346" customWidth="1"/>
    <col min="4112" max="4112" width="10.28515625" style="346" customWidth="1"/>
    <col min="4113" max="4352" width="11.42578125" style="346"/>
    <col min="4353" max="4353" width="7" style="346" customWidth="1"/>
    <col min="4354" max="4354" width="10.7109375" style="346" customWidth="1"/>
    <col min="4355" max="4355" width="10.5703125" style="346" customWidth="1"/>
    <col min="4356" max="4356" width="10.7109375" style="346" customWidth="1"/>
    <col min="4357" max="4357" width="10.28515625" style="346" customWidth="1"/>
    <col min="4358" max="4358" width="10.7109375" style="346" customWidth="1"/>
    <col min="4359" max="4359" width="9.42578125" style="346" customWidth="1"/>
    <col min="4360" max="4360" width="10.5703125" style="346" customWidth="1"/>
    <col min="4361" max="4361" width="13.7109375" style="346" customWidth="1"/>
    <col min="4362" max="4363" width="10.42578125" style="346" customWidth="1"/>
    <col min="4364" max="4364" width="10.28515625" style="346" customWidth="1"/>
    <col min="4365" max="4365" width="9.42578125" style="346" customWidth="1"/>
    <col min="4366" max="4366" width="8.7109375" style="346" customWidth="1"/>
    <col min="4367" max="4367" width="10.42578125" style="346" customWidth="1"/>
    <col min="4368" max="4368" width="10.28515625" style="346" customWidth="1"/>
    <col min="4369" max="4608" width="11.42578125" style="346"/>
    <col min="4609" max="4609" width="7" style="346" customWidth="1"/>
    <col min="4610" max="4610" width="10.7109375" style="346" customWidth="1"/>
    <col min="4611" max="4611" width="10.5703125" style="346" customWidth="1"/>
    <col min="4612" max="4612" width="10.7109375" style="346" customWidth="1"/>
    <col min="4613" max="4613" width="10.28515625" style="346" customWidth="1"/>
    <col min="4614" max="4614" width="10.7109375" style="346" customWidth="1"/>
    <col min="4615" max="4615" width="9.42578125" style="346" customWidth="1"/>
    <col min="4616" max="4616" width="10.5703125" style="346" customWidth="1"/>
    <col min="4617" max="4617" width="13.7109375" style="346" customWidth="1"/>
    <col min="4618" max="4619" width="10.42578125" style="346" customWidth="1"/>
    <col min="4620" max="4620" width="10.28515625" style="346" customWidth="1"/>
    <col min="4621" max="4621" width="9.42578125" style="346" customWidth="1"/>
    <col min="4622" max="4622" width="8.7109375" style="346" customWidth="1"/>
    <col min="4623" max="4623" width="10.42578125" style="346" customWidth="1"/>
    <col min="4624" max="4624" width="10.28515625" style="346" customWidth="1"/>
    <col min="4625" max="4864" width="11.42578125" style="346"/>
    <col min="4865" max="4865" width="7" style="346" customWidth="1"/>
    <col min="4866" max="4866" width="10.7109375" style="346" customWidth="1"/>
    <col min="4867" max="4867" width="10.5703125" style="346" customWidth="1"/>
    <col min="4868" max="4868" width="10.7109375" style="346" customWidth="1"/>
    <col min="4869" max="4869" width="10.28515625" style="346" customWidth="1"/>
    <col min="4870" max="4870" width="10.7109375" style="346" customWidth="1"/>
    <col min="4871" max="4871" width="9.42578125" style="346" customWidth="1"/>
    <col min="4872" max="4872" width="10.5703125" style="346" customWidth="1"/>
    <col min="4873" max="4873" width="13.7109375" style="346" customWidth="1"/>
    <col min="4874" max="4875" width="10.42578125" style="346" customWidth="1"/>
    <col min="4876" max="4876" width="10.28515625" style="346" customWidth="1"/>
    <col min="4877" max="4877" width="9.42578125" style="346" customWidth="1"/>
    <col min="4878" max="4878" width="8.7109375" style="346" customWidth="1"/>
    <col min="4879" max="4879" width="10.42578125" style="346" customWidth="1"/>
    <col min="4880" max="4880" width="10.28515625" style="346" customWidth="1"/>
    <col min="4881" max="5120" width="11.42578125" style="346"/>
    <col min="5121" max="5121" width="7" style="346" customWidth="1"/>
    <col min="5122" max="5122" width="10.7109375" style="346" customWidth="1"/>
    <col min="5123" max="5123" width="10.5703125" style="346" customWidth="1"/>
    <col min="5124" max="5124" width="10.7109375" style="346" customWidth="1"/>
    <col min="5125" max="5125" width="10.28515625" style="346" customWidth="1"/>
    <col min="5126" max="5126" width="10.7109375" style="346" customWidth="1"/>
    <col min="5127" max="5127" width="9.42578125" style="346" customWidth="1"/>
    <col min="5128" max="5128" width="10.5703125" style="346" customWidth="1"/>
    <col min="5129" max="5129" width="13.7109375" style="346" customWidth="1"/>
    <col min="5130" max="5131" width="10.42578125" style="346" customWidth="1"/>
    <col min="5132" max="5132" width="10.28515625" style="346" customWidth="1"/>
    <col min="5133" max="5133" width="9.42578125" style="346" customWidth="1"/>
    <col min="5134" max="5134" width="8.7109375" style="346" customWidth="1"/>
    <col min="5135" max="5135" width="10.42578125" style="346" customWidth="1"/>
    <col min="5136" max="5136" width="10.28515625" style="346" customWidth="1"/>
    <col min="5137" max="5376" width="11.42578125" style="346"/>
    <col min="5377" max="5377" width="7" style="346" customWidth="1"/>
    <col min="5378" max="5378" width="10.7109375" style="346" customWidth="1"/>
    <col min="5379" max="5379" width="10.5703125" style="346" customWidth="1"/>
    <col min="5380" max="5380" width="10.7109375" style="346" customWidth="1"/>
    <col min="5381" max="5381" width="10.28515625" style="346" customWidth="1"/>
    <col min="5382" max="5382" width="10.7109375" style="346" customWidth="1"/>
    <col min="5383" max="5383" width="9.42578125" style="346" customWidth="1"/>
    <col min="5384" max="5384" width="10.5703125" style="346" customWidth="1"/>
    <col min="5385" max="5385" width="13.7109375" style="346" customWidth="1"/>
    <col min="5386" max="5387" width="10.42578125" style="346" customWidth="1"/>
    <col min="5388" max="5388" width="10.28515625" style="346" customWidth="1"/>
    <col min="5389" max="5389" width="9.42578125" style="346" customWidth="1"/>
    <col min="5390" max="5390" width="8.7109375" style="346" customWidth="1"/>
    <col min="5391" max="5391" width="10.42578125" style="346" customWidth="1"/>
    <col min="5392" max="5392" width="10.28515625" style="346" customWidth="1"/>
    <col min="5393" max="5632" width="11.42578125" style="346"/>
    <col min="5633" max="5633" width="7" style="346" customWidth="1"/>
    <col min="5634" max="5634" width="10.7109375" style="346" customWidth="1"/>
    <col min="5635" max="5635" width="10.5703125" style="346" customWidth="1"/>
    <col min="5636" max="5636" width="10.7109375" style="346" customWidth="1"/>
    <col min="5637" max="5637" width="10.28515625" style="346" customWidth="1"/>
    <col min="5638" max="5638" width="10.7109375" style="346" customWidth="1"/>
    <col min="5639" max="5639" width="9.42578125" style="346" customWidth="1"/>
    <col min="5640" max="5640" width="10.5703125" style="346" customWidth="1"/>
    <col min="5641" max="5641" width="13.7109375" style="346" customWidth="1"/>
    <col min="5642" max="5643" width="10.42578125" style="346" customWidth="1"/>
    <col min="5644" max="5644" width="10.28515625" style="346" customWidth="1"/>
    <col min="5645" max="5645" width="9.42578125" style="346" customWidth="1"/>
    <col min="5646" max="5646" width="8.7109375" style="346" customWidth="1"/>
    <col min="5647" max="5647" width="10.42578125" style="346" customWidth="1"/>
    <col min="5648" max="5648" width="10.28515625" style="346" customWidth="1"/>
    <col min="5649" max="5888" width="11.42578125" style="346"/>
    <col min="5889" max="5889" width="7" style="346" customWidth="1"/>
    <col min="5890" max="5890" width="10.7109375" style="346" customWidth="1"/>
    <col min="5891" max="5891" width="10.5703125" style="346" customWidth="1"/>
    <col min="5892" max="5892" width="10.7109375" style="346" customWidth="1"/>
    <col min="5893" max="5893" width="10.28515625" style="346" customWidth="1"/>
    <col min="5894" max="5894" width="10.7109375" style="346" customWidth="1"/>
    <col min="5895" max="5895" width="9.42578125" style="346" customWidth="1"/>
    <col min="5896" max="5896" width="10.5703125" style="346" customWidth="1"/>
    <col min="5897" max="5897" width="13.7109375" style="346" customWidth="1"/>
    <col min="5898" max="5899" width="10.42578125" style="346" customWidth="1"/>
    <col min="5900" max="5900" width="10.28515625" style="346" customWidth="1"/>
    <col min="5901" max="5901" width="9.42578125" style="346" customWidth="1"/>
    <col min="5902" max="5902" width="8.7109375" style="346" customWidth="1"/>
    <col min="5903" max="5903" width="10.42578125" style="346" customWidth="1"/>
    <col min="5904" max="5904" width="10.28515625" style="346" customWidth="1"/>
    <col min="5905" max="6144" width="11.42578125" style="346"/>
    <col min="6145" max="6145" width="7" style="346" customWidth="1"/>
    <col min="6146" max="6146" width="10.7109375" style="346" customWidth="1"/>
    <col min="6147" max="6147" width="10.5703125" style="346" customWidth="1"/>
    <col min="6148" max="6148" width="10.7109375" style="346" customWidth="1"/>
    <col min="6149" max="6149" width="10.28515625" style="346" customWidth="1"/>
    <col min="6150" max="6150" width="10.7109375" style="346" customWidth="1"/>
    <col min="6151" max="6151" width="9.42578125" style="346" customWidth="1"/>
    <col min="6152" max="6152" width="10.5703125" style="346" customWidth="1"/>
    <col min="6153" max="6153" width="13.7109375" style="346" customWidth="1"/>
    <col min="6154" max="6155" width="10.42578125" style="346" customWidth="1"/>
    <col min="6156" max="6156" width="10.28515625" style="346" customWidth="1"/>
    <col min="6157" max="6157" width="9.42578125" style="346" customWidth="1"/>
    <col min="6158" max="6158" width="8.7109375" style="346" customWidth="1"/>
    <col min="6159" max="6159" width="10.42578125" style="346" customWidth="1"/>
    <col min="6160" max="6160" width="10.28515625" style="346" customWidth="1"/>
    <col min="6161" max="6400" width="11.42578125" style="346"/>
    <col min="6401" max="6401" width="7" style="346" customWidth="1"/>
    <col min="6402" max="6402" width="10.7109375" style="346" customWidth="1"/>
    <col min="6403" max="6403" width="10.5703125" style="346" customWidth="1"/>
    <col min="6404" max="6404" width="10.7109375" style="346" customWidth="1"/>
    <col min="6405" max="6405" width="10.28515625" style="346" customWidth="1"/>
    <col min="6406" max="6406" width="10.7109375" style="346" customWidth="1"/>
    <col min="6407" max="6407" width="9.42578125" style="346" customWidth="1"/>
    <col min="6408" max="6408" width="10.5703125" style="346" customWidth="1"/>
    <col min="6409" max="6409" width="13.7109375" style="346" customWidth="1"/>
    <col min="6410" max="6411" width="10.42578125" style="346" customWidth="1"/>
    <col min="6412" max="6412" width="10.28515625" style="346" customWidth="1"/>
    <col min="6413" max="6413" width="9.42578125" style="346" customWidth="1"/>
    <col min="6414" max="6414" width="8.7109375" style="346" customWidth="1"/>
    <col min="6415" max="6415" width="10.42578125" style="346" customWidth="1"/>
    <col min="6416" max="6416" width="10.28515625" style="346" customWidth="1"/>
    <col min="6417" max="6656" width="11.42578125" style="346"/>
    <col min="6657" max="6657" width="7" style="346" customWidth="1"/>
    <col min="6658" max="6658" width="10.7109375" style="346" customWidth="1"/>
    <col min="6659" max="6659" width="10.5703125" style="346" customWidth="1"/>
    <col min="6660" max="6660" width="10.7109375" style="346" customWidth="1"/>
    <col min="6661" max="6661" width="10.28515625" style="346" customWidth="1"/>
    <col min="6662" max="6662" width="10.7109375" style="346" customWidth="1"/>
    <col min="6663" max="6663" width="9.42578125" style="346" customWidth="1"/>
    <col min="6664" max="6664" width="10.5703125" style="346" customWidth="1"/>
    <col min="6665" max="6665" width="13.7109375" style="346" customWidth="1"/>
    <col min="6666" max="6667" width="10.42578125" style="346" customWidth="1"/>
    <col min="6668" max="6668" width="10.28515625" style="346" customWidth="1"/>
    <col min="6669" max="6669" width="9.42578125" style="346" customWidth="1"/>
    <col min="6670" max="6670" width="8.7109375" style="346" customWidth="1"/>
    <col min="6671" max="6671" width="10.42578125" style="346" customWidth="1"/>
    <col min="6672" max="6672" width="10.28515625" style="346" customWidth="1"/>
    <col min="6673" max="6912" width="11.42578125" style="346"/>
    <col min="6913" max="6913" width="7" style="346" customWidth="1"/>
    <col min="6914" max="6914" width="10.7109375" style="346" customWidth="1"/>
    <col min="6915" max="6915" width="10.5703125" style="346" customWidth="1"/>
    <col min="6916" max="6916" width="10.7109375" style="346" customWidth="1"/>
    <col min="6917" max="6917" width="10.28515625" style="346" customWidth="1"/>
    <col min="6918" max="6918" width="10.7109375" style="346" customWidth="1"/>
    <col min="6919" max="6919" width="9.42578125" style="346" customWidth="1"/>
    <col min="6920" max="6920" width="10.5703125" style="346" customWidth="1"/>
    <col min="6921" max="6921" width="13.7109375" style="346" customWidth="1"/>
    <col min="6922" max="6923" width="10.42578125" style="346" customWidth="1"/>
    <col min="6924" max="6924" width="10.28515625" style="346" customWidth="1"/>
    <col min="6925" max="6925" width="9.42578125" style="346" customWidth="1"/>
    <col min="6926" max="6926" width="8.7109375" style="346" customWidth="1"/>
    <col min="6927" max="6927" width="10.42578125" style="346" customWidth="1"/>
    <col min="6928" max="6928" width="10.28515625" style="346" customWidth="1"/>
    <col min="6929" max="7168" width="11.42578125" style="346"/>
    <col min="7169" max="7169" width="7" style="346" customWidth="1"/>
    <col min="7170" max="7170" width="10.7109375" style="346" customWidth="1"/>
    <col min="7171" max="7171" width="10.5703125" style="346" customWidth="1"/>
    <col min="7172" max="7172" width="10.7109375" style="346" customWidth="1"/>
    <col min="7173" max="7173" width="10.28515625" style="346" customWidth="1"/>
    <col min="7174" max="7174" width="10.7109375" style="346" customWidth="1"/>
    <col min="7175" max="7175" width="9.42578125" style="346" customWidth="1"/>
    <col min="7176" max="7176" width="10.5703125" style="346" customWidth="1"/>
    <col min="7177" max="7177" width="13.7109375" style="346" customWidth="1"/>
    <col min="7178" max="7179" width="10.42578125" style="346" customWidth="1"/>
    <col min="7180" max="7180" width="10.28515625" style="346" customWidth="1"/>
    <col min="7181" max="7181" width="9.42578125" style="346" customWidth="1"/>
    <col min="7182" max="7182" width="8.7109375" style="346" customWidth="1"/>
    <col min="7183" max="7183" width="10.42578125" style="346" customWidth="1"/>
    <col min="7184" max="7184" width="10.28515625" style="346" customWidth="1"/>
    <col min="7185" max="7424" width="11.42578125" style="346"/>
    <col min="7425" max="7425" width="7" style="346" customWidth="1"/>
    <col min="7426" max="7426" width="10.7109375" style="346" customWidth="1"/>
    <col min="7427" max="7427" width="10.5703125" style="346" customWidth="1"/>
    <col min="7428" max="7428" width="10.7109375" style="346" customWidth="1"/>
    <col min="7429" max="7429" width="10.28515625" style="346" customWidth="1"/>
    <col min="7430" max="7430" width="10.7109375" style="346" customWidth="1"/>
    <col min="7431" max="7431" width="9.42578125" style="346" customWidth="1"/>
    <col min="7432" max="7432" width="10.5703125" style="346" customWidth="1"/>
    <col min="7433" max="7433" width="13.7109375" style="346" customWidth="1"/>
    <col min="7434" max="7435" width="10.42578125" style="346" customWidth="1"/>
    <col min="7436" max="7436" width="10.28515625" style="346" customWidth="1"/>
    <col min="7437" max="7437" width="9.42578125" style="346" customWidth="1"/>
    <col min="7438" max="7438" width="8.7109375" style="346" customWidth="1"/>
    <col min="7439" max="7439" width="10.42578125" style="346" customWidth="1"/>
    <col min="7440" max="7440" width="10.28515625" style="346" customWidth="1"/>
    <col min="7441" max="7680" width="11.42578125" style="346"/>
    <col min="7681" max="7681" width="7" style="346" customWidth="1"/>
    <col min="7682" max="7682" width="10.7109375" style="346" customWidth="1"/>
    <col min="7683" max="7683" width="10.5703125" style="346" customWidth="1"/>
    <col min="7684" max="7684" width="10.7109375" style="346" customWidth="1"/>
    <col min="7685" max="7685" width="10.28515625" style="346" customWidth="1"/>
    <col min="7686" max="7686" width="10.7109375" style="346" customWidth="1"/>
    <col min="7687" max="7687" width="9.42578125" style="346" customWidth="1"/>
    <col min="7688" max="7688" width="10.5703125" style="346" customWidth="1"/>
    <col min="7689" max="7689" width="13.7109375" style="346" customWidth="1"/>
    <col min="7690" max="7691" width="10.42578125" style="346" customWidth="1"/>
    <col min="7692" max="7692" width="10.28515625" style="346" customWidth="1"/>
    <col min="7693" max="7693" width="9.42578125" style="346" customWidth="1"/>
    <col min="7694" max="7694" width="8.7109375" style="346" customWidth="1"/>
    <col min="7695" max="7695" width="10.42578125" style="346" customWidth="1"/>
    <col min="7696" max="7696" width="10.28515625" style="346" customWidth="1"/>
    <col min="7697" max="7936" width="11.42578125" style="346"/>
    <col min="7937" max="7937" width="7" style="346" customWidth="1"/>
    <col min="7938" max="7938" width="10.7109375" style="346" customWidth="1"/>
    <col min="7939" max="7939" width="10.5703125" style="346" customWidth="1"/>
    <col min="7940" max="7940" width="10.7109375" style="346" customWidth="1"/>
    <col min="7941" max="7941" width="10.28515625" style="346" customWidth="1"/>
    <col min="7942" max="7942" width="10.7109375" style="346" customWidth="1"/>
    <col min="7943" max="7943" width="9.42578125" style="346" customWidth="1"/>
    <col min="7944" max="7944" width="10.5703125" style="346" customWidth="1"/>
    <col min="7945" max="7945" width="13.7109375" style="346" customWidth="1"/>
    <col min="7946" max="7947" width="10.42578125" style="346" customWidth="1"/>
    <col min="7948" max="7948" width="10.28515625" style="346" customWidth="1"/>
    <col min="7949" max="7949" width="9.42578125" style="346" customWidth="1"/>
    <col min="7950" max="7950" width="8.7109375" style="346" customWidth="1"/>
    <col min="7951" max="7951" width="10.42578125" style="346" customWidth="1"/>
    <col min="7952" max="7952" width="10.28515625" style="346" customWidth="1"/>
    <col min="7953" max="8192" width="11.42578125" style="346"/>
    <col min="8193" max="8193" width="7" style="346" customWidth="1"/>
    <col min="8194" max="8194" width="10.7109375" style="346" customWidth="1"/>
    <col min="8195" max="8195" width="10.5703125" style="346" customWidth="1"/>
    <col min="8196" max="8196" width="10.7109375" style="346" customWidth="1"/>
    <col min="8197" max="8197" width="10.28515625" style="346" customWidth="1"/>
    <col min="8198" max="8198" width="10.7109375" style="346" customWidth="1"/>
    <col min="8199" max="8199" width="9.42578125" style="346" customWidth="1"/>
    <col min="8200" max="8200" width="10.5703125" style="346" customWidth="1"/>
    <col min="8201" max="8201" width="13.7109375" style="346" customWidth="1"/>
    <col min="8202" max="8203" width="10.42578125" style="346" customWidth="1"/>
    <col min="8204" max="8204" width="10.28515625" style="346" customWidth="1"/>
    <col min="8205" max="8205" width="9.42578125" style="346" customWidth="1"/>
    <col min="8206" max="8206" width="8.7109375" style="346" customWidth="1"/>
    <col min="8207" max="8207" width="10.42578125" style="346" customWidth="1"/>
    <col min="8208" max="8208" width="10.28515625" style="346" customWidth="1"/>
    <col min="8209" max="8448" width="11.42578125" style="346"/>
    <col min="8449" max="8449" width="7" style="346" customWidth="1"/>
    <col min="8450" max="8450" width="10.7109375" style="346" customWidth="1"/>
    <col min="8451" max="8451" width="10.5703125" style="346" customWidth="1"/>
    <col min="8452" max="8452" width="10.7109375" style="346" customWidth="1"/>
    <col min="8453" max="8453" width="10.28515625" style="346" customWidth="1"/>
    <col min="8454" max="8454" width="10.7109375" style="346" customWidth="1"/>
    <col min="8455" max="8455" width="9.42578125" style="346" customWidth="1"/>
    <col min="8456" max="8456" width="10.5703125" style="346" customWidth="1"/>
    <col min="8457" max="8457" width="13.7109375" style="346" customWidth="1"/>
    <col min="8458" max="8459" width="10.42578125" style="346" customWidth="1"/>
    <col min="8460" max="8460" width="10.28515625" style="346" customWidth="1"/>
    <col min="8461" max="8461" width="9.42578125" style="346" customWidth="1"/>
    <col min="8462" max="8462" width="8.7109375" style="346" customWidth="1"/>
    <col min="8463" max="8463" width="10.42578125" style="346" customWidth="1"/>
    <col min="8464" max="8464" width="10.28515625" style="346" customWidth="1"/>
    <col min="8465" max="8704" width="11.42578125" style="346"/>
    <col min="8705" max="8705" width="7" style="346" customWidth="1"/>
    <col min="8706" max="8706" width="10.7109375" style="346" customWidth="1"/>
    <col min="8707" max="8707" width="10.5703125" style="346" customWidth="1"/>
    <col min="8708" max="8708" width="10.7109375" style="346" customWidth="1"/>
    <col min="8709" max="8709" width="10.28515625" style="346" customWidth="1"/>
    <col min="8710" max="8710" width="10.7109375" style="346" customWidth="1"/>
    <col min="8711" max="8711" width="9.42578125" style="346" customWidth="1"/>
    <col min="8712" max="8712" width="10.5703125" style="346" customWidth="1"/>
    <col min="8713" max="8713" width="13.7109375" style="346" customWidth="1"/>
    <col min="8714" max="8715" width="10.42578125" style="346" customWidth="1"/>
    <col min="8716" max="8716" width="10.28515625" style="346" customWidth="1"/>
    <col min="8717" max="8717" width="9.42578125" style="346" customWidth="1"/>
    <col min="8718" max="8718" width="8.7109375" style="346" customWidth="1"/>
    <col min="8719" max="8719" width="10.42578125" style="346" customWidth="1"/>
    <col min="8720" max="8720" width="10.28515625" style="346" customWidth="1"/>
    <col min="8721" max="8960" width="11.42578125" style="346"/>
    <col min="8961" max="8961" width="7" style="346" customWidth="1"/>
    <col min="8962" max="8962" width="10.7109375" style="346" customWidth="1"/>
    <col min="8963" max="8963" width="10.5703125" style="346" customWidth="1"/>
    <col min="8964" max="8964" width="10.7109375" style="346" customWidth="1"/>
    <col min="8965" max="8965" width="10.28515625" style="346" customWidth="1"/>
    <col min="8966" max="8966" width="10.7109375" style="346" customWidth="1"/>
    <col min="8967" max="8967" width="9.42578125" style="346" customWidth="1"/>
    <col min="8968" max="8968" width="10.5703125" style="346" customWidth="1"/>
    <col min="8969" max="8969" width="13.7109375" style="346" customWidth="1"/>
    <col min="8970" max="8971" width="10.42578125" style="346" customWidth="1"/>
    <col min="8972" max="8972" width="10.28515625" style="346" customWidth="1"/>
    <col min="8973" max="8973" width="9.42578125" style="346" customWidth="1"/>
    <col min="8974" max="8974" width="8.7109375" style="346" customWidth="1"/>
    <col min="8975" max="8975" width="10.42578125" style="346" customWidth="1"/>
    <col min="8976" max="8976" width="10.28515625" style="346" customWidth="1"/>
    <col min="8977" max="9216" width="11.42578125" style="346"/>
    <col min="9217" max="9217" width="7" style="346" customWidth="1"/>
    <col min="9218" max="9218" width="10.7109375" style="346" customWidth="1"/>
    <col min="9219" max="9219" width="10.5703125" style="346" customWidth="1"/>
    <col min="9220" max="9220" width="10.7109375" style="346" customWidth="1"/>
    <col min="9221" max="9221" width="10.28515625" style="346" customWidth="1"/>
    <col min="9222" max="9222" width="10.7109375" style="346" customWidth="1"/>
    <col min="9223" max="9223" width="9.42578125" style="346" customWidth="1"/>
    <col min="9224" max="9224" width="10.5703125" style="346" customWidth="1"/>
    <col min="9225" max="9225" width="13.7109375" style="346" customWidth="1"/>
    <col min="9226" max="9227" width="10.42578125" style="346" customWidth="1"/>
    <col min="9228" max="9228" width="10.28515625" style="346" customWidth="1"/>
    <col min="9229" max="9229" width="9.42578125" style="346" customWidth="1"/>
    <col min="9230" max="9230" width="8.7109375" style="346" customWidth="1"/>
    <col min="9231" max="9231" width="10.42578125" style="346" customWidth="1"/>
    <col min="9232" max="9232" width="10.28515625" style="346" customWidth="1"/>
    <col min="9233" max="9472" width="11.42578125" style="346"/>
    <col min="9473" max="9473" width="7" style="346" customWidth="1"/>
    <col min="9474" max="9474" width="10.7109375" style="346" customWidth="1"/>
    <col min="9475" max="9475" width="10.5703125" style="346" customWidth="1"/>
    <col min="9476" max="9476" width="10.7109375" style="346" customWidth="1"/>
    <col min="9477" max="9477" width="10.28515625" style="346" customWidth="1"/>
    <col min="9478" max="9478" width="10.7109375" style="346" customWidth="1"/>
    <col min="9479" max="9479" width="9.42578125" style="346" customWidth="1"/>
    <col min="9480" max="9480" width="10.5703125" style="346" customWidth="1"/>
    <col min="9481" max="9481" width="13.7109375" style="346" customWidth="1"/>
    <col min="9482" max="9483" width="10.42578125" style="346" customWidth="1"/>
    <col min="9484" max="9484" width="10.28515625" style="346" customWidth="1"/>
    <col min="9485" max="9485" width="9.42578125" style="346" customWidth="1"/>
    <col min="9486" max="9486" width="8.7109375" style="346" customWidth="1"/>
    <col min="9487" max="9487" width="10.42578125" style="346" customWidth="1"/>
    <col min="9488" max="9488" width="10.28515625" style="346" customWidth="1"/>
    <col min="9489" max="9728" width="11.42578125" style="346"/>
    <col min="9729" max="9729" width="7" style="346" customWidth="1"/>
    <col min="9730" max="9730" width="10.7109375" style="346" customWidth="1"/>
    <col min="9731" max="9731" width="10.5703125" style="346" customWidth="1"/>
    <col min="9732" max="9732" width="10.7109375" style="346" customWidth="1"/>
    <col min="9733" max="9733" width="10.28515625" style="346" customWidth="1"/>
    <col min="9734" max="9734" width="10.7109375" style="346" customWidth="1"/>
    <col min="9735" max="9735" width="9.42578125" style="346" customWidth="1"/>
    <col min="9736" max="9736" width="10.5703125" style="346" customWidth="1"/>
    <col min="9737" max="9737" width="13.7109375" style="346" customWidth="1"/>
    <col min="9738" max="9739" width="10.42578125" style="346" customWidth="1"/>
    <col min="9740" max="9740" width="10.28515625" style="346" customWidth="1"/>
    <col min="9741" max="9741" width="9.42578125" style="346" customWidth="1"/>
    <col min="9742" max="9742" width="8.7109375" style="346" customWidth="1"/>
    <col min="9743" max="9743" width="10.42578125" style="346" customWidth="1"/>
    <col min="9744" max="9744" width="10.28515625" style="346" customWidth="1"/>
    <col min="9745" max="9984" width="11.42578125" style="346"/>
    <col min="9985" max="9985" width="7" style="346" customWidth="1"/>
    <col min="9986" max="9986" width="10.7109375" style="346" customWidth="1"/>
    <col min="9987" max="9987" width="10.5703125" style="346" customWidth="1"/>
    <col min="9988" max="9988" width="10.7109375" style="346" customWidth="1"/>
    <col min="9989" max="9989" width="10.28515625" style="346" customWidth="1"/>
    <col min="9990" max="9990" width="10.7109375" style="346" customWidth="1"/>
    <col min="9991" max="9991" width="9.42578125" style="346" customWidth="1"/>
    <col min="9992" max="9992" width="10.5703125" style="346" customWidth="1"/>
    <col min="9993" max="9993" width="13.7109375" style="346" customWidth="1"/>
    <col min="9994" max="9995" width="10.42578125" style="346" customWidth="1"/>
    <col min="9996" max="9996" width="10.28515625" style="346" customWidth="1"/>
    <col min="9997" max="9997" width="9.42578125" style="346" customWidth="1"/>
    <col min="9998" max="9998" width="8.7109375" style="346" customWidth="1"/>
    <col min="9999" max="9999" width="10.42578125" style="346" customWidth="1"/>
    <col min="10000" max="10000" width="10.28515625" style="346" customWidth="1"/>
    <col min="10001" max="10240" width="11.42578125" style="346"/>
    <col min="10241" max="10241" width="7" style="346" customWidth="1"/>
    <col min="10242" max="10242" width="10.7109375" style="346" customWidth="1"/>
    <col min="10243" max="10243" width="10.5703125" style="346" customWidth="1"/>
    <col min="10244" max="10244" width="10.7109375" style="346" customWidth="1"/>
    <col min="10245" max="10245" width="10.28515625" style="346" customWidth="1"/>
    <col min="10246" max="10246" width="10.7109375" style="346" customWidth="1"/>
    <col min="10247" max="10247" width="9.42578125" style="346" customWidth="1"/>
    <col min="10248" max="10248" width="10.5703125" style="346" customWidth="1"/>
    <col min="10249" max="10249" width="13.7109375" style="346" customWidth="1"/>
    <col min="10250" max="10251" width="10.42578125" style="346" customWidth="1"/>
    <col min="10252" max="10252" width="10.28515625" style="346" customWidth="1"/>
    <col min="10253" max="10253" width="9.42578125" style="346" customWidth="1"/>
    <col min="10254" max="10254" width="8.7109375" style="346" customWidth="1"/>
    <col min="10255" max="10255" width="10.42578125" style="346" customWidth="1"/>
    <col min="10256" max="10256" width="10.28515625" style="346" customWidth="1"/>
    <col min="10257" max="10496" width="11.42578125" style="346"/>
    <col min="10497" max="10497" width="7" style="346" customWidth="1"/>
    <col min="10498" max="10498" width="10.7109375" style="346" customWidth="1"/>
    <col min="10499" max="10499" width="10.5703125" style="346" customWidth="1"/>
    <col min="10500" max="10500" width="10.7109375" style="346" customWidth="1"/>
    <col min="10501" max="10501" width="10.28515625" style="346" customWidth="1"/>
    <col min="10502" max="10502" width="10.7109375" style="346" customWidth="1"/>
    <col min="10503" max="10503" width="9.42578125" style="346" customWidth="1"/>
    <col min="10504" max="10504" width="10.5703125" style="346" customWidth="1"/>
    <col min="10505" max="10505" width="13.7109375" style="346" customWidth="1"/>
    <col min="10506" max="10507" width="10.42578125" style="346" customWidth="1"/>
    <col min="10508" max="10508" width="10.28515625" style="346" customWidth="1"/>
    <col min="10509" max="10509" width="9.42578125" style="346" customWidth="1"/>
    <col min="10510" max="10510" width="8.7109375" style="346" customWidth="1"/>
    <col min="10511" max="10511" width="10.42578125" style="346" customWidth="1"/>
    <col min="10512" max="10512" width="10.28515625" style="346" customWidth="1"/>
    <col min="10513" max="10752" width="11.42578125" style="346"/>
    <col min="10753" max="10753" width="7" style="346" customWidth="1"/>
    <col min="10754" max="10754" width="10.7109375" style="346" customWidth="1"/>
    <col min="10755" max="10755" width="10.5703125" style="346" customWidth="1"/>
    <col min="10756" max="10756" width="10.7109375" style="346" customWidth="1"/>
    <col min="10757" max="10757" width="10.28515625" style="346" customWidth="1"/>
    <col min="10758" max="10758" width="10.7109375" style="346" customWidth="1"/>
    <col min="10759" max="10759" width="9.42578125" style="346" customWidth="1"/>
    <col min="10760" max="10760" width="10.5703125" style="346" customWidth="1"/>
    <col min="10761" max="10761" width="13.7109375" style="346" customWidth="1"/>
    <col min="10762" max="10763" width="10.42578125" style="346" customWidth="1"/>
    <col min="10764" max="10764" width="10.28515625" style="346" customWidth="1"/>
    <col min="10765" max="10765" width="9.42578125" style="346" customWidth="1"/>
    <col min="10766" max="10766" width="8.7109375" style="346" customWidth="1"/>
    <col min="10767" max="10767" width="10.42578125" style="346" customWidth="1"/>
    <col min="10768" max="10768" width="10.28515625" style="346" customWidth="1"/>
    <col min="10769" max="11008" width="11.42578125" style="346"/>
    <col min="11009" max="11009" width="7" style="346" customWidth="1"/>
    <col min="11010" max="11010" width="10.7109375" style="346" customWidth="1"/>
    <col min="11011" max="11011" width="10.5703125" style="346" customWidth="1"/>
    <col min="11012" max="11012" width="10.7109375" style="346" customWidth="1"/>
    <col min="11013" max="11013" width="10.28515625" style="346" customWidth="1"/>
    <col min="11014" max="11014" width="10.7109375" style="346" customWidth="1"/>
    <col min="11015" max="11015" width="9.42578125" style="346" customWidth="1"/>
    <col min="11016" max="11016" width="10.5703125" style="346" customWidth="1"/>
    <col min="11017" max="11017" width="13.7109375" style="346" customWidth="1"/>
    <col min="11018" max="11019" width="10.42578125" style="346" customWidth="1"/>
    <col min="11020" max="11020" width="10.28515625" style="346" customWidth="1"/>
    <col min="11021" max="11021" width="9.42578125" style="346" customWidth="1"/>
    <col min="11022" max="11022" width="8.7109375" style="346" customWidth="1"/>
    <col min="11023" max="11023" width="10.42578125" style="346" customWidth="1"/>
    <col min="11024" max="11024" width="10.28515625" style="346" customWidth="1"/>
    <col min="11025" max="11264" width="11.42578125" style="346"/>
    <col min="11265" max="11265" width="7" style="346" customWidth="1"/>
    <col min="11266" max="11266" width="10.7109375" style="346" customWidth="1"/>
    <col min="11267" max="11267" width="10.5703125" style="346" customWidth="1"/>
    <col min="11268" max="11268" width="10.7109375" style="346" customWidth="1"/>
    <col min="11269" max="11269" width="10.28515625" style="346" customWidth="1"/>
    <col min="11270" max="11270" width="10.7109375" style="346" customWidth="1"/>
    <col min="11271" max="11271" width="9.42578125" style="346" customWidth="1"/>
    <col min="11272" max="11272" width="10.5703125" style="346" customWidth="1"/>
    <col min="11273" max="11273" width="13.7109375" style="346" customWidth="1"/>
    <col min="11274" max="11275" width="10.42578125" style="346" customWidth="1"/>
    <col min="11276" max="11276" width="10.28515625" style="346" customWidth="1"/>
    <col min="11277" max="11277" width="9.42578125" style="346" customWidth="1"/>
    <col min="11278" max="11278" width="8.7109375" style="346" customWidth="1"/>
    <col min="11279" max="11279" width="10.42578125" style="346" customWidth="1"/>
    <col min="11280" max="11280" width="10.28515625" style="346" customWidth="1"/>
    <col min="11281" max="11520" width="11.42578125" style="346"/>
    <col min="11521" max="11521" width="7" style="346" customWidth="1"/>
    <col min="11522" max="11522" width="10.7109375" style="346" customWidth="1"/>
    <col min="11523" max="11523" width="10.5703125" style="346" customWidth="1"/>
    <col min="11524" max="11524" width="10.7109375" style="346" customWidth="1"/>
    <col min="11525" max="11525" width="10.28515625" style="346" customWidth="1"/>
    <col min="11526" max="11526" width="10.7109375" style="346" customWidth="1"/>
    <col min="11527" max="11527" width="9.42578125" style="346" customWidth="1"/>
    <col min="11528" max="11528" width="10.5703125" style="346" customWidth="1"/>
    <col min="11529" max="11529" width="13.7109375" style="346" customWidth="1"/>
    <col min="11530" max="11531" width="10.42578125" style="346" customWidth="1"/>
    <col min="11532" max="11532" width="10.28515625" style="346" customWidth="1"/>
    <col min="11533" max="11533" width="9.42578125" style="346" customWidth="1"/>
    <col min="11534" max="11534" width="8.7109375" style="346" customWidth="1"/>
    <col min="11535" max="11535" width="10.42578125" style="346" customWidth="1"/>
    <col min="11536" max="11536" width="10.28515625" style="346" customWidth="1"/>
    <col min="11537" max="11776" width="11.42578125" style="346"/>
    <col min="11777" max="11777" width="7" style="346" customWidth="1"/>
    <col min="11778" max="11778" width="10.7109375" style="346" customWidth="1"/>
    <col min="11779" max="11779" width="10.5703125" style="346" customWidth="1"/>
    <col min="11780" max="11780" width="10.7109375" style="346" customWidth="1"/>
    <col min="11781" max="11781" width="10.28515625" style="346" customWidth="1"/>
    <col min="11782" max="11782" width="10.7109375" style="346" customWidth="1"/>
    <col min="11783" max="11783" width="9.42578125" style="346" customWidth="1"/>
    <col min="11784" max="11784" width="10.5703125" style="346" customWidth="1"/>
    <col min="11785" max="11785" width="13.7109375" style="346" customWidth="1"/>
    <col min="11786" max="11787" width="10.42578125" style="346" customWidth="1"/>
    <col min="11788" max="11788" width="10.28515625" style="346" customWidth="1"/>
    <col min="11789" max="11789" width="9.42578125" style="346" customWidth="1"/>
    <col min="11790" max="11790" width="8.7109375" style="346" customWidth="1"/>
    <col min="11791" max="11791" width="10.42578125" style="346" customWidth="1"/>
    <col min="11792" max="11792" width="10.28515625" style="346" customWidth="1"/>
    <col min="11793" max="12032" width="11.42578125" style="346"/>
    <col min="12033" max="12033" width="7" style="346" customWidth="1"/>
    <col min="12034" max="12034" width="10.7109375" style="346" customWidth="1"/>
    <col min="12035" max="12035" width="10.5703125" style="346" customWidth="1"/>
    <col min="12036" max="12036" width="10.7109375" style="346" customWidth="1"/>
    <col min="12037" max="12037" width="10.28515625" style="346" customWidth="1"/>
    <col min="12038" max="12038" width="10.7109375" style="346" customWidth="1"/>
    <col min="12039" max="12039" width="9.42578125" style="346" customWidth="1"/>
    <col min="12040" max="12040" width="10.5703125" style="346" customWidth="1"/>
    <col min="12041" max="12041" width="13.7109375" style="346" customWidth="1"/>
    <col min="12042" max="12043" width="10.42578125" style="346" customWidth="1"/>
    <col min="12044" max="12044" width="10.28515625" style="346" customWidth="1"/>
    <col min="12045" max="12045" width="9.42578125" style="346" customWidth="1"/>
    <col min="12046" max="12046" width="8.7109375" style="346" customWidth="1"/>
    <col min="12047" max="12047" width="10.42578125" style="346" customWidth="1"/>
    <col min="12048" max="12048" width="10.28515625" style="346" customWidth="1"/>
    <col min="12049" max="12288" width="11.42578125" style="346"/>
    <col min="12289" max="12289" width="7" style="346" customWidth="1"/>
    <col min="12290" max="12290" width="10.7109375" style="346" customWidth="1"/>
    <col min="12291" max="12291" width="10.5703125" style="346" customWidth="1"/>
    <col min="12292" max="12292" width="10.7109375" style="346" customWidth="1"/>
    <col min="12293" max="12293" width="10.28515625" style="346" customWidth="1"/>
    <col min="12294" max="12294" width="10.7109375" style="346" customWidth="1"/>
    <col min="12295" max="12295" width="9.42578125" style="346" customWidth="1"/>
    <col min="12296" max="12296" width="10.5703125" style="346" customWidth="1"/>
    <col min="12297" max="12297" width="13.7109375" style="346" customWidth="1"/>
    <col min="12298" max="12299" width="10.42578125" style="346" customWidth="1"/>
    <col min="12300" max="12300" width="10.28515625" style="346" customWidth="1"/>
    <col min="12301" max="12301" width="9.42578125" style="346" customWidth="1"/>
    <col min="12302" max="12302" width="8.7109375" style="346" customWidth="1"/>
    <col min="12303" max="12303" width="10.42578125" style="346" customWidth="1"/>
    <col min="12304" max="12304" width="10.28515625" style="346" customWidth="1"/>
    <col min="12305" max="12544" width="11.42578125" style="346"/>
    <col min="12545" max="12545" width="7" style="346" customWidth="1"/>
    <col min="12546" max="12546" width="10.7109375" style="346" customWidth="1"/>
    <col min="12547" max="12547" width="10.5703125" style="346" customWidth="1"/>
    <col min="12548" max="12548" width="10.7109375" style="346" customWidth="1"/>
    <col min="12549" max="12549" width="10.28515625" style="346" customWidth="1"/>
    <col min="12550" max="12550" width="10.7109375" style="346" customWidth="1"/>
    <col min="12551" max="12551" width="9.42578125" style="346" customWidth="1"/>
    <col min="12552" max="12552" width="10.5703125" style="346" customWidth="1"/>
    <col min="12553" max="12553" width="13.7109375" style="346" customWidth="1"/>
    <col min="12554" max="12555" width="10.42578125" style="346" customWidth="1"/>
    <col min="12556" max="12556" width="10.28515625" style="346" customWidth="1"/>
    <col min="12557" max="12557" width="9.42578125" style="346" customWidth="1"/>
    <col min="12558" max="12558" width="8.7109375" style="346" customWidth="1"/>
    <col min="12559" max="12559" width="10.42578125" style="346" customWidth="1"/>
    <col min="12560" max="12560" width="10.28515625" style="346" customWidth="1"/>
    <col min="12561" max="12800" width="11.42578125" style="346"/>
    <col min="12801" max="12801" width="7" style="346" customWidth="1"/>
    <col min="12802" max="12802" width="10.7109375" style="346" customWidth="1"/>
    <col min="12803" max="12803" width="10.5703125" style="346" customWidth="1"/>
    <col min="12804" max="12804" width="10.7109375" style="346" customWidth="1"/>
    <col min="12805" max="12805" width="10.28515625" style="346" customWidth="1"/>
    <col min="12806" max="12806" width="10.7109375" style="346" customWidth="1"/>
    <col min="12807" max="12807" width="9.42578125" style="346" customWidth="1"/>
    <col min="12808" max="12808" width="10.5703125" style="346" customWidth="1"/>
    <col min="12809" max="12809" width="13.7109375" style="346" customWidth="1"/>
    <col min="12810" max="12811" width="10.42578125" style="346" customWidth="1"/>
    <col min="12812" max="12812" width="10.28515625" style="346" customWidth="1"/>
    <col min="12813" max="12813" width="9.42578125" style="346" customWidth="1"/>
    <col min="12814" max="12814" width="8.7109375" style="346" customWidth="1"/>
    <col min="12815" max="12815" width="10.42578125" style="346" customWidth="1"/>
    <col min="12816" max="12816" width="10.28515625" style="346" customWidth="1"/>
    <col min="12817" max="13056" width="11.42578125" style="346"/>
    <col min="13057" max="13057" width="7" style="346" customWidth="1"/>
    <col min="13058" max="13058" width="10.7109375" style="346" customWidth="1"/>
    <col min="13059" max="13059" width="10.5703125" style="346" customWidth="1"/>
    <col min="13060" max="13060" width="10.7109375" style="346" customWidth="1"/>
    <col min="13061" max="13061" width="10.28515625" style="346" customWidth="1"/>
    <col min="13062" max="13062" width="10.7109375" style="346" customWidth="1"/>
    <col min="13063" max="13063" width="9.42578125" style="346" customWidth="1"/>
    <col min="13064" max="13064" width="10.5703125" style="346" customWidth="1"/>
    <col min="13065" max="13065" width="13.7109375" style="346" customWidth="1"/>
    <col min="13066" max="13067" width="10.42578125" style="346" customWidth="1"/>
    <col min="13068" max="13068" width="10.28515625" style="346" customWidth="1"/>
    <col min="13069" max="13069" width="9.42578125" style="346" customWidth="1"/>
    <col min="13070" max="13070" width="8.7109375" style="346" customWidth="1"/>
    <col min="13071" max="13071" width="10.42578125" style="346" customWidth="1"/>
    <col min="13072" max="13072" width="10.28515625" style="346" customWidth="1"/>
    <col min="13073" max="13312" width="11.42578125" style="346"/>
    <col min="13313" max="13313" width="7" style="346" customWidth="1"/>
    <col min="13314" max="13314" width="10.7109375" style="346" customWidth="1"/>
    <col min="13315" max="13315" width="10.5703125" style="346" customWidth="1"/>
    <col min="13316" max="13316" width="10.7109375" style="346" customWidth="1"/>
    <col min="13317" max="13317" width="10.28515625" style="346" customWidth="1"/>
    <col min="13318" max="13318" width="10.7109375" style="346" customWidth="1"/>
    <col min="13319" max="13319" width="9.42578125" style="346" customWidth="1"/>
    <col min="13320" max="13320" width="10.5703125" style="346" customWidth="1"/>
    <col min="13321" max="13321" width="13.7109375" style="346" customWidth="1"/>
    <col min="13322" max="13323" width="10.42578125" style="346" customWidth="1"/>
    <col min="13324" max="13324" width="10.28515625" style="346" customWidth="1"/>
    <col min="13325" max="13325" width="9.42578125" style="346" customWidth="1"/>
    <col min="13326" max="13326" width="8.7109375" style="346" customWidth="1"/>
    <col min="13327" max="13327" width="10.42578125" style="346" customWidth="1"/>
    <col min="13328" max="13328" width="10.28515625" style="346" customWidth="1"/>
    <col min="13329" max="13568" width="11.42578125" style="346"/>
    <col min="13569" max="13569" width="7" style="346" customWidth="1"/>
    <col min="13570" max="13570" width="10.7109375" style="346" customWidth="1"/>
    <col min="13571" max="13571" width="10.5703125" style="346" customWidth="1"/>
    <col min="13572" max="13572" width="10.7109375" style="346" customWidth="1"/>
    <col min="13573" max="13573" width="10.28515625" style="346" customWidth="1"/>
    <col min="13574" max="13574" width="10.7109375" style="346" customWidth="1"/>
    <col min="13575" max="13575" width="9.42578125" style="346" customWidth="1"/>
    <col min="13576" max="13576" width="10.5703125" style="346" customWidth="1"/>
    <col min="13577" max="13577" width="13.7109375" style="346" customWidth="1"/>
    <col min="13578" max="13579" width="10.42578125" style="346" customWidth="1"/>
    <col min="13580" max="13580" width="10.28515625" style="346" customWidth="1"/>
    <col min="13581" max="13581" width="9.42578125" style="346" customWidth="1"/>
    <col min="13582" max="13582" width="8.7109375" style="346" customWidth="1"/>
    <col min="13583" max="13583" width="10.42578125" style="346" customWidth="1"/>
    <col min="13584" max="13584" width="10.28515625" style="346" customWidth="1"/>
    <col min="13585" max="13824" width="11.42578125" style="346"/>
    <col min="13825" max="13825" width="7" style="346" customWidth="1"/>
    <col min="13826" max="13826" width="10.7109375" style="346" customWidth="1"/>
    <col min="13827" max="13827" width="10.5703125" style="346" customWidth="1"/>
    <col min="13828" max="13828" width="10.7109375" style="346" customWidth="1"/>
    <col min="13829" max="13829" width="10.28515625" style="346" customWidth="1"/>
    <col min="13830" max="13830" width="10.7109375" style="346" customWidth="1"/>
    <col min="13831" max="13831" width="9.42578125" style="346" customWidth="1"/>
    <col min="13832" max="13832" width="10.5703125" style="346" customWidth="1"/>
    <col min="13833" max="13833" width="13.7109375" style="346" customWidth="1"/>
    <col min="13834" max="13835" width="10.42578125" style="346" customWidth="1"/>
    <col min="13836" max="13836" width="10.28515625" style="346" customWidth="1"/>
    <col min="13837" max="13837" width="9.42578125" style="346" customWidth="1"/>
    <col min="13838" max="13838" width="8.7109375" style="346" customWidth="1"/>
    <col min="13839" max="13839" width="10.42578125" style="346" customWidth="1"/>
    <col min="13840" max="13840" width="10.28515625" style="346" customWidth="1"/>
    <col min="13841" max="14080" width="11.42578125" style="346"/>
    <col min="14081" max="14081" width="7" style="346" customWidth="1"/>
    <col min="14082" max="14082" width="10.7109375" style="346" customWidth="1"/>
    <col min="14083" max="14083" width="10.5703125" style="346" customWidth="1"/>
    <col min="14084" max="14084" width="10.7109375" style="346" customWidth="1"/>
    <col min="14085" max="14085" width="10.28515625" style="346" customWidth="1"/>
    <col min="14086" max="14086" width="10.7109375" style="346" customWidth="1"/>
    <col min="14087" max="14087" width="9.42578125" style="346" customWidth="1"/>
    <col min="14088" max="14088" width="10.5703125" style="346" customWidth="1"/>
    <col min="14089" max="14089" width="13.7109375" style="346" customWidth="1"/>
    <col min="14090" max="14091" width="10.42578125" style="346" customWidth="1"/>
    <col min="14092" max="14092" width="10.28515625" style="346" customWidth="1"/>
    <col min="14093" max="14093" width="9.42578125" style="346" customWidth="1"/>
    <col min="14094" max="14094" width="8.7109375" style="346" customWidth="1"/>
    <col min="14095" max="14095" width="10.42578125" style="346" customWidth="1"/>
    <col min="14096" max="14096" width="10.28515625" style="346" customWidth="1"/>
    <col min="14097" max="14336" width="11.42578125" style="346"/>
    <col min="14337" max="14337" width="7" style="346" customWidth="1"/>
    <col min="14338" max="14338" width="10.7109375" style="346" customWidth="1"/>
    <col min="14339" max="14339" width="10.5703125" style="346" customWidth="1"/>
    <col min="14340" max="14340" width="10.7109375" style="346" customWidth="1"/>
    <col min="14341" max="14341" width="10.28515625" style="346" customWidth="1"/>
    <col min="14342" max="14342" width="10.7109375" style="346" customWidth="1"/>
    <col min="14343" max="14343" width="9.42578125" style="346" customWidth="1"/>
    <col min="14344" max="14344" width="10.5703125" style="346" customWidth="1"/>
    <col min="14345" max="14345" width="13.7109375" style="346" customWidth="1"/>
    <col min="14346" max="14347" width="10.42578125" style="346" customWidth="1"/>
    <col min="14348" max="14348" width="10.28515625" style="346" customWidth="1"/>
    <col min="14349" max="14349" width="9.42578125" style="346" customWidth="1"/>
    <col min="14350" max="14350" width="8.7109375" style="346" customWidth="1"/>
    <col min="14351" max="14351" width="10.42578125" style="346" customWidth="1"/>
    <col min="14352" max="14352" width="10.28515625" style="346" customWidth="1"/>
    <col min="14353" max="14592" width="11.42578125" style="346"/>
    <col min="14593" max="14593" width="7" style="346" customWidth="1"/>
    <col min="14594" max="14594" width="10.7109375" style="346" customWidth="1"/>
    <col min="14595" max="14595" width="10.5703125" style="346" customWidth="1"/>
    <col min="14596" max="14596" width="10.7109375" style="346" customWidth="1"/>
    <col min="14597" max="14597" width="10.28515625" style="346" customWidth="1"/>
    <col min="14598" max="14598" width="10.7109375" style="346" customWidth="1"/>
    <col min="14599" max="14599" width="9.42578125" style="346" customWidth="1"/>
    <col min="14600" max="14600" width="10.5703125" style="346" customWidth="1"/>
    <col min="14601" max="14601" width="13.7109375" style="346" customWidth="1"/>
    <col min="14602" max="14603" width="10.42578125" style="346" customWidth="1"/>
    <col min="14604" max="14604" width="10.28515625" style="346" customWidth="1"/>
    <col min="14605" max="14605" width="9.42578125" style="346" customWidth="1"/>
    <col min="14606" max="14606" width="8.7109375" style="346" customWidth="1"/>
    <col min="14607" max="14607" width="10.42578125" style="346" customWidth="1"/>
    <col min="14608" max="14608" width="10.28515625" style="346" customWidth="1"/>
    <col min="14609" max="14848" width="11.42578125" style="346"/>
    <col min="14849" max="14849" width="7" style="346" customWidth="1"/>
    <col min="14850" max="14850" width="10.7109375" style="346" customWidth="1"/>
    <col min="14851" max="14851" width="10.5703125" style="346" customWidth="1"/>
    <col min="14852" max="14852" width="10.7109375" style="346" customWidth="1"/>
    <col min="14853" max="14853" width="10.28515625" style="346" customWidth="1"/>
    <col min="14854" max="14854" width="10.7109375" style="346" customWidth="1"/>
    <col min="14855" max="14855" width="9.42578125" style="346" customWidth="1"/>
    <col min="14856" max="14856" width="10.5703125" style="346" customWidth="1"/>
    <col min="14857" max="14857" width="13.7109375" style="346" customWidth="1"/>
    <col min="14858" max="14859" width="10.42578125" style="346" customWidth="1"/>
    <col min="14860" max="14860" width="10.28515625" style="346" customWidth="1"/>
    <col min="14861" max="14861" width="9.42578125" style="346" customWidth="1"/>
    <col min="14862" max="14862" width="8.7109375" style="346" customWidth="1"/>
    <col min="14863" max="14863" width="10.42578125" style="346" customWidth="1"/>
    <col min="14864" max="14864" width="10.28515625" style="346" customWidth="1"/>
    <col min="14865" max="15104" width="11.42578125" style="346"/>
    <col min="15105" max="15105" width="7" style="346" customWidth="1"/>
    <col min="15106" max="15106" width="10.7109375" style="346" customWidth="1"/>
    <col min="15107" max="15107" width="10.5703125" style="346" customWidth="1"/>
    <col min="15108" max="15108" width="10.7109375" style="346" customWidth="1"/>
    <col min="15109" max="15109" width="10.28515625" style="346" customWidth="1"/>
    <col min="15110" max="15110" width="10.7109375" style="346" customWidth="1"/>
    <col min="15111" max="15111" width="9.42578125" style="346" customWidth="1"/>
    <col min="15112" max="15112" width="10.5703125" style="346" customWidth="1"/>
    <col min="15113" max="15113" width="13.7109375" style="346" customWidth="1"/>
    <col min="15114" max="15115" width="10.42578125" style="346" customWidth="1"/>
    <col min="15116" max="15116" width="10.28515625" style="346" customWidth="1"/>
    <col min="15117" max="15117" width="9.42578125" style="346" customWidth="1"/>
    <col min="15118" max="15118" width="8.7109375" style="346" customWidth="1"/>
    <col min="15119" max="15119" width="10.42578125" style="346" customWidth="1"/>
    <col min="15120" max="15120" width="10.28515625" style="346" customWidth="1"/>
    <col min="15121" max="15360" width="11.42578125" style="346"/>
    <col min="15361" max="15361" width="7" style="346" customWidth="1"/>
    <col min="15362" max="15362" width="10.7109375" style="346" customWidth="1"/>
    <col min="15363" max="15363" width="10.5703125" style="346" customWidth="1"/>
    <col min="15364" max="15364" width="10.7109375" style="346" customWidth="1"/>
    <col min="15365" max="15365" width="10.28515625" style="346" customWidth="1"/>
    <col min="15366" max="15366" width="10.7109375" style="346" customWidth="1"/>
    <col min="15367" max="15367" width="9.42578125" style="346" customWidth="1"/>
    <col min="15368" max="15368" width="10.5703125" style="346" customWidth="1"/>
    <col min="15369" max="15369" width="13.7109375" style="346" customWidth="1"/>
    <col min="15370" max="15371" width="10.42578125" style="346" customWidth="1"/>
    <col min="15372" max="15372" width="10.28515625" style="346" customWidth="1"/>
    <col min="15373" max="15373" width="9.42578125" style="346" customWidth="1"/>
    <col min="15374" max="15374" width="8.7109375" style="346" customWidth="1"/>
    <col min="15375" max="15375" width="10.42578125" style="346" customWidth="1"/>
    <col min="15376" max="15376" width="10.28515625" style="346" customWidth="1"/>
    <col min="15377" max="15616" width="11.42578125" style="346"/>
    <col min="15617" max="15617" width="7" style="346" customWidth="1"/>
    <col min="15618" max="15618" width="10.7109375" style="346" customWidth="1"/>
    <col min="15619" max="15619" width="10.5703125" style="346" customWidth="1"/>
    <col min="15620" max="15620" width="10.7109375" style="346" customWidth="1"/>
    <col min="15621" max="15621" width="10.28515625" style="346" customWidth="1"/>
    <col min="15622" max="15622" width="10.7109375" style="346" customWidth="1"/>
    <col min="15623" max="15623" width="9.42578125" style="346" customWidth="1"/>
    <col min="15624" max="15624" width="10.5703125" style="346" customWidth="1"/>
    <col min="15625" max="15625" width="13.7109375" style="346" customWidth="1"/>
    <col min="15626" max="15627" width="10.42578125" style="346" customWidth="1"/>
    <col min="15628" max="15628" width="10.28515625" style="346" customWidth="1"/>
    <col min="15629" max="15629" width="9.42578125" style="346" customWidth="1"/>
    <col min="15630" max="15630" width="8.7109375" style="346" customWidth="1"/>
    <col min="15631" max="15631" width="10.42578125" style="346" customWidth="1"/>
    <col min="15632" max="15632" width="10.28515625" style="346" customWidth="1"/>
    <col min="15633" max="15872" width="11.42578125" style="346"/>
    <col min="15873" max="15873" width="7" style="346" customWidth="1"/>
    <col min="15874" max="15874" width="10.7109375" style="346" customWidth="1"/>
    <col min="15875" max="15875" width="10.5703125" style="346" customWidth="1"/>
    <col min="15876" max="15876" width="10.7109375" style="346" customWidth="1"/>
    <col min="15877" max="15877" width="10.28515625" style="346" customWidth="1"/>
    <col min="15878" max="15878" width="10.7109375" style="346" customWidth="1"/>
    <col min="15879" max="15879" width="9.42578125" style="346" customWidth="1"/>
    <col min="15880" max="15880" width="10.5703125" style="346" customWidth="1"/>
    <col min="15881" max="15881" width="13.7109375" style="346" customWidth="1"/>
    <col min="15882" max="15883" width="10.42578125" style="346" customWidth="1"/>
    <col min="15884" max="15884" width="10.28515625" style="346" customWidth="1"/>
    <col min="15885" max="15885" width="9.42578125" style="346" customWidth="1"/>
    <col min="15886" max="15886" width="8.7109375" style="346" customWidth="1"/>
    <col min="15887" max="15887" width="10.42578125" style="346" customWidth="1"/>
    <col min="15888" max="15888" width="10.28515625" style="346" customWidth="1"/>
    <col min="15889" max="16128" width="11.42578125" style="346"/>
    <col min="16129" max="16129" width="7" style="346" customWidth="1"/>
    <col min="16130" max="16130" width="10.7109375" style="346" customWidth="1"/>
    <col min="16131" max="16131" width="10.5703125" style="346" customWidth="1"/>
    <col min="16132" max="16132" width="10.7109375" style="346" customWidth="1"/>
    <col min="16133" max="16133" width="10.28515625" style="346" customWidth="1"/>
    <col min="16134" max="16134" width="10.7109375" style="346" customWidth="1"/>
    <col min="16135" max="16135" width="9.42578125" style="346" customWidth="1"/>
    <col min="16136" max="16136" width="10.5703125" style="346" customWidth="1"/>
    <col min="16137" max="16137" width="13.7109375" style="346" customWidth="1"/>
    <col min="16138" max="16139" width="10.42578125" style="346" customWidth="1"/>
    <col min="16140" max="16140" width="10.28515625" style="346" customWidth="1"/>
    <col min="16141" max="16141" width="9.42578125" style="346" customWidth="1"/>
    <col min="16142" max="16142" width="8.7109375" style="346" customWidth="1"/>
    <col min="16143" max="16143" width="10.42578125" style="346" customWidth="1"/>
    <col min="16144" max="16144" width="10.28515625" style="346" customWidth="1"/>
    <col min="16145" max="16384" width="11.42578125" style="346"/>
  </cols>
  <sheetData>
    <row r="1" spans="1:21" ht="15" customHeight="1" x14ac:dyDescent="0.2">
      <c r="A1" s="728" t="s">
        <v>1623</v>
      </c>
      <c r="B1" s="728"/>
      <c r="C1" s="728"/>
      <c r="D1" s="728"/>
      <c r="E1" s="728"/>
      <c r="F1" s="728"/>
      <c r="G1" s="728"/>
      <c r="H1" s="728"/>
      <c r="I1" s="728"/>
      <c r="J1" s="728"/>
      <c r="K1" s="728"/>
      <c r="L1" s="728"/>
      <c r="M1" s="728"/>
      <c r="N1" s="728"/>
      <c r="O1" s="728"/>
      <c r="P1" s="728"/>
    </row>
    <row r="2" spans="1:21" ht="15" customHeight="1" x14ac:dyDescent="0.2">
      <c r="A2" s="728" t="s">
        <v>1695</v>
      </c>
      <c r="B2" s="728"/>
      <c r="C2" s="728"/>
      <c r="D2" s="728"/>
      <c r="E2" s="728"/>
      <c r="F2" s="728" t="s">
        <v>1625</v>
      </c>
      <c r="G2" s="728"/>
      <c r="H2" s="728"/>
      <c r="I2" s="728"/>
      <c r="J2" s="728"/>
      <c r="K2" s="728"/>
      <c r="L2" s="728"/>
      <c r="M2" s="728"/>
      <c r="N2" s="728"/>
      <c r="O2" s="728"/>
      <c r="P2" s="728"/>
    </row>
    <row r="3" spans="1:21" ht="15" customHeight="1" x14ac:dyDescent="0.2">
      <c r="E3" s="347"/>
    </row>
    <row r="4" spans="1:21" ht="15" customHeight="1" x14ac:dyDescent="0.25">
      <c r="A4" s="729" t="s">
        <v>1626</v>
      </c>
      <c r="B4" s="729"/>
      <c r="C4" s="729"/>
      <c r="D4" s="729"/>
      <c r="E4" s="729"/>
      <c r="F4" s="347"/>
      <c r="K4" s="347"/>
      <c r="N4" s="347" t="s">
        <v>1627</v>
      </c>
      <c r="O4" s="348">
        <f>IF(HorasAmortizaciónEquipoCamión=0,0,ROUND(Valor_CamiónAcoplado*PorcentajeEquipoAmortizarCamión/HorasAmortizaciónEquipoCamión,3))</f>
        <v>0</v>
      </c>
    </row>
    <row r="5" spans="1:21" ht="15" customHeight="1" x14ac:dyDescent="0.2">
      <c r="F5" s="347"/>
      <c r="K5" s="347"/>
      <c r="O5" s="349"/>
    </row>
    <row r="6" spans="1:21" ht="15" customHeight="1" x14ac:dyDescent="0.2">
      <c r="A6" s="410"/>
      <c r="B6" s="410"/>
      <c r="C6" s="410"/>
      <c r="D6" s="410"/>
      <c r="E6" s="410"/>
      <c r="F6" s="347"/>
      <c r="K6" s="347"/>
      <c r="O6" s="349"/>
    </row>
    <row r="7" spans="1:21" ht="15" customHeight="1" x14ac:dyDescent="0.2">
      <c r="A7" s="743" t="s">
        <v>1628</v>
      </c>
      <c r="B7" s="743"/>
      <c r="C7" s="743"/>
      <c r="D7" s="743"/>
      <c r="E7" s="399"/>
      <c r="F7" s="347"/>
      <c r="G7" s="350"/>
      <c r="I7" s="730"/>
      <c r="J7" s="351"/>
      <c r="K7" s="352"/>
      <c r="N7" s="347" t="s">
        <v>1629</v>
      </c>
      <c r="O7" s="348">
        <f>ROUND(Valor_CamiónAcoplado*E10/4000,3)</f>
        <v>0</v>
      </c>
      <c r="Q7" s="350"/>
      <c r="R7" s="353"/>
      <c r="S7" s="730"/>
      <c r="T7" s="354"/>
      <c r="U7" s="351"/>
    </row>
    <row r="8" spans="1:21" ht="15" customHeight="1" x14ac:dyDescent="0.2">
      <c r="A8" s="743" t="s">
        <v>1630</v>
      </c>
      <c r="B8" s="743"/>
      <c r="C8" s="743"/>
      <c r="D8" s="743"/>
      <c r="E8" s="400"/>
      <c r="F8" s="347"/>
      <c r="G8" s="731"/>
      <c r="H8" s="731"/>
      <c r="I8" s="730"/>
      <c r="K8" s="347"/>
      <c r="O8" s="349"/>
      <c r="Q8" s="731"/>
      <c r="R8" s="731"/>
      <c r="S8" s="730"/>
    </row>
    <row r="9" spans="1:21" ht="15" customHeight="1" x14ac:dyDescent="0.2">
      <c r="A9" s="743" t="s">
        <v>1631</v>
      </c>
      <c r="B9" s="743"/>
      <c r="C9" s="743"/>
      <c r="D9" s="743"/>
      <c r="E9" s="401"/>
      <c r="F9" s="347"/>
      <c r="K9" s="347"/>
      <c r="O9" s="349"/>
    </row>
    <row r="10" spans="1:21" ht="15" customHeight="1" x14ac:dyDescent="0.2">
      <c r="A10" s="743" t="s">
        <v>1632</v>
      </c>
      <c r="B10" s="743"/>
      <c r="C10" s="743"/>
      <c r="D10" s="743"/>
      <c r="E10" s="401"/>
      <c r="F10" s="347"/>
      <c r="K10" s="347"/>
      <c r="N10" s="347" t="s">
        <v>1633</v>
      </c>
      <c r="O10" s="348">
        <f>ROUND(O4*Porcentaje_Reparaciones_Repuestos,3)</f>
        <v>0</v>
      </c>
    </row>
    <row r="11" spans="1:21" ht="15" customHeight="1" x14ac:dyDescent="0.2">
      <c r="A11" s="743" t="s">
        <v>1634</v>
      </c>
      <c r="B11" s="743"/>
      <c r="C11" s="743"/>
      <c r="D11" s="743"/>
      <c r="E11" s="401"/>
      <c r="F11" s="347"/>
      <c r="K11" s="347"/>
      <c r="O11" s="349"/>
    </row>
    <row r="12" spans="1:21" ht="15" customHeight="1" x14ac:dyDescent="0.2">
      <c r="A12" s="743" t="s">
        <v>1635</v>
      </c>
      <c r="B12" s="743"/>
      <c r="C12" s="743"/>
      <c r="D12" s="743"/>
      <c r="E12" s="401"/>
      <c r="F12" s="347"/>
      <c r="K12" s="347"/>
      <c r="O12" s="349"/>
    </row>
    <row r="13" spans="1:21" ht="15" customHeight="1" x14ac:dyDescent="0.2">
      <c r="A13" s="743" t="s">
        <v>1636</v>
      </c>
      <c r="B13" s="743"/>
      <c r="C13" s="743"/>
      <c r="D13" s="743"/>
      <c r="E13" s="400"/>
      <c r="F13" s="347"/>
      <c r="K13" s="347"/>
      <c r="N13" s="347" t="s">
        <v>1637</v>
      </c>
      <c r="O13" s="348">
        <f>ROUND(Tiempo_lavado_en_horas*Mano_Obra_Lavado*Cantidad_lavado_al_mes*12/2000,3)</f>
        <v>0</v>
      </c>
    </row>
    <row r="14" spans="1:21" ht="15" customHeight="1" x14ac:dyDescent="0.2">
      <c r="A14" s="743" t="s">
        <v>1638</v>
      </c>
      <c r="B14" s="743"/>
      <c r="C14" s="743"/>
      <c r="D14" s="743"/>
      <c r="E14" s="402"/>
      <c r="F14" s="347"/>
      <c r="K14" s="347"/>
      <c r="O14" s="349"/>
    </row>
    <row r="15" spans="1:21" ht="15" customHeight="1" x14ac:dyDescent="0.2">
      <c r="A15" s="743" t="s">
        <v>1639</v>
      </c>
      <c r="B15" s="743"/>
      <c r="C15" s="743"/>
      <c r="D15" s="743"/>
      <c r="E15" s="403"/>
      <c r="F15" s="347"/>
      <c r="G15" s="350"/>
      <c r="I15" s="730"/>
      <c r="J15" s="351"/>
      <c r="K15" s="352"/>
      <c r="O15" s="349"/>
      <c r="Q15" s="355"/>
      <c r="R15" s="356"/>
      <c r="S15" s="730"/>
      <c r="T15" s="354"/>
      <c r="U15" s="357"/>
    </row>
    <row r="16" spans="1:21" ht="15" customHeight="1" x14ac:dyDescent="0.2">
      <c r="A16" s="743" t="s">
        <v>1640</v>
      </c>
      <c r="B16" s="743"/>
      <c r="C16" s="743"/>
      <c r="D16" s="743"/>
      <c r="E16" s="404"/>
      <c r="F16" s="347"/>
      <c r="G16" s="731"/>
      <c r="H16" s="731"/>
      <c r="I16" s="730"/>
      <c r="K16" s="347"/>
      <c r="N16" s="347" t="s">
        <v>1641</v>
      </c>
      <c r="O16" s="348">
        <f>ROUND(Valor_CamiónAcoplado*PorSegurosPatentesImpustoCamión/2000,3)</f>
        <v>0</v>
      </c>
      <c r="Q16" s="732"/>
      <c r="R16" s="732"/>
      <c r="S16" s="730"/>
    </row>
    <row r="17" spans="1:21" ht="15" customHeight="1" x14ac:dyDescent="0.2">
      <c r="A17" s="743" t="s">
        <v>1642</v>
      </c>
      <c r="B17" s="743"/>
      <c r="C17" s="743"/>
      <c r="D17" s="743"/>
      <c r="E17" s="405"/>
      <c r="F17" s="347"/>
      <c r="K17" s="347"/>
      <c r="O17" s="349"/>
    </row>
    <row r="18" spans="1:21" ht="15" customHeight="1" x14ac:dyDescent="0.2">
      <c r="A18" s="743" t="s">
        <v>1643</v>
      </c>
      <c r="B18" s="743"/>
      <c r="C18" s="743"/>
      <c r="D18" s="743"/>
      <c r="E18" s="406"/>
      <c r="F18" s="347"/>
      <c r="K18" s="347"/>
      <c r="O18" s="349"/>
    </row>
    <row r="19" spans="1:21" ht="15" customHeight="1" x14ac:dyDescent="0.2">
      <c r="A19" s="743" t="s">
        <v>1644</v>
      </c>
      <c r="B19" s="743"/>
      <c r="C19" s="743"/>
      <c r="D19" s="743"/>
      <c r="E19" s="407"/>
      <c r="F19" s="347"/>
      <c r="G19" s="350"/>
      <c r="J19" s="351"/>
      <c r="K19" s="352"/>
      <c r="N19" s="347" t="s">
        <v>1645</v>
      </c>
      <c r="O19" s="348">
        <f>IF(V_U_cámara_cubiertas_CamiónAcoplado=0,0,ROUND(Cantidad_camaras_cubiertas*Valor_cámara_cubiertas_CamiónAcoplado/V_U_cámara_cubiertas_CamiónAcoplado,3))</f>
        <v>0</v>
      </c>
      <c r="Q19" s="358"/>
      <c r="R19" s="359"/>
      <c r="S19" s="360"/>
      <c r="T19" s="354"/>
      <c r="U19" s="361"/>
    </row>
    <row r="20" spans="1:21" ht="15" customHeight="1" x14ac:dyDescent="0.2">
      <c r="A20" s="743" t="s">
        <v>1646</v>
      </c>
      <c r="B20" s="743"/>
      <c r="C20" s="743"/>
      <c r="D20" s="743"/>
      <c r="E20" s="401"/>
      <c r="F20" s="347"/>
      <c r="G20" s="731"/>
      <c r="H20" s="731"/>
      <c r="K20" s="347"/>
      <c r="O20" s="349"/>
    </row>
    <row r="21" spans="1:21" ht="15" customHeight="1" x14ac:dyDescent="0.2">
      <c r="A21" s="743" t="s">
        <v>1697</v>
      </c>
      <c r="B21" s="743"/>
      <c r="C21" s="743"/>
      <c r="D21" s="743" t="s">
        <v>1647</v>
      </c>
      <c r="E21" s="408"/>
      <c r="G21" s="742"/>
      <c r="H21" s="742"/>
      <c r="I21" s="742"/>
      <c r="K21" s="347"/>
      <c r="O21" s="349"/>
    </row>
    <row r="22" spans="1:21" ht="15" customHeight="1" x14ac:dyDescent="0.2">
      <c r="A22" s="743" t="s">
        <v>1698</v>
      </c>
      <c r="B22" s="743"/>
      <c r="C22" s="743"/>
      <c r="D22" s="743" t="s">
        <v>1648</v>
      </c>
      <c r="E22" s="409"/>
      <c r="K22" s="347"/>
      <c r="N22" s="347" t="s">
        <v>1649</v>
      </c>
      <c r="O22" s="348">
        <f>ROUND(Consumo_gasoil_CamiónAcoplado_porkm*Costo_gasoil*(1+Porcentaje_Lubricantes),3)</f>
        <v>0</v>
      </c>
    </row>
    <row r="23" spans="1:21" ht="15" customHeight="1" x14ac:dyDescent="0.25">
      <c r="A23" s="411"/>
      <c r="B23" s="411"/>
      <c r="C23" s="411"/>
      <c r="D23" s="411"/>
      <c r="E23" s="411"/>
      <c r="G23" s="362"/>
      <c r="H23" s="363"/>
      <c r="I23" s="364"/>
      <c r="J23" s="365"/>
      <c r="K23" s="352"/>
    </row>
    <row r="25" spans="1:21" ht="15" customHeight="1" x14ac:dyDescent="0.2">
      <c r="A25" s="738" t="s">
        <v>1650</v>
      </c>
      <c r="B25" s="738"/>
      <c r="C25" s="738"/>
      <c r="D25" s="738"/>
      <c r="E25" s="738"/>
      <c r="F25" s="738"/>
      <c r="G25" s="738"/>
      <c r="H25" s="739" t="s">
        <v>1651</v>
      </c>
      <c r="I25" s="739"/>
      <c r="J25" s="739"/>
      <c r="K25" s="739"/>
      <c r="L25" s="739"/>
      <c r="M25" s="739"/>
      <c r="N25" s="739"/>
      <c r="O25" s="739"/>
      <c r="P25" s="740" t="s">
        <v>1652</v>
      </c>
    </row>
    <row r="26" spans="1:21" ht="15" customHeight="1" x14ac:dyDescent="0.2">
      <c r="A26" s="366" t="s">
        <v>1653</v>
      </c>
      <c r="B26" s="366" t="s">
        <v>1654</v>
      </c>
      <c r="C26" s="366" t="s">
        <v>1655</v>
      </c>
      <c r="D26" s="366" t="s">
        <v>1656</v>
      </c>
      <c r="E26" s="366" t="s">
        <v>1657</v>
      </c>
      <c r="F26" s="366" t="s">
        <v>983</v>
      </c>
      <c r="G26" s="366" t="s">
        <v>1658</v>
      </c>
      <c r="H26" s="741" t="s">
        <v>1599</v>
      </c>
      <c r="I26" s="741" t="s">
        <v>1659</v>
      </c>
      <c r="J26" s="366" t="s">
        <v>1660</v>
      </c>
      <c r="K26" s="366" t="s">
        <v>1661</v>
      </c>
      <c r="L26" s="366" t="s">
        <v>1662</v>
      </c>
      <c r="M26" s="366" t="s">
        <v>1663</v>
      </c>
      <c r="N26" s="366" t="s">
        <v>1664</v>
      </c>
      <c r="O26" s="367" t="s">
        <v>1696</v>
      </c>
      <c r="P26" s="740"/>
    </row>
    <row r="27" spans="1:21" ht="15" customHeight="1" x14ac:dyDescent="0.2">
      <c r="A27" s="366" t="s">
        <v>1666</v>
      </c>
      <c r="B27" s="366" t="s">
        <v>1667</v>
      </c>
      <c r="C27" s="366" t="s">
        <v>1668</v>
      </c>
      <c r="D27" s="366" t="s">
        <v>1669</v>
      </c>
      <c r="E27" s="366" t="s">
        <v>1670</v>
      </c>
      <c r="F27" s="366" t="s">
        <v>1671</v>
      </c>
      <c r="G27" s="366" t="s">
        <v>1672</v>
      </c>
      <c r="H27" s="741"/>
      <c r="I27" s="741"/>
      <c r="J27" s="366" t="s">
        <v>1673</v>
      </c>
      <c r="K27" s="366" t="s">
        <v>1674</v>
      </c>
      <c r="L27" s="366" t="s">
        <v>1675</v>
      </c>
      <c r="M27" s="366" t="s">
        <v>1676</v>
      </c>
      <c r="N27" s="366" t="s">
        <v>1677</v>
      </c>
      <c r="O27" s="367" t="s">
        <v>1678</v>
      </c>
      <c r="P27" s="740"/>
    </row>
    <row r="28" spans="1:21" ht="15" customHeight="1" x14ac:dyDescent="0.2">
      <c r="A28" s="737" t="s">
        <v>1679</v>
      </c>
      <c r="B28" s="737" t="s">
        <v>1680</v>
      </c>
      <c r="C28" s="737" t="s">
        <v>1681</v>
      </c>
      <c r="D28" s="737" t="s">
        <v>1682</v>
      </c>
      <c r="E28" s="737" t="s">
        <v>1683</v>
      </c>
      <c r="F28" s="737" t="s">
        <v>1684</v>
      </c>
      <c r="G28" s="737" t="s">
        <v>1685</v>
      </c>
      <c r="H28" s="737" t="s">
        <v>1686</v>
      </c>
      <c r="I28" s="737" t="s">
        <v>1687</v>
      </c>
      <c r="J28" s="737" t="s">
        <v>1688</v>
      </c>
      <c r="K28" s="737" t="s">
        <v>1689</v>
      </c>
      <c r="L28" s="737" t="s">
        <v>1690</v>
      </c>
      <c r="M28" s="737" t="s">
        <v>1691</v>
      </c>
      <c r="N28" s="737" t="s">
        <v>1692</v>
      </c>
      <c r="O28" s="737" t="s">
        <v>1693</v>
      </c>
      <c r="P28" s="733" t="s">
        <v>1694</v>
      </c>
    </row>
    <row r="29" spans="1:21" ht="15" customHeight="1" x14ac:dyDescent="0.2">
      <c r="A29" s="737"/>
      <c r="B29" s="737"/>
      <c r="C29" s="737"/>
      <c r="D29" s="737"/>
      <c r="E29" s="737"/>
      <c r="F29" s="737"/>
      <c r="G29" s="737"/>
      <c r="H29" s="737"/>
      <c r="I29" s="737"/>
      <c r="J29" s="737"/>
      <c r="K29" s="737"/>
      <c r="L29" s="737"/>
      <c r="M29" s="737"/>
      <c r="N29" s="737"/>
      <c r="O29" s="737"/>
      <c r="P29" s="733"/>
    </row>
    <row r="30" spans="1:21" ht="15" customHeight="1" x14ac:dyDescent="0.2">
      <c r="A30" s="368">
        <v>55</v>
      </c>
      <c r="B30" s="377"/>
      <c r="C30" s="370">
        <f>IF(B30=0,0,(2*A30*60)/B30)</f>
        <v>0</v>
      </c>
      <c r="D30" s="370"/>
      <c r="E30" s="370">
        <f t="shared" ref="E30:E64" si="0">+C30+D30</f>
        <v>0</v>
      </c>
      <c r="F30" s="378">
        <f>A30*$E$21</f>
        <v>0</v>
      </c>
      <c r="G30" s="373">
        <f t="shared" ref="G30:G64" si="1">+A30*2</f>
        <v>110</v>
      </c>
      <c r="H30" s="374">
        <f>'Transp. Camión con Acoplado'!A*(E30/60)</f>
        <v>0</v>
      </c>
      <c r="I30" s="374">
        <f>'Transp. Camión con Acoplado'!B*(E30/60)</f>
        <v>0</v>
      </c>
      <c r="J30" s="374">
        <f>'Transp. Camión con Acoplado'!C_*(C30/60)</f>
        <v>0</v>
      </c>
      <c r="K30" s="374">
        <f>'Transp. Camión con Acoplado'!D*(E30/60)</f>
        <v>0</v>
      </c>
      <c r="L30" s="374">
        <f>'Transp. Camión con Acoplado'!E*(E30/60)</f>
        <v>0</v>
      </c>
      <c r="M30" s="374">
        <f>'Transp. Camión con Acoplado'!F_*G30</f>
        <v>0</v>
      </c>
      <c r="N30" s="374">
        <f t="shared" ref="N30:N64" si="2">Mano_Obra_Lavado*(E30/60)</f>
        <v>0</v>
      </c>
      <c r="O30" s="374">
        <f>+G30*'Transp. Camión con Acoplado'!G</f>
        <v>0</v>
      </c>
      <c r="P30" s="375">
        <f>IF(F30=0,0,ROUND(SUM(H30:O30)/F30,3))</f>
        <v>0</v>
      </c>
      <c r="R30" s="376"/>
    </row>
    <row r="31" spans="1:21" ht="15" customHeight="1" x14ac:dyDescent="0.2">
      <c r="A31" s="368">
        <v>60</v>
      </c>
      <c r="B31" s="377"/>
      <c r="C31" s="370">
        <f t="shared" ref="C31:C64" si="3">IF(B31=0,0,(2*A31*60)/B31)</f>
        <v>0</v>
      </c>
      <c r="D31" s="370"/>
      <c r="E31" s="370">
        <f t="shared" si="0"/>
        <v>0</v>
      </c>
      <c r="F31" s="378">
        <f t="shared" ref="F31:F64" si="4">A31*$E$21</f>
        <v>0</v>
      </c>
      <c r="G31" s="373">
        <f t="shared" si="1"/>
        <v>120</v>
      </c>
      <c r="H31" s="374">
        <f>'Transp. Camión con Acoplado'!A*(E31/60)</f>
        <v>0</v>
      </c>
      <c r="I31" s="374">
        <f>'Transp. Camión con Acoplado'!B*(E31/60)</f>
        <v>0</v>
      </c>
      <c r="J31" s="374">
        <f>'Transp. Camión con Acoplado'!C_*(C31/60)</f>
        <v>0</v>
      </c>
      <c r="K31" s="374">
        <f>'Transp. Camión con Acoplado'!D*(E31/60)</f>
        <v>0</v>
      </c>
      <c r="L31" s="374">
        <f>'Transp. Camión con Acoplado'!E*(E31/60)</f>
        <v>0</v>
      </c>
      <c r="M31" s="374">
        <f>'Transp. Camión con Acoplado'!F_*G31</f>
        <v>0</v>
      </c>
      <c r="N31" s="374">
        <f t="shared" si="2"/>
        <v>0</v>
      </c>
      <c r="O31" s="374">
        <f>+G31*'Transp. Camión con Acoplado'!G</f>
        <v>0</v>
      </c>
      <c r="P31" s="375">
        <f t="shared" ref="P31:P64" si="5">IF(F31=0,0,ROUND(SUM(H31:O31)/F31,3))</f>
        <v>0</v>
      </c>
      <c r="R31" s="376"/>
    </row>
    <row r="32" spans="1:21" ht="15" customHeight="1" x14ac:dyDescent="0.2">
      <c r="A32" s="368">
        <v>65</v>
      </c>
      <c r="B32" s="377"/>
      <c r="C32" s="370">
        <f t="shared" si="3"/>
        <v>0</v>
      </c>
      <c r="D32" s="370"/>
      <c r="E32" s="370">
        <f t="shared" si="0"/>
        <v>0</v>
      </c>
      <c r="F32" s="378">
        <f t="shared" si="4"/>
        <v>0</v>
      </c>
      <c r="G32" s="373">
        <f t="shared" si="1"/>
        <v>130</v>
      </c>
      <c r="H32" s="374">
        <f>'Transp. Camión con Acoplado'!A*(E32/60)</f>
        <v>0</v>
      </c>
      <c r="I32" s="374">
        <f>'Transp. Camión con Acoplado'!B*(E32/60)</f>
        <v>0</v>
      </c>
      <c r="J32" s="374">
        <f>'Transp. Camión con Acoplado'!C_*(C32/60)</f>
        <v>0</v>
      </c>
      <c r="K32" s="374">
        <f>'Transp. Camión con Acoplado'!D*(E32/60)</f>
        <v>0</v>
      </c>
      <c r="L32" s="374">
        <f>'Transp. Camión con Acoplado'!E*(E32/60)</f>
        <v>0</v>
      </c>
      <c r="M32" s="374">
        <f>'Transp. Camión con Acoplado'!F_*G32</f>
        <v>0</v>
      </c>
      <c r="N32" s="374">
        <f t="shared" si="2"/>
        <v>0</v>
      </c>
      <c r="O32" s="374">
        <f>+G32*'Transp. Camión con Acoplado'!G</f>
        <v>0</v>
      </c>
      <c r="P32" s="375">
        <f t="shared" si="5"/>
        <v>0</v>
      </c>
      <c r="R32" s="376"/>
    </row>
    <row r="33" spans="1:18" ht="15" customHeight="1" x14ac:dyDescent="0.2">
      <c r="A33" s="368">
        <v>70</v>
      </c>
      <c r="B33" s="377"/>
      <c r="C33" s="370">
        <f t="shared" si="3"/>
        <v>0</v>
      </c>
      <c r="D33" s="370"/>
      <c r="E33" s="370">
        <f t="shared" si="0"/>
        <v>0</v>
      </c>
      <c r="F33" s="378">
        <f t="shared" si="4"/>
        <v>0</v>
      </c>
      <c r="G33" s="373">
        <f t="shared" si="1"/>
        <v>140</v>
      </c>
      <c r="H33" s="374">
        <f>'Transp. Camión con Acoplado'!A*(E33/60)</f>
        <v>0</v>
      </c>
      <c r="I33" s="374">
        <f>'Transp. Camión con Acoplado'!B*(E33/60)</f>
        <v>0</v>
      </c>
      <c r="J33" s="374">
        <f>'Transp. Camión con Acoplado'!C_*(C33/60)</f>
        <v>0</v>
      </c>
      <c r="K33" s="374">
        <f>'Transp. Camión con Acoplado'!D*(E33/60)</f>
        <v>0</v>
      </c>
      <c r="L33" s="374">
        <f>'Transp. Camión con Acoplado'!E*(E33/60)</f>
        <v>0</v>
      </c>
      <c r="M33" s="374">
        <f>'Transp. Camión con Acoplado'!F_*G33</f>
        <v>0</v>
      </c>
      <c r="N33" s="374">
        <f t="shared" si="2"/>
        <v>0</v>
      </c>
      <c r="O33" s="374">
        <f>+G33*'Transp. Camión con Acoplado'!G</f>
        <v>0</v>
      </c>
      <c r="P33" s="375">
        <f t="shared" si="5"/>
        <v>0</v>
      </c>
      <c r="R33" s="376"/>
    </row>
    <row r="34" spans="1:18" ht="15" customHeight="1" x14ac:dyDescent="0.2">
      <c r="A34" s="368">
        <v>75</v>
      </c>
      <c r="B34" s="377"/>
      <c r="C34" s="370">
        <f t="shared" si="3"/>
        <v>0</v>
      </c>
      <c r="D34" s="370"/>
      <c r="E34" s="370">
        <f t="shared" si="0"/>
        <v>0</v>
      </c>
      <c r="F34" s="378">
        <f t="shared" si="4"/>
        <v>0</v>
      </c>
      <c r="G34" s="373">
        <f t="shared" si="1"/>
        <v>150</v>
      </c>
      <c r="H34" s="374">
        <f>'Transp. Camión con Acoplado'!A*(E34/60)</f>
        <v>0</v>
      </c>
      <c r="I34" s="374">
        <f>'Transp. Camión con Acoplado'!B*(E34/60)</f>
        <v>0</v>
      </c>
      <c r="J34" s="374">
        <f>'Transp. Camión con Acoplado'!C_*(C34/60)</f>
        <v>0</v>
      </c>
      <c r="K34" s="374">
        <f>'Transp. Camión con Acoplado'!D*(E34/60)</f>
        <v>0</v>
      </c>
      <c r="L34" s="374">
        <f>'Transp. Camión con Acoplado'!E*(E34/60)</f>
        <v>0</v>
      </c>
      <c r="M34" s="374">
        <f>'Transp. Camión con Acoplado'!F_*G34</f>
        <v>0</v>
      </c>
      <c r="N34" s="374">
        <f t="shared" si="2"/>
        <v>0</v>
      </c>
      <c r="O34" s="374">
        <f>+G34*'Transp. Camión con Acoplado'!G</f>
        <v>0</v>
      </c>
      <c r="P34" s="375">
        <f t="shared" si="5"/>
        <v>0</v>
      </c>
      <c r="R34" s="376"/>
    </row>
    <row r="35" spans="1:18" ht="15" customHeight="1" x14ac:dyDescent="0.2">
      <c r="A35" s="368">
        <v>80</v>
      </c>
      <c r="B35" s="377"/>
      <c r="C35" s="370">
        <f t="shared" si="3"/>
        <v>0</v>
      </c>
      <c r="D35" s="370"/>
      <c r="E35" s="370">
        <f t="shared" si="0"/>
        <v>0</v>
      </c>
      <c r="F35" s="378">
        <f t="shared" si="4"/>
        <v>0</v>
      </c>
      <c r="G35" s="373">
        <f t="shared" si="1"/>
        <v>160</v>
      </c>
      <c r="H35" s="374">
        <f>'Transp. Camión con Acoplado'!A*(E35/60)</f>
        <v>0</v>
      </c>
      <c r="I35" s="374">
        <f>'Transp. Camión con Acoplado'!B*(E35/60)</f>
        <v>0</v>
      </c>
      <c r="J35" s="374">
        <f>'Transp. Camión con Acoplado'!C_*(C35/60)</f>
        <v>0</v>
      </c>
      <c r="K35" s="374">
        <f>'Transp. Camión con Acoplado'!D*(E35/60)</f>
        <v>0</v>
      </c>
      <c r="L35" s="374">
        <f>'Transp. Camión con Acoplado'!E*(E35/60)</f>
        <v>0</v>
      </c>
      <c r="M35" s="374">
        <f>'Transp. Camión con Acoplado'!F_*G35</f>
        <v>0</v>
      </c>
      <c r="N35" s="374">
        <f t="shared" si="2"/>
        <v>0</v>
      </c>
      <c r="O35" s="374">
        <f>+G35*'Transp. Camión con Acoplado'!G</f>
        <v>0</v>
      </c>
      <c r="P35" s="375">
        <f t="shared" si="5"/>
        <v>0</v>
      </c>
      <c r="R35" s="376"/>
    </row>
    <row r="36" spans="1:18" ht="15" customHeight="1" x14ac:dyDescent="0.2">
      <c r="A36" s="368">
        <v>85</v>
      </c>
      <c r="B36" s="377"/>
      <c r="C36" s="370">
        <f t="shared" si="3"/>
        <v>0</v>
      </c>
      <c r="D36" s="370"/>
      <c r="E36" s="370">
        <f t="shared" si="0"/>
        <v>0</v>
      </c>
      <c r="F36" s="378">
        <f t="shared" si="4"/>
        <v>0</v>
      </c>
      <c r="G36" s="373">
        <f t="shared" si="1"/>
        <v>170</v>
      </c>
      <c r="H36" s="374">
        <f>'Transp. Camión con Acoplado'!A*(E36/60)</f>
        <v>0</v>
      </c>
      <c r="I36" s="374">
        <f>'Transp. Camión con Acoplado'!B*(E36/60)</f>
        <v>0</v>
      </c>
      <c r="J36" s="374">
        <f>'Transp. Camión con Acoplado'!C_*(C36/60)</f>
        <v>0</v>
      </c>
      <c r="K36" s="374">
        <f>'Transp. Camión con Acoplado'!D*(E36/60)</f>
        <v>0</v>
      </c>
      <c r="L36" s="374">
        <f>'Transp. Camión con Acoplado'!E*(E36/60)</f>
        <v>0</v>
      </c>
      <c r="M36" s="374">
        <f>'Transp. Camión con Acoplado'!F_*G36</f>
        <v>0</v>
      </c>
      <c r="N36" s="374">
        <f t="shared" si="2"/>
        <v>0</v>
      </c>
      <c r="O36" s="374">
        <f>+G36*'Transp. Camión con Acoplado'!G</f>
        <v>0</v>
      </c>
      <c r="P36" s="375">
        <f t="shared" si="5"/>
        <v>0</v>
      </c>
      <c r="R36" s="376"/>
    </row>
    <row r="37" spans="1:18" ht="15" customHeight="1" x14ac:dyDescent="0.2">
      <c r="A37" s="368">
        <v>90</v>
      </c>
      <c r="B37" s="377"/>
      <c r="C37" s="370">
        <f t="shared" si="3"/>
        <v>0</v>
      </c>
      <c r="D37" s="370"/>
      <c r="E37" s="370">
        <f t="shared" si="0"/>
        <v>0</v>
      </c>
      <c r="F37" s="378">
        <f t="shared" si="4"/>
        <v>0</v>
      </c>
      <c r="G37" s="373">
        <f t="shared" si="1"/>
        <v>180</v>
      </c>
      <c r="H37" s="374">
        <f>'Transp. Camión con Acoplado'!A*(E37/60)</f>
        <v>0</v>
      </c>
      <c r="I37" s="374">
        <f>'Transp. Camión con Acoplado'!B*(E37/60)</f>
        <v>0</v>
      </c>
      <c r="J37" s="374">
        <f>'Transp. Camión con Acoplado'!C_*(C37/60)</f>
        <v>0</v>
      </c>
      <c r="K37" s="374">
        <f>'Transp. Camión con Acoplado'!D*(E37/60)</f>
        <v>0</v>
      </c>
      <c r="L37" s="374">
        <f>'Transp. Camión con Acoplado'!E*(E37/60)</f>
        <v>0</v>
      </c>
      <c r="M37" s="374">
        <f>'Transp. Camión con Acoplado'!F_*G37</f>
        <v>0</v>
      </c>
      <c r="N37" s="374">
        <f t="shared" si="2"/>
        <v>0</v>
      </c>
      <c r="O37" s="374">
        <f>+G37*'Transp. Camión con Acoplado'!G</f>
        <v>0</v>
      </c>
      <c r="P37" s="375">
        <f t="shared" si="5"/>
        <v>0</v>
      </c>
      <c r="R37" s="376"/>
    </row>
    <row r="38" spans="1:18" ht="15" customHeight="1" x14ac:dyDescent="0.2">
      <c r="A38" s="368">
        <v>95</v>
      </c>
      <c r="B38" s="377"/>
      <c r="C38" s="370">
        <f t="shared" si="3"/>
        <v>0</v>
      </c>
      <c r="D38" s="370"/>
      <c r="E38" s="370">
        <f t="shared" si="0"/>
        <v>0</v>
      </c>
      <c r="F38" s="378">
        <f t="shared" si="4"/>
        <v>0</v>
      </c>
      <c r="G38" s="373">
        <f t="shared" si="1"/>
        <v>190</v>
      </c>
      <c r="H38" s="374">
        <f>'Transp. Camión con Acoplado'!A*(E38/60)</f>
        <v>0</v>
      </c>
      <c r="I38" s="374">
        <f>'Transp. Camión con Acoplado'!B*(E38/60)</f>
        <v>0</v>
      </c>
      <c r="J38" s="374">
        <f>'Transp. Camión con Acoplado'!C_*(C38/60)</f>
        <v>0</v>
      </c>
      <c r="K38" s="374">
        <f>'Transp. Camión con Acoplado'!D*(E38/60)</f>
        <v>0</v>
      </c>
      <c r="L38" s="374">
        <f>'Transp. Camión con Acoplado'!E*(E38/60)</f>
        <v>0</v>
      </c>
      <c r="M38" s="374">
        <f>'Transp. Camión con Acoplado'!F_*G38</f>
        <v>0</v>
      </c>
      <c r="N38" s="374">
        <f t="shared" si="2"/>
        <v>0</v>
      </c>
      <c r="O38" s="374">
        <f>+G38*'Transp. Camión con Acoplado'!G</f>
        <v>0</v>
      </c>
      <c r="P38" s="375">
        <f t="shared" si="5"/>
        <v>0</v>
      </c>
      <c r="R38" s="376"/>
    </row>
    <row r="39" spans="1:18" ht="15" customHeight="1" x14ac:dyDescent="0.2">
      <c r="A39" s="368">
        <v>100</v>
      </c>
      <c r="B39" s="377"/>
      <c r="C39" s="370">
        <f t="shared" si="3"/>
        <v>0</v>
      </c>
      <c r="D39" s="370"/>
      <c r="E39" s="370">
        <f t="shared" si="0"/>
        <v>0</v>
      </c>
      <c r="F39" s="378">
        <f t="shared" si="4"/>
        <v>0</v>
      </c>
      <c r="G39" s="373">
        <f t="shared" si="1"/>
        <v>200</v>
      </c>
      <c r="H39" s="374">
        <f>'Transp. Camión con Acoplado'!A*(E39/60)</f>
        <v>0</v>
      </c>
      <c r="I39" s="374">
        <f>'Transp. Camión con Acoplado'!B*(E39/60)</f>
        <v>0</v>
      </c>
      <c r="J39" s="374">
        <f>'Transp. Camión con Acoplado'!C_*(C39/60)</f>
        <v>0</v>
      </c>
      <c r="K39" s="374">
        <f>'Transp. Camión con Acoplado'!D*(E39/60)</f>
        <v>0</v>
      </c>
      <c r="L39" s="374">
        <f>'Transp. Camión con Acoplado'!E*(E39/60)</f>
        <v>0</v>
      </c>
      <c r="M39" s="374">
        <f>'Transp. Camión con Acoplado'!F_*G39</f>
        <v>0</v>
      </c>
      <c r="N39" s="374">
        <f t="shared" si="2"/>
        <v>0</v>
      </c>
      <c r="O39" s="374">
        <f>+G39*'Transp. Camión con Acoplado'!G</f>
        <v>0</v>
      </c>
      <c r="P39" s="375">
        <f t="shared" si="5"/>
        <v>0</v>
      </c>
      <c r="R39" s="376"/>
    </row>
    <row r="40" spans="1:18" ht="15" customHeight="1" x14ac:dyDescent="0.2">
      <c r="A40" s="368">
        <v>105</v>
      </c>
      <c r="B40" s="377"/>
      <c r="C40" s="370">
        <f t="shared" si="3"/>
        <v>0</v>
      </c>
      <c r="D40" s="370"/>
      <c r="E40" s="370">
        <f t="shared" si="0"/>
        <v>0</v>
      </c>
      <c r="F40" s="378">
        <f t="shared" si="4"/>
        <v>0</v>
      </c>
      <c r="G40" s="373">
        <f t="shared" si="1"/>
        <v>210</v>
      </c>
      <c r="H40" s="374">
        <f>'Transp. Camión con Acoplado'!A*(E40/60)</f>
        <v>0</v>
      </c>
      <c r="I40" s="374">
        <f>'Transp. Camión con Acoplado'!B*(E40/60)</f>
        <v>0</v>
      </c>
      <c r="J40" s="374">
        <f>'Transp. Camión con Acoplado'!C_*(C40/60)</f>
        <v>0</v>
      </c>
      <c r="K40" s="374">
        <f>'Transp. Camión con Acoplado'!D*(E40/60)</f>
        <v>0</v>
      </c>
      <c r="L40" s="374">
        <f>'Transp. Camión con Acoplado'!E*(E40/60)</f>
        <v>0</v>
      </c>
      <c r="M40" s="374">
        <f>'Transp. Camión con Acoplado'!F_*G40</f>
        <v>0</v>
      </c>
      <c r="N40" s="374">
        <f t="shared" si="2"/>
        <v>0</v>
      </c>
      <c r="O40" s="374">
        <f>+G40*'Transp. Camión con Acoplado'!G</f>
        <v>0</v>
      </c>
      <c r="P40" s="375">
        <f t="shared" si="5"/>
        <v>0</v>
      </c>
      <c r="R40" s="376"/>
    </row>
    <row r="41" spans="1:18" ht="15" customHeight="1" x14ac:dyDescent="0.2">
      <c r="A41" s="368">
        <v>110</v>
      </c>
      <c r="B41" s="377"/>
      <c r="C41" s="370">
        <f t="shared" si="3"/>
        <v>0</v>
      </c>
      <c r="D41" s="370"/>
      <c r="E41" s="370">
        <f t="shared" si="0"/>
        <v>0</v>
      </c>
      <c r="F41" s="378">
        <f t="shared" si="4"/>
        <v>0</v>
      </c>
      <c r="G41" s="373">
        <f t="shared" si="1"/>
        <v>220</v>
      </c>
      <c r="H41" s="374">
        <f>'Transp. Camión con Acoplado'!A*(E41/60)</f>
        <v>0</v>
      </c>
      <c r="I41" s="374">
        <f>'Transp. Camión con Acoplado'!B*(E41/60)</f>
        <v>0</v>
      </c>
      <c r="J41" s="374">
        <f>'Transp. Camión con Acoplado'!C_*(C41/60)</f>
        <v>0</v>
      </c>
      <c r="K41" s="374">
        <f>'Transp. Camión con Acoplado'!D*(E41/60)</f>
        <v>0</v>
      </c>
      <c r="L41" s="374">
        <f>'Transp. Camión con Acoplado'!E*(E41/60)</f>
        <v>0</v>
      </c>
      <c r="M41" s="374">
        <f>'Transp. Camión con Acoplado'!F_*G41</f>
        <v>0</v>
      </c>
      <c r="N41" s="374">
        <f t="shared" si="2"/>
        <v>0</v>
      </c>
      <c r="O41" s="374">
        <f>+G41*'Transp. Camión con Acoplado'!G</f>
        <v>0</v>
      </c>
      <c r="P41" s="375">
        <f t="shared" si="5"/>
        <v>0</v>
      </c>
      <c r="R41" s="376"/>
    </row>
    <row r="42" spans="1:18" ht="15" customHeight="1" x14ac:dyDescent="0.2">
      <c r="A42" s="368">
        <v>120</v>
      </c>
      <c r="B42" s="377"/>
      <c r="C42" s="370">
        <f t="shared" si="3"/>
        <v>0</v>
      </c>
      <c r="D42" s="370"/>
      <c r="E42" s="370">
        <f t="shared" si="0"/>
        <v>0</v>
      </c>
      <c r="F42" s="378">
        <f t="shared" si="4"/>
        <v>0</v>
      </c>
      <c r="G42" s="373">
        <f t="shared" si="1"/>
        <v>240</v>
      </c>
      <c r="H42" s="374">
        <f>'Transp. Camión con Acoplado'!A*(E42/60)</f>
        <v>0</v>
      </c>
      <c r="I42" s="374">
        <f>'Transp. Camión con Acoplado'!B*(E42/60)</f>
        <v>0</v>
      </c>
      <c r="J42" s="374">
        <f>'Transp. Camión con Acoplado'!C_*(C42/60)</f>
        <v>0</v>
      </c>
      <c r="K42" s="374">
        <f>'Transp. Camión con Acoplado'!D*(E42/60)</f>
        <v>0</v>
      </c>
      <c r="L42" s="374">
        <f>'Transp. Camión con Acoplado'!E*(E42/60)</f>
        <v>0</v>
      </c>
      <c r="M42" s="374">
        <f>'Transp. Camión con Acoplado'!F_*G42</f>
        <v>0</v>
      </c>
      <c r="N42" s="374">
        <f t="shared" si="2"/>
        <v>0</v>
      </c>
      <c r="O42" s="374">
        <f>+G42*'Transp. Camión con Acoplado'!G</f>
        <v>0</v>
      </c>
      <c r="P42" s="375">
        <f t="shared" si="5"/>
        <v>0</v>
      </c>
      <c r="R42" s="376"/>
    </row>
    <row r="43" spans="1:18" ht="15" customHeight="1" x14ac:dyDescent="0.2">
      <c r="A43" s="368">
        <v>130</v>
      </c>
      <c r="B43" s="377"/>
      <c r="C43" s="370">
        <f t="shared" si="3"/>
        <v>0</v>
      </c>
      <c r="D43" s="370"/>
      <c r="E43" s="370">
        <f t="shared" si="0"/>
        <v>0</v>
      </c>
      <c r="F43" s="378">
        <f t="shared" si="4"/>
        <v>0</v>
      </c>
      <c r="G43" s="373">
        <f t="shared" si="1"/>
        <v>260</v>
      </c>
      <c r="H43" s="374">
        <f>'Transp. Camión con Acoplado'!A*(E43/60)</f>
        <v>0</v>
      </c>
      <c r="I43" s="374">
        <f>'Transp. Camión con Acoplado'!B*(E43/60)</f>
        <v>0</v>
      </c>
      <c r="J43" s="374">
        <f>'Transp. Camión con Acoplado'!C_*(C43/60)</f>
        <v>0</v>
      </c>
      <c r="K43" s="374">
        <f>'Transp. Camión con Acoplado'!D*(E43/60)</f>
        <v>0</v>
      </c>
      <c r="L43" s="374">
        <f>'Transp. Camión con Acoplado'!E*(E43/60)</f>
        <v>0</v>
      </c>
      <c r="M43" s="374">
        <f>'Transp. Camión con Acoplado'!F_*G43</f>
        <v>0</v>
      </c>
      <c r="N43" s="374">
        <f t="shared" si="2"/>
        <v>0</v>
      </c>
      <c r="O43" s="374">
        <f>+G43*'Transp. Camión con Acoplado'!G</f>
        <v>0</v>
      </c>
      <c r="P43" s="375">
        <f t="shared" si="5"/>
        <v>0</v>
      </c>
      <c r="R43" s="376"/>
    </row>
    <row r="44" spans="1:18" ht="15" customHeight="1" x14ac:dyDescent="0.2">
      <c r="A44" s="368">
        <v>140</v>
      </c>
      <c r="B44" s="377"/>
      <c r="C44" s="370">
        <f t="shared" si="3"/>
        <v>0</v>
      </c>
      <c r="D44" s="370"/>
      <c r="E44" s="370">
        <f t="shared" si="0"/>
        <v>0</v>
      </c>
      <c r="F44" s="378">
        <f t="shared" si="4"/>
        <v>0</v>
      </c>
      <c r="G44" s="373">
        <f t="shared" si="1"/>
        <v>280</v>
      </c>
      <c r="H44" s="374">
        <f>'Transp. Camión con Acoplado'!A*(E44/60)</f>
        <v>0</v>
      </c>
      <c r="I44" s="374">
        <f>'Transp. Camión con Acoplado'!B*(E44/60)</f>
        <v>0</v>
      </c>
      <c r="J44" s="374">
        <f>'Transp. Camión con Acoplado'!C_*(C44/60)</f>
        <v>0</v>
      </c>
      <c r="K44" s="374">
        <f>'Transp. Camión con Acoplado'!D*(E44/60)</f>
        <v>0</v>
      </c>
      <c r="L44" s="374">
        <f>'Transp. Camión con Acoplado'!E*(E44/60)</f>
        <v>0</v>
      </c>
      <c r="M44" s="374">
        <f>'Transp. Camión con Acoplado'!F_*G44</f>
        <v>0</v>
      </c>
      <c r="N44" s="374">
        <f t="shared" si="2"/>
        <v>0</v>
      </c>
      <c r="O44" s="374">
        <f>+G44*'Transp. Camión con Acoplado'!G</f>
        <v>0</v>
      </c>
      <c r="P44" s="375">
        <f t="shared" si="5"/>
        <v>0</v>
      </c>
      <c r="R44" s="376"/>
    </row>
    <row r="45" spans="1:18" ht="15" customHeight="1" x14ac:dyDescent="0.2">
      <c r="A45" s="368">
        <v>150</v>
      </c>
      <c r="B45" s="377"/>
      <c r="C45" s="370">
        <f t="shared" si="3"/>
        <v>0</v>
      </c>
      <c r="D45" s="370"/>
      <c r="E45" s="370">
        <f t="shared" si="0"/>
        <v>0</v>
      </c>
      <c r="F45" s="378">
        <f t="shared" si="4"/>
        <v>0</v>
      </c>
      <c r="G45" s="373">
        <f t="shared" si="1"/>
        <v>300</v>
      </c>
      <c r="H45" s="374">
        <f>'Transp. Camión con Acoplado'!A*(E45/60)</f>
        <v>0</v>
      </c>
      <c r="I45" s="374">
        <f>'Transp. Camión con Acoplado'!B*(E45/60)</f>
        <v>0</v>
      </c>
      <c r="J45" s="374">
        <f>'Transp. Camión con Acoplado'!C_*(C45/60)</f>
        <v>0</v>
      </c>
      <c r="K45" s="374">
        <f>'Transp. Camión con Acoplado'!D*(E45/60)</f>
        <v>0</v>
      </c>
      <c r="L45" s="374">
        <f>'Transp. Camión con Acoplado'!E*(E45/60)</f>
        <v>0</v>
      </c>
      <c r="M45" s="374">
        <f>'Transp. Camión con Acoplado'!F_*G45</f>
        <v>0</v>
      </c>
      <c r="N45" s="374">
        <f t="shared" si="2"/>
        <v>0</v>
      </c>
      <c r="O45" s="374">
        <f>+G45*'Transp. Camión con Acoplado'!G</f>
        <v>0</v>
      </c>
      <c r="P45" s="375">
        <f t="shared" si="5"/>
        <v>0</v>
      </c>
      <c r="R45" s="376"/>
    </row>
    <row r="46" spans="1:18" ht="15" customHeight="1" x14ac:dyDescent="0.2">
      <c r="A46" s="368">
        <v>160</v>
      </c>
      <c r="B46" s="377"/>
      <c r="C46" s="370">
        <f t="shared" si="3"/>
        <v>0</v>
      </c>
      <c r="D46" s="370"/>
      <c r="E46" s="370">
        <f t="shared" si="0"/>
        <v>0</v>
      </c>
      <c r="F46" s="378">
        <f t="shared" si="4"/>
        <v>0</v>
      </c>
      <c r="G46" s="373">
        <f t="shared" si="1"/>
        <v>320</v>
      </c>
      <c r="H46" s="374">
        <f>'Transp. Camión con Acoplado'!A*(E46/60)</f>
        <v>0</v>
      </c>
      <c r="I46" s="374">
        <f>'Transp. Camión con Acoplado'!B*(E46/60)</f>
        <v>0</v>
      </c>
      <c r="J46" s="374">
        <f>'Transp. Camión con Acoplado'!C_*(C46/60)</f>
        <v>0</v>
      </c>
      <c r="K46" s="374">
        <f>'Transp. Camión con Acoplado'!D*(E46/60)</f>
        <v>0</v>
      </c>
      <c r="L46" s="374">
        <f>'Transp. Camión con Acoplado'!E*(E46/60)</f>
        <v>0</v>
      </c>
      <c r="M46" s="374">
        <f>'Transp. Camión con Acoplado'!F_*G46</f>
        <v>0</v>
      </c>
      <c r="N46" s="374">
        <f t="shared" si="2"/>
        <v>0</v>
      </c>
      <c r="O46" s="374">
        <f>+G46*'Transp. Camión con Acoplado'!G</f>
        <v>0</v>
      </c>
      <c r="P46" s="375">
        <f t="shared" si="5"/>
        <v>0</v>
      </c>
      <c r="R46" s="376"/>
    </row>
    <row r="47" spans="1:18" ht="15" customHeight="1" x14ac:dyDescent="0.2">
      <c r="A47" s="368">
        <v>170</v>
      </c>
      <c r="B47" s="377"/>
      <c r="C47" s="370">
        <f t="shared" si="3"/>
        <v>0</v>
      </c>
      <c r="D47" s="370"/>
      <c r="E47" s="370">
        <f t="shared" si="0"/>
        <v>0</v>
      </c>
      <c r="F47" s="378">
        <f t="shared" si="4"/>
        <v>0</v>
      </c>
      <c r="G47" s="373">
        <f t="shared" si="1"/>
        <v>340</v>
      </c>
      <c r="H47" s="374">
        <f>'Transp. Camión con Acoplado'!A*(E47/60)</f>
        <v>0</v>
      </c>
      <c r="I47" s="374">
        <f>'Transp. Camión con Acoplado'!B*(E47/60)</f>
        <v>0</v>
      </c>
      <c r="J47" s="374">
        <f>'Transp. Camión con Acoplado'!C_*(C47/60)</f>
        <v>0</v>
      </c>
      <c r="K47" s="374">
        <f>'Transp. Camión con Acoplado'!D*(E47/60)</f>
        <v>0</v>
      </c>
      <c r="L47" s="374">
        <f>'Transp. Camión con Acoplado'!E*(E47/60)</f>
        <v>0</v>
      </c>
      <c r="M47" s="374">
        <f>'Transp. Camión con Acoplado'!F_*G47</f>
        <v>0</v>
      </c>
      <c r="N47" s="374">
        <f t="shared" si="2"/>
        <v>0</v>
      </c>
      <c r="O47" s="374">
        <f>+G47*'Transp. Camión con Acoplado'!G</f>
        <v>0</v>
      </c>
      <c r="P47" s="375">
        <f t="shared" si="5"/>
        <v>0</v>
      </c>
      <c r="R47" s="376"/>
    </row>
    <row r="48" spans="1:18" ht="15" customHeight="1" x14ac:dyDescent="0.2">
      <c r="A48" s="368">
        <v>180</v>
      </c>
      <c r="B48" s="377"/>
      <c r="C48" s="370">
        <f t="shared" si="3"/>
        <v>0</v>
      </c>
      <c r="D48" s="370"/>
      <c r="E48" s="370">
        <f t="shared" si="0"/>
        <v>0</v>
      </c>
      <c r="F48" s="378">
        <f t="shared" si="4"/>
        <v>0</v>
      </c>
      <c r="G48" s="373">
        <f t="shared" si="1"/>
        <v>360</v>
      </c>
      <c r="H48" s="374">
        <f>'Transp. Camión con Acoplado'!A*(E48/60)</f>
        <v>0</v>
      </c>
      <c r="I48" s="374">
        <f>'Transp. Camión con Acoplado'!B*(E48/60)</f>
        <v>0</v>
      </c>
      <c r="J48" s="374">
        <f>'Transp. Camión con Acoplado'!C_*(C48/60)</f>
        <v>0</v>
      </c>
      <c r="K48" s="374">
        <f>'Transp. Camión con Acoplado'!D*(E48/60)</f>
        <v>0</v>
      </c>
      <c r="L48" s="374">
        <f>'Transp. Camión con Acoplado'!E*(E48/60)</f>
        <v>0</v>
      </c>
      <c r="M48" s="374">
        <f>'Transp. Camión con Acoplado'!F_*G48</f>
        <v>0</v>
      </c>
      <c r="N48" s="374">
        <f t="shared" si="2"/>
        <v>0</v>
      </c>
      <c r="O48" s="374">
        <f>+G48*'Transp. Camión con Acoplado'!G</f>
        <v>0</v>
      </c>
      <c r="P48" s="375">
        <f t="shared" si="5"/>
        <v>0</v>
      </c>
      <c r="R48" s="376"/>
    </row>
    <row r="49" spans="1:18" ht="15" customHeight="1" x14ac:dyDescent="0.2">
      <c r="A49" s="368">
        <v>200</v>
      </c>
      <c r="B49" s="377"/>
      <c r="C49" s="370">
        <f t="shared" si="3"/>
        <v>0</v>
      </c>
      <c r="D49" s="370"/>
      <c r="E49" s="370">
        <f t="shared" si="0"/>
        <v>0</v>
      </c>
      <c r="F49" s="378">
        <f t="shared" si="4"/>
        <v>0</v>
      </c>
      <c r="G49" s="373">
        <f t="shared" si="1"/>
        <v>400</v>
      </c>
      <c r="H49" s="374">
        <f>'Transp. Camión con Acoplado'!A*(E49/60)</f>
        <v>0</v>
      </c>
      <c r="I49" s="374">
        <f>'Transp. Camión con Acoplado'!B*(E49/60)</f>
        <v>0</v>
      </c>
      <c r="J49" s="374">
        <f>'Transp. Camión con Acoplado'!C_*(C49/60)</f>
        <v>0</v>
      </c>
      <c r="K49" s="374">
        <f>'Transp. Camión con Acoplado'!D*(E49/60)</f>
        <v>0</v>
      </c>
      <c r="L49" s="374">
        <f>'Transp. Camión con Acoplado'!E*(E49/60)</f>
        <v>0</v>
      </c>
      <c r="M49" s="374">
        <f>'Transp. Camión con Acoplado'!F_*G49</f>
        <v>0</v>
      </c>
      <c r="N49" s="374">
        <f t="shared" si="2"/>
        <v>0</v>
      </c>
      <c r="O49" s="374">
        <f>+G49*'Transp. Camión con Acoplado'!G</f>
        <v>0</v>
      </c>
      <c r="P49" s="375">
        <f t="shared" si="5"/>
        <v>0</v>
      </c>
      <c r="R49" s="376"/>
    </row>
    <row r="50" spans="1:18" ht="15" customHeight="1" x14ac:dyDescent="0.2">
      <c r="A50" s="368">
        <v>225</v>
      </c>
      <c r="B50" s="377"/>
      <c r="C50" s="370">
        <f t="shared" si="3"/>
        <v>0</v>
      </c>
      <c r="D50" s="370"/>
      <c r="E50" s="370">
        <f t="shared" si="0"/>
        <v>0</v>
      </c>
      <c r="F50" s="378">
        <f t="shared" si="4"/>
        <v>0</v>
      </c>
      <c r="G50" s="373">
        <f t="shared" si="1"/>
        <v>450</v>
      </c>
      <c r="H50" s="374">
        <f>'Transp. Camión con Acoplado'!A*(E50/60)</f>
        <v>0</v>
      </c>
      <c r="I50" s="374">
        <f>'Transp. Camión con Acoplado'!B*(E50/60)</f>
        <v>0</v>
      </c>
      <c r="J50" s="374">
        <f>'Transp. Camión con Acoplado'!C_*(C50/60)</f>
        <v>0</v>
      </c>
      <c r="K50" s="374">
        <f>'Transp. Camión con Acoplado'!D*(E50/60)</f>
        <v>0</v>
      </c>
      <c r="L50" s="374">
        <f>'Transp. Camión con Acoplado'!E*(E50/60)</f>
        <v>0</v>
      </c>
      <c r="M50" s="374">
        <f>'Transp. Camión con Acoplado'!F_*G50</f>
        <v>0</v>
      </c>
      <c r="N50" s="374">
        <f t="shared" si="2"/>
        <v>0</v>
      </c>
      <c r="O50" s="374">
        <f>+G50*'Transp. Camión con Acoplado'!G</f>
        <v>0</v>
      </c>
      <c r="P50" s="375">
        <f t="shared" si="5"/>
        <v>0</v>
      </c>
      <c r="R50" s="376"/>
    </row>
    <row r="51" spans="1:18" ht="15" customHeight="1" x14ac:dyDescent="0.2">
      <c r="A51" s="368">
        <v>250</v>
      </c>
      <c r="B51" s="377"/>
      <c r="C51" s="370">
        <f t="shared" si="3"/>
        <v>0</v>
      </c>
      <c r="D51" s="370"/>
      <c r="E51" s="370">
        <f t="shared" si="0"/>
        <v>0</v>
      </c>
      <c r="F51" s="378">
        <f t="shared" si="4"/>
        <v>0</v>
      </c>
      <c r="G51" s="373">
        <f t="shared" si="1"/>
        <v>500</v>
      </c>
      <c r="H51" s="374">
        <f>'Transp. Camión con Acoplado'!A*(E51/60)</f>
        <v>0</v>
      </c>
      <c r="I51" s="374">
        <f>'Transp. Camión con Acoplado'!B*(E51/60)</f>
        <v>0</v>
      </c>
      <c r="J51" s="374">
        <f>'Transp. Camión con Acoplado'!C_*(C51/60)</f>
        <v>0</v>
      </c>
      <c r="K51" s="374">
        <f>'Transp. Camión con Acoplado'!D*(E51/60)</f>
        <v>0</v>
      </c>
      <c r="L51" s="374">
        <f>'Transp. Camión con Acoplado'!E*(E51/60)</f>
        <v>0</v>
      </c>
      <c r="M51" s="374">
        <f>'Transp. Camión con Acoplado'!F_*G51</f>
        <v>0</v>
      </c>
      <c r="N51" s="374">
        <f t="shared" si="2"/>
        <v>0</v>
      </c>
      <c r="O51" s="374">
        <f>+G51*'Transp. Camión con Acoplado'!G</f>
        <v>0</v>
      </c>
      <c r="P51" s="375">
        <f t="shared" si="5"/>
        <v>0</v>
      </c>
      <c r="R51" s="376"/>
    </row>
    <row r="52" spans="1:18" ht="15" customHeight="1" x14ac:dyDescent="0.2">
      <c r="A52" s="368">
        <v>275</v>
      </c>
      <c r="B52" s="377"/>
      <c r="C52" s="370">
        <f t="shared" si="3"/>
        <v>0</v>
      </c>
      <c r="D52" s="370"/>
      <c r="E52" s="370">
        <f t="shared" si="0"/>
        <v>0</v>
      </c>
      <c r="F52" s="378">
        <f t="shared" si="4"/>
        <v>0</v>
      </c>
      <c r="G52" s="373">
        <f t="shared" si="1"/>
        <v>550</v>
      </c>
      <c r="H52" s="374">
        <f>'Transp. Camión con Acoplado'!A*(E52/60)</f>
        <v>0</v>
      </c>
      <c r="I52" s="374">
        <f>'Transp. Camión con Acoplado'!B*(E52/60)</f>
        <v>0</v>
      </c>
      <c r="J52" s="374">
        <f>'Transp. Camión con Acoplado'!C_*(C52/60)</f>
        <v>0</v>
      </c>
      <c r="K52" s="374">
        <f>'Transp. Camión con Acoplado'!D*(E52/60)</f>
        <v>0</v>
      </c>
      <c r="L52" s="374">
        <f>'Transp. Camión con Acoplado'!E*(E52/60)</f>
        <v>0</v>
      </c>
      <c r="M52" s="374">
        <f>'Transp. Camión con Acoplado'!F_*G52</f>
        <v>0</v>
      </c>
      <c r="N52" s="374">
        <f t="shared" si="2"/>
        <v>0</v>
      </c>
      <c r="O52" s="374">
        <f>+G52*'Transp. Camión con Acoplado'!G</f>
        <v>0</v>
      </c>
      <c r="P52" s="375">
        <f t="shared" si="5"/>
        <v>0</v>
      </c>
      <c r="R52" s="376"/>
    </row>
    <row r="53" spans="1:18" ht="15" customHeight="1" x14ac:dyDescent="0.2">
      <c r="A53" s="368">
        <v>300</v>
      </c>
      <c r="B53" s="377"/>
      <c r="C53" s="370">
        <f t="shared" si="3"/>
        <v>0</v>
      </c>
      <c r="D53" s="370"/>
      <c r="E53" s="370">
        <f t="shared" si="0"/>
        <v>0</v>
      </c>
      <c r="F53" s="378">
        <f t="shared" si="4"/>
        <v>0</v>
      </c>
      <c r="G53" s="373">
        <f t="shared" si="1"/>
        <v>600</v>
      </c>
      <c r="H53" s="374">
        <f>'Transp. Camión con Acoplado'!A*(E53/60)</f>
        <v>0</v>
      </c>
      <c r="I53" s="374">
        <f>'Transp. Camión con Acoplado'!B*(E53/60)</f>
        <v>0</v>
      </c>
      <c r="J53" s="374">
        <f>'Transp. Camión con Acoplado'!C_*(C53/60)</f>
        <v>0</v>
      </c>
      <c r="K53" s="374">
        <f>'Transp. Camión con Acoplado'!D*(E53/60)</f>
        <v>0</v>
      </c>
      <c r="L53" s="374">
        <f>'Transp. Camión con Acoplado'!E*(E53/60)</f>
        <v>0</v>
      </c>
      <c r="M53" s="374">
        <f>'Transp. Camión con Acoplado'!F_*G53</f>
        <v>0</v>
      </c>
      <c r="N53" s="374">
        <f t="shared" si="2"/>
        <v>0</v>
      </c>
      <c r="O53" s="374">
        <f>+G53*'Transp. Camión con Acoplado'!G</f>
        <v>0</v>
      </c>
      <c r="P53" s="375">
        <f t="shared" si="5"/>
        <v>0</v>
      </c>
      <c r="R53" s="376"/>
    </row>
    <row r="54" spans="1:18" ht="15" customHeight="1" x14ac:dyDescent="0.2">
      <c r="A54" s="368">
        <v>325</v>
      </c>
      <c r="B54" s="377"/>
      <c r="C54" s="370">
        <f t="shared" si="3"/>
        <v>0</v>
      </c>
      <c r="D54" s="370"/>
      <c r="E54" s="370">
        <f t="shared" si="0"/>
        <v>0</v>
      </c>
      <c r="F54" s="378">
        <f t="shared" si="4"/>
        <v>0</v>
      </c>
      <c r="G54" s="373">
        <f t="shared" si="1"/>
        <v>650</v>
      </c>
      <c r="H54" s="374">
        <f>'Transp. Camión con Acoplado'!A*(E54/60)</f>
        <v>0</v>
      </c>
      <c r="I54" s="374">
        <f>'Transp. Camión con Acoplado'!B*(E54/60)</f>
        <v>0</v>
      </c>
      <c r="J54" s="374">
        <f>'Transp. Camión con Acoplado'!C_*(C54/60)</f>
        <v>0</v>
      </c>
      <c r="K54" s="374">
        <f>'Transp. Camión con Acoplado'!D*(E54/60)</f>
        <v>0</v>
      </c>
      <c r="L54" s="374">
        <f>'Transp. Camión con Acoplado'!E*(E54/60)</f>
        <v>0</v>
      </c>
      <c r="M54" s="374">
        <f>'Transp. Camión con Acoplado'!F_*G54</f>
        <v>0</v>
      </c>
      <c r="N54" s="374">
        <f t="shared" si="2"/>
        <v>0</v>
      </c>
      <c r="O54" s="374">
        <f>+G54*'Transp. Camión con Acoplado'!G</f>
        <v>0</v>
      </c>
      <c r="P54" s="375">
        <f t="shared" si="5"/>
        <v>0</v>
      </c>
      <c r="R54" s="376"/>
    </row>
    <row r="55" spans="1:18" ht="15" customHeight="1" x14ac:dyDescent="0.2">
      <c r="A55" s="368">
        <v>350</v>
      </c>
      <c r="B55" s="377"/>
      <c r="C55" s="370">
        <f t="shared" si="3"/>
        <v>0</v>
      </c>
      <c r="D55" s="370"/>
      <c r="E55" s="370">
        <f t="shared" si="0"/>
        <v>0</v>
      </c>
      <c r="F55" s="378">
        <f t="shared" si="4"/>
        <v>0</v>
      </c>
      <c r="G55" s="373">
        <f t="shared" si="1"/>
        <v>700</v>
      </c>
      <c r="H55" s="374">
        <f>'Transp. Camión con Acoplado'!A*(E55/60)</f>
        <v>0</v>
      </c>
      <c r="I55" s="374">
        <f>'Transp. Camión con Acoplado'!B*(E55/60)</f>
        <v>0</v>
      </c>
      <c r="J55" s="374">
        <f>'Transp. Camión con Acoplado'!C_*(C55/60)</f>
        <v>0</v>
      </c>
      <c r="K55" s="374">
        <f>'Transp. Camión con Acoplado'!D*(E55/60)</f>
        <v>0</v>
      </c>
      <c r="L55" s="374">
        <f>'Transp. Camión con Acoplado'!E*(E55/60)</f>
        <v>0</v>
      </c>
      <c r="M55" s="374">
        <f>'Transp. Camión con Acoplado'!F_*G55</f>
        <v>0</v>
      </c>
      <c r="N55" s="374">
        <f t="shared" si="2"/>
        <v>0</v>
      </c>
      <c r="O55" s="374">
        <f>+G55*'Transp. Camión con Acoplado'!G</f>
        <v>0</v>
      </c>
      <c r="P55" s="375">
        <f t="shared" si="5"/>
        <v>0</v>
      </c>
      <c r="R55" s="376"/>
    </row>
    <row r="56" spans="1:18" ht="15" customHeight="1" x14ac:dyDescent="0.2">
      <c r="A56" s="368">
        <v>375</v>
      </c>
      <c r="B56" s="377"/>
      <c r="C56" s="370">
        <f t="shared" si="3"/>
        <v>0</v>
      </c>
      <c r="D56" s="370"/>
      <c r="E56" s="370">
        <f t="shared" si="0"/>
        <v>0</v>
      </c>
      <c r="F56" s="378">
        <f t="shared" si="4"/>
        <v>0</v>
      </c>
      <c r="G56" s="373">
        <f t="shared" si="1"/>
        <v>750</v>
      </c>
      <c r="H56" s="374">
        <f>'Transp. Camión con Acoplado'!A*(E56/60)</f>
        <v>0</v>
      </c>
      <c r="I56" s="374">
        <f>'Transp. Camión con Acoplado'!B*(E56/60)</f>
        <v>0</v>
      </c>
      <c r="J56" s="374">
        <f>'Transp. Camión con Acoplado'!C_*(C56/60)</f>
        <v>0</v>
      </c>
      <c r="K56" s="374">
        <f>'Transp. Camión con Acoplado'!D*(E56/60)</f>
        <v>0</v>
      </c>
      <c r="L56" s="374">
        <f>'Transp. Camión con Acoplado'!E*(E56/60)</f>
        <v>0</v>
      </c>
      <c r="M56" s="374">
        <f>'Transp. Camión con Acoplado'!F_*G56</f>
        <v>0</v>
      </c>
      <c r="N56" s="374">
        <f t="shared" si="2"/>
        <v>0</v>
      </c>
      <c r="O56" s="374">
        <f>+G56*'Transp. Camión con Acoplado'!G</f>
        <v>0</v>
      </c>
      <c r="P56" s="375">
        <f t="shared" si="5"/>
        <v>0</v>
      </c>
      <c r="R56" s="376"/>
    </row>
    <row r="57" spans="1:18" ht="15" customHeight="1" x14ac:dyDescent="0.2">
      <c r="A57" s="368">
        <v>400</v>
      </c>
      <c r="B57" s="377"/>
      <c r="C57" s="370">
        <f t="shared" si="3"/>
        <v>0</v>
      </c>
      <c r="D57" s="370"/>
      <c r="E57" s="370">
        <f t="shared" si="0"/>
        <v>0</v>
      </c>
      <c r="F57" s="378">
        <f t="shared" si="4"/>
        <v>0</v>
      </c>
      <c r="G57" s="373">
        <f t="shared" si="1"/>
        <v>800</v>
      </c>
      <c r="H57" s="374">
        <f>'Transp. Camión con Acoplado'!A*(E57/60)</f>
        <v>0</v>
      </c>
      <c r="I57" s="374">
        <f>'Transp. Camión con Acoplado'!B*(E57/60)</f>
        <v>0</v>
      </c>
      <c r="J57" s="374">
        <f>'Transp. Camión con Acoplado'!C_*(C57/60)</f>
        <v>0</v>
      </c>
      <c r="K57" s="374">
        <f>'Transp. Camión con Acoplado'!D*(E57/60)</f>
        <v>0</v>
      </c>
      <c r="L57" s="374">
        <f>'Transp. Camión con Acoplado'!E*(E57/60)</f>
        <v>0</v>
      </c>
      <c r="M57" s="374">
        <f>'Transp. Camión con Acoplado'!F_*G57</f>
        <v>0</v>
      </c>
      <c r="N57" s="374">
        <f t="shared" si="2"/>
        <v>0</v>
      </c>
      <c r="O57" s="374">
        <f>+G57*'Transp. Camión con Acoplado'!G</f>
        <v>0</v>
      </c>
      <c r="P57" s="375">
        <f t="shared" si="5"/>
        <v>0</v>
      </c>
      <c r="R57" s="376"/>
    </row>
    <row r="58" spans="1:18" ht="15" customHeight="1" x14ac:dyDescent="0.2">
      <c r="A58" s="368">
        <v>425</v>
      </c>
      <c r="B58" s="377"/>
      <c r="C58" s="370">
        <f t="shared" si="3"/>
        <v>0</v>
      </c>
      <c r="D58" s="370"/>
      <c r="E58" s="370">
        <f t="shared" si="0"/>
        <v>0</v>
      </c>
      <c r="F58" s="378">
        <f t="shared" si="4"/>
        <v>0</v>
      </c>
      <c r="G58" s="373">
        <f t="shared" si="1"/>
        <v>850</v>
      </c>
      <c r="H58" s="374">
        <f>'Transp. Camión con Acoplado'!A*(E58/60)</f>
        <v>0</v>
      </c>
      <c r="I58" s="374">
        <f>'Transp. Camión con Acoplado'!B*(E58/60)</f>
        <v>0</v>
      </c>
      <c r="J58" s="374">
        <f>'Transp. Camión con Acoplado'!C_*(C58/60)</f>
        <v>0</v>
      </c>
      <c r="K58" s="374">
        <f>'Transp. Camión con Acoplado'!D*(E58/60)</f>
        <v>0</v>
      </c>
      <c r="L58" s="374">
        <f>'Transp. Camión con Acoplado'!E*(E58/60)</f>
        <v>0</v>
      </c>
      <c r="M58" s="374">
        <f>'Transp. Camión con Acoplado'!F_*G58</f>
        <v>0</v>
      </c>
      <c r="N58" s="374">
        <f t="shared" si="2"/>
        <v>0</v>
      </c>
      <c r="O58" s="374">
        <f>+G58*'Transp. Camión con Acoplado'!G</f>
        <v>0</v>
      </c>
      <c r="P58" s="375">
        <f t="shared" si="5"/>
        <v>0</v>
      </c>
      <c r="R58" s="376"/>
    </row>
    <row r="59" spans="1:18" ht="15" customHeight="1" x14ac:dyDescent="0.2">
      <c r="A59" s="368">
        <v>450</v>
      </c>
      <c r="B59" s="377"/>
      <c r="C59" s="370">
        <f t="shared" si="3"/>
        <v>0</v>
      </c>
      <c r="D59" s="370"/>
      <c r="E59" s="370">
        <f t="shared" si="0"/>
        <v>0</v>
      </c>
      <c r="F59" s="378">
        <f t="shared" si="4"/>
        <v>0</v>
      </c>
      <c r="G59" s="373">
        <f t="shared" si="1"/>
        <v>900</v>
      </c>
      <c r="H59" s="374">
        <f>'Transp. Camión con Acoplado'!A*(E59/60)</f>
        <v>0</v>
      </c>
      <c r="I59" s="374">
        <f>'Transp. Camión con Acoplado'!B*(E59/60)</f>
        <v>0</v>
      </c>
      <c r="J59" s="374">
        <f>'Transp. Camión con Acoplado'!C_*(C59/60)</f>
        <v>0</v>
      </c>
      <c r="K59" s="374">
        <f>'Transp. Camión con Acoplado'!D*(E59/60)</f>
        <v>0</v>
      </c>
      <c r="L59" s="374">
        <f>'Transp. Camión con Acoplado'!E*(E59/60)</f>
        <v>0</v>
      </c>
      <c r="M59" s="374">
        <f>'Transp. Camión con Acoplado'!F_*G59</f>
        <v>0</v>
      </c>
      <c r="N59" s="374">
        <f t="shared" si="2"/>
        <v>0</v>
      </c>
      <c r="O59" s="374">
        <f>+G59*'Transp. Camión con Acoplado'!G</f>
        <v>0</v>
      </c>
      <c r="P59" s="375">
        <f t="shared" si="5"/>
        <v>0</v>
      </c>
      <c r="R59" s="376"/>
    </row>
    <row r="60" spans="1:18" ht="15" customHeight="1" x14ac:dyDescent="0.2">
      <c r="A60" s="368">
        <v>475</v>
      </c>
      <c r="B60" s="377"/>
      <c r="C60" s="370">
        <f t="shared" si="3"/>
        <v>0</v>
      </c>
      <c r="D60" s="370"/>
      <c r="E60" s="370">
        <f t="shared" si="0"/>
        <v>0</v>
      </c>
      <c r="F60" s="378">
        <f t="shared" si="4"/>
        <v>0</v>
      </c>
      <c r="G60" s="373">
        <f t="shared" si="1"/>
        <v>950</v>
      </c>
      <c r="H60" s="374">
        <f>'Transp. Camión con Acoplado'!A*(E60/60)</f>
        <v>0</v>
      </c>
      <c r="I60" s="374">
        <f>'Transp. Camión con Acoplado'!B*(E60/60)</f>
        <v>0</v>
      </c>
      <c r="J60" s="374">
        <f>'Transp. Camión con Acoplado'!C_*(C60/60)</f>
        <v>0</v>
      </c>
      <c r="K60" s="374">
        <f>'Transp. Camión con Acoplado'!D*(E60/60)</f>
        <v>0</v>
      </c>
      <c r="L60" s="374">
        <f>'Transp. Camión con Acoplado'!E*(E60/60)</f>
        <v>0</v>
      </c>
      <c r="M60" s="374">
        <f>'Transp. Camión con Acoplado'!F_*G60</f>
        <v>0</v>
      </c>
      <c r="N60" s="374">
        <f t="shared" si="2"/>
        <v>0</v>
      </c>
      <c r="O60" s="374">
        <f>+G60*'Transp. Camión con Acoplado'!G</f>
        <v>0</v>
      </c>
      <c r="P60" s="375">
        <f t="shared" si="5"/>
        <v>0</v>
      </c>
      <c r="R60" s="376"/>
    </row>
    <row r="61" spans="1:18" ht="15" customHeight="1" x14ac:dyDescent="0.2">
      <c r="A61" s="368">
        <v>500</v>
      </c>
      <c r="B61" s="377"/>
      <c r="C61" s="370">
        <f t="shared" si="3"/>
        <v>0</v>
      </c>
      <c r="D61" s="370"/>
      <c r="E61" s="370">
        <f t="shared" si="0"/>
        <v>0</v>
      </c>
      <c r="F61" s="378">
        <f t="shared" si="4"/>
        <v>0</v>
      </c>
      <c r="G61" s="373">
        <f t="shared" si="1"/>
        <v>1000</v>
      </c>
      <c r="H61" s="374">
        <f>'Transp. Camión con Acoplado'!A*(E61/60)</f>
        <v>0</v>
      </c>
      <c r="I61" s="374">
        <f>'Transp. Camión con Acoplado'!B*(E61/60)</f>
        <v>0</v>
      </c>
      <c r="J61" s="374">
        <f>'Transp. Camión con Acoplado'!C_*(C61/60)</f>
        <v>0</v>
      </c>
      <c r="K61" s="374">
        <f>'Transp. Camión con Acoplado'!D*(E61/60)</f>
        <v>0</v>
      </c>
      <c r="L61" s="374">
        <f>'Transp. Camión con Acoplado'!E*(E61/60)</f>
        <v>0</v>
      </c>
      <c r="M61" s="374">
        <f>'Transp. Camión con Acoplado'!F_*G61</f>
        <v>0</v>
      </c>
      <c r="N61" s="374">
        <f t="shared" si="2"/>
        <v>0</v>
      </c>
      <c r="O61" s="374">
        <f>+G61*'Transp. Camión con Acoplado'!G</f>
        <v>0</v>
      </c>
      <c r="P61" s="375">
        <f t="shared" si="5"/>
        <v>0</v>
      </c>
      <c r="R61" s="376"/>
    </row>
    <row r="62" spans="1:18" ht="15" customHeight="1" x14ac:dyDescent="0.2">
      <c r="A62" s="368">
        <v>600</v>
      </c>
      <c r="B62" s="377"/>
      <c r="C62" s="370">
        <f t="shared" si="3"/>
        <v>0</v>
      </c>
      <c r="D62" s="370"/>
      <c r="E62" s="370">
        <f t="shared" si="0"/>
        <v>0</v>
      </c>
      <c r="F62" s="378">
        <f t="shared" si="4"/>
        <v>0</v>
      </c>
      <c r="G62" s="373">
        <f t="shared" si="1"/>
        <v>1200</v>
      </c>
      <c r="H62" s="374">
        <f>'Transp. Camión con Acoplado'!A*(E62/60)</f>
        <v>0</v>
      </c>
      <c r="I62" s="374">
        <f>'Transp. Camión con Acoplado'!B*(E62/60)</f>
        <v>0</v>
      </c>
      <c r="J62" s="374">
        <f>'Transp. Camión con Acoplado'!C_*(C62/60)</f>
        <v>0</v>
      </c>
      <c r="K62" s="374">
        <f>'Transp. Camión con Acoplado'!D*(E62/60)</f>
        <v>0</v>
      </c>
      <c r="L62" s="374">
        <f>'Transp. Camión con Acoplado'!E*(E62/60)</f>
        <v>0</v>
      </c>
      <c r="M62" s="374">
        <f>'Transp. Camión con Acoplado'!F_*G62</f>
        <v>0</v>
      </c>
      <c r="N62" s="374">
        <f t="shared" si="2"/>
        <v>0</v>
      </c>
      <c r="O62" s="374">
        <f>+G62*'Transp. Camión con Acoplado'!G</f>
        <v>0</v>
      </c>
      <c r="P62" s="375">
        <f t="shared" si="5"/>
        <v>0</v>
      </c>
      <c r="R62" s="376"/>
    </row>
    <row r="63" spans="1:18" ht="15" customHeight="1" x14ac:dyDescent="0.2">
      <c r="A63" s="368">
        <v>800</v>
      </c>
      <c r="B63" s="377"/>
      <c r="C63" s="370">
        <f t="shared" si="3"/>
        <v>0</v>
      </c>
      <c r="D63" s="370"/>
      <c r="E63" s="370">
        <f t="shared" si="0"/>
        <v>0</v>
      </c>
      <c r="F63" s="378">
        <f t="shared" si="4"/>
        <v>0</v>
      </c>
      <c r="G63" s="373">
        <f t="shared" si="1"/>
        <v>1600</v>
      </c>
      <c r="H63" s="374">
        <f>'Transp. Camión con Acoplado'!A*(E63/60)</f>
        <v>0</v>
      </c>
      <c r="I63" s="374">
        <f>'Transp. Camión con Acoplado'!B*(E63/60)</f>
        <v>0</v>
      </c>
      <c r="J63" s="374">
        <f>'Transp. Camión con Acoplado'!C_*(C63/60)</f>
        <v>0</v>
      </c>
      <c r="K63" s="374">
        <f>'Transp. Camión con Acoplado'!D*(E63/60)</f>
        <v>0</v>
      </c>
      <c r="L63" s="374">
        <f>'Transp. Camión con Acoplado'!E*(E63/60)</f>
        <v>0</v>
      </c>
      <c r="M63" s="374">
        <f>'Transp. Camión con Acoplado'!F_*G63</f>
        <v>0</v>
      </c>
      <c r="N63" s="374">
        <f t="shared" si="2"/>
        <v>0</v>
      </c>
      <c r="O63" s="374">
        <f>+G63*'Transp. Camión con Acoplado'!G</f>
        <v>0</v>
      </c>
      <c r="P63" s="375">
        <f t="shared" si="5"/>
        <v>0</v>
      </c>
      <c r="R63" s="376"/>
    </row>
    <row r="64" spans="1:18" ht="15" customHeight="1" x14ac:dyDescent="0.2">
      <c r="A64" s="368">
        <v>1000</v>
      </c>
      <c r="B64" s="377"/>
      <c r="C64" s="370">
        <f t="shared" si="3"/>
        <v>0</v>
      </c>
      <c r="D64" s="370"/>
      <c r="E64" s="370">
        <f t="shared" si="0"/>
        <v>0</v>
      </c>
      <c r="F64" s="378">
        <f t="shared" si="4"/>
        <v>0</v>
      </c>
      <c r="G64" s="373">
        <f t="shared" si="1"/>
        <v>2000</v>
      </c>
      <c r="H64" s="374">
        <f>'Transp. Camión con Acoplado'!A*(E64/60)</f>
        <v>0</v>
      </c>
      <c r="I64" s="374">
        <f>'Transp. Camión con Acoplado'!B*(E64/60)</f>
        <v>0</v>
      </c>
      <c r="J64" s="374">
        <f>'Transp. Camión con Acoplado'!C_*(C64/60)</f>
        <v>0</v>
      </c>
      <c r="K64" s="374">
        <f>'Transp. Camión con Acoplado'!D*(E64/60)</f>
        <v>0</v>
      </c>
      <c r="L64" s="374">
        <f>'Transp. Camión con Acoplado'!E*(E64/60)</f>
        <v>0</v>
      </c>
      <c r="M64" s="374">
        <f>'Transp. Camión con Acoplado'!F_*G64</f>
        <v>0</v>
      </c>
      <c r="N64" s="374">
        <f t="shared" si="2"/>
        <v>0</v>
      </c>
      <c r="O64" s="374">
        <f>+G64*'Transp. Camión con Acoplado'!G</f>
        <v>0</v>
      </c>
      <c r="P64" s="375">
        <f t="shared" si="5"/>
        <v>0</v>
      </c>
      <c r="R64" s="376"/>
    </row>
    <row r="65" spans="13:16" ht="15" customHeight="1" x14ac:dyDescent="0.2">
      <c r="M65" s="744"/>
      <c r="N65" s="744"/>
      <c r="O65" s="744"/>
      <c r="P65" s="744"/>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968"/>
  <sheetViews>
    <sheetView topLeftCell="A403" workbookViewId="0">
      <selection activeCell="A496" sqref="A496"/>
    </sheetView>
  </sheetViews>
  <sheetFormatPr baseColWidth="10" defaultRowHeight="12.75" x14ac:dyDescent="0.2"/>
  <cols>
    <col min="1" max="1" width="20.7109375" style="518" customWidth="1"/>
    <col min="2" max="4" width="8.7109375" style="519" customWidth="1"/>
    <col min="5" max="5" width="57" style="518" customWidth="1"/>
    <col min="6" max="6" width="15.85546875" style="518" customWidth="1"/>
    <col min="7" max="7" width="16.5703125" style="518" customWidth="1"/>
  </cols>
  <sheetData>
    <row r="1" spans="1:7" x14ac:dyDescent="0.2">
      <c r="A1" s="516"/>
      <c r="B1" s="517" t="s">
        <v>542</v>
      </c>
      <c r="C1" s="517"/>
      <c r="D1" s="517"/>
      <c r="E1" s="516"/>
      <c r="F1" s="516"/>
      <c r="G1" s="516"/>
    </row>
    <row r="3" spans="1:7" x14ac:dyDescent="0.2">
      <c r="A3" s="521" t="s">
        <v>343</v>
      </c>
      <c r="B3" s="519" t="s">
        <v>42</v>
      </c>
      <c r="C3" s="521"/>
      <c r="D3" s="521"/>
      <c r="E3" s="745" t="s">
        <v>43</v>
      </c>
      <c r="F3" s="521"/>
      <c r="G3" s="521"/>
    </row>
    <row r="4" spans="1:7" x14ac:dyDescent="0.2">
      <c r="A4" s="520"/>
      <c r="B4" s="519" t="s">
        <v>44</v>
      </c>
      <c r="C4" s="521"/>
      <c r="D4" s="521"/>
      <c r="E4" s="745"/>
      <c r="F4" s="521"/>
      <c r="G4" s="521"/>
    </row>
    <row r="5" spans="1:7" x14ac:dyDescent="0.2">
      <c r="A5" s="517"/>
      <c r="B5" s="517"/>
      <c r="C5" s="517"/>
      <c r="D5" s="517"/>
      <c r="E5" s="517"/>
      <c r="F5" s="517"/>
      <c r="G5" s="517"/>
    </row>
    <row r="6" spans="1:7" x14ac:dyDescent="0.2">
      <c r="A6" s="519" t="str">
        <f t="shared" ref="A6:A69" si="0">CONCATENATE("INDEC-CM - ",B6,C6,D6)</f>
        <v>INDEC-CM - 37210-51</v>
      </c>
      <c r="B6" s="519">
        <v>37210</v>
      </c>
      <c r="C6" s="519" t="s">
        <v>45</v>
      </c>
      <c r="D6" s="519">
        <v>51</v>
      </c>
      <c r="E6" s="518" t="s">
        <v>46</v>
      </c>
    </row>
    <row r="7" spans="1:7" x14ac:dyDescent="0.2">
      <c r="A7" s="519" t="str">
        <f t="shared" si="0"/>
        <v>INDEC-CM - 37210-52</v>
      </c>
      <c r="B7" s="519">
        <v>37210</v>
      </c>
      <c r="C7" s="519" t="s">
        <v>45</v>
      </c>
      <c r="D7" s="519">
        <v>52</v>
      </c>
      <c r="E7" s="518" t="s">
        <v>47</v>
      </c>
    </row>
    <row r="8" spans="1:7" x14ac:dyDescent="0.2">
      <c r="A8" s="519" t="str">
        <f t="shared" si="0"/>
        <v>INDEC-CM - 42911-81</v>
      </c>
      <c r="B8" s="519">
        <v>42911</v>
      </c>
      <c r="C8" s="519" t="s">
        <v>45</v>
      </c>
      <c r="D8" s="519">
        <v>81</v>
      </c>
      <c r="E8" s="523" t="s">
        <v>48</v>
      </c>
      <c r="F8" s="523"/>
      <c r="G8" s="523"/>
    </row>
    <row r="9" spans="1:7" x14ac:dyDescent="0.2">
      <c r="A9" s="519" t="str">
        <f t="shared" si="0"/>
        <v>INDEC-CM - 41242-11</v>
      </c>
      <c r="B9" s="519">
        <v>41242</v>
      </c>
      <c r="C9" s="519" t="s">
        <v>45</v>
      </c>
      <c r="D9" s="519">
        <v>11</v>
      </c>
      <c r="E9" s="523" t="s">
        <v>49</v>
      </c>
      <c r="F9" s="523"/>
      <c r="G9" s="523"/>
    </row>
    <row r="10" spans="1:7" x14ac:dyDescent="0.2">
      <c r="A10" s="519" t="str">
        <f t="shared" si="0"/>
        <v>INDEC-CM - 37440-21</v>
      </c>
      <c r="B10" s="519">
        <v>37440</v>
      </c>
      <c r="C10" s="519" t="s">
        <v>45</v>
      </c>
      <c r="D10" s="519">
        <v>21</v>
      </c>
      <c r="E10" s="518" t="s">
        <v>50</v>
      </c>
    </row>
    <row r="11" spans="1:7" x14ac:dyDescent="0.2">
      <c r="A11" s="519" t="str">
        <f t="shared" si="0"/>
        <v>INDEC-CM - 38130-13</v>
      </c>
      <c r="B11" s="519">
        <v>38130</v>
      </c>
      <c r="C11" s="519" t="s">
        <v>45</v>
      </c>
      <c r="D11" s="519">
        <v>13</v>
      </c>
      <c r="E11" s="523" t="s">
        <v>51</v>
      </c>
      <c r="F11" s="523"/>
      <c r="G11" s="523"/>
    </row>
    <row r="12" spans="1:7" x14ac:dyDescent="0.2">
      <c r="A12" s="519" t="str">
        <f t="shared" si="0"/>
        <v>INDEC-CM - 38130-12</v>
      </c>
      <c r="B12" s="519">
        <v>38130</v>
      </c>
      <c r="C12" s="519" t="s">
        <v>45</v>
      </c>
      <c r="D12" s="519">
        <v>12</v>
      </c>
      <c r="E12" s="523" t="s">
        <v>52</v>
      </c>
      <c r="F12" s="523"/>
      <c r="G12" s="523"/>
    </row>
    <row r="13" spans="1:7" x14ac:dyDescent="0.2">
      <c r="A13" s="519" t="str">
        <f t="shared" si="0"/>
        <v>INDEC-CM - 38130-11</v>
      </c>
      <c r="B13" s="519">
        <v>38130</v>
      </c>
      <c r="C13" s="519" t="s">
        <v>45</v>
      </c>
      <c r="D13" s="519">
        <v>11</v>
      </c>
      <c r="E13" s="523" t="s">
        <v>53</v>
      </c>
      <c r="F13" s="523"/>
      <c r="G13" s="523"/>
    </row>
    <row r="14" spans="1:7" x14ac:dyDescent="0.2">
      <c r="A14" s="519" t="str">
        <f t="shared" si="0"/>
        <v>INDEC-CM - 27230-11</v>
      </c>
      <c r="B14" s="519">
        <v>27230</v>
      </c>
      <c r="C14" s="519" t="s">
        <v>45</v>
      </c>
      <c r="D14" s="519">
        <v>11</v>
      </c>
      <c r="E14" s="523" t="s">
        <v>54</v>
      </c>
      <c r="F14" s="523"/>
      <c r="G14" s="523"/>
    </row>
    <row r="15" spans="1:7" x14ac:dyDescent="0.2">
      <c r="A15" s="519" t="str">
        <f t="shared" si="0"/>
        <v>INDEC-CM - 44821-11</v>
      </c>
      <c r="B15" s="519">
        <v>44821</v>
      </c>
      <c r="C15" s="519" t="s">
        <v>45</v>
      </c>
      <c r="D15" s="519">
        <v>11</v>
      </c>
      <c r="E15" s="518" t="s">
        <v>55</v>
      </c>
    </row>
    <row r="16" spans="1:7" x14ac:dyDescent="0.2">
      <c r="A16" s="519" t="str">
        <f t="shared" si="0"/>
        <v>INDEC-CM - 37560-11</v>
      </c>
      <c r="B16" s="519">
        <v>37560</v>
      </c>
      <c r="C16" s="519" t="s">
        <v>45</v>
      </c>
      <c r="D16" s="519">
        <v>11</v>
      </c>
      <c r="E16" s="523" t="s">
        <v>56</v>
      </c>
      <c r="F16" s="523"/>
      <c r="G16" s="523"/>
    </row>
    <row r="17" spans="1:7" x14ac:dyDescent="0.2">
      <c r="A17" s="519" t="str">
        <f t="shared" si="0"/>
        <v>INDEC-CM - 15400-11</v>
      </c>
      <c r="B17" s="519">
        <v>15400</v>
      </c>
      <c r="C17" s="519" t="s">
        <v>45</v>
      </c>
      <c r="D17" s="519">
        <v>11</v>
      </c>
      <c r="E17" s="523" t="s">
        <v>57</v>
      </c>
      <c r="F17" s="523"/>
      <c r="G17" s="523"/>
    </row>
    <row r="18" spans="1:7" x14ac:dyDescent="0.2">
      <c r="A18" s="519" t="str">
        <f t="shared" si="0"/>
        <v>INDEC-CM - 15310-11</v>
      </c>
      <c r="B18" s="519">
        <v>15310</v>
      </c>
      <c r="C18" s="519" t="s">
        <v>45</v>
      </c>
      <c r="D18" s="519">
        <v>11</v>
      </c>
      <c r="E18" s="518" t="s">
        <v>58</v>
      </c>
    </row>
    <row r="19" spans="1:7" x14ac:dyDescent="0.2">
      <c r="A19" s="519" t="str">
        <f t="shared" si="0"/>
        <v>INDEC-CM - 46531-11</v>
      </c>
      <c r="B19" s="519">
        <v>46531</v>
      </c>
      <c r="C19" s="519" t="s">
        <v>45</v>
      </c>
      <c r="D19" s="519">
        <v>11</v>
      </c>
      <c r="E19" s="523" t="s">
        <v>59</v>
      </c>
      <c r="F19" s="523"/>
      <c r="G19" s="523"/>
    </row>
    <row r="20" spans="1:7" x14ac:dyDescent="0.2">
      <c r="A20" s="519" t="str">
        <f t="shared" si="0"/>
        <v>INDEC-CM - 43540-11</v>
      </c>
      <c r="B20" s="519">
        <v>43540</v>
      </c>
      <c r="C20" s="519" t="s">
        <v>45</v>
      </c>
      <c r="D20" s="519">
        <v>11</v>
      </c>
      <c r="E20" s="518" t="s">
        <v>60</v>
      </c>
    </row>
    <row r="21" spans="1:7" x14ac:dyDescent="0.2">
      <c r="A21" s="519" t="str">
        <f t="shared" si="0"/>
        <v>INDEC-CM - 43540-12</v>
      </c>
      <c r="B21" s="519">
        <v>43540</v>
      </c>
      <c r="C21" s="519" t="s">
        <v>45</v>
      </c>
      <c r="D21" s="519">
        <v>12</v>
      </c>
      <c r="E21" s="518" t="s">
        <v>61</v>
      </c>
    </row>
    <row r="22" spans="1:7" x14ac:dyDescent="0.2">
      <c r="A22" s="524" t="str">
        <f t="shared" si="0"/>
        <v>INDEC-CM - 37370-21</v>
      </c>
      <c r="B22" s="524">
        <v>37370</v>
      </c>
      <c r="C22" s="524" t="s">
        <v>45</v>
      </c>
      <c r="D22" s="524">
        <v>21</v>
      </c>
      <c r="E22" s="525" t="s">
        <v>62</v>
      </c>
      <c r="F22" s="518" t="s">
        <v>1905</v>
      </c>
    </row>
    <row r="23" spans="1:7" x14ac:dyDescent="0.2">
      <c r="A23" s="524" t="str">
        <f t="shared" si="0"/>
        <v>INDEC-CM - 37370-11</v>
      </c>
      <c r="B23" s="524">
        <v>37370</v>
      </c>
      <c r="C23" s="524" t="s">
        <v>45</v>
      </c>
      <c r="D23" s="524">
        <v>11</v>
      </c>
      <c r="E23" s="525" t="s">
        <v>63</v>
      </c>
      <c r="F23" s="518" t="s">
        <v>1905</v>
      </c>
    </row>
    <row r="24" spans="1:7" x14ac:dyDescent="0.2">
      <c r="A24" s="524" t="str">
        <f t="shared" si="0"/>
        <v>INDEC-CM - 37370-12</v>
      </c>
      <c r="B24" s="524">
        <v>37370</v>
      </c>
      <c r="C24" s="524" t="s">
        <v>45</v>
      </c>
      <c r="D24" s="524">
        <v>12</v>
      </c>
      <c r="E24" s="525" t="s">
        <v>64</v>
      </c>
      <c r="F24" s="518" t="s">
        <v>1905</v>
      </c>
    </row>
    <row r="25" spans="1:7" x14ac:dyDescent="0.2">
      <c r="A25" s="519" t="str">
        <f t="shared" si="0"/>
        <v>INDEC-CM - 37690-11</v>
      </c>
      <c r="B25" s="519">
        <v>37690</v>
      </c>
      <c r="C25" s="519" t="s">
        <v>45</v>
      </c>
      <c r="D25" s="519">
        <v>11</v>
      </c>
      <c r="E25" s="518" t="s">
        <v>65</v>
      </c>
    </row>
    <row r="26" spans="1:7" x14ac:dyDescent="0.2">
      <c r="A26" s="519" t="str">
        <f t="shared" si="0"/>
        <v>INDEC-CM - 42911-11</v>
      </c>
      <c r="B26" s="519">
        <v>42911</v>
      </c>
      <c r="C26" s="519" t="s">
        <v>45</v>
      </c>
      <c r="D26" s="519">
        <v>11</v>
      </c>
      <c r="E26" s="518" t="s">
        <v>66</v>
      </c>
    </row>
    <row r="27" spans="1:7" x14ac:dyDescent="0.2">
      <c r="A27" s="519" t="str">
        <f t="shared" si="0"/>
        <v>INDEC-CM - 37129-11</v>
      </c>
      <c r="B27" s="519">
        <v>37129</v>
      </c>
      <c r="C27" s="519" t="s">
        <v>45</v>
      </c>
      <c r="D27" s="519">
        <v>11</v>
      </c>
      <c r="E27" s="518" t="s">
        <v>67</v>
      </c>
    </row>
    <row r="28" spans="1:7" x14ac:dyDescent="0.2">
      <c r="A28" s="519" t="str">
        <f t="shared" si="0"/>
        <v>INDEC-CM - 35110-41</v>
      </c>
      <c r="B28" s="519">
        <v>35110</v>
      </c>
      <c r="C28" s="519" t="s">
        <v>45</v>
      </c>
      <c r="D28" s="519">
        <v>41</v>
      </c>
      <c r="E28" s="518" t="s">
        <v>68</v>
      </c>
    </row>
    <row r="29" spans="1:7" x14ac:dyDescent="0.2">
      <c r="A29" s="519" t="str">
        <f t="shared" si="0"/>
        <v>INDEC-CM - 37210-23</v>
      </c>
      <c r="B29" s="519">
        <v>37210</v>
      </c>
      <c r="C29" s="519" t="s">
        <v>45</v>
      </c>
      <c r="D29" s="519">
        <v>23</v>
      </c>
      <c r="E29" s="518" t="s">
        <v>69</v>
      </c>
    </row>
    <row r="30" spans="1:7" x14ac:dyDescent="0.2">
      <c r="A30" s="519" t="str">
        <f t="shared" si="0"/>
        <v>INDEC-CM - 37210-22</v>
      </c>
      <c r="B30" s="519">
        <v>37210</v>
      </c>
      <c r="C30" s="519" t="s">
        <v>45</v>
      </c>
      <c r="D30" s="519">
        <v>22</v>
      </c>
      <c r="E30" s="518" t="s">
        <v>70</v>
      </c>
    </row>
    <row r="31" spans="1:7" x14ac:dyDescent="0.2">
      <c r="A31" s="519" t="str">
        <f t="shared" si="0"/>
        <v>INDEC-CM - 37210-21</v>
      </c>
      <c r="B31" s="519">
        <v>37210</v>
      </c>
      <c r="C31" s="519" t="s">
        <v>45</v>
      </c>
      <c r="D31" s="519">
        <v>21</v>
      </c>
      <c r="E31" s="518" t="s">
        <v>71</v>
      </c>
    </row>
    <row r="32" spans="1:7" x14ac:dyDescent="0.2">
      <c r="A32" s="519" t="str">
        <f t="shared" si="0"/>
        <v>INDEC-CM - 41543-21</v>
      </c>
      <c r="B32" s="519">
        <v>41543</v>
      </c>
      <c r="C32" s="519" t="s">
        <v>45</v>
      </c>
      <c r="D32" s="519">
        <v>21</v>
      </c>
      <c r="E32" s="518" t="s">
        <v>72</v>
      </c>
    </row>
    <row r="33" spans="1:6" x14ac:dyDescent="0.2">
      <c r="A33" s="519" t="str">
        <f t="shared" si="0"/>
        <v>INDEC-CM - 46340-31</v>
      </c>
      <c r="B33" s="519">
        <v>46340</v>
      </c>
      <c r="C33" s="519" t="s">
        <v>45</v>
      </c>
      <c r="D33" s="519">
        <v>31</v>
      </c>
      <c r="E33" s="518" t="s">
        <v>73</v>
      </c>
    </row>
    <row r="34" spans="1:6" x14ac:dyDescent="0.2">
      <c r="A34" s="519" t="str">
        <f t="shared" si="0"/>
        <v>INDEC-CM - 46320-11</v>
      </c>
      <c r="B34" s="519">
        <v>46320</v>
      </c>
      <c r="C34" s="519" t="s">
        <v>45</v>
      </c>
      <c r="D34" s="519">
        <v>11</v>
      </c>
      <c r="E34" s="518" t="s">
        <v>74</v>
      </c>
    </row>
    <row r="35" spans="1:6" x14ac:dyDescent="0.2">
      <c r="A35" s="519" t="str">
        <f t="shared" si="0"/>
        <v>INDEC-CM - 46340-11</v>
      </c>
      <c r="B35" s="519">
        <v>46340</v>
      </c>
      <c r="C35" s="519" t="s">
        <v>45</v>
      </c>
      <c r="D35" s="519">
        <v>11</v>
      </c>
      <c r="E35" s="518" t="s">
        <v>75</v>
      </c>
    </row>
    <row r="36" spans="1:6" x14ac:dyDescent="0.2">
      <c r="A36" s="519" t="str">
        <f t="shared" si="0"/>
        <v>INDEC-CM - 46340-12</v>
      </c>
      <c r="B36" s="519">
        <v>46340</v>
      </c>
      <c r="C36" s="519" t="s">
        <v>45</v>
      </c>
      <c r="D36" s="519">
        <v>12</v>
      </c>
      <c r="E36" s="518" t="s">
        <v>76</v>
      </c>
    </row>
    <row r="37" spans="1:6" x14ac:dyDescent="0.2">
      <c r="A37" s="519" t="str">
        <f t="shared" si="0"/>
        <v>INDEC-CM - 46340-21</v>
      </c>
      <c r="B37" s="519">
        <v>46340</v>
      </c>
      <c r="C37" s="519" t="s">
        <v>45</v>
      </c>
      <c r="D37" s="519">
        <v>21</v>
      </c>
      <c r="E37" s="518" t="s">
        <v>77</v>
      </c>
    </row>
    <row r="38" spans="1:6" x14ac:dyDescent="0.2">
      <c r="A38" s="519" t="str">
        <f t="shared" si="0"/>
        <v>INDEC-CM - 46212-21</v>
      </c>
      <c r="B38" s="519">
        <v>46212</v>
      </c>
      <c r="C38" s="519" t="s">
        <v>45</v>
      </c>
      <c r="D38" s="519">
        <v>21</v>
      </c>
      <c r="E38" s="518" t="s">
        <v>78</v>
      </c>
    </row>
    <row r="39" spans="1:6" x14ac:dyDescent="0.2">
      <c r="A39" s="519" t="str">
        <f t="shared" si="0"/>
        <v>INDEC-CM - 42999-23</v>
      </c>
      <c r="B39" s="519">
        <v>42999</v>
      </c>
      <c r="C39" s="519" t="s">
        <v>45</v>
      </c>
      <c r="D39" s="519">
        <v>23</v>
      </c>
      <c r="E39" s="518" t="s">
        <v>79</v>
      </c>
    </row>
    <row r="40" spans="1:6" x14ac:dyDescent="0.2">
      <c r="A40" s="519" t="str">
        <f t="shared" si="0"/>
        <v>INDEC-CM - 42999-21</v>
      </c>
      <c r="B40" s="519">
        <v>42999</v>
      </c>
      <c r="C40" s="519" t="s">
        <v>45</v>
      </c>
      <c r="D40" s="519">
        <v>21</v>
      </c>
      <c r="E40" s="518" t="s">
        <v>80</v>
      </c>
    </row>
    <row r="41" spans="1:6" x14ac:dyDescent="0.2">
      <c r="A41" s="519" t="str">
        <f t="shared" si="0"/>
        <v>INDEC-CM - 42999-31</v>
      </c>
      <c r="B41" s="519">
        <v>42999</v>
      </c>
      <c r="C41" s="519" t="s">
        <v>45</v>
      </c>
      <c r="D41" s="519">
        <v>31</v>
      </c>
      <c r="E41" s="518" t="s">
        <v>81</v>
      </c>
    </row>
    <row r="42" spans="1:6" x14ac:dyDescent="0.2">
      <c r="A42" s="519" t="str">
        <f t="shared" si="0"/>
        <v>INDEC-CM - 42999-22</v>
      </c>
      <c r="B42" s="519">
        <v>42999</v>
      </c>
      <c r="C42" s="519" t="s">
        <v>45</v>
      </c>
      <c r="D42" s="519">
        <v>22</v>
      </c>
      <c r="E42" s="518" t="s">
        <v>82</v>
      </c>
    </row>
    <row r="43" spans="1:6" x14ac:dyDescent="0.2">
      <c r="A43" s="524" t="str">
        <f t="shared" si="0"/>
        <v>INDEC-CM - 31600-63</v>
      </c>
      <c r="B43" s="524">
        <v>31600</v>
      </c>
      <c r="C43" s="524" t="s">
        <v>45</v>
      </c>
      <c r="D43" s="524">
        <v>63</v>
      </c>
      <c r="E43" s="525" t="s">
        <v>83</v>
      </c>
      <c r="F43" s="518" t="s">
        <v>1905</v>
      </c>
    </row>
    <row r="44" spans="1:6" x14ac:dyDescent="0.2">
      <c r="A44" s="524" t="str">
        <f t="shared" si="0"/>
        <v>INDEC-CM - 31600-62</v>
      </c>
      <c r="B44" s="524">
        <v>31600</v>
      </c>
      <c r="C44" s="524" t="s">
        <v>45</v>
      </c>
      <c r="D44" s="524">
        <v>62</v>
      </c>
      <c r="E44" s="525" t="s">
        <v>84</v>
      </c>
      <c r="F44" s="518" t="s">
        <v>1905</v>
      </c>
    </row>
    <row r="45" spans="1:6" x14ac:dyDescent="0.2">
      <c r="A45" s="524" t="str">
        <f t="shared" si="0"/>
        <v>INDEC-CM - 31600-61</v>
      </c>
      <c r="B45" s="524">
        <v>31600</v>
      </c>
      <c r="C45" s="524" t="s">
        <v>45</v>
      </c>
      <c r="D45" s="524">
        <v>61</v>
      </c>
      <c r="E45" s="525" t="s">
        <v>85</v>
      </c>
      <c r="F45" s="518" t="s">
        <v>1905</v>
      </c>
    </row>
    <row r="46" spans="1:6" x14ac:dyDescent="0.2">
      <c r="A46" s="519" t="str">
        <f t="shared" si="0"/>
        <v>INDEC-CM - 37420-11</v>
      </c>
      <c r="B46" s="519">
        <v>37420</v>
      </c>
      <c r="C46" s="519" t="s">
        <v>45</v>
      </c>
      <c r="D46" s="519">
        <v>11</v>
      </c>
      <c r="E46" s="518" t="s">
        <v>86</v>
      </c>
    </row>
    <row r="47" spans="1:6" x14ac:dyDescent="0.2">
      <c r="A47" s="519" t="str">
        <f t="shared" si="0"/>
        <v>INDEC-CM - 37420-12</v>
      </c>
      <c r="B47" s="519">
        <v>37420</v>
      </c>
      <c r="C47" s="519" t="s">
        <v>45</v>
      </c>
      <c r="D47" s="519">
        <v>12</v>
      </c>
      <c r="E47" s="518" t="s">
        <v>87</v>
      </c>
    </row>
    <row r="48" spans="1:6" x14ac:dyDescent="0.2">
      <c r="A48" s="519" t="str">
        <f t="shared" si="0"/>
        <v>INDEC-CM - 44822-11</v>
      </c>
      <c r="B48" s="519">
        <v>44822</v>
      </c>
      <c r="C48" s="519" t="s">
        <v>45</v>
      </c>
      <c r="D48" s="519">
        <v>11</v>
      </c>
      <c r="E48" s="518" t="s">
        <v>88</v>
      </c>
    </row>
    <row r="49" spans="1:5" x14ac:dyDescent="0.2">
      <c r="A49" s="519" t="str">
        <f t="shared" si="0"/>
        <v>INDEC-CM - 44826-11</v>
      </c>
      <c r="B49" s="519">
        <v>44826</v>
      </c>
      <c r="C49" s="519" t="s">
        <v>45</v>
      </c>
      <c r="D49" s="519">
        <v>11</v>
      </c>
      <c r="E49" s="518" t="s">
        <v>89</v>
      </c>
    </row>
    <row r="50" spans="1:5" x14ac:dyDescent="0.2">
      <c r="A50" s="519" t="str">
        <f t="shared" si="0"/>
        <v>INDEC-CM - 44826-12</v>
      </c>
      <c r="B50" s="519">
        <v>44826</v>
      </c>
      <c r="C50" s="519" t="s">
        <v>45</v>
      </c>
      <c r="D50" s="519">
        <v>12</v>
      </c>
      <c r="E50" s="518" t="s">
        <v>90</v>
      </c>
    </row>
    <row r="51" spans="1:5" x14ac:dyDescent="0.2">
      <c r="A51" s="519" t="str">
        <f t="shared" si="0"/>
        <v>INDEC-CM - 42911-21</v>
      </c>
      <c r="B51" s="519">
        <v>42911</v>
      </c>
      <c r="C51" s="519" t="s">
        <v>45</v>
      </c>
      <c r="D51" s="519">
        <v>21</v>
      </c>
      <c r="E51" s="518" t="s">
        <v>91</v>
      </c>
    </row>
    <row r="52" spans="1:5" x14ac:dyDescent="0.2">
      <c r="A52" s="519" t="str">
        <f t="shared" si="0"/>
        <v>INDEC-CM - 41277-21</v>
      </c>
      <c r="B52" s="519">
        <v>41277</v>
      </c>
      <c r="C52" s="519" t="s">
        <v>45</v>
      </c>
      <c r="D52" s="519">
        <v>21</v>
      </c>
      <c r="E52" s="518" t="s">
        <v>92</v>
      </c>
    </row>
    <row r="53" spans="1:5" x14ac:dyDescent="0.2">
      <c r="A53" s="519" t="str">
        <f t="shared" si="0"/>
        <v>INDEC-CM - 41277-11</v>
      </c>
      <c r="B53" s="519">
        <v>41277</v>
      </c>
      <c r="C53" s="519" t="s">
        <v>45</v>
      </c>
      <c r="D53" s="519">
        <v>11</v>
      </c>
      <c r="E53" s="518" t="s">
        <v>93</v>
      </c>
    </row>
    <row r="54" spans="1:5" x14ac:dyDescent="0.2">
      <c r="A54" s="519" t="str">
        <f t="shared" si="0"/>
        <v>INDEC-CM - 41516-11</v>
      </c>
      <c r="B54" s="519">
        <v>41516</v>
      </c>
      <c r="C54" s="519" t="s">
        <v>45</v>
      </c>
      <c r="D54" s="519">
        <v>11</v>
      </c>
      <c r="E54" s="518" t="s">
        <v>94</v>
      </c>
    </row>
    <row r="55" spans="1:5" x14ac:dyDescent="0.2">
      <c r="A55" s="519" t="str">
        <f t="shared" si="0"/>
        <v>INDEC-CM - 41516-12</v>
      </c>
      <c r="B55" s="519">
        <v>41516</v>
      </c>
      <c r="C55" s="519" t="s">
        <v>45</v>
      </c>
      <c r="D55" s="519">
        <v>12</v>
      </c>
      <c r="E55" s="518" t="s">
        <v>95</v>
      </c>
    </row>
    <row r="56" spans="1:5" x14ac:dyDescent="0.2">
      <c r="A56" s="519" t="str">
        <f t="shared" si="0"/>
        <v>INDEC-CM - 41273-11</v>
      </c>
      <c r="B56" s="519">
        <v>41273</v>
      </c>
      <c r="C56" s="519" t="s">
        <v>45</v>
      </c>
      <c r="D56" s="519">
        <v>11</v>
      </c>
      <c r="E56" s="518" t="s">
        <v>96</v>
      </c>
    </row>
    <row r="57" spans="1:5" x14ac:dyDescent="0.2">
      <c r="A57" s="519" t="str">
        <f t="shared" si="0"/>
        <v>INDEC-CM - 41273-12</v>
      </c>
      <c r="B57" s="519">
        <v>41273</v>
      </c>
      <c r="C57" s="519" t="s">
        <v>45</v>
      </c>
      <c r="D57" s="519">
        <v>12</v>
      </c>
      <c r="E57" s="518" t="s">
        <v>97</v>
      </c>
    </row>
    <row r="58" spans="1:5" x14ac:dyDescent="0.2">
      <c r="A58" s="519" t="str">
        <f t="shared" si="0"/>
        <v>INDEC-CM - 41277-41</v>
      </c>
      <c r="B58" s="519">
        <v>41277</v>
      </c>
      <c r="C58" s="519" t="s">
        <v>45</v>
      </c>
      <c r="D58" s="519">
        <v>41</v>
      </c>
      <c r="E58" s="518" t="s">
        <v>98</v>
      </c>
    </row>
    <row r="59" spans="1:5" x14ac:dyDescent="0.2">
      <c r="A59" s="519" t="str">
        <f t="shared" si="0"/>
        <v>INDEC-CM - 41277-31</v>
      </c>
      <c r="B59" s="519">
        <v>41277</v>
      </c>
      <c r="C59" s="519" t="s">
        <v>45</v>
      </c>
      <c r="D59" s="519">
        <v>31</v>
      </c>
      <c r="E59" s="518" t="s">
        <v>99</v>
      </c>
    </row>
    <row r="60" spans="1:5" x14ac:dyDescent="0.2">
      <c r="A60" s="519" t="str">
        <f t="shared" si="0"/>
        <v>INDEC-CM - 41543-11</v>
      </c>
      <c r="B60" s="519">
        <v>41543</v>
      </c>
      <c r="C60" s="519" t="s">
        <v>45</v>
      </c>
      <c r="D60" s="519">
        <v>11</v>
      </c>
      <c r="E60" s="518" t="s">
        <v>100</v>
      </c>
    </row>
    <row r="61" spans="1:5" x14ac:dyDescent="0.2">
      <c r="A61" s="519" t="str">
        <f t="shared" si="0"/>
        <v>INDEC-CM - 36320-21</v>
      </c>
      <c r="B61" s="519">
        <v>36320</v>
      </c>
      <c r="C61" s="519" t="s">
        <v>45</v>
      </c>
      <c r="D61" s="519">
        <v>21</v>
      </c>
      <c r="E61" s="518" t="s">
        <v>101</v>
      </c>
    </row>
    <row r="62" spans="1:5" x14ac:dyDescent="0.2">
      <c r="A62" s="519" t="str">
        <f t="shared" si="0"/>
        <v>INDEC-CM - 36320-22</v>
      </c>
      <c r="B62" s="519">
        <v>36320</v>
      </c>
      <c r="C62" s="519" t="s">
        <v>45</v>
      </c>
      <c r="D62" s="519">
        <v>22</v>
      </c>
      <c r="E62" s="518" t="s">
        <v>102</v>
      </c>
    </row>
    <row r="63" spans="1:5" x14ac:dyDescent="0.2">
      <c r="A63" s="519" t="str">
        <f t="shared" si="0"/>
        <v>INDEC-CM - 36320-11</v>
      </c>
      <c r="B63" s="519">
        <v>36320</v>
      </c>
      <c r="C63" s="519" t="s">
        <v>45</v>
      </c>
      <c r="D63" s="519">
        <v>11</v>
      </c>
      <c r="E63" s="518" t="s">
        <v>103</v>
      </c>
    </row>
    <row r="64" spans="1:5" x14ac:dyDescent="0.2">
      <c r="A64" s="519" t="str">
        <f t="shared" si="0"/>
        <v>INDEC-CM - 36320-12</v>
      </c>
      <c r="B64" s="519">
        <v>36320</v>
      </c>
      <c r="C64" s="519" t="s">
        <v>45</v>
      </c>
      <c r="D64" s="519">
        <v>12</v>
      </c>
      <c r="E64" s="518" t="s">
        <v>104</v>
      </c>
    </row>
    <row r="65" spans="1:7" x14ac:dyDescent="0.2">
      <c r="A65" s="519" t="str">
        <f t="shared" si="0"/>
        <v>INDEC-CM - 15320-11</v>
      </c>
      <c r="B65" s="519">
        <v>15320</v>
      </c>
      <c r="C65" s="519" t="s">
        <v>45</v>
      </c>
      <c r="D65" s="519">
        <v>11</v>
      </c>
      <c r="E65" s="518" t="s">
        <v>105</v>
      </c>
    </row>
    <row r="66" spans="1:7" x14ac:dyDescent="0.2">
      <c r="A66" s="519" t="str">
        <f t="shared" si="0"/>
        <v>INDEC-CM - 37350-61</v>
      </c>
      <c r="B66" s="519">
        <v>37350</v>
      </c>
      <c r="C66" s="519" t="s">
        <v>45</v>
      </c>
      <c r="D66" s="519">
        <v>61</v>
      </c>
      <c r="E66" s="523" t="s">
        <v>106</v>
      </c>
      <c r="F66" s="523"/>
      <c r="G66" s="523"/>
    </row>
    <row r="67" spans="1:7" x14ac:dyDescent="0.2">
      <c r="A67" s="519" t="str">
        <f t="shared" si="0"/>
        <v>INDEC-CM - 37440-31</v>
      </c>
      <c r="B67" s="519">
        <v>37440</v>
      </c>
      <c r="C67" s="519" t="s">
        <v>45</v>
      </c>
      <c r="D67" s="519">
        <v>31</v>
      </c>
      <c r="E67" s="518" t="s">
        <v>107</v>
      </c>
    </row>
    <row r="68" spans="1:7" x14ac:dyDescent="0.2">
      <c r="A68" s="519" t="str">
        <f t="shared" si="0"/>
        <v>INDEC-CM - 37440-11</v>
      </c>
      <c r="B68" s="519">
        <v>37440</v>
      </c>
      <c r="C68" s="519" t="s">
        <v>45</v>
      </c>
      <c r="D68" s="519">
        <v>11</v>
      </c>
      <c r="E68" s="518" t="s">
        <v>108</v>
      </c>
    </row>
    <row r="69" spans="1:7" x14ac:dyDescent="0.2">
      <c r="A69" s="519" t="str">
        <f t="shared" si="0"/>
        <v>INDEC-CM - 44821-21</v>
      </c>
      <c r="B69" s="519">
        <v>44821</v>
      </c>
      <c r="C69" s="519" t="s">
        <v>45</v>
      </c>
      <c r="D69" s="519">
        <v>21</v>
      </c>
      <c r="E69" s="518" t="s">
        <v>109</v>
      </c>
    </row>
    <row r="70" spans="1:7" x14ac:dyDescent="0.2">
      <c r="A70" s="519" t="str">
        <f t="shared" ref="A70:A133" si="1">CONCATENATE("INDEC-CM - ",B70,C70,D70)</f>
        <v>INDEC-CM - 36320-31</v>
      </c>
      <c r="B70" s="519">
        <v>36320</v>
      </c>
      <c r="C70" s="519" t="s">
        <v>45</v>
      </c>
      <c r="D70" s="519">
        <v>31</v>
      </c>
      <c r="E70" s="518" t="s">
        <v>110</v>
      </c>
    </row>
    <row r="71" spans="1:7" x14ac:dyDescent="0.2">
      <c r="A71" s="519" t="str">
        <f t="shared" si="1"/>
        <v>INDEC-CM - 41278-12</v>
      </c>
      <c r="B71" s="519">
        <v>41278</v>
      </c>
      <c r="C71" s="519" t="s">
        <v>45</v>
      </c>
      <c r="D71" s="519">
        <v>12</v>
      </c>
      <c r="E71" s="523" t="s">
        <v>111</v>
      </c>
      <c r="F71" s="523"/>
      <c r="G71" s="523"/>
    </row>
    <row r="72" spans="1:7" x14ac:dyDescent="0.2">
      <c r="A72" s="519" t="str">
        <f t="shared" si="1"/>
        <v>INDEC-CM - 41278-11</v>
      </c>
      <c r="B72" s="519">
        <v>41278</v>
      </c>
      <c r="C72" s="519" t="s">
        <v>45</v>
      </c>
      <c r="D72" s="519">
        <v>11</v>
      </c>
      <c r="E72" s="523" t="s">
        <v>112</v>
      </c>
      <c r="F72" s="523"/>
      <c r="G72" s="523"/>
    </row>
    <row r="73" spans="1:7" x14ac:dyDescent="0.2">
      <c r="A73" s="519" t="str">
        <f t="shared" si="1"/>
        <v>INDEC-CM - 36320-41</v>
      </c>
      <c r="B73" s="519">
        <v>36320</v>
      </c>
      <c r="C73" s="519" t="s">
        <v>45</v>
      </c>
      <c r="D73" s="519">
        <v>41</v>
      </c>
      <c r="E73" s="518" t="s">
        <v>113</v>
      </c>
    </row>
    <row r="74" spans="1:7" x14ac:dyDescent="0.2">
      <c r="A74" s="519" t="str">
        <f t="shared" si="1"/>
        <v>INDEC-CM - 41516-21</v>
      </c>
      <c r="B74" s="519">
        <v>41516</v>
      </c>
      <c r="C74" s="519" t="s">
        <v>45</v>
      </c>
      <c r="D74" s="519">
        <v>21</v>
      </c>
      <c r="E74" s="518" t="s">
        <v>114</v>
      </c>
    </row>
    <row r="75" spans="1:7" x14ac:dyDescent="0.2">
      <c r="A75" s="524" t="str">
        <f t="shared" si="1"/>
        <v>INDEC-CM - 41278-22</v>
      </c>
      <c r="B75" s="524">
        <v>41278</v>
      </c>
      <c r="C75" s="524" t="s">
        <v>45</v>
      </c>
      <c r="D75" s="524">
        <v>22</v>
      </c>
      <c r="E75" s="526" t="s">
        <v>115</v>
      </c>
      <c r="F75" s="518" t="s">
        <v>1905</v>
      </c>
    </row>
    <row r="76" spans="1:7" x14ac:dyDescent="0.2">
      <c r="A76" s="519" t="str">
        <f t="shared" si="1"/>
        <v>INDEC-CM - 46350-11</v>
      </c>
      <c r="B76" s="519">
        <v>46350</v>
      </c>
      <c r="C76" s="519" t="s">
        <v>45</v>
      </c>
      <c r="D76" s="519">
        <v>11</v>
      </c>
      <c r="E76" s="518" t="s">
        <v>116</v>
      </c>
    </row>
    <row r="77" spans="1:7" x14ac:dyDescent="0.2">
      <c r="A77" s="519" t="str">
        <f t="shared" si="1"/>
        <v>INDEC-CM - 41278-41</v>
      </c>
      <c r="B77" s="519">
        <v>41278</v>
      </c>
      <c r="C77" s="519" t="s">
        <v>45</v>
      </c>
      <c r="D77" s="519">
        <v>41</v>
      </c>
      <c r="E77" s="523" t="s">
        <v>117</v>
      </c>
      <c r="F77" s="523"/>
      <c r="G77" s="523"/>
    </row>
    <row r="78" spans="1:7" x14ac:dyDescent="0.2">
      <c r="A78" s="519" t="str">
        <f t="shared" si="1"/>
        <v>INDEC-CM - 42999-11</v>
      </c>
      <c r="B78" s="519">
        <v>42999</v>
      </c>
      <c r="C78" s="519" t="s">
        <v>45</v>
      </c>
      <c r="D78" s="519">
        <v>11</v>
      </c>
      <c r="E78" s="518" t="s">
        <v>118</v>
      </c>
    </row>
    <row r="79" spans="1:7" x14ac:dyDescent="0.2">
      <c r="A79" s="519" t="str">
        <f t="shared" si="1"/>
        <v>INDEC-CM - 36320-51</v>
      </c>
      <c r="B79" s="519">
        <v>36320</v>
      </c>
      <c r="C79" s="519" t="s">
        <v>45</v>
      </c>
      <c r="D79" s="519">
        <v>51</v>
      </c>
      <c r="E79" s="518" t="s">
        <v>119</v>
      </c>
    </row>
    <row r="80" spans="1:7" x14ac:dyDescent="0.2">
      <c r="A80" s="519" t="str">
        <f t="shared" si="1"/>
        <v>INDEC-CM - 31600-12</v>
      </c>
      <c r="B80" s="519">
        <v>31600</v>
      </c>
      <c r="C80" s="519" t="s">
        <v>45</v>
      </c>
      <c r="D80" s="519">
        <v>12</v>
      </c>
      <c r="E80" s="518" t="s">
        <v>120</v>
      </c>
    </row>
    <row r="81" spans="1:7" x14ac:dyDescent="0.2">
      <c r="A81" s="519" t="str">
        <f t="shared" si="1"/>
        <v>INDEC-CM - 36950-11</v>
      </c>
      <c r="B81" s="519">
        <v>36950</v>
      </c>
      <c r="C81" s="519" t="s">
        <v>45</v>
      </c>
      <c r="D81" s="519">
        <v>11</v>
      </c>
      <c r="E81" s="518" t="s">
        <v>121</v>
      </c>
    </row>
    <row r="82" spans="1:7" x14ac:dyDescent="0.2">
      <c r="A82" s="519" t="str">
        <f t="shared" si="1"/>
        <v>INDEC-CM - 31600-11</v>
      </c>
      <c r="B82" s="519">
        <v>31600</v>
      </c>
      <c r="C82" s="519" t="s">
        <v>45</v>
      </c>
      <c r="D82" s="519">
        <v>11</v>
      </c>
      <c r="E82" s="518" t="s">
        <v>122</v>
      </c>
    </row>
    <row r="83" spans="1:7" x14ac:dyDescent="0.2">
      <c r="A83" s="519" t="str">
        <f t="shared" si="1"/>
        <v>INDEC-CM - 37112-11</v>
      </c>
      <c r="B83" s="519">
        <v>37112</v>
      </c>
      <c r="C83" s="519" t="s">
        <v>45</v>
      </c>
      <c r="D83" s="519">
        <v>11</v>
      </c>
      <c r="E83" s="518" t="s">
        <v>123</v>
      </c>
    </row>
    <row r="84" spans="1:7" x14ac:dyDescent="0.2">
      <c r="A84" s="519" t="str">
        <f t="shared" si="1"/>
        <v>INDEC-CM - 41278-31</v>
      </c>
      <c r="B84" s="519">
        <v>41278</v>
      </c>
      <c r="C84" s="519" t="s">
        <v>45</v>
      </c>
      <c r="D84" s="519">
        <v>31</v>
      </c>
      <c r="E84" s="523" t="s">
        <v>124</v>
      </c>
      <c r="F84" s="523"/>
      <c r="G84" s="523"/>
    </row>
    <row r="85" spans="1:7" x14ac:dyDescent="0.2">
      <c r="A85" s="519" t="str">
        <f t="shared" si="1"/>
        <v>INDEC-CM - 41278-13</v>
      </c>
      <c r="B85" s="519">
        <v>41278</v>
      </c>
      <c r="C85" s="519" t="s">
        <v>45</v>
      </c>
      <c r="D85" s="519">
        <v>13</v>
      </c>
      <c r="E85" s="523" t="s">
        <v>125</v>
      </c>
      <c r="F85" s="523"/>
      <c r="G85" s="523"/>
    </row>
    <row r="86" spans="1:7" x14ac:dyDescent="0.2">
      <c r="A86" s="519" t="str">
        <f t="shared" si="1"/>
        <v>INDEC-CM - 37570-11</v>
      </c>
      <c r="B86" s="519">
        <v>37570</v>
      </c>
      <c r="C86" s="519" t="s">
        <v>45</v>
      </c>
      <c r="D86" s="519">
        <v>11</v>
      </c>
      <c r="E86" s="523" t="s">
        <v>126</v>
      </c>
      <c r="F86" s="523"/>
      <c r="G86" s="523"/>
    </row>
    <row r="87" spans="1:7" x14ac:dyDescent="0.2">
      <c r="A87" s="519" t="str">
        <f t="shared" si="1"/>
        <v>INDEC-CM - 43220-11</v>
      </c>
      <c r="B87" s="519">
        <v>43220</v>
      </c>
      <c r="C87" s="519" t="s">
        <v>45</v>
      </c>
      <c r="D87" s="519">
        <v>11</v>
      </c>
      <c r="E87" s="518" t="s">
        <v>127</v>
      </c>
    </row>
    <row r="88" spans="1:7" x14ac:dyDescent="0.2">
      <c r="A88" s="519" t="str">
        <f t="shared" si="1"/>
        <v>INDEC-CM - 43220-12</v>
      </c>
      <c r="B88" s="519">
        <v>43220</v>
      </c>
      <c r="C88" s="519" t="s">
        <v>45</v>
      </c>
      <c r="D88" s="519">
        <v>12</v>
      </c>
      <c r="E88" s="518" t="s">
        <v>128</v>
      </c>
    </row>
    <row r="89" spans="1:7" x14ac:dyDescent="0.2">
      <c r="A89" s="519" t="str">
        <f t="shared" si="1"/>
        <v>INDEC-CM - 43220-21</v>
      </c>
      <c r="B89" s="519">
        <v>43220</v>
      </c>
      <c r="C89" s="519" t="s">
        <v>45</v>
      </c>
      <c r="D89" s="519">
        <v>21</v>
      </c>
      <c r="E89" s="518" t="s">
        <v>129</v>
      </c>
    </row>
    <row r="90" spans="1:7" x14ac:dyDescent="0.2">
      <c r="A90" s="519" t="str">
        <f t="shared" si="1"/>
        <v>INDEC-CM - 43220-22</v>
      </c>
      <c r="B90" s="519">
        <v>43220</v>
      </c>
      <c r="C90" s="519" t="s">
        <v>45</v>
      </c>
      <c r="D90" s="519">
        <v>22</v>
      </c>
      <c r="E90" s="518" t="s">
        <v>130</v>
      </c>
    </row>
    <row r="91" spans="1:7" x14ac:dyDescent="0.2">
      <c r="A91" s="519" t="str">
        <f t="shared" si="1"/>
        <v>INDEC-CM - 43220-23</v>
      </c>
      <c r="B91" s="519">
        <v>43220</v>
      </c>
      <c r="C91" s="519" t="s">
        <v>45</v>
      </c>
      <c r="D91" s="519">
        <v>23</v>
      </c>
      <c r="E91" s="518" t="s">
        <v>131</v>
      </c>
    </row>
    <row r="92" spans="1:7" x14ac:dyDescent="0.2">
      <c r="A92" s="519" t="str">
        <f t="shared" si="1"/>
        <v>INDEC-CM - 43220-31</v>
      </c>
      <c r="B92" s="519">
        <v>43220</v>
      </c>
      <c r="C92" s="519" t="s">
        <v>45</v>
      </c>
      <c r="D92" s="519">
        <v>31</v>
      </c>
      <c r="E92" s="518" t="s">
        <v>132</v>
      </c>
    </row>
    <row r="93" spans="1:7" x14ac:dyDescent="0.2">
      <c r="A93" s="519" t="str">
        <f t="shared" si="1"/>
        <v>INDEC-CM - 43220-32</v>
      </c>
      <c r="B93" s="519">
        <v>43220</v>
      </c>
      <c r="C93" s="519" t="s">
        <v>45</v>
      </c>
      <c r="D93" s="519">
        <v>32</v>
      </c>
      <c r="E93" s="518" t="s">
        <v>133</v>
      </c>
    </row>
    <row r="94" spans="1:7" x14ac:dyDescent="0.2">
      <c r="A94" s="519" t="str">
        <f t="shared" si="1"/>
        <v>INDEC-CM - 41278-32</v>
      </c>
      <c r="B94" s="519">
        <v>41278</v>
      </c>
      <c r="C94" s="519" t="s">
        <v>45</v>
      </c>
      <c r="D94" s="519">
        <v>32</v>
      </c>
      <c r="E94" s="523" t="s">
        <v>134</v>
      </c>
      <c r="F94" s="523"/>
      <c r="G94" s="523"/>
    </row>
    <row r="95" spans="1:7" x14ac:dyDescent="0.2">
      <c r="A95" s="519" t="str">
        <f t="shared" si="1"/>
        <v>INDEC-CM - 36320-32</v>
      </c>
      <c r="B95" s="519">
        <v>36320</v>
      </c>
      <c r="C95" s="519" t="s">
        <v>45</v>
      </c>
      <c r="D95" s="519">
        <v>32</v>
      </c>
      <c r="E95" s="518" t="s">
        <v>135</v>
      </c>
    </row>
    <row r="96" spans="1:7" x14ac:dyDescent="0.2">
      <c r="A96" s="524" t="str">
        <f t="shared" si="1"/>
        <v>INDEC-CM - 41278-23</v>
      </c>
      <c r="B96" s="524">
        <v>41278</v>
      </c>
      <c r="C96" s="524" t="s">
        <v>45</v>
      </c>
      <c r="D96" s="524">
        <v>23</v>
      </c>
      <c r="E96" s="526" t="s">
        <v>136</v>
      </c>
      <c r="F96" s="518" t="s">
        <v>1905</v>
      </c>
    </row>
    <row r="97" spans="1:6" x14ac:dyDescent="0.2">
      <c r="A97" s="519" t="str">
        <f t="shared" si="1"/>
        <v>INDEC-CM - 35110-11</v>
      </c>
      <c r="B97" s="519">
        <v>35110</v>
      </c>
      <c r="C97" s="519" t="s">
        <v>45</v>
      </c>
      <c r="D97" s="519">
        <v>11</v>
      </c>
      <c r="E97" s="518" t="s">
        <v>137</v>
      </c>
    </row>
    <row r="98" spans="1:6" x14ac:dyDescent="0.2">
      <c r="A98" s="519" t="str">
        <f t="shared" si="1"/>
        <v>INDEC-CM - 35110-12</v>
      </c>
      <c r="B98" s="519">
        <v>35110</v>
      </c>
      <c r="C98" s="519" t="s">
        <v>45</v>
      </c>
      <c r="D98" s="519">
        <v>12</v>
      </c>
      <c r="E98" s="518" t="s">
        <v>138</v>
      </c>
    </row>
    <row r="99" spans="1:6" x14ac:dyDescent="0.2">
      <c r="A99" s="519" t="str">
        <f t="shared" si="1"/>
        <v>INDEC-CM - 35110-21</v>
      </c>
      <c r="B99" s="519">
        <v>35110</v>
      </c>
      <c r="C99" s="519" t="s">
        <v>45</v>
      </c>
      <c r="D99" s="519">
        <v>21</v>
      </c>
      <c r="E99" s="518" t="s">
        <v>139</v>
      </c>
    </row>
    <row r="100" spans="1:6" x14ac:dyDescent="0.2">
      <c r="A100" s="519" t="str">
        <f t="shared" si="1"/>
        <v>INDEC-CM - 35110-22</v>
      </c>
      <c r="B100" s="519">
        <v>35110</v>
      </c>
      <c r="C100" s="519" t="s">
        <v>45</v>
      </c>
      <c r="D100" s="519">
        <v>22</v>
      </c>
      <c r="E100" s="518" t="s">
        <v>140</v>
      </c>
    </row>
    <row r="101" spans="1:6" x14ac:dyDescent="0.2">
      <c r="A101" s="519" t="str">
        <f t="shared" si="1"/>
        <v>INDEC-CM - 41547-11</v>
      </c>
      <c r="B101" s="519">
        <v>41547</v>
      </c>
      <c r="C101" s="519" t="s">
        <v>45</v>
      </c>
      <c r="D101" s="519">
        <v>11</v>
      </c>
      <c r="E101" s="518" t="s">
        <v>141</v>
      </c>
    </row>
    <row r="102" spans="1:6" x14ac:dyDescent="0.2">
      <c r="A102" s="524" t="str">
        <f t="shared" si="1"/>
        <v>INDEC-CM - 31600-73</v>
      </c>
      <c r="B102" s="524">
        <v>31600</v>
      </c>
      <c r="C102" s="524" t="s">
        <v>45</v>
      </c>
      <c r="D102" s="524">
        <v>73</v>
      </c>
      <c r="E102" s="525" t="s">
        <v>142</v>
      </c>
      <c r="F102" s="518" t="s">
        <v>1905</v>
      </c>
    </row>
    <row r="103" spans="1:6" x14ac:dyDescent="0.2">
      <c r="A103" s="524" t="str">
        <f t="shared" si="1"/>
        <v>INDEC-CM - 31600-72</v>
      </c>
      <c r="B103" s="524">
        <v>31600</v>
      </c>
      <c r="C103" s="524" t="s">
        <v>45</v>
      </c>
      <c r="D103" s="524">
        <v>72</v>
      </c>
      <c r="E103" s="525" t="s">
        <v>143</v>
      </c>
      <c r="F103" s="518" t="s">
        <v>1905</v>
      </c>
    </row>
    <row r="104" spans="1:6" x14ac:dyDescent="0.2">
      <c r="A104" s="524" t="str">
        <f t="shared" si="1"/>
        <v>INDEC-CM - 31600-71</v>
      </c>
      <c r="B104" s="524">
        <v>31600</v>
      </c>
      <c r="C104" s="524" t="s">
        <v>45</v>
      </c>
      <c r="D104" s="524">
        <v>71</v>
      </c>
      <c r="E104" s="525" t="s">
        <v>144</v>
      </c>
      <c r="F104" s="518" t="s">
        <v>1905</v>
      </c>
    </row>
    <row r="105" spans="1:6" x14ac:dyDescent="0.2">
      <c r="A105" s="519" t="str">
        <f t="shared" si="1"/>
        <v>INDEC-CM - 35110-61</v>
      </c>
      <c r="B105" s="519">
        <v>35110</v>
      </c>
      <c r="C105" s="519" t="s">
        <v>45</v>
      </c>
      <c r="D105" s="519">
        <v>61</v>
      </c>
      <c r="E105" s="518" t="s">
        <v>145</v>
      </c>
    </row>
    <row r="106" spans="1:6" x14ac:dyDescent="0.2">
      <c r="A106" s="519" t="str">
        <f t="shared" si="1"/>
        <v>INDEC-CM - 31600-53</v>
      </c>
      <c r="B106" s="519">
        <v>31600</v>
      </c>
      <c r="C106" s="519" t="s">
        <v>45</v>
      </c>
      <c r="D106" s="519">
        <v>53</v>
      </c>
      <c r="E106" s="518" t="s">
        <v>146</v>
      </c>
    </row>
    <row r="107" spans="1:6" x14ac:dyDescent="0.2">
      <c r="A107" s="519" t="str">
        <f t="shared" si="1"/>
        <v>INDEC-CM - 31600-51</v>
      </c>
      <c r="B107" s="519">
        <v>31600</v>
      </c>
      <c r="C107" s="519" t="s">
        <v>45</v>
      </c>
      <c r="D107" s="519">
        <v>51</v>
      </c>
      <c r="E107" s="518" t="s">
        <v>147</v>
      </c>
    </row>
    <row r="108" spans="1:6" x14ac:dyDescent="0.2">
      <c r="A108" s="519" t="str">
        <f t="shared" si="1"/>
        <v>INDEC-CM - 37550-21</v>
      </c>
      <c r="B108" s="519">
        <v>37550</v>
      </c>
      <c r="C108" s="519" t="s">
        <v>45</v>
      </c>
      <c r="D108" s="519">
        <v>21</v>
      </c>
      <c r="E108" s="518" t="s">
        <v>148</v>
      </c>
    </row>
    <row r="109" spans="1:6" x14ac:dyDescent="0.2">
      <c r="A109" s="519" t="str">
        <f t="shared" si="1"/>
        <v>INDEC-CM - 42999-41</v>
      </c>
      <c r="B109" s="519">
        <v>42999</v>
      </c>
      <c r="C109" s="519" t="s">
        <v>45</v>
      </c>
      <c r="D109" s="519">
        <v>41</v>
      </c>
      <c r="E109" s="518" t="s">
        <v>149</v>
      </c>
    </row>
    <row r="110" spans="1:6" x14ac:dyDescent="0.2">
      <c r="A110" s="519" t="str">
        <f t="shared" si="1"/>
        <v>INDEC-CM - 42911-53</v>
      </c>
      <c r="B110" s="519">
        <v>42911</v>
      </c>
      <c r="C110" s="519" t="s">
        <v>45</v>
      </c>
      <c r="D110" s="519">
        <v>53</v>
      </c>
      <c r="E110" s="518" t="s">
        <v>150</v>
      </c>
    </row>
    <row r="111" spans="1:6" x14ac:dyDescent="0.2">
      <c r="A111" s="519" t="str">
        <f t="shared" si="1"/>
        <v>INDEC-CM - 42911-52</v>
      </c>
      <c r="B111" s="519">
        <v>42911</v>
      </c>
      <c r="C111" s="519" t="s">
        <v>45</v>
      </c>
      <c r="D111" s="519">
        <v>52</v>
      </c>
      <c r="E111" s="518" t="s">
        <v>151</v>
      </c>
    </row>
    <row r="112" spans="1:6" x14ac:dyDescent="0.2">
      <c r="A112" s="519" t="str">
        <f t="shared" si="1"/>
        <v>INDEC-CM - 42911-51</v>
      </c>
      <c r="B112" s="519">
        <v>42911</v>
      </c>
      <c r="C112" s="519" t="s">
        <v>45</v>
      </c>
      <c r="D112" s="519">
        <v>51</v>
      </c>
      <c r="E112" s="518" t="s">
        <v>152</v>
      </c>
    </row>
    <row r="113" spans="1:7" x14ac:dyDescent="0.2">
      <c r="A113" s="519" t="str">
        <f t="shared" si="1"/>
        <v>INDEC-CM - 42911-43</v>
      </c>
      <c r="B113" s="519">
        <v>42911</v>
      </c>
      <c r="C113" s="519" t="s">
        <v>45</v>
      </c>
      <c r="D113" s="519">
        <v>43</v>
      </c>
      <c r="E113" s="518" t="s">
        <v>153</v>
      </c>
    </row>
    <row r="114" spans="1:7" x14ac:dyDescent="0.2">
      <c r="A114" s="519" t="str">
        <f t="shared" si="1"/>
        <v>INDEC-CM - 42911-42</v>
      </c>
      <c r="B114" s="519">
        <v>42911</v>
      </c>
      <c r="C114" s="519" t="s">
        <v>45</v>
      </c>
      <c r="D114" s="519">
        <v>42</v>
      </c>
      <c r="E114" s="518" t="s">
        <v>154</v>
      </c>
    </row>
    <row r="115" spans="1:7" x14ac:dyDescent="0.2">
      <c r="A115" s="519" t="str">
        <f t="shared" si="1"/>
        <v>INDEC-CM - 42911-41</v>
      </c>
      <c r="B115" s="519">
        <v>42911</v>
      </c>
      <c r="C115" s="519" t="s">
        <v>45</v>
      </c>
      <c r="D115" s="519">
        <v>41</v>
      </c>
      <c r="E115" s="518" t="s">
        <v>155</v>
      </c>
    </row>
    <row r="116" spans="1:7" x14ac:dyDescent="0.2">
      <c r="A116" s="519" t="str">
        <f t="shared" si="1"/>
        <v>INDEC-CM - 42911-56</v>
      </c>
      <c r="B116" s="519">
        <v>42911</v>
      </c>
      <c r="C116" s="519" t="s">
        <v>45</v>
      </c>
      <c r="D116" s="519">
        <v>56</v>
      </c>
      <c r="E116" s="518" t="s">
        <v>156</v>
      </c>
    </row>
    <row r="117" spans="1:7" x14ac:dyDescent="0.2">
      <c r="A117" s="519" t="str">
        <f t="shared" si="1"/>
        <v>INDEC-CM - 42911-55</v>
      </c>
      <c r="B117" s="519">
        <v>42911</v>
      </c>
      <c r="C117" s="519" t="s">
        <v>45</v>
      </c>
      <c r="D117" s="519">
        <v>55</v>
      </c>
      <c r="E117" s="518" t="s">
        <v>157</v>
      </c>
    </row>
    <row r="118" spans="1:7" x14ac:dyDescent="0.2">
      <c r="A118" s="519" t="str">
        <f t="shared" si="1"/>
        <v>INDEC-CM - 42911-54</v>
      </c>
      <c r="B118" s="519">
        <v>42911</v>
      </c>
      <c r="C118" s="519" t="s">
        <v>45</v>
      </c>
      <c r="D118" s="519">
        <v>54</v>
      </c>
      <c r="E118" s="518" t="s">
        <v>158</v>
      </c>
    </row>
    <row r="119" spans="1:7" x14ac:dyDescent="0.2">
      <c r="A119" s="519" t="str">
        <f t="shared" si="1"/>
        <v>INDEC-CM - 42911-32</v>
      </c>
      <c r="B119" s="519">
        <v>42911</v>
      </c>
      <c r="C119" s="519" t="s">
        <v>45</v>
      </c>
      <c r="D119" s="519">
        <v>32</v>
      </c>
      <c r="E119" s="518" t="s">
        <v>159</v>
      </c>
    </row>
    <row r="120" spans="1:7" x14ac:dyDescent="0.2">
      <c r="A120" s="519" t="str">
        <f t="shared" si="1"/>
        <v>INDEC-CM - 42911-31</v>
      </c>
      <c r="B120" s="519">
        <v>42911</v>
      </c>
      <c r="C120" s="519" t="s">
        <v>45</v>
      </c>
      <c r="D120" s="519">
        <v>31</v>
      </c>
      <c r="E120" s="518" t="s">
        <v>160</v>
      </c>
    </row>
    <row r="121" spans="1:7" x14ac:dyDescent="0.2">
      <c r="A121" s="519" t="str">
        <f t="shared" si="1"/>
        <v>INDEC-CM - 42911-59</v>
      </c>
      <c r="B121" s="519">
        <v>42911</v>
      </c>
      <c r="C121" s="519" t="s">
        <v>45</v>
      </c>
      <c r="D121" s="519">
        <v>59</v>
      </c>
      <c r="E121" s="518" t="s">
        <v>161</v>
      </c>
    </row>
    <row r="122" spans="1:7" x14ac:dyDescent="0.2">
      <c r="A122" s="519" t="str">
        <f t="shared" si="1"/>
        <v>INDEC-CM - 42911-58</v>
      </c>
      <c r="B122" s="519">
        <v>42911</v>
      </c>
      <c r="C122" s="519" t="s">
        <v>45</v>
      </c>
      <c r="D122" s="519">
        <v>58</v>
      </c>
      <c r="E122" s="523" t="s">
        <v>162</v>
      </c>
      <c r="F122" s="523"/>
      <c r="G122" s="523"/>
    </row>
    <row r="123" spans="1:7" x14ac:dyDescent="0.2">
      <c r="A123" s="519" t="str">
        <f t="shared" si="1"/>
        <v>INDEC-CM - 42911-57</v>
      </c>
      <c r="B123" s="519">
        <v>42911</v>
      </c>
      <c r="C123" s="519" t="s">
        <v>45</v>
      </c>
      <c r="D123" s="519">
        <v>57</v>
      </c>
      <c r="E123" s="523" t="s">
        <v>163</v>
      </c>
      <c r="F123" s="523"/>
      <c r="G123" s="523"/>
    </row>
    <row r="124" spans="1:7" x14ac:dyDescent="0.2">
      <c r="A124" s="519" t="str">
        <f t="shared" si="1"/>
        <v>INDEC-CM - 43923-21</v>
      </c>
      <c r="B124" s="519">
        <v>43923</v>
      </c>
      <c r="C124" s="519" t="s">
        <v>45</v>
      </c>
      <c r="D124" s="519">
        <v>21</v>
      </c>
      <c r="E124" s="523" t="s">
        <v>164</v>
      </c>
      <c r="F124" s="523"/>
      <c r="G124" s="523"/>
    </row>
    <row r="125" spans="1:7" x14ac:dyDescent="0.2">
      <c r="A125" s="651" t="str">
        <f t="shared" si="1"/>
        <v>INDEC-CM - 37510-11</v>
      </c>
      <c r="B125" s="651">
        <v>37510</v>
      </c>
      <c r="C125" s="651" t="s">
        <v>45</v>
      </c>
      <c r="D125" s="651">
        <v>11</v>
      </c>
      <c r="E125" s="654" t="s">
        <v>165</v>
      </c>
    </row>
    <row r="126" spans="1:7" x14ac:dyDescent="0.2">
      <c r="A126" s="519" t="str">
        <f t="shared" si="1"/>
        <v>INDEC-CM - 44821-31</v>
      </c>
      <c r="B126" s="519">
        <v>44821</v>
      </c>
      <c r="C126" s="519" t="s">
        <v>45</v>
      </c>
      <c r="D126" s="519">
        <v>31</v>
      </c>
      <c r="E126" s="518" t="s">
        <v>166</v>
      </c>
    </row>
    <row r="127" spans="1:7" x14ac:dyDescent="0.2">
      <c r="A127" s="519" t="str">
        <f t="shared" si="1"/>
        <v>INDEC-CM - 46531-12</v>
      </c>
      <c r="B127" s="519">
        <v>46531</v>
      </c>
      <c r="C127" s="519" t="s">
        <v>45</v>
      </c>
      <c r="D127" s="519">
        <v>12</v>
      </c>
      <c r="E127" s="523" t="s">
        <v>167</v>
      </c>
      <c r="F127" s="523"/>
      <c r="G127" s="523"/>
    </row>
    <row r="128" spans="1:7" x14ac:dyDescent="0.2">
      <c r="A128" s="519" t="str">
        <f t="shared" si="1"/>
        <v>INDEC-CM - 37210-13</v>
      </c>
      <c r="B128" s="519">
        <v>37210</v>
      </c>
      <c r="C128" s="519" t="s">
        <v>45</v>
      </c>
      <c r="D128" s="519">
        <v>13</v>
      </c>
      <c r="E128" s="518" t="s">
        <v>168</v>
      </c>
    </row>
    <row r="129" spans="1:7" x14ac:dyDescent="0.2">
      <c r="A129" s="519" t="str">
        <f t="shared" si="1"/>
        <v>INDEC-CM - 37210-12</v>
      </c>
      <c r="B129" s="519">
        <v>37210</v>
      </c>
      <c r="C129" s="519" t="s">
        <v>45</v>
      </c>
      <c r="D129" s="519">
        <v>12</v>
      </c>
      <c r="E129" s="518" t="s">
        <v>169</v>
      </c>
    </row>
    <row r="130" spans="1:7" x14ac:dyDescent="0.2">
      <c r="A130" s="519" t="str">
        <f t="shared" si="1"/>
        <v>INDEC-CM - 37210-11</v>
      </c>
      <c r="B130" s="519">
        <v>37210</v>
      </c>
      <c r="C130" s="519" t="s">
        <v>45</v>
      </c>
      <c r="D130" s="519">
        <v>11</v>
      </c>
      <c r="E130" s="523" t="s">
        <v>170</v>
      </c>
      <c r="F130" s="523"/>
      <c r="G130" s="523"/>
    </row>
    <row r="131" spans="1:7" x14ac:dyDescent="0.2">
      <c r="A131" s="519" t="str">
        <f t="shared" si="1"/>
        <v>INDEC-CM - 46212-11</v>
      </c>
      <c r="B131" s="519">
        <v>46212</v>
      </c>
      <c r="C131" s="519" t="s">
        <v>45</v>
      </c>
      <c r="D131" s="519">
        <v>11</v>
      </c>
      <c r="E131" s="518" t="s">
        <v>171</v>
      </c>
    </row>
    <row r="132" spans="1:7" x14ac:dyDescent="0.2">
      <c r="A132" s="519" t="str">
        <f t="shared" si="1"/>
        <v>INDEC-CM - 46212-51</v>
      </c>
      <c r="B132" s="519">
        <v>46212</v>
      </c>
      <c r="C132" s="519" t="s">
        <v>45</v>
      </c>
      <c r="D132" s="519">
        <v>51</v>
      </c>
      <c r="E132" s="518" t="s">
        <v>172</v>
      </c>
    </row>
    <row r="133" spans="1:7" x14ac:dyDescent="0.2">
      <c r="A133" s="519" t="str">
        <f t="shared" si="1"/>
        <v>INDEC-CM - 46212-31</v>
      </c>
      <c r="B133" s="519">
        <v>46212</v>
      </c>
      <c r="C133" s="519" t="s">
        <v>45</v>
      </c>
      <c r="D133" s="519">
        <v>31</v>
      </c>
      <c r="E133" s="518" t="s">
        <v>173</v>
      </c>
    </row>
    <row r="134" spans="1:7" x14ac:dyDescent="0.2">
      <c r="A134" s="519" t="str">
        <f t="shared" ref="A134:A197" si="2">CONCATENATE("INDEC-CM - ",B134,C134,D134)</f>
        <v>INDEC-CM - 46212-41</v>
      </c>
      <c r="B134" s="519">
        <v>46212</v>
      </c>
      <c r="C134" s="519" t="s">
        <v>45</v>
      </c>
      <c r="D134" s="519">
        <v>41</v>
      </c>
      <c r="E134" s="518" t="s">
        <v>174</v>
      </c>
    </row>
    <row r="135" spans="1:7" x14ac:dyDescent="0.2">
      <c r="A135" s="519" t="str">
        <f t="shared" si="2"/>
        <v>INDEC-CM - 42999-51</v>
      </c>
      <c r="B135" s="519">
        <v>42999</v>
      </c>
      <c r="C135" s="519" t="s">
        <v>45</v>
      </c>
      <c r="D135" s="519">
        <v>51</v>
      </c>
      <c r="E135" s="518" t="s">
        <v>175</v>
      </c>
    </row>
    <row r="136" spans="1:7" x14ac:dyDescent="0.2">
      <c r="A136" s="519" t="str">
        <f t="shared" si="2"/>
        <v>INDEC-CM - 35110-51</v>
      </c>
      <c r="B136" s="519">
        <v>35110</v>
      </c>
      <c r="C136" s="519" t="s">
        <v>45</v>
      </c>
      <c r="D136" s="519">
        <v>51</v>
      </c>
      <c r="E136" s="518" t="s">
        <v>176</v>
      </c>
    </row>
    <row r="137" spans="1:7" x14ac:dyDescent="0.2">
      <c r="A137" s="519" t="str">
        <f t="shared" si="2"/>
        <v>INDEC-CM - 37350-11</v>
      </c>
      <c r="B137" s="519">
        <v>37350</v>
      </c>
      <c r="C137" s="519" t="s">
        <v>45</v>
      </c>
      <c r="D137" s="519">
        <v>11</v>
      </c>
      <c r="E137" s="518" t="s">
        <v>177</v>
      </c>
    </row>
    <row r="138" spans="1:7" x14ac:dyDescent="0.2">
      <c r="A138" s="519" t="str">
        <f t="shared" si="2"/>
        <v>INDEC-CM - 37350-41</v>
      </c>
      <c r="B138" s="519">
        <v>37350</v>
      </c>
      <c r="C138" s="519" t="s">
        <v>45</v>
      </c>
      <c r="D138" s="519">
        <v>41</v>
      </c>
      <c r="E138" s="518" t="s">
        <v>178</v>
      </c>
    </row>
    <row r="139" spans="1:7" x14ac:dyDescent="0.2">
      <c r="A139" s="519" t="str">
        <f t="shared" si="2"/>
        <v>INDEC-CM - 37350-21</v>
      </c>
      <c r="B139" s="519">
        <v>37350</v>
      </c>
      <c r="C139" s="519" t="s">
        <v>45</v>
      </c>
      <c r="D139" s="519">
        <v>21</v>
      </c>
      <c r="E139" s="518" t="s">
        <v>179</v>
      </c>
    </row>
    <row r="140" spans="1:7" x14ac:dyDescent="0.2">
      <c r="A140" s="519" t="str">
        <f t="shared" si="2"/>
        <v>INDEC-CM - 37350-31</v>
      </c>
      <c r="B140" s="519">
        <v>37350</v>
      </c>
      <c r="C140" s="519" t="s">
        <v>45</v>
      </c>
      <c r="D140" s="519">
        <v>31</v>
      </c>
      <c r="E140" s="518" t="s">
        <v>180</v>
      </c>
    </row>
    <row r="141" spans="1:7" x14ac:dyDescent="0.2">
      <c r="A141" s="519" t="str">
        <f t="shared" si="2"/>
        <v>INDEC-CM - 37210-32</v>
      </c>
      <c r="B141" s="519">
        <v>37210</v>
      </c>
      <c r="C141" s="519" t="s">
        <v>45</v>
      </c>
      <c r="D141" s="519">
        <v>32</v>
      </c>
      <c r="E141" s="518" t="s">
        <v>181</v>
      </c>
    </row>
    <row r="142" spans="1:7" x14ac:dyDescent="0.2">
      <c r="A142" s="519" t="str">
        <f t="shared" si="2"/>
        <v>INDEC-CM - 37210-31</v>
      </c>
      <c r="B142" s="519">
        <v>37210</v>
      </c>
      <c r="C142" s="519" t="s">
        <v>45</v>
      </c>
      <c r="D142" s="519">
        <v>31</v>
      </c>
      <c r="E142" s="518" t="s">
        <v>182</v>
      </c>
    </row>
    <row r="143" spans="1:7" x14ac:dyDescent="0.2">
      <c r="A143" s="519" t="str">
        <f t="shared" si="2"/>
        <v>INDEC-CM - 37210-33</v>
      </c>
      <c r="B143" s="519">
        <v>37210</v>
      </c>
      <c r="C143" s="519" t="s">
        <v>45</v>
      </c>
      <c r="D143" s="519">
        <v>33</v>
      </c>
      <c r="E143" s="518" t="s">
        <v>183</v>
      </c>
    </row>
    <row r="144" spans="1:7" x14ac:dyDescent="0.2">
      <c r="A144" s="519" t="str">
        <f t="shared" si="2"/>
        <v>INDEC-CM - 31210-41</v>
      </c>
      <c r="B144" s="519">
        <v>31210</v>
      </c>
      <c r="C144" s="519" t="s">
        <v>45</v>
      </c>
      <c r="D144" s="519">
        <v>41</v>
      </c>
      <c r="E144" s="518" t="s">
        <v>184</v>
      </c>
    </row>
    <row r="145" spans="1:7" x14ac:dyDescent="0.2">
      <c r="A145" s="519" t="str">
        <f t="shared" si="2"/>
        <v>INDEC-CM - 43240-21</v>
      </c>
      <c r="B145" s="519">
        <v>43240</v>
      </c>
      <c r="C145" s="519" t="s">
        <v>45</v>
      </c>
      <c r="D145" s="519">
        <v>21</v>
      </c>
      <c r="E145" s="518" t="s">
        <v>185</v>
      </c>
    </row>
    <row r="146" spans="1:7" x14ac:dyDescent="0.2">
      <c r="A146" s="519" t="str">
        <f t="shared" si="2"/>
        <v>INDEC-CM - 43240-32</v>
      </c>
      <c r="B146" s="519">
        <v>43240</v>
      </c>
      <c r="C146" s="519" t="s">
        <v>45</v>
      </c>
      <c r="D146" s="519">
        <v>32</v>
      </c>
      <c r="E146" s="518" t="s">
        <v>186</v>
      </c>
    </row>
    <row r="147" spans="1:7" x14ac:dyDescent="0.2">
      <c r="A147" s="519" t="str">
        <f t="shared" si="2"/>
        <v>INDEC-CM - 43240-31</v>
      </c>
      <c r="B147" s="519">
        <v>43240</v>
      </c>
      <c r="C147" s="519" t="s">
        <v>45</v>
      </c>
      <c r="D147" s="519">
        <v>31</v>
      </c>
      <c r="E147" s="518" t="s">
        <v>187</v>
      </c>
    </row>
    <row r="148" spans="1:7" x14ac:dyDescent="0.2">
      <c r="A148" s="519" t="str">
        <f t="shared" si="2"/>
        <v>INDEC-CM - 43240-41</v>
      </c>
      <c r="B148" s="519">
        <v>43240</v>
      </c>
      <c r="C148" s="519" t="s">
        <v>45</v>
      </c>
      <c r="D148" s="519">
        <v>41</v>
      </c>
      <c r="E148" s="518" t="s">
        <v>188</v>
      </c>
    </row>
    <row r="149" spans="1:7" x14ac:dyDescent="0.2">
      <c r="A149" s="519" t="str">
        <f t="shared" si="2"/>
        <v>INDEC-CM - 37540-32</v>
      </c>
      <c r="B149" s="519">
        <v>37540</v>
      </c>
      <c r="C149" s="519" t="s">
        <v>45</v>
      </c>
      <c r="D149" s="519">
        <v>32</v>
      </c>
      <c r="E149" s="523" t="s">
        <v>189</v>
      </c>
      <c r="F149" s="523"/>
      <c r="G149" s="523"/>
    </row>
    <row r="150" spans="1:7" x14ac:dyDescent="0.2">
      <c r="A150" s="519" t="str">
        <f t="shared" si="2"/>
        <v>INDEC-CM - 37540-31</v>
      </c>
      <c r="B150" s="519">
        <v>37540</v>
      </c>
      <c r="C150" s="519" t="s">
        <v>45</v>
      </c>
      <c r="D150" s="519">
        <v>31</v>
      </c>
      <c r="E150" s="518" t="s">
        <v>190</v>
      </c>
    </row>
    <row r="151" spans="1:7" x14ac:dyDescent="0.2">
      <c r="A151" s="519" t="str">
        <f t="shared" si="2"/>
        <v>INDEC-CM - 31210-21</v>
      </c>
      <c r="B151" s="519">
        <v>31210</v>
      </c>
      <c r="C151" s="519" t="s">
        <v>45</v>
      </c>
      <c r="D151" s="519">
        <v>21</v>
      </c>
      <c r="E151" s="523" t="s">
        <v>191</v>
      </c>
      <c r="F151" s="523"/>
      <c r="G151" s="523"/>
    </row>
    <row r="152" spans="1:7" x14ac:dyDescent="0.2">
      <c r="A152" s="519" t="str">
        <f t="shared" si="2"/>
        <v>INDEC-CM - 42911-61</v>
      </c>
      <c r="B152" s="519">
        <v>42911</v>
      </c>
      <c r="C152" s="519" t="s">
        <v>45</v>
      </c>
      <c r="D152" s="519">
        <v>61</v>
      </c>
      <c r="E152" s="523" t="s">
        <v>192</v>
      </c>
      <c r="F152" s="523"/>
      <c r="G152" s="523"/>
    </row>
    <row r="153" spans="1:7" x14ac:dyDescent="0.2">
      <c r="A153" s="519" t="str">
        <f t="shared" si="2"/>
        <v>INDEC-CM - 43923-11</v>
      </c>
      <c r="B153" s="519">
        <v>43923</v>
      </c>
      <c r="C153" s="519" t="s">
        <v>45</v>
      </c>
      <c r="D153" s="519">
        <v>11</v>
      </c>
      <c r="E153" s="523" t="s">
        <v>193</v>
      </c>
      <c r="F153" s="523"/>
      <c r="G153" s="523"/>
    </row>
    <row r="154" spans="1:7" x14ac:dyDescent="0.2">
      <c r="A154" s="519" t="str">
        <f t="shared" si="2"/>
        <v>INDEC-CM - 37930-12</v>
      </c>
      <c r="B154" s="519">
        <v>37930</v>
      </c>
      <c r="C154" s="519" t="s">
        <v>45</v>
      </c>
      <c r="D154" s="519">
        <v>12</v>
      </c>
      <c r="E154" s="518" t="s">
        <v>194</v>
      </c>
    </row>
    <row r="155" spans="1:7" x14ac:dyDescent="0.2">
      <c r="A155" s="519" t="str">
        <f t="shared" si="2"/>
        <v>INDEC-CM - 37930-11</v>
      </c>
      <c r="B155" s="519">
        <v>37930</v>
      </c>
      <c r="C155" s="519" t="s">
        <v>45</v>
      </c>
      <c r="D155" s="519">
        <v>11</v>
      </c>
      <c r="E155" s="518" t="s">
        <v>195</v>
      </c>
    </row>
    <row r="156" spans="1:7" x14ac:dyDescent="0.2">
      <c r="A156" s="519" t="str">
        <f t="shared" si="2"/>
        <v>INDEC-CM - 42999-61</v>
      </c>
      <c r="B156" s="519">
        <v>42999</v>
      </c>
      <c r="C156" s="519" t="s">
        <v>45</v>
      </c>
      <c r="D156" s="519">
        <v>61</v>
      </c>
      <c r="E156" s="523" t="s">
        <v>196</v>
      </c>
      <c r="F156" s="523"/>
      <c r="G156" s="523"/>
    </row>
    <row r="157" spans="1:7" x14ac:dyDescent="0.2">
      <c r="A157" s="519" t="str">
        <f t="shared" si="2"/>
        <v>INDEC-CM - 42999-62</v>
      </c>
      <c r="B157" s="519">
        <v>42999</v>
      </c>
      <c r="C157" s="519" t="s">
        <v>45</v>
      </c>
      <c r="D157" s="519">
        <v>62</v>
      </c>
      <c r="E157" s="523" t="s">
        <v>197</v>
      </c>
      <c r="F157" s="523"/>
      <c r="G157" s="523"/>
    </row>
    <row r="158" spans="1:7" x14ac:dyDescent="0.2">
      <c r="A158" s="519" t="str">
        <f t="shared" si="2"/>
        <v>INDEC-CM - 37610-11</v>
      </c>
      <c r="B158" s="519">
        <v>37610</v>
      </c>
      <c r="C158" s="519" t="s">
        <v>45</v>
      </c>
      <c r="D158" s="519">
        <v>11</v>
      </c>
      <c r="E158" s="523" t="s">
        <v>198</v>
      </c>
      <c r="F158" s="523"/>
      <c r="G158" s="523"/>
    </row>
    <row r="159" spans="1:7" x14ac:dyDescent="0.2">
      <c r="A159" s="519" t="str">
        <f t="shared" si="2"/>
        <v>INDEC-CM - 37610-12</v>
      </c>
      <c r="B159" s="519">
        <v>37610</v>
      </c>
      <c r="C159" s="519" t="s">
        <v>45</v>
      </c>
      <c r="D159" s="519">
        <v>12</v>
      </c>
      <c r="E159" s="523" t="s">
        <v>199</v>
      </c>
      <c r="F159" s="523"/>
      <c r="G159" s="523"/>
    </row>
    <row r="160" spans="1:7" x14ac:dyDescent="0.2">
      <c r="A160" s="519" t="str">
        <f t="shared" si="2"/>
        <v>INDEC-CM - 42943-11</v>
      </c>
      <c r="B160" s="519">
        <v>42943</v>
      </c>
      <c r="C160" s="519" t="s">
        <v>45</v>
      </c>
      <c r="D160" s="519">
        <v>11</v>
      </c>
      <c r="E160" s="523" t="s">
        <v>200</v>
      </c>
      <c r="F160" s="523"/>
      <c r="G160" s="523"/>
    </row>
    <row r="161" spans="1:7" x14ac:dyDescent="0.2">
      <c r="A161" s="519" t="str">
        <f t="shared" si="2"/>
        <v>INDEC-CM - 37540-11</v>
      </c>
      <c r="B161" s="519">
        <v>37540</v>
      </c>
      <c r="C161" s="519" t="s">
        <v>45</v>
      </c>
      <c r="D161" s="519">
        <v>11</v>
      </c>
      <c r="E161" s="518" t="s">
        <v>201</v>
      </c>
    </row>
    <row r="162" spans="1:7" x14ac:dyDescent="0.2">
      <c r="A162" s="519" t="str">
        <f t="shared" si="2"/>
        <v>INDEC-CM - 38130-16</v>
      </c>
      <c r="B162" s="519">
        <v>38130</v>
      </c>
      <c r="C162" s="519" t="s">
        <v>45</v>
      </c>
      <c r="D162" s="519">
        <v>16</v>
      </c>
      <c r="E162" s="523" t="s">
        <v>202</v>
      </c>
      <c r="F162" s="523"/>
      <c r="G162" s="523"/>
    </row>
    <row r="163" spans="1:7" x14ac:dyDescent="0.2">
      <c r="A163" s="519" t="str">
        <f t="shared" si="2"/>
        <v>INDEC-CM - 38130-15</v>
      </c>
      <c r="B163" s="519">
        <v>38130</v>
      </c>
      <c r="C163" s="519" t="s">
        <v>45</v>
      </c>
      <c r="D163" s="519">
        <v>15</v>
      </c>
      <c r="E163" s="523" t="s">
        <v>203</v>
      </c>
      <c r="F163" s="523"/>
      <c r="G163" s="523"/>
    </row>
    <row r="164" spans="1:7" x14ac:dyDescent="0.2">
      <c r="A164" s="519" t="str">
        <f t="shared" si="2"/>
        <v>INDEC-CM - 38130-14</v>
      </c>
      <c r="B164" s="519">
        <v>38130</v>
      </c>
      <c r="C164" s="519" t="s">
        <v>45</v>
      </c>
      <c r="D164" s="519">
        <v>14</v>
      </c>
      <c r="E164" s="523" t="s">
        <v>204</v>
      </c>
      <c r="F164" s="523"/>
      <c r="G164" s="523"/>
    </row>
    <row r="165" spans="1:7" x14ac:dyDescent="0.2">
      <c r="A165" s="519" t="str">
        <f t="shared" si="2"/>
        <v>INDEC-CM - 35490-11</v>
      </c>
      <c r="B165" s="519">
        <v>35490</v>
      </c>
      <c r="C165" s="519" t="s">
        <v>45</v>
      </c>
      <c r="D165" s="519">
        <v>11</v>
      </c>
      <c r="E165" s="518" t="s">
        <v>205</v>
      </c>
    </row>
    <row r="166" spans="1:7" x14ac:dyDescent="0.2">
      <c r="A166" s="519" t="str">
        <f t="shared" si="2"/>
        <v>INDEC-CM - 41251-11</v>
      </c>
      <c r="B166" s="519">
        <v>41251</v>
      </c>
      <c r="C166" s="519" t="s">
        <v>45</v>
      </c>
      <c r="D166" s="519">
        <v>11</v>
      </c>
      <c r="E166" s="523" t="s">
        <v>206</v>
      </c>
      <c r="F166" s="523"/>
      <c r="G166" s="523"/>
    </row>
    <row r="167" spans="1:7" x14ac:dyDescent="0.2">
      <c r="A167" s="524" t="str">
        <f t="shared" si="2"/>
        <v>INDEC-CM - 41278-21</v>
      </c>
      <c r="B167" s="524">
        <v>41278</v>
      </c>
      <c r="C167" s="524" t="s">
        <v>45</v>
      </c>
      <c r="D167" s="524">
        <v>21</v>
      </c>
      <c r="E167" s="526" t="s">
        <v>207</v>
      </c>
      <c r="F167" s="518" t="s">
        <v>1905</v>
      </c>
    </row>
    <row r="168" spans="1:7" x14ac:dyDescent="0.2">
      <c r="A168" s="519" t="str">
        <f t="shared" si="2"/>
        <v>INDEC-CM - 42911-71</v>
      </c>
      <c r="B168" s="519">
        <v>42911</v>
      </c>
      <c r="C168" s="519" t="s">
        <v>45</v>
      </c>
      <c r="D168" s="519">
        <v>71</v>
      </c>
      <c r="E168" s="523" t="s">
        <v>208</v>
      </c>
      <c r="F168" s="523"/>
      <c r="G168" s="523"/>
    </row>
    <row r="169" spans="1:7" x14ac:dyDescent="0.2">
      <c r="A169" s="519" t="str">
        <f t="shared" si="2"/>
        <v>INDEC-CM - 37210-42</v>
      </c>
      <c r="B169" s="519">
        <v>37210</v>
      </c>
      <c r="C169" s="519" t="s">
        <v>45</v>
      </c>
      <c r="D169" s="519">
        <v>42</v>
      </c>
      <c r="E169" s="523" t="s">
        <v>209</v>
      </c>
      <c r="F169" s="523"/>
      <c r="G169" s="523"/>
    </row>
    <row r="170" spans="1:7" x14ac:dyDescent="0.2">
      <c r="A170" s="519" t="str">
        <f t="shared" si="2"/>
        <v>INDEC-CM - 37210-41</v>
      </c>
      <c r="B170" s="519">
        <v>37210</v>
      </c>
      <c r="C170" s="519" t="s">
        <v>45</v>
      </c>
      <c r="D170" s="519">
        <v>41</v>
      </c>
      <c r="E170" s="523" t="s">
        <v>210</v>
      </c>
      <c r="F170" s="523"/>
      <c r="G170" s="523"/>
    </row>
    <row r="171" spans="1:7" x14ac:dyDescent="0.2">
      <c r="A171" s="519" t="str">
        <f t="shared" si="2"/>
        <v>INDEC-CM - 36930-11</v>
      </c>
      <c r="B171" s="519">
        <v>36930</v>
      </c>
      <c r="C171" s="519" t="s">
        <v>45</v>
      </c>
      <c r="D171" s="519">
        <v>11</v>
      </c>
      <c r="E171" s="518" t="s">
        <v>211</v>
      </c>
    </row>
    <row r="172" spans="1:7" x14ac:dyDescent="0.2">
      <c r="A172" s="519" t="str">
        <f t="shared" si="2"/>
        <v>INDEC-CM - 36950-21</v>
      </c>
      <c r="B172" s="519">
        <v>36950</v>
      </c>
      <c r="C172" s="519" t="s">
        <v>45</v>
      </c>
      <c r="D172" s="519">
        <v>21</v>
      </c>
      <c r="E172" s="518" t="s">
        <v>212</v>
      </c>
    </row>
    <row r="173" spans="1:7" x14ac:dyDescent="0.2">
      <c r="A173" s="519" t="str">
        <f t="shared" si="2"/>
        <v>INDEC-CM - 35110-31</v>
      </c>
      <c r="B173" s="519">
        <v>35110</v>
      </c>
      <c r="C173" s="519" t="s">
        <v>45</v>
      </c>
      <c r="D173" s="519">
        <v>31</v>
      </c>
      <c r="E173" s="518" t="s">
        <v>213</v>
      </c>
    </row>
    <row r="174" spans="1:7" x14ac:dyDescent="0.2">
      <c r="A174" s="519" t="str">
        <f t="shared" si="2"/>
        <v>INDEC-CM - 35110-32</v>
      </c>
      <c r="B174" s="519">
        <v>35110</v>
      </c>
      <c r="C174" s="519" t="s">
        <v>45</v>
      </c>
      <c r="D174" s="519">
        <v>32</v>
      </c>
      <c r="E174" s="518" t="s">
        <v>214</v>
      </c>
    </row>
    <row r="175" spans="1:7" x14ac:dyDescent="0.2">
      <c r="A175" s="519" t="str">
        <f t="shared" si="2"/>
        <v>INDEC-CM - 37940-11</v>
      </c>
      <c r="B175" s="519">
        <v>37940</v>
      </c>
      <c r="C175" s="519" t="s">
        <v>45</v>
      </c>
      <c r="D175" s="519">
        <v>11</v>
      </c>
      <c r="E175" s="518" t="s">
        <v>215</v>
      </c>
    </row>
    <row r="176" spans="1:7" x14ac:dyDescent="0.2">
      <c r="A176" s="519" t="str">
        <f t="shared" si="2"/>
        <v>INDEC-CM - 35110-71</v>
      </c>
      <c r="B176" s="519">
        <v>35110</v>
      </c>
      <c r="C176" s="519" t="s">
        <v>45</v>
      </c>
      <c r="D176" s="519">
        <v>71</v>
      </c>
      <c r="E176" s="518" t="s">
        <v>216</v>
      </c>
    </row>
    <row r="177" spans="1:7" x14ac:dyDescent="0.2">
      <c r="A177" s="519" t="str">
        <f t="shared" si="2"/>
        <v>INDEC-CM - 31210-31</v>
      </c>
      <c r="B177" s="519">
        <v>31210</v>
      </c>
      <c r="C177" s="519" t="s">
        <v>45</v>
      </c>
      <c r="D177" s="519">
        <v>31</v>
      </c>
      <c r="E177" s="518" t="s">
        <v>217</v>
      </c>
    </row>
    <row r="178" spans="1:7" x14ac:dyDescent="0.2">
      <c r="A178" s="519" t="str">
        <f t="shared" si="2"/>
        <v>INDEC-CM - 31210-32</v>
      </c>
      <c r="B178" s="519">
        <v>31210</v>
      </c>
      <c r="C178" s="519" t="s">
        <v>45</v>
      </c>
      <c r="D178" s="519">
        <v>32</v>
      </c>
      <c r="E178" s="518" t="s">
        <v>218</v>
      </c>
    </row>
    <row r="179" spans="1:7" x14ac:dyDescent="0.2">
      <c r="A179" s="519" t="str">
        <f t="shared" si="2"/>
        <v>INDEC-CM - 41541-11</v>
      </c>
      <c r="B179" s="519">
        <v>41541</v>
      </c>
      <c r="C179" s="519" t="s">
        <v>45</v>
      </c>
      <c r="D179" s="519">
        <v>11</v>
      </c>
      <c r="E179" s="518" t="s">
        <v>219</v>
      </c>
    </row>
    <row r="180" spans="1:7" x14ac:dyDescent="0.2">
      <c r="A180" s="519" t="str">
        <f t="shared" si="2"/>
        <v>INDEC-CM - 34720-11</v>
      </c>
      <c r="B180" s="519">
        <v>34720</v>
      </c>
      <c r="C180" s="519" t="s">
        <v>45</v>
      </c>
      <c r="D180" s="519">
        <v>11</v>
      </c>
      <c r="E180" s="523" t="s">
        <v>220</v>
      </c>
      <c r="F180" s="523"/>
      <c r="G180" s="523"/>
    </row>
    <row r="181" spans="1:7" x14ac:dyDescent="0.2">
      <c r="A181" s="519" t="str">
        <f t="shared" si="2"/>
        <v>INDEC-CM - 47220-11</v>
      </c>
      <c r="B181" s="519">
        <v>47220</v>
      </c>
      <c r="C181" s="519" t="s">
        <v>45</v>
      </c>
      <c r="D181" s="519">
        <v>11</v>
      </c>
      <c r="E181" s="523" t="s">
        <v>221</v>
      </c>
      <c r="F181" s="523"/>
      <c r="G181" s="523"/>
    </row>
    <row r="182" spans="1:7" x14ac:dyDescent="0.2">
      <c r="A182" s="519" t="str">
        <f t="shared" si="2"/>
        <v>INDEC-CM - 31600-81</v>
      </c>
      <c r="B182" s="519">
        <v>31600</v>
      </c>
      <c r="C182" s="519" t="s">
        <v>45</v>
      </c>
      <c r="D182" s="519">
        <v>81</v>
      </c>
      <c r="E182" s="518" t="s">
        <v>222</v>
      </c>
    </row>
    <row r="183" spans="1:7" x14ac:dyDescent="0.2">
      <c r="A183" s="519" t="str">
        <f t="shared" si="2"/>
        <v>INDEC-CM - 42120-31</v>
      </c>
      <c r="B183" s="519">
        <v>42120</v>
      </c>
      <c r="C183" s="519" t="s">
        <v>45</v>
      </c>
      <c r="D183" s="519">
        <v>31</v>
      </c>
      <c r="E183" s="518" t="s">
        <v>223</v>
      </c>
    </row>
    <row r="184" spans="1:7" x14ac:dyDescent="0.2">
      <c r="A184" s="519" t="str">
        <f t="shared" si="2"/>
        <v>INDEC-CM - 35490-21</v>
      </c>
      <c r="B184" s="519">
        <v>35490</v>
      </c>
      <c r="C184" s="519" t="s">
        <v>45</v>
      </c>
      <c r="D184" s="519">
        <v>21</v>
      </c>
      <c r="E184" s="523" t="s">
        <v>224</v>
      </c>
      <c r="F184" s="523"/>
      <c r="G184" s="523"/>
    </row>
    <row r="185" spans="1:7" x14ac:dyDescent="0.2">
      <c r="A185" s="519" t="str">
        <f t="shared" si="2"/>
        <v>INDEC-CM - 31600-41</v>
      </c>
      <c r="B185" s="519">
        <v>31600</v>
      </c>
      <c r="C185" s="519" t="s">
        <v>45</v>
      </c>
      <c r="D185" s="519">
        <v>41</v>
      </c>
      <c r="E185" s="523" t="s">
        <v>225</v>
      </c>
      <c r="F185" s="523"/>
      <c r="G185" s="523"/>
    </row>
    <row r="186" spans="1:7" x14ac:dyDescent="0.2">
      <c r="A186" s="519" t="str">
        <f t="shared" si="2"/>
        <v>INDEC-CM - 42120-21</v>
      </c>
      <c r="B186" s="519">
        <v>42120</v>
      </c>
      <c r="C186" s="519" t="s">
        <v>45</v>
      </c>
      <c r="D186" s="519">
        <v>21</v>
      </c>
      <c r="E186" s="523" t="s">
        <v>226</v>
      </c>
      <c r="F186" s="523"/>
      <c r="G186" s="523"/>
    </row>
    <row r="187" spans="1:7" x14ac:dyDescent="0.2">
      <c r="A187" s="519" t="str">
        <f t="shared" si="2"/>
        <v>INDEC-CM - 42120-22</v>
      </c>
      <c r="B187" s="519">
        <v>42120</v>
      </c>
      <c r="C187" s="519" t="s">
        <v>45</v>
      </c>
      <c r="D187" s="519">
        <v>22</v>
      </c>
      <c r="E187" s="523" t="s">
        <v>227</v>
      </c>
      <c r="F187" s="523"/>
      <c r="G187" s="523"/>
    </row>
    <row r="188" spans="1:7" x14ac:dyDescent="0.2">
      <c r="A188" s="519" t="str">
        <f t="shared" si="2"/>
        <v>INDEC-CM - 31600-33</v>
      </c>
      <c r="B188" s="519">
        <v>31600</v>
      </c>
      <c r="C188" s="519" t="s">
        <v>45</v>
      </c>
      <c r="D188" s="519">
        <v>33</v>
      </c>
      <c r="E188" s="518" t="s">
        <v>228</v>
      </c>
    </row>
    <row r="189" spans="1:7" x14ac:dyDescent="0.2">
      <c r="A189" s="519" t="str">
        <f t="shared" si="2"/>
        <v>INDEC-CM - 31600-32</v>
      </c>
      <c r="B189" s="519">
        <v>31600</v>
      </c>
      <c r="C189" s="519" t="s">
        <v>45</v>
      </c>
      <c r="D189" s="519">
        <v>32</v>
      </c>
      <c r="E189" s="518" t="s">
        <v>229</v>
      </c>
    </row>
    <row r="190" spans="1:7" x14ac:dyDescent="0.2">
      <c r="A190" s="519" t="str">
        <f t="shared" si="2"/>
        <v>INDEC-CM - 31600-31</v>
      </c>
      <c r="B190" s="519">
        <v>31600</v>
      </c>
      <c r="C190" s="519" t="s">
        <v>45</v>
      </c>
      <c r="D190" s="519">
        <v>31</v>
      </c>
      <c r="E190" s="518" t="s">
        <v>230</v>
      </c>
    </row>
    <row r="191" spans="1:7" x14ac:dyDescent="0.2">
      <c r="A191" s="519" t="str">
        <f t="shared" si="2"/>
        <v>INDEC-CM - 42120-11</v>
      </c>
      <c r="B191" s="519">
        <v>42120</v>
      </c>
      <c r="C191" s="519" t="s">
        <v>45</v>
      </c>
      <c r="D191" s="519">
        <v>11</v>
      </c>
      <c r="E191" s="518" t="s">
        <v>231</v>
      </c>
    </row>
    <row r="192" spans="1:7" x14ac:dyDescent="0.2">
      <c r="A192" s="519" t="str">
        <f t="shared" si="2"/>
        <v>INDEC-CM - 31600-23</v>
      </c>
      <c r="B192" s="519">
        <v>31600</v>
      </c>
      <c r="C192" s="519" t="s">
        <v>45</v>
      </c>
      <c r="D192" s="519">
        <v>23</v>
      </c>
      <c r="E192" s="518" t="s">
        <v>232</v>
      </c>
    </row>
    <row r="193" spans="1:7" x14ac:dyDescent="0.2">
      <c r="A193" s="519" t="str">
        <f t="shared" si="2"/>
        <v>INDEC-CM - 31600-22</v>
      </c>
      <c r="B193" s="519">
        <v>31600</v>
      </c>
      <c r="C193" s="519" t="s">
        <v>45</v>
      </c>
      <c r="D193" s="519">
        <v>22</v>
      </c>
      <c r="E193" s="518" t="s">
        <v>233</v>
      </c>
    </row>
    <row r="194" spans="1:7" x14ac:dyDescent="0.2">
      <c r="A194" s="519" t="str">
        <f t="shared" si="2"/>
        <v>INDEC-CM - 31600-21</v>
      </c>
      <c r="B194" s="519">
        <v>31600</v>
      </c>
      <c r="C194" s="519" t="s">
        <v>45</v>
      </c>
      <c r="D194" s="519">
        <v>21</v>
      </c>
      <c r="E194" s="518" t="s">
        <v>234</v>
      </c>
    </row>
    <row r="195" spans="1:7" x14ac:dyDescent="0.2">
      <c r="A195" s="519" t="str">
        <f t="shared" si="2"/>
        <v>INDEC-CM - 41278-33</v>
      </c>
      <c r="B195" s="519">
        <v>41278</v>
      </c>
      <c r="C195" s="519" t="s">
        <v>45</v>
      </c>
      <c r="D195" s="519">
        <v>33</v>
      </c>
      <c r="E195" s="523" t="s">
        <v>235</v>
      </c>
      <c r="F195" s="523"/>
      <c r="G195" s="523"/>
    </row>
    <row r="196" spans="1:7" x14ac:dyDescent="0.2">
      <c r="A196" s="519" t="str">
        <f t="shared" si="2"/>
        <v>INDEC-CM - 36320-33</v>
      </c>
      <c r="B196" s="519">
        <v>36320</v>
      </c>
      <c r="C196" s="519" t="s">
        <v>45</v>
      </c>
      <c r="D196" s="519">
        <v>33</v>
      </c>
      <c r="E196" s="518" t="s">
        <v>236</v>
      </c>
    </row>
    <row r="197" spans="1:7" x14ac:dyDescent="0.2">
      <c r="A197" s="519" t="str">
        <f t="shared" si="2"/>
        <v>INDEC-CM - 48270-11</v>
      </c>
      <c r="B197" s="519">
        <v>48270</v>
      </c>
      <c r="C197" s="519" t="s">
        <v>45</v>
      </c>
      <c r="D197" s="519">
        <v>11</v>
      </c>
      <c r="E197" s="523" t="s">
        <v>237</v>
      </c>
      <c r="F197" s="523"/>
      <c r="G197" s="523"/>
    </row>
    <row r="198" spans="1:7" x14ac:dyDescent="0.2">
      <c r="A198" s="519" t="str">
        <f t="shared" ref="A198:A220" si="3">CONCATENATE("INDEC-CM - ",B198,C198,D198)</f>
        <v>INDEC-CM - 42190-11</v>
      </c>
      <c r="B198" s="519">
        <v>42190</v>
      </c>
      <c r="C198" s="519" t="s">
        <v>45</v>
      </c>
      <c r="D198" s="519">
        <v>11</v>
      </c>
      <c r="E198" s="518" t="s">
        <v>238</v>
      </c>
    </row>
    <row r="199" spans="1:7" x14ac:dyDescent="0.2">
      <c r="A199" s="519" t="str">
        <f t="shared" si="3"/>
        <v>INDEC-CM - 43923-31</v>
      </c>
      <c r="B199" s="519">
        <v>43923</v>
      </c>
      <c r="C199" s="519" t="s">
        <v>45</v>
      </c>
      <c r="D199" s="519">
        <v>31</v>
      </c>
      <c r="E199" s="523" t="s">
        <v>239</v>
      </c>
      <c r="F199" s="523"/>
      <c r="G199" s="523"/>
    </row>
    <row r="200" spans="1:7" x14ac:dyDescent="0.2">
      <c r="A200" s="519" t="str">
        <f t="shared" si="3"/>
        <v>INDEC-CM - 31210-11</v>
      </c>
      <c r="B200" s="519">
        <v>31210</v>
      </c>
      <c r="C200" s="519" t="s">
        <v>45</v>
      </c>
      <c r="D200" s="519">
        <v>11</v>
      </c>
      <c r="E200" s="523" t="s">
        <v>240</v>
      </c>
      <c r="F200" s="523"/>
      <c r="G200" s="523"/>
    </row>
    <row r="201" spans="1:7" x14ac:dyDescent="0.2">
      <c r="A201" s="519" t="str">
        <f t="shared" si="3"/>
        <v>INDEC-CM - 37129-21</v>
      </c>
      <c r="B201" s="519">
        <v>37129</v>
      </c>
      <c r="C201" s="519" t="s">
        <v>45</v>
      </c>
      <c r="D201" s="519">
        <v>21</v>
      </c>
      <c r="E201" s="518" t="s">
        <v>241</v>
      </c>
    </row>
    <row r="202" spans="1:7" x14ac:dyDescent="0.2">
      <c r="A202" s="519" t="str">
        <f t="shared" si="3"/>
        <v>INDEC-CM - 37560-21</v>
      </c>
      <c r="B202" s="519">
        <v>37560</v>
      </c>
      <c r="C202" s="519" t="s">
        <v>45</v>
      </c>
      <c r="D202" s="519">
        <v>21</v>
      </c>
      <c r="E202" s="523" t="s">
        <v>242</v>
      </c>
      <c r="F202" s="523"/>
      <c r="G202" s="523"/>
    </row>
    <row r="203" spans="1:7" x14ac:dyDescent="0.2">
      <c r="A203" s="519" t="str">
        <f t="shared" si="3"/>
        <v>INDEC-CM - 42999-71</v>
      </c>
      <c r="B203" s="519">
        <v>42999</v>
      </c>
      <c r="C203" s="519" t="s">
        <v>45</v>
      </c>
      <c r="D203" s="519">
        <v>71</v>
      </c>
      <c r="E203" s="518" t="s">
        <v>243</v>
      </c>
    </row>
    <row r="204" spans="1:7" x14ac:dyDescent="0.2">
      <c r="A204" s="519" t="str">
        <f t="shared" si="3"/>
        <v>INDEC-CM - 41516-22</v>
      </c>
      <c r="B204" s="519">
        <v>41516</v>
      </c>
      <c r="C204" s="519" t="s">
        <v>45</v>
      </c>
      <c r="D204" s="519">
        <v>22</v>
      </c>
      <c r="E204" s="518" t="s">
        <v>244</v>
      </c>
    </row>
    <row r="205" spans="1:7" x14ac:dyDescent="0.2">
      <c r="A205" s="519" t="str">
        <f t="shared" si="3"/>
        <v>INDEC-CM - 37350-51</v>
      </c>
      <c r="B205" s="519">
        <v>37350</v>
      </c>
      <c r="C205" s="519" t="s">
        <v>45</v>
      </c>
      <c r="D205" s="519">
        <v>51</v>
      </c>
      <c r="E205" s="518" t="s">
        <v>245</v>
      </c>
    </row>
    <row r="206" spans="1:7" x14ac:dyDescent="0.2">
      <c r="A206" s="519" t="str">
        <f t="shared" si="3"/>
        <v>INDEC-CM - 44826-21</v>
      </c>
      <c r="B206" s="519">
        <v>44826</v>
      </c>
      <c r="C206" s="519" t="s">
        <v>45</v>
      </c>
      <c r="D206" s="519">
        <v>21</v>
      </c>
      <c r="E206" s="518" t="s">
        <v>246</v>
      </c>
    </row>
    <row r="207" spans="1:7" x14ac:dyDescent="0.2">
      <c r="A207" s="519" t="str">
        <f t="shared" si="3"/>
        <v>INDEC-CM - 31210-22</v>
      </c>
      <c r="B207" s="519">
        <v>31210</v>
      </c>
      <c r="C207" s="519" t="s">
        <v>45</v>
      </c>
      <c r="D207" s="519">
        <v>22</v>
      </c>
      <c r="E207" s="518" t="s">
        <v>247</v>
      </c>
    </row>
    <row r="208" spans="1:7" x14ac:dyDescent="0.2">
      <c r="A208" s="519" t="str">
        <f t="shared" si="3"/>
        <v>INDEC-CM - 31100-11</v>
      </c>
      <c r="B208" s="519">
        <v>31100</v>
      </c>
      <c r="C208" s="519" t="s">
        <v>45</v>
      </c>
      <c r="D208" s="519">
        <v>11</v>
      </c>
      <c r="E208" s="518" t="s">
        <v>248</v>
      </c>
    </row>
    <row r="209" spans="1:7" x14ac:dyDescent="0.2">
      <c r="A209" s="519" t="str">
        <f t="shared" si="3"/>
        <v>INDEC-CM - 46212-53</v>
      </c>
      <c r="B209" s="519">
        <v>46212</v>
      </c>
      <c r="C209" s="519" t="s">
        <v>45</v>
      </c>
      <c r="D209" s="519">
        <v>53</v>
      </c>
      <c r="E209" s="518" t="s">
        <v>249</v>
      </c>
    </row>
    <row r="210" spans="1:7" x14ac:dyDescent="0.2">
      <c r="A210" s="519" t="str">
        <f t="shared" si="3"/>
        <v>INDEC-CM - 46212-52</v>
      </c>
      <c r="B210" s="519">
        <v>46212</v>
      </c>
      <c r="C210" s="519" t="s">
        <v>45</v>
      </c>
      <c r="D210" s="519">
        <v>52</v>
      </c>
      <c r="E210" s="523" t="s">
        <v>250</v>
      </c>
      <c r="F210" s="523"/>
      <c r="G210" s="523"/>
    </row>
    <row r="211" spans="1:7" x14ac:dyDescent="0.2">
      <c r="A211" s="519" t="str">
        <f t="shared" si="3"/>
        <v>INDEC-CM - 15400-21</v>
      </c>
      <c r="B211" s="519">
        <v>15400</v>
      </c>
      <c r="C211" s="519" t="s">
        <v>45</v>
      </c>
      <c r="D211" s="519">
        <v>21</v>
      </c>
      <c r="E211" s="518" t="s">
        <v>251</v>
      </c>
    </row>
    <row r="212" spans="1:7" x14ac:dyDescent="0.2">
      <c r="A212" s="519" t="str">
        <f t="shared" si="3"/>
        <v>INDEC-CM - 43240-11</v>
      </c>
      <c r="B212" s="519">
        <v>43240</v>
      </c>
      <c r="C212" s="519" t="s">
        <v>45</v>
      </c>
      <c r="D212" s="519">
        <v>11</v>
      </c>
      <c r="E212" s="518" t="s">
        <v>252</v>
      </c>
    </row>
    <row r="213" spans="1:7" x14ac:dyDescent="0.2">
      <c r="A213" s="519" t="str">
        <f t="shared" si="3"/>
        <v>INDEC-CM - 31600-42</v>
      </c>
      <c r="B213" s="519">
        <v>31600</v>
      </c>
      <c r="C213" s="519" t="s">
        <v>45</v>
      </c>
      <c r="D213" s="519">
        <v>42</v>
      </c>
      <c r="E213" s="523" t="s">
        <v>253</v>
      </c>
      <c r="F213" s="523"/>
      <c r="G213" s="523"/>
    </row>
    <row r="214" spans="1:7" x14ac:dyDescent="0.2">
      <c r="A214" s="524" t="str">
        <f t="shared" si="3"/>
        <v>INDEC-CM - 42120-42</v>
      </c>
      <c r="B214" s="524">
        <v>42120</v>
      </c>
      <c r="C214" s="524" t="s">
        <v>45</v>
      </c>
      <c r="D214" s="524">
        <v>42</v>
      </c>
      <c r="E214" s="526" t="s">
        <v>254</v>
      </c>
      <c r="F214" s="518" t="s">
        <v>1905</v>
      </c>
    </row>
    <row r="215" spans="1:7" x14ac:dyDescent="0.2">
      <c r="A215" s="524" t="str">
        <f t="shared" si="3"/>
        <v>INDEC-CM - 42120-41</v>
      </c>
      <c r="B215" s="524">
        <v>42120</v>
      </c>
      <c r="C215" s="524" t="s">
        <v>45</v>
      </c>
      <c r="D215" s="524">
        <v>41</v>
      </c>
      <c r="E215" s="526" t="s">
        <v>255</v>
      </c>
      <c r="F215" s="518" t="s">
        <v>1905</v>
      </c>
    </row>
    <row r="216" spans="1:7" x14ac:dyDescent="0.2">
      <c r="A216" s="524" t="str">
        <f t="shared" si="3"/>
        <v>INDEC-CM - 42120-51</v>
      </c>
      <c r="B216" s="524">
        <v>42120</v>
      </c>
      <c r="C216" s="524" t="s">
        <v>45</v>
      </c>
      <c r="D216" s="524">
        <v>51</v>
      </c>
      <c r="E216" s="525" t="s">
        <v>256</v>
      </c>
      <c r="F216" s="518" t="s">
        <v>1905</v>
      </c>
    </row>
    <row r="217" spans="1:7" x14ac:dyDescent="0.2">
      <c r="A217" s="519" t="str">
        <f t="shared" si="3"/>
        <v>INDEC-CM - 37550-11</v>
      </c>
      <c r="B217" s="519">
        <v>37550</v>
      </c>
      <c r="C217" s="519" t="s">
        <v>45</v>
      </c>
      <c r="D217" s="519">
        <v>11</v>
      </c>
      <c r="E217" s="518" t="s">
        <v>257</v>
      </c>
    </row>
    <row r="218" spans="1:7" x14ac:dyDescent="0.2">
      <c r="A218" s="519" t="str">
        <f t="shared" si="3"/>
        <v>INDEC-CM - 37410-11</v>
      </c>
      <c r="B218" s="519">
        <v>37410</v>
      </c>
      <c r="C218" s="519" t="s">
        <v>45</v>
      </c>
      <c r="D218" s="519">
        <v>11</v>
      </c>
      <c r="E218" s="518" t="s">
        <v>258</v>
      </c>
    </row>
    <row r="219" spans="1:7" x14ac:dyDescent="0.2">
      <c r="A219" s="519" t="str">
        <f t="shared" si="3"/>
        <v>INDEC-CM - 31210-33</v>
      </c>
      <c r="B219" s="519">
        <v>31210</v>
      </c>
      <c r="C219" s="519" t="s">
        <v>45</v>
      </c>
      <c r="D219" s="519">
        <v>33</v>
      </c>
      <c r="E219" s="518" t="s">
        <v>259</v>
      </c>
    </row>
    <row r="220" spans="1:7" x14ac:dyDescent="0.2">
      <c r="A220" s="519" t="str">
        <f t="shared" si="3"/>
        <v>INDEC-CM - 37540-21</v>
      </c>
      <c r="B220" s="519">
        <v>37540</v>
      </c>
      <c r="C220" s="519" t="s">
        <v>45</v>
      </c>
      <c r="D220" s="519">
        <v>21</v>
      </c>
      <c r="E220" s="518" t="s">
        <v>260</v>
      </c>
    </row>
    <row r="223" spans="1:7" x14ac:dyDescent="0.2">
      <c r="A223" s="17"/>
      <c r="B223" s="517" t="s">
        <v>535</v>
      </c>
      <c r="C223" s="16"/>
      <c r="D223" s="16"/>
      <c r="E223" s="17"/>
    </row>
    <row r="224" spans="1:7" x14ac:dyDescent="0.2">
      <c r="A224" s="17"/>
      <c r="B224" s="527"/>
      <c r="C224" s="16"/>
      <c r="D224" s="16"/>
      <c r="E224" s="17"/>
    </row>
    <row r="225" spans="1:5" x14ac:dyDescent="0.2">
      <c r="A225" s="745" t="s">
        <v>343</v>
      </c>
      <c r="B225" s="745" t="s">
        <v>42</v>
      </c>
      <c r="C225" s="745"/>
      <c r="D225" s="745"/>
      <c r="E225" s="745" t="s">
        <v>43</v>
      </c>
    </row>
    <row r="226" spans="1:5" x14ac:dyDescent="0.2">
      <c r="A226" s="745"/>
      <c r="B226" s="745" t="s">
        <v>44</v>
      </c>
      <c r="C226" s="745"/>
      <c r="D226" s="745"/>
      <c r="E226" s="745"/>
    </row>
    <row r="227" spans="1:5" x14ac:dyDescent="0.2">
      <c r="A227" s="519" t="str">
        <f>CONCATENATE(B227,C227,D227)</f>
        <v/>
      </c>
      <c r="B227" s="528"/>
      <c r="C227" s="16"/>
      <c r="D227" s="16"/>
      <c r="E227" s="17"/>
    </row>
    <row r="228" spans="1:5" x14ac:dyDescent="0.2">
      <c r="A228" s="519" t="str">
        <f>CONCATENATE("INDEC-CM - ",B228,C228,D228)</f>
        <v>INDEC-CM - 37370-0</v>
      </c>
      <c r="B228" s="16">
        <v>37370</v>
      </c>
      <c r="C228" s="16" t="s">
        <v>45</v>
      </c>
      <c r="D228" s="16">
        <v>0</v>
      </c>
      <c r="E228" s="17" t="s">
        <v>536</v>
      </c>
    </row>
    <row r="229" spans="1:5" x14ac:dyDescent="0.2">
      <c r="A229" s="519" t="str">
        <f>CONCATENATE("INDEC-CM - ",B229,C229,D229)</f>
        <v>INDEC-CM - 31600-6</v>
      </c>
      <c r="B229" s="16">
        <v>31600</v>
      </c>
      <c r="C229" s="16" t="s">
        <v>45</v>
      </c>
      <c r="D229" s="16">
        <v>6</v>
      </c>
      <c r="E229" s="17" t="s">
        <v>537</v>
      </c>
    </row>
    <row r="230" spans="1:5" x14ac:dyDescent="0.2">
      <c r="A230" s="519" t="str">
        <f>CONCATENATE("INDEC-CM - ",B230,C230,D230)</f>
        <v>INDEC-CM - 41278-0</v>
      </c>
      <c r="B230" s="16">
        <v>41278</v>
      </c>
      <c r="C230" s="16" t="s">
        <v>45</v>
      </c>
      <c r="D230" s="16">
        <v>0</v>
      </c>
      <c r="E230" s="17" t="s">
        <v>538</v>
      </c>
    </row>
    <row r="231" spans="1:5" x14ac:dyDescent="0.2">
      <c r="A231" s="519" t="str">
        <f>CONCATENATE("INDEC-CM - ",B231,C231,D231)</f>
        <v>INDEC-CM - 31600-7</v>
      </c>
      <c r="B231" s="16">
        <v>31600</v>
      </c>
      <c r="C231" s="16" t="s">
        <v>45</v>
      </c>
      <c r="D231" s="16">
        <v>7</v>
      </c>
      <c r="E231" s="17" t="s">
        <v>539</v>
      </c>
    </row>
    <row r="232" spans="1:5" x14ac:dyDescent="0.2">
      <c r="A232" s="519" t="str">
        <f>CONCATENATE("INDEC-CM - ",B232,C232,D232)</f>
        <v>INDEC-CM - 42120-41/42/51</v>
      </c>
      <c r="B232" s="16">
        <v>42120</v>
      </c>
      <c r="C232" s="16" t="s">
        <v>45</v>
      </c>
      <c r="D232" s="16" t="s">
        <v>540</v>
      </c>
      <c r="E232" s="17" t="s">
        <v>541</v>
      </c>
    </row>
    <row r="235" spans="1:5" x14ac:dyDescent="0.2">
      <c r="A235" s="517"/>
      <c r="B235" s="517" t="s">
        <v>543</v>
      </c>
      <c r="C235" s="517"/>
      <c r="D235" s="517"/>
      <c r="E235" s="517"/>
    </row>
    <row r="236" spans="1:5" x14ac:dyDescent="0.2">
      <c r="A236" s="523"/>
      <c r="D236" s="529"/>
    </row>
    <row r="237" spans="1:5" x14ac:dyDescent="0.2">
      <c r="A237" s="745" t="s">
        <v>343</v>
      </c>
      <c r="B237" s="745" t="s">
        <v>42</v>
      </c>
      <c r="C237" s="745"/>
      <c r="D237" s="745"/>
      <c r="E237" s="745" t="s">
        <v>331</v>
      </c>
    </row>
    <row r="238" spans="1:5" x14ac:dyDescent="0.2">
      <c r="A238" s="745"/>
      <c r="B238" s="745"/>
      <c r="C238" s="745"/>
      <c r="D238" s="745"/>
      <c r="E238" s="745"/>
    </row>
    <row r="239" spans="1:5" x14ac:dyDescent="0.2">
      <c r="E239" s="530" t="s">
        <v>267</v>
      </c>
    </row>
    <row r="240" spans="1:5" x14ac:dyDescent="0.2">
      <c r="E240" s="530"/>
    </row>
    <row r="241" spans="1:5" x14ac:dyDescent="0.2">
      <c r="A241" s="523"/>
      <c r="D241" s="529"/>
      <c r="E241" s="516" t="s">
        <v>332</v>
      </c>
    </row>
    <row r="242" spans="1:5" x14ac:dyDescent="0.2">
      <c r="A242" s="523"/>
      <c r="D242" s="529"/>
      <c r="E242" s="516"/>
    </row>
    <row r="243" spans="1:5" x14ac:dyDescent="0.2">
      <c r="B243" s="529"/>
      <c r="E243" s="516" t="s">
        <v>333</v>
      </c>
    </row>
    <row r="244" spans="1:5" x14ac:dyDescent="0.2">
      <c r="A244" s="519" t="str">
        <f>CONCATENATE("INDEC-MO - ",B244,C244,D244)</f>
        <v>INDEC-MO - 51560-11</v>
      </c>
      <c r="B244" s="519">
        <v>51560</v>
      </c>
      <c r="C244" s="519" t="s">
        <v>45</v>
      </c>
      <c r="D244" s="519">
        <v>11</v>
      </c>
      <c r="E244" s="522" t="s">
        <v>1734</v>
      </c>
    </row>
    <row r="245" spans="1:5" x14ac:dyDescent="0.2">
      <c r="A245" s="519" t="str">
        <f>CONCATENATE("INDEC-MO - ",B245,C245,D245)</f>
        <v>INDEC-MO - 51560-12</v>
      </c>
      <c r="B245" s="519">
        <v>51560</v>
      </c>
      <c r="C245" s="519" t="s">
        <v>45</v>
      </c>
      <c r="D245" s="519">
        <v>12</v>
      </c>
      <c r="E245" s="522" t="s">
        <v>902</v>
      </c>
    </row>
    <row r="246" spans="1:5" x14ac:dyDescent="0.2">
      <c r="A246" s="519" t="str">
        <f>CONCATENATE("INDEC-MO - ",B246,C246,D246)</f>
        <v>INDEC-MO - 51560-13</v>
      </c>
      <c r="B246" s="519">
        <v>51560</v>
      </c>
      <c r="C246" s="519" t="s">
        <v>45</v>
      </c>
      <c r="D246" s="519">
        <v>13</v>
      </c>
      <c r="E246" s="522" t="s">
        <v>989</v>
      </c>
    </row>
    <row r="247" spans="1:5" x14ac:dyDescent="0.2">
      <c r="A247" s="519" t="str">
        <f>CONCATENATE("INDEC-MO - ",B247,C247,D247)</f>
        <v>INDEC-MO - 51560-14</v>
      </c>
      <c r="B247" s="519">
        <v>51560</v>
      </c>
      <c r="C247" s="519" t="s">
        <v>45</v>
      </c>
      <c r="D247" s="519">
        <v>14</v>
      </c>
      <c r="E247" s="522" t="s">
        <v>717</v>
      </c>
    </row>
    <row r="248" spans="1:5" x14ac:dyDescent="0.2">
      <c r="A248" s="519" t="str">
        <f>CONCATENATE(B248,C248,D248)</f>
        <v/>
      </c>
    </row>
    <row r="249" spans="1:5" x14ac:dyDescent="0.2">
      <c r="A249" s="519" t="str">
        <f>CONCATENATE("INDEC-MO - ",B249,C249,D249)</f>
        <v>INDEC-MO - 51560-32</v>
      </c>
      <c r="B249" s="519">
        <v>51560</v>
      </c>
      <c r="C249" s="519" t="s">
        <v>45</v>
      </c>
      <c r="D249" s="519">
        <v>32</v>
      </c>
      <c r="E249" s="516" t="s">
        <v>334</v>
      </c>
    </row>
    <row r="250" spans="1:5" x14ac:dyDescent="0.2">
      <c r="A250" s="519" t="str">
        <f>CONCATENATE(B250,C250,D250)</f>
        <v/>
      </c>
    </row>
    <row r="251" spans="1:5" x14ac:dyDescent="0.2">
      <c r="A251" s="519" t="str">
        <f>CONCATENATE("INDEC-MO - ",B251,C251,D251)</f>
        <v>INDEC-MO - 81291-1</v>
      </c>
      <c r="B251" s="519">
        <v>81291</v>
      </c>
      <c r="C251" s="519" t="s">
        <v>45</v>
      </c>
      <c r="D251" s="519">
        <v>1</v>
      </c>
      <c r="E251" s="530" t="s">
        <v>335</v>
      </c>
    </row>
    <row r="252" spans="1:5" x14ac:dyDescent="0.2">
      <c r="A252" s="519" t="str">
        <f>CONCATENATE(B252,C252,D252)</f>
        <v/>
      </c>
    </row>
    <row r="253" spans="1:5" x14ac:dyDescent="0.2">
      <c r="A253" s="519" t="str">
        <f>CONCATENATE(B253,C253,D253)</f>
        <v/>
      </c>
      <c r="E253" s="530" t="s">
        <v>336</v>
      </c>
    </row>
    <row r="254" spans="1:5" x14ac:dyDescent="0.2">
      <c r="A254" s="519" t="str">
        <f t="shared" ref="A254:A259" si="4">CONCATENATE("INDEC-MO - ",B254,C254,D254)</f>
        <v>INDEC-MO - 51641-1</v>
      </c>
      <c r="B254" s="519">
        <v>51641</v>
      </c>
      <c r="C254" s="519" t="s">
        <v>45</v>
      </c>
      <c r="D254" s="519">
        <v>1</v>
      </c>
      <c r="E254" s="522" t="s">
        <v>337</v>
      </c>
    </row>
    <row r="255" spans="1:5" x14ac:dyDescent="0.2">
      <c r="A255" s="519" t="str">
        <f t="shared" si="4"/>
        <v>INDEC-MO - 51620-1</v>
      </c>
      <c r="B255" s="519">
        <v>51620</v>
      </c>
      <c r="C255" s="519" t="s">
        <v>45</v>
      </c>
      <c r="D255" s="519">
        <v>1</v>
      </c>
      <c r="E255" s="522" t="s">
        <v>338</v>
      </c>
    </row>
    <row r="256" spans="1:5" x14ac:dyDescent="0.2">
      <c r="A256" s="519" t="str">
        <f t="shared" si="4"/>
        <v>INDEC-MO - 51690-1</v>
      </c>
      <c r="B256" s="519">
        <v>51690</v>
      </c>
      <c r="C256" s="519" t="s">
        <v>45</v>
      </c>
      <c r="D256" s="519">
        <v>1</v>
      </c>
      <c r="E256" s="522" t="s">
        <v>339</v>
      </c>
    </row>
    <row r="257" spans="1:7" x14ac:dyDescent="0.2">
      <c r="A257" s="519" t="str">
        <f t="shared" si="4"/>
        <v>INDEC-MO - 51630-1</v>
      </c>
      <c r="B257" s="519">
        <v>51630</v>
      </c>
      <c r="C257" s="519" t="s">
        <v>45</v>
      </c>
      <c r="D257" s="519">
        <v>1</v>
      </c>
      <c r="E257" s="522" t="s">
        <v>340</v>
      </c>
    </row>
    <row r="258" spans="1:7" x14ac:dyDescent="0.2">
      <c r="A258" s="524" t="str">
        <f t="shared" si="4"/>
        <v>INDEC-MO - 51720-1</v>
      </c>
      <c r="B258" s="524">
        <v>51720</v>
      </c>
      <c r="C258" s="524" t="s">
        <v>45</v>
      </c>
      <c r="D258" s="524">
        <v>1</v>
      </c>
      <c r="E258" s="531" t="s">
        <v>341</v>
      </c>
      <c r="F258" s="518" t="s">
        <v>1905</v>
      </c>
    </row>
    <row r="259" spans="1:7" x14ac:dyDescent="0.2">
      <c r="A259" s="519" t="str">
        <f t="shared" si="4"/>
        <v>INDEC-MO - 51730-1</v>
      </c>
      <c r="B259" s="519">
        <v>51730</v>
      </c>
      <c r="C259" s="519" t="s">
        <v>45</v>
      </c>
      <c r="D259" s="519">
        <v>1</v>
      </c>
      <c r="E259" s="522" t="s">
        <v>342</v>
      </c>
    </row>
    <row r="262" spans="1:7" x14ac:dyDescent="0.2">
      <c r="A262" s="527"/>
      <c r="B262" s="517" t="s">
        <v>544</v>
      </c>
      <c r="C262" s="16"/>
      <c r="D262" s="16"/>
      <c r="E262" s="16"/>
      <c r="F262" s="16"/>
      <c r="G262" s="527"/>
    </row>
    <row r="263" spans="1:7" x14ac:dyDescent="0.2">
      <c r="A263" s="532"/>
      <c r="B263" s="16"/>
      <c r="C263" s="16"/>
      <c r="D263" s="533"/>
      <c r="E263" s="17"/>
      <c r="F263" s="17"/>
      <c r="G263" s="534"/>
    </row>
    <row r="264" spans="1:7" x14ac:dyDescent="0.2">
      <c r="A264" s="745" t="s">
        <v>343</v>
      </c>
      <c r="B264" s="745" t="s">
        <v>42</v>
      </c>
      <c r="C264" s="745"/>
      <c r="D264" s="745"/>
      <c r="E264" s="745" t="s">
        <v>331</v>
      </c>
      <c r="F264" s="535"/>
      <c r="G264" s="535"/>
    </row>
    <row r="265" spans="1:7" x14ac:dyDescent="0.2">
      <c r="A265" s="745"/>
      <c r="B265" s="745"/>
      <c r="C265" s="745"/>
      <c r="D265" s="745"/>
      <c r="E265" s="745"/>
      <c r="F265" s="535"/>
      <c r="G265" s="535"/>
    </row>
    <row r="266" spans="1:7" x14ac:dyDescent="0.2">
      <c r="A266" s="17"/>
      <c r="B266" s="16"/>
      <c r="C266" s="16"/>
      <c r="D266" s="16"/>
      <c r="E266" s="17"/>
      <c r="F266" s="17"/>
      <c r="G266" s="17"/>
    </row>
    <row r="267" spans="1:7" x14ac:dyDescent="0.2">
      <c r="A267" s="519" t="str">
        <f>CONCATENATE("INDEC-MO - ",B267,C267,D267)</f>
        <v>INDEC-MO - 51720-1</v>
      </c>
      <c r="B267" s="519">
        <v>51720</v>
      </c>
      <c r="C267" s="519" t="s">
        <v>45</v>
      </c>
      <c r="D267" s="519">
        <v>1</v>
      </c>
      <c r="E267" s="15" t="s">
        <v>545</v>
      </c>
      <c r="F267" s="17"/>
      <c r="G267" s="17"/>
    </row>
    <row r="268" spans="1:7" x14ac:dyDescent="0.2">
      <c r="A268" s="17"/>
      <c r="B268" s="16"/>
      <c r="C268" s="16"/>
      <c r="D268" s="16"/>
      <c r="E268" s="17"/>
      <c r="F268" s="17"/>
      <c r="G268" s="17"/>
    </row>
    <row r="271" spans="1:7" x14ac:dyDescent="0.2">
      <c r="A271" s="516"/>
      <c r="B271" s="517" t="s">
        <v>344</v>
      </c>
      <c r="C271" s="517"/>
      <c r="D271" s="517"/>
    </row>
    <row r="273" spans="1:6" x14ac:dyDescent="0.2">
      <c r="A273" s="745" t="s">
        <v>343</v>
      </c>
      <c r="B273" s="745" t="s">
        <v>42</v>
      </c>
      <c r="C273" s="745"/>
      <c r="D273" s="745"/>
      <c r="E273" s="745" t="s">
        <v>345</v>
      </c>
    </row>
    <row r="274" spans="1:6" x14ac:dyDescent="0.2">
      <c r="A274" s="745"/>
      <c r="B274" s="745" t="s">
        <v>44</v>
      </c>
      <c r="C274" s="745"/>
      <c r="D274" s="745"/>
      <c r="E274" s="745"/>
    </row>
    <row r="275" spans="1:6" x14ac:dyDescent="0.2">
      <c r="E275" s="521"/>
    </row>
    <row r="276" spans="1:6" x14ac:dyDescent="0.2">
      <c r="A276" s="519" t="str">
        <f t="shared" ref="A276:A283" si="5">CONCATENATE("INDEC-EC - ",B276,C276,D276)</f>
        <v>INDEC-EC - 43520-11</v>
      </c>
      <c r="B276" s="519">
        <v>43520</v>
      </c>
      <c r="C276" s="519" t="s">
        <v>45</v>
      </c>
      <c r="D276" s="519">
        <v>11</v>
      </c>
      <c r="E276" s="522" t="s">
        <v>346</v>
      </c>
    </row>
    <row r="277" spans="1:6" x14ac:dyDescent="0.2">
      <c r="A277" s="519" t="str">
        <f t="shared" si="5"/>
        <v>INDEC-EC - 44440-2</v>
      </c>
      <c r="B277" s="519">
        <v>44440</v>
      </c>
      <c r="C277" s="519" t="s">
        <v>45</v>
      </c>
      <c r="D277" s="519">
        <v>2</v>
      </c>
      <c r="E277" s="522" t="s">
        <v>347</v>
      </c>
    </row>
    <row r="278" spans="1:6" x14ac:dyDescent="0.2">
      <c r="A278" s="519" t="str">
        <f t="shared" si="5"/>
        <v>INDEC-EC - 44221-11</v>
      </c>
      <c r="B278" s="519">
        <v>44221</v>
      </c>
      <c r="C278" s="519" t="s">
        <v>45</v>
      </c>
      <c r="D278" s="519">
        <v>11</v>
      </c>
      <c r="E278" s="522" t="s">
        <v>348</v>
      </c>
    </row>
    <row r="279" spans="1:6" x14ac:dyDescent="0.2">
      <c r="A279" s="519" t="str">
        <f t="shared" si="5"/>
        <v>INDEC-EC - 44221-12</v>
      </c>
      <c r="B279" s="519">
        <v>44221</v>
      </c>
      <c r="C279" s="519" t="s">
        <v>45</v>
      </c>
      <c r="D279" s="519">
        <v>12</v>
      </c>
      <c r="E279" s="522" t="s">
        <v>349</v>
      </c>
    </row>
    <row r="280" spans="1:6" x14ac:dyDescent="0.2">
      <c r="A280" s="519" t="str">
        <f t="shared" si="5"/>
        <v>INDEC-EC - 43520-21</v>
      </c>
      <c r="B280" s="519">
        <v>43520</v>
      </c>
      <c r="C280" s="519" t="s">
        <v>45</v>
      </c>
      <c r="D280" s="519">
        <v>21</v>
      </c>
      <c r="E280" s="522" t="s">
        <v>350</v>
      </c>
    </row>
    <row r="281" spans="1:6" x14ac:dyDescent="0.2">
      <c r="A281" s="519" t="str">
        <f t="shared" si="5"/>
        <v>INDEC-EC - 44231-21</v>
      </c>
      <c r="B281" s="519">
        <v>44231</v>
      </c>
      <c r="C281" s="519" t="s">
        <v>45</v>
      </c>
      <c r="D281" s="519">
        <v>21</v>
      </c>
      <c r="E281" s="522" t="s">
        <v>351</v>
      </c>
    </row>
    <row r="282" spans="1:6" x14ac:dyDescent="0.2">
      <c r="A282" s="524" t="str">
        <f t="shared" si="5"/>
        <v>INDEC-EC - 44440-11</v>
      </c>
      <c r="B282" s="524">
        <v>44440</v>
      </c>
      <c r="C282" s="524" t="s">
        <v>45</v>
      </c>
      <c r="D282" s="524">
        <v>11</v>
      </c>
      <c r="E282" s="531" t="s">
        <v>352</v>
      </c>
      <c r="F282" s="518" t="s">
        <v>1905</v>
      </c>
    </row>
    <row r="283" spans="1:6" x14ac:dyDescent="0.2">
      <c r="A283" s="519" t="str">
        <f t="shared" si="5"/>
        <v>INDEC-EC - 44231-11</v>
      </c>
      <c r="B283" s="519">
        <v>44231</v>
      </c>
      <c r="C283" s="519" t="s">
        <v>45</v>
      </c>
      <c r="D283" s="519">
        <v>11</v>
      </c>
      <c r="E283" s="522" t="s">
        <v>353</v>
      </c>
    </row>
    <row r="286" spans="1:6" x14ac:dyDescent="0.2">
      <c r="A286" s="516"/>
      <c r="B286" s="517" t="s">
        <v>354</v>
      </c>
      <c r="C286" s="517"/>
      <c r="D286" s="517"/>
    </row>
    <row r="288" spans="1:6" x14ac:dyDescent="0.2">
      <c r="A288" s="745" t="s">
        <v>343</v>
      </c>
      <c r="B288" s="745" t="s">
        <v>42</v>
      </c>
      <c r="C288" s="745"/>
      <c r="D288" s="745"/>
      <c r="E288" s="745" t="s">
        <v>355</v>
      </c>
    </row>
    <row r="289" spans="1:7" x14ac:dyDescent="0.2">
      <c r="A289" s="745"/>
      <c r="B289" s="745" t="s">
        <v>44</v>
      </c>
      <c r="C289" s="745"/>
      <c r="D289" s="745"/>
      <c r="E289" s="745"/>
    </row>
    <row r="290" spans="1:7" x14ac:dyDescent="0.2">
      <c r="E290" s="521"/>
    </row>
    <row r="291" spans="1:7" x14ac:dyDescent="0.2">
      <c r="A291" s="519" t="str">
        <f t="shared" ref="A291:A298" si="6">CONCATENATE("INDEC-SA - ",B291,C291,D291)</f>
        <v>INDEC-SA - 83107-1</v>
      </c>
      <c r="B291" s="519">
        <v>83107</v>
      </c>
      <c r="C291" s="519" t="s">
        <v>45</v>
      </c>
      <c r="D291" s="519">
        <v>1</v>
      </c>
      <c r="E291" s="518" t="s">
        <v>356</v>
      </c>
    </row>
    <row r="292" spans="1:7" x14ac:dyDescent="0.2">
      <c r="A292" s="519" t="str">
        <f t="shared" si="6"/>
        <v>INDEC-SA - 71240-21</v>
      </c>
      <c r="B292" s="519">
        <v>71240</v>
      </c>
      <c r="C292" s="519" t="s">
        <v>45</v>
      </c>
      <c r="D292" s="519">
        <v>21</v>
      </c>
      <c r="E292" s="518" t="s">
        <v>357</v>
      </c>
    </row>
    <row r="293" spans="1:7" x14ac:dyDescent="0.2">
      <c r="A293" s="519" t="str">
        <f t="shared" si="6"/>
        <v>INDEC-SA - 71240-31</v>
      </c>
      <c r="B293" s="519">
        <v>71240</v>
      </c>
      <c r="C293" s="519" t="s">
        <v>45</v>
      </c>
      <c r="D293" s="519">
        <v>31</v>
      </c>
      <c r="E293" s="518" t="s">
        <v>358</v>
      </c>
    </row>
    <row r="294" spans="1:7" x14ac:dyDescent="0.2">
      <c r="A294" s="651" t="str">
        <f t="shared" si="6"/>
        <v>INDEC-SA - 71240-11</v>
      </c>
      <c r="B294" s="651">
        <v>71240</v>
      </c>
      <c r="C294" s="651" t="s">
        <v>45</v>
      </c>
      <c r="D294" s="651">
        <v>11</v>
      </c>
      <c r="E294" s="654" t="s">
        <v>359</v>
      </c>
    </row>
    <row r="295" spans="1:7" x14ac:dyDescent="0.2">
      <c r="A295" s="519" t="str">
        <f t="shared" si="6"/>
        <v>INDEC-SA - 74110-11</v>
      </c>
      <c r="B295" s="519">
        <v>74110</v>
      </c>
      <c r="C295" s="519" t="s">
        <v>45</v>
      </c>
      <c r="D295" s="519">
        <v>11</v>
      </c>
      <c r="E295" s="518" t="s">
        <v>360</v>
      </c>
    </row>
    <row r="296" spans="1:7" x14ac:dyDescent="0.2">
      <c r="A296" s="519" t="str">
        <f t="shared" si="6"/>
        <v>INDEC-SA - 71233-11</v>
      </c>
      <c r="B296" s="519">
        <v>71233</v>
      </c>
      <c r="C296" s="519" t="s">
        <v>45</v>
      </c>
      <c r="D296" s="519">
        <v>11</v>
      </c>
      <c r="E296" s="518" t="s">
        <v>361</v>
      </c>
    </row>
    <row r="297" spans="1:7" x14ac:dyDescent="0.2">
      <c r="A297" s="519" t="str">
        <f t="shared" si="6"/>
        <v>INDEC-SA - 51800-11</v>
      </c>
      <c r="B297" s="519">
        <v>51800</v>
      </c>
      <c r="C297" s="519" t="s">
        <v>45</v>
      </c>
      <c r="D297" s="519">
        <v>11</v>
      </c>
      <c r="E297" s="536" t="s">
        <v>362</v>
      </c>
    </row>
    <row r="298" spans="1:7" x14ac:dyDescent="0.2">
      <c r="A298" s="519" t="str">
        <f t="shared" si="6"/>
        <v>INDEC-SA - 51800-21</v>
      </c>
      <c r="B298" s="519">
        <v>51800</v>
      </c>
      <c r="C298" s="519" t="s">
        <v>45</v>
      </c>
      <c r="D298" s="519">
        <v>21</v>
      </c>
      <c r="E298" s="518" t="s">
        <v>363</v>
      </c>
    </row>
    <row r="301" spans="1:7" x14ac:dyDescent="0.2">
      <c r="A301" s="537"/>
      <c r="B301" s="517" t="s">
        <v>503</v>
      </c>
      <c r="C301" s="538"/>
      <c r="D301" s="538"/>
      <c r="E301" s="537"/>
      <c r="F301" s="537"/>
      <c r="G301" s="537"/>
    </row>
    <row r="303" spans="1:7" x14ac:dyDescent="0.2">
      <c r="A303" s="745" t="s">
        <v>343</v>
      </c>
      <c r="B303" s="745" t="s">
        <v>42</v>
      </c>
      <c r="C303" s="745"/>
      <c r="D303" s="745"/>
      <c r="E303" s="745" t="s">
        <v>43</v>
      </c>
    </row>
    <row r="304" spans="1:7" x14ac:dyDescent="0.2">
      <c r="A304" s="745"/>
      <c r="B304" s="745" t="s">
        <v>44</v>
      </c>
      <c r="C304" s="745"/>
      <c r="D304" s="745"/>
      <c r="E304" s="745"/>
    </row>
    <row r="305" spans="1:6" x14ac:dyDescent="0.2">
      <c r="A305" s="521"/>
      <c r="B305" s="521"/>
      <c r="C305" s="521"/>
      <c r="D305" s="521"/>
      <c r="E305" s="521"/>
    </row>
    <row r="306" spans="1:6" x14ac:dyDescent="0.2">
      <c r="A306" s="519" t="str">
        <f t="shared" ref="A306:A369" si="7">CONCATENATE("INDEC-PB - ",B306,C306,D306)</f>
        <v>INDEC-PB - 42120-1</v>
      </c>
      <c r="B306" s="519">
        <v>42120</v>
      </c>
      <c r="C306" s="519" t="s">
        <v>45</v>
      </c>
      <c r="D306" s="519">
        <v>1</v>
      </c>
      <c r="E306" s="539" t="s">
        <v>364</v>
      </c>
    </row>
    <row r="307" spans="1:6" x14ac:dyDescent="0.2">
      <c r="A307" s="519" t="str">
        <f t="shared" si="7"/>
        <v>INDEC-PB - 42120-2</v>
      </c>
      <c r="B307" s="519">
        <v>42120</v>
      </c>
      <c r="C307" s="519" t="s">
        <v>45</v>
      </c>
      <c r="D307" s="519">
        <v>2</v>
      </c>
      <c r="E307" s="539" t="s">
        <v>365</v>
      </c>
    </row>
    <row r="308" spans="1:6" x14ac:dyDescent="0.2">
      <c r="A308" s="519" t="str">
        <f t="shared" si="7"/>
        <v>INDEC-PB - 37910-1</v>
      </c>
      <c r="B308" s="519">
        <v>37910</v>
      </c>
      <c r="C308" s="519" t="s">
        <v>45</v>
      </c>
      <c r="D308" s="519">
        <v>1</v>
      </c>
      <c r="E308" s="539" t="s">
        <v>366</v>
      </c>
    </row>
    <row r="309" spans="1:6" x14ac:dyDescent="0.2">
      <c r="A309" s="519" t="str">
        <f t="shared" si="7"/>
        <v>INDEC-PB - 42921-4</v>
      </c>
      <c r="B309" s="519">
        <v>42921</v>
      </c>
      <c r="C309" s="519" t="s">
        <v>45</v>
      </c>
      <c r="D309" s="519">
        <v>4</v>
      </c>
      <c r="E309" s="539" t="s">
        <v>367</v>
      </c>
    </row>
    <row r="310" spans="1:6" x14ac:dyDescent="0.2">
      <c r="A310" s="519" t="str">
        <f t="shared" si="7"/>
        <v>INDEC-PB - 44251-1</v>
      </c>
      <c r="B310" s="519">
        <v>44251</v>
      </c>
      <c r="C310" s="519" t="s">
        <v>45</v>
      </c>
      <c r="D310" s="519">
        <v>1</v>
      </c>
      <c r="E310" s="539" t="s">
        <v>368</v>
      </c>
    </row>
    <row r="311" spans="1:6" x14ac:dyDescent="0.2">
      <c r="A311" s="519" t="str">
        <f t="shared" si="7"/>
        <v>INDEC-PB - 42922-1</v>
      </c>
      <c r="B311" s="519">
        <v>42922</v>
      </c>
      <c r="C311" s="519" t="s">
        <v>45</v>
      </c>
      <c r="D311" s="519">
        <v>1</v>
      </c>
      <c r="E311" s="539" t="s">
        <v>369</v>
      </c>
    </row>
    <row r="312" spans="1:6" x14ac:dyDescent="0.2">
      <c r="A312" s="519" t="str">
        <f t="shared" si="7"/>
        <v>INDEC-PB - 33380-1</v>
      </c>
      <c r="B312" s="519">
        <v>33380</v>
      </c>
      <c r="C312" s="519" t="s">
        <v>45</v>
      </c>
      <c r="D312" s="519">
        <v>1</v>
      </c>
      <c r="E312" s="539" t="s">
        <v>370</v>
      </c>
    </row>
    <row r="313" spans="1:6" x14ac:dyDescent="0.2">
      <c r="A313" s="519" t="str">
        <f t="shared" si="7"/>
        <v>INDEC-PB - 49229-1</v>
      </c>
      <c r="B313" s="519">
        <v>49229</v>
      </c>
      <c r="C313" s="519" t="s">
        <v>45</v>
      </c>
      <c r="D313" s="519">
        <v>1</v>
      </c>
      <c r="E313" s="539" t="s">
        <v>371</v>
      </c>
    </row>
    <row r="314" spans="1:6" x14ac:dyDescent="0.2">
      <c r="A314" s="519" t="str">
        <f t="shared" si="7"/>
        <v>INDEC-PB - 46420-1</v>
      </c>
      <c r="B314" s="519">
        <v>46420</v>
      </c>
      <c r="C314" s="519" t="s">
        <v>45</v>
      </c>
      <c r="D314" s="519">
        <v>1</v>
      </c>
      <c r="E314" s="539" t="s">
        <v>372</v>
      </c>
    </row>
    <row r="315" spans="1:6" x14ac:dyDescent="0.2">
      <c r="A315" s="519" t="str">
        <f t="shared" si="7"/>
        <v>INDEC-PB - 41263-1</v>
      </c>
      <c r="B315" s="519">
        <v>41263</v>
      </c>
      <c r="C315" s="519" t="s">
        <v>45</v>
      </c>
      <c r="D315" s="519">
        <v>1</v>
      </c>
      <c r="E315" s="539" t="s">
        <v>373</v>
      </c>
    </row>
    <row r="316" spans="1:6" x14ac:dyDescent="0.2">
      <c r="A316" s="524" t="str">
        <f t="shared" si="7"/>
        <v>INDEC-PB - 41241-1</v>
      </c>
      <c r="B316" s="524">
        <v>41241</v>
      </c>
      <c r="C316" s="524" t="s">
        <v>45</v>
      </c>
      <c r="D316" s="524">
        <v>1</v>
      </c>
      <c r="E316" s="540" t="s">
        <v>374</v>
      </c>
      <c r="F316" s="518" t="s">
        <v>1905</v>
      </c>
    </row>
    <row r="317" spans="1:6" x14ac:dyDescent="0.2">
      <c r="A317" s="519" t="str">
        <f t="shared" si="7"/>
        <v>INDEC-PB - 44216-1</v>
      </c>
      <c r="B317" s="519">
        <v>44216</v>
      </c>
      <c r="C317" s="519" t="s">
        <v>45</v>
      </c>
      <c r="D317" s="519">
        <v>1</v>
      </c>
      <c r="E317" s="539" t="s">
        <v>375</v>
      </c>
    </row>
    <row r="318" spans="1:6" x14ac:dyDescent="0.2">
      <c r="A318" s="519" t="str">
        <f t="shared" si="7"/>
        <v>INDEC-PB - 15400-1</v>
      </c>
      <c r="B318" s="519">
        <v>15400</v>
      </c>
      <c r="C318" s="519" t="s">
        <v>45</v>
      </c>
      <c r="D318" s="519">
        <v>1</v>
      </c>
      <c r="E318" s="539" t="s">
        <v>376</v>
      </c>
    </row>
    <row r="319" spans="1:6" x14ac:dyDescent="0.2">
      <c r="A319" s="519" t="str">
        <f t="shared" si="7"/>
        <v>INDEC-PB - 15310-1</v>
      </c>
      <c r="B319" s="519">
        <v>15310</v>
      </c>
      <c r="C319" s="519" t="s">
        <v>45</v>
      </c>
      <c r="D319" s="519">
        <v>1</v>
      </c>
      <c r="E319" s="539" t="s">
        <v>377</v>
      </c>
    </row>
    <row r="320" spans="1:6" x14ac:dyDescent="0.2">
      <c r="A320" s="524" t="str">
        <f t="shared" si="7"/>
        <v>INDEC-PB - 37210-1</v>
      </c>
      <c r="B320" s="524">
        <v>37210</v>
      </c>
      <c r="C320" s="524" t="s">
        <v>45</v>
      </c>
      <c r="D320" s="524">
        <v>1</v>
      </c>
      <c r="E320" s="540" t="s">
        <v>378</v>
      </c>
      <c r="F320" s="518" t="s">
        <v>1905</v>
      </c>
    </row>
    <row r="321" spans="1:6" x14ac:dyDescent="0.2">
      <c r="A321" s="524" t="str">
        <f t="shared" si="7"/>
        <v>INDEC-PB - 37540-2</v>
      </c>
      <c r="B321" s="524">
        <v>37540</v>
      </c>
      <c r="C321" s="524" t="s">
        <v>45</v>
      </c>
      <c r="D321" s="524">
        <v>2</v>
      </c>
      <c r="E321" s="540" t="s">
        <v>379</v>
      </c>
      <c r="F321" s="518" t="s">
        <v>1905</v>
      </c>
    </row>
    <row r="322" spans="1:6" x14ac:dyDescent="0.2">
      <c r="A322" s="519" t="str">
        <f t="shared" si="7"/>
        <v>INDEC-PB - 49113-1</v>
      </c>
      <c r="B322" s="519">
        <v>49113</v>
      </c>
      <c r="C322" s="519" t="s">
        <v>45</v>
      </c>
      <c r="D322" s="519">
        <v>1</v>
      </c>
      <c r="E322" s="539" t="s">
        <v>380</v>
      </c>
    </row>
    <row r="323" spans="1:6" x14ac:dyDescent="0.2">
      <c r="A323" s="519" t="str">
        <f t="shared" si="7"/>
        <v>INDEC-PB - 36270-1</v>
      </c>
      <c r="B323" s="519">
        <v>36270</v>
      </c>
      <c r="C323" s="519" t="s">
        <v>45</v>
      </c>
      <c r="D323" s="519">
        <v>1</v>
      </c>
      <c r="E323" s="539" t="s">
        <v>381</v>
      </c>
    </row>
    <row r="324" spans="1:6" x14ac:dyDescent="0.2">
      <c r="A324" s="519" t="str">
        <f t="shared" si="7"/>
        <v>INDEC-PB - 46539-1</v>
      </c>
      <c r="B324" s="519">
        <v>46539</v>
      </c>
      <c r="C324" s="519" t="s">
        <v>45</v>
      </c>
      <c r="D324" s="519">
        <v>1</v>
      </c>
      <c r="E324" s="539" t="s">
        <v>382</v>
      </c>
    </row>
    <row r="325" spans="1:6" x14ac:dyDescent="0.2">
      <c r="A325" s="519" t="str">
        <f t="shared" si="7"/>
        <v>INDEC-PB - 37370-1</v>
      </c>
      <c r="B325" s="519">
        <v>37370</v>
      </c>
      <c r="C325" s="519" t="s">
        <v>45</v>
      </c>
      <c r="D325" s="519">
        <v>1</v>
      </c>
      <c r="E325" s="539" t="s">
        <v>383</v>
      </c>
    </row>
    <row r="326" spans="1:6" x14ac:dyDescent="0.2">
      <c r="A326" s="519" t="str">
        <f t="shared" si="7"/>
        <v>INDEC-PB - 35110-4</v>
      </c>
      <c r="B326" s="519">
        <v>35110</v>
      </c>
      <c r="C326" s="519" t="s">
        <v>45</v>
      </c>
      <c r="D326" s="519">
        <v>4</v>
      </c>
      <c r="E326" s="539" t="s">
        <v>384</v>
      </c>
    </row>
    <row r="327" spans="1:6" x14ac:dyDescent="0.2">
      <c r="A327" s="519" t="str">
        <f t="shared" si="7"/>
        <v>INDEC-PB - 41261-1</v>
      </c>
      <c r="B327" s="519">
        <v>41261</v>
      </c>
      <c r="C327" s="519" t="s">
        <v>45</v>
      </c>
      <c r="D327" s="519">
        <v>1</v>
      </c>
      <c r="E327" s="539" t="s">
        <v>385</v>
      </c>
    </row>
    <row r="328" spans="1:6" x14ac:dyDescent="0.2">
      <c r="A328" s="519" t="str">
        <f t="shared" si="7"/>
        <v>INDEC-PB - 36490-6</v>
      </c>
      <c r="B328" s="519">
        <v>36490</v>
      </c>
      <c r="C328" s="519" t="s">
        <v>45</v>
      </c>
      <c r="D328" s="519">
        <v>6</v>
      </c>
      <c r="E328" s="539" t="s">
        <v>386</v>
      </c>
    </row>
    <row r="329" spans="1:6" x14ac:dyDescent="0.2">
      <c r="A329" s="519" t="str">
        <f t="shared" si="7"/>
        <v>INDEC-PB - 42944-1</v>
      </c>
      <c r="B329" s="519">
        <v>42944</v>
      </c>
      <c r="C329" s="519" t="s">
        <v>45</v>
      </c>
      <c r="D329" s="519">
        <v>1</v>
      </c>
      <c r="E329" s="539" t="s">
        <v>387</v>
      </c>
    </row>
    <row r="330" spans="1:6" x14ac:dyDescent="0.2">
      <c r="A330" s="519" t="str">
        <f t="shared" si="7"/>
        <v>INDEC-PB - 42320-1</v>
      </c>
      <c r="B330" s="519">
        <v>42320</v>
      </c>
      <c r="C330" s="519" t="s">
        <v>45</v>
      </c>
      <c r="D330" s="519">
        <v>1</v>
      </c>
      <c r="E330" s="539" t="s">
        <v>388</v>
      </c>
    </row>
    <row r="331" spans="1:6" x14ac:dyDescent="0.2">
      <c r="A331" s="519" t="str">
        <f t="shared" si="7"/>
        <v>INDEC-PB - 37420-1</v>
      </c>
      <c r="B331" s="519">
        <v>37420</v>
      </c>
      <c r="C331" s="519" t="s">
        <v>45</v>
      </c>
      <c r="D331" s="519">
        <v>1</v>
      </c>
      <c r="E331" s="539" t="s">
        <v>389</v>
      </c>
    </row>
    <row r="332" spans="1:6" x14ac:dyDescent="0.2">
      <c r="A332" s="524" t="str">
        <f t="shared" si="7"/>
        <v>INDEC-PB - 49115-2</v>
      </c>
      <c r="B332" s="524">
        <v>49115</v>
      </c>
      <c r="C332" s="524" t="s">
        <v>45</v>
      </c>
      <c r="D332" s="524">
        <v>2</v>
      </c>
      <c r="E332" s="540" t="s">
        <v>390</v>
      </c>
      <c r="F332" s="518" t="s">
        <v>1905</v>
      </c>
    </row>
    <row r="333" spans="1:6" x14ac:dyDescent="0.2">
      <c r="A333" s="524" t="str">
        <f t="shared" si="7"/>
        <v>INDEC-PB - 36320-3</v>
      </c>
      <c r="B333" s="524">
        <v>36320</v>
      </c>
      <c r="C333" s="524" t="s">
        <v>45</v>
      </c>
      <c r="D333" s="524">
        <v>3</v>
      </c>
      <c r="E333" s="540" t="s">
        <v>391</v>
      </c>
      <c r="F333" s="518" t="s">
        <v>1905</v>
      </c>
    </row>
    <row r="334" spans="1:6" x14ac:dyDescent="0.2">
      <c r="A334" s="524" t="str">
        <f t="shared" si="7"/>
        <v>INDEC-PB - 36320-2</v>
      </c>
      <c r="B334" s="524">
        <v>36320</v>
      </c>
      <c r="C334" s="524" t="s">
        <v>45</v>
      </c>
      <c r="D334" s="524">
        <v>2</v>
      </c>
      <c r="E334" s="540" t="s">
        <v>392</v>
      </c>
      <c r="F334" s="518" t="s">
        <v>1905</v>
      </c>
    </row>
    <row r="335" spans="1:6" x14ac:dyDescent="0.2">
      <c r="A335" s="519" t="str">
        <f t="shared" si="7"/>
        <v>INDEC-PB - 36320-1</v>
      </c>
      <c r="B335" s="519">
        <v>36320</v>
      </c>
      <c r="C335" s="519" t="s">
        <v>45</v>
      </c>
      <c r="D335" s="519">
        <v>1</v>
      </c>
      <c r="E335" s="539" t="s">
        <v>393</v>
      </c>
    </row>
    <row r="336" spans="1:6" x14ac:dyDescent="0.2">
      <c r="A336" s="519" t="str">
        <f t="shared" si="7"/>
        <v>INDEC-PB - 46220-1</v>
      </c>
      <c r="B336" s="519">
        <v>46220</v>
      </c>
      <c r="C336" s="519" t="s">
        <v>45</v>
      </c>
      <c r="D336" s="519">
        <v>1</v>
      </c>
      <c r="E336" s="539" t="s">
        <v>394</v>
      </c>
    </row>
    <row r="337" spans="1:6" x14ac:dyDescent="0.2">
      <c r="A337" s="524" t="str">
        <f t="shared" si="7"/>
        <v>INDEC-PB - 34800-1</v>
      </c>
      <c r="B337" s="524">
        <v>34800</v>
      </c>
      <c r="C337" s="524" t="s">
        <v>45</v>
      </c>
      <c r="D337" s="524">
        <v>1</v>
      </c>
      <c r="E337" s="540" t="s">
        <v>395</v>
      </c>
      <c r="F337" s="518" t="s">
        <v>1905</v>
      </c>
    </row>
    <row r="338" spans="1:6" x14ac:dyDescent="0.2">
      <c r="A338" s="519" t="str">
        <f t="shared" si="7"/>
        <v>INDEC-PB - 37440-1</v>
      </c>
      <c r="B338" s="519">
        <v>37440</v>
      </c>
      <c r="C338" s="519" t="s">
        <v>45</v>
      </c>
      <c r="D338" s="519">
        <v>1</v>
      </c>
      <c r="E338" s="539" t="s">
        <v>396</v>
      </c>
    </row>
    <row r="339" spans="1:6" x14ac:dyDescent="0.2">
      <c r="A339" s="519" t="str">
        <f t="shared" si="7"/>
        <v>INDEC-PB - 42992-1</v>
      </c>
      <c r="B339" s="519">
        <v>42992</v>
      </c>
      <c r="C339" s="519" t="s">
        <v>45</v>
      </c>
      <c r="D339" s="519">
        <v>1</v>
      </c>
      <c r="E339" s="539" t="s">
        <v>397</v>
      </c>
    </row>
    <row r="340" spans="1:6" x14ac:dyDescent="0.2">
      <c r="A340" s="519" t="str">
        <f t="shared" si="7"/>
        <v>INDEC-PB - 42999-2</v>
      </c>
      <c r="B340" s="519">
        <v>42999</v>
      </c>
      <c r="C340" s="519" t="s">
        <v>45</v>
      </c>
      <c r="D340" s="519">
        <v>2</v>
      </c>
      <c r="E340" s="539" t="s">
        <v>398</v>
      </c>
    </row>
    <row r="341" spans="1:6" x14ac:dyDescent="0.2">
      <c r="A341" s="519" t="str">
        <f t="shared" si="7"/>
        <v>INDEC-PB - 42944-2</v>
      </c>
      <c r="B341" s="519">
        <v>42944</v>
      </c>
      <c r="C341" s="519" t="s">
        <v>45</v>
      </c>
      <c r="D341" s="519">
        <v>2</v>
      </c>
      <c r="E341" s="539" t="s">
        <v>399</v>
      </c>
    </row>
    <row r="342" spans="1:6" x14ac:dyDescent="0.2">
      <c r="A342" s="519" t="str">
        <f t="shared" si="7"/>
        <v>INDEC-PB - 43230-1</v>
      </c>
      <c r="B342" s="519">
        <v>43230</v>
      </c>
      <c r="C342" s="519" t="s">
        <v>45</v>
      </c>
      <c r="D342" s="519">
        <v>1</v>
      </c>
      <c r="E342" s="539" t="s">
        <v>400</v>
      </c>
    </row>
    <row r="343" spans="1:6" x14ac:dyDescent="0.2">
      <c r="A343" s="519" t="str">
        <f t="shared" si="7"/>
        <v>INDEC-PB - 46340-1</v>
      </c>
      <c r="B343" s="519">
        <v>46340</v>
      </c>
      <c r="C343" s="519" t="s">
        <v>45</v>
      </c>
      <c r="D343" s="519">
        <v>1</v>
      </c>
      <c r="E343" s="539" t="s">
        <v>401</v>
      </c>
    </row>
    <row r="344" spans="1:6" x14ac:dyDescent="0.2">
      <c r="A344" s="524" t="str">
        <f t="shared" si="7"/>
        <v>INDEC-PB - 36270-2</v>
      </c>
      <c r="B344" s="524">
        <v>36270</v>
      </c>
      <c r="C344" s="524" t="s">
        <v>45</v>
      </c>
      <c r="D344" s="524">
        <v>2</v>
      </c>
      <c r="E344" s="540" t="s">
        <v>402</v>
      </c>
      <c r="F344" s="518" t="s">
        <v>1905</v>
      </c>
    </row>
    <row r="345" spans="1:6" x14ac:dyDescent="0.2">
      <c r="A345" s="519" t="str">
        <f t="shared" si="7"/>
        <v>INDEC-PB - 42190-2</v>
      </c>
      <c r="B345" s="519">
        <v>42190</v>
      </c>
      <c r="C345" s="519" t="s">
        <v>45</v>
      </c>
      <c r="D345" s="519">
        <v>2</v>
      </c>
      <c r="E345" s="539" t="s">
        <v>403</v>
      </c>
    </row>
    <row r="346" spans="1:6" x14ac:dyDescent="0.2">
      <c r="A346" s="519" t="str">
        <f t="shared" si="7"/>
        <v>INDEC-PB - 36990-2</v>
      </c>
      <c r="B346" s="519">
        <v>36990</v>
      </c>
      <c r="C346" s="519" t="s">
        <v>45</v>
      </c>
      <c r="D346" s="519">
        <v>2</v>
      </c>
      <c r="E346" s="539" t="s">
        <v>404</v>
      </c>
    </row>
    <row r="347" spans="1:6" x14ac:dyDescent="0.2">
      <c r="A347" s="524" t="str">
        <f t="shared" si="7"/>
        <v>INDEC-PB - 31600-1</v>
      </c>
      <c r="B347" s="524">
        <v>31600</v>
      </c>
      <c r="C347" s="524" t="s">
        <v>45</v>
      </c>
      <c r="D347" s="524">
        <v>1</v>
      </c>
      <c r="E347" s="540" t="s">
        <v>405</v>
      </c>
      <c r="F347" s="518" t="s">
        <v>1905</v>
      </c>
    </row>
    <row r="348" spans="1:6" x14ac:dyDescent="0.2">
      <c r="A348" s="519" t="str">
        <f t="shared" si="7"/>
        <v>INDEC-PB - 32600-1</v>
      </c>
      <c r="B348" s="519">
        <v>32600</v>
      </c>
      <c r="C348" s="519" t="s">
        <v>45</v>
      </c>
      <c r="D348" s="519">
        <v>1</v>
      </c>
      <c r="E348" s="539" t="s">
        <v>406</v>
      </c>
    </row>
    <row r="349" spans="1:6" x14ac:dyDescent="0.2">
      <c r="A349" s="519" t="str">
        <f t="shared" si="7"/>
        <v>INDEC-PB - 36111-3</v>
      </c>
      <c r="B349" s="519">
        <v>36111</v>
      </c>
      <c r="C349" s="519" t="s">
        <v>45</v>
      </c>
      <c r="D349" s="519">
        <v>3</v>
      </c>
      <c r="E349" s="539" t="s">
        <v>407</v>
      </c>
    </row>
    <row r="350" spans="1:6" x14ac:dyDescent="0.2">
      <c r="A350" s="519" t="str">
        <f t="shared" si="7"/>
        <v>INDEC-PB - 36111-2</v>
      </c>
      <c r="B350" s="519">
        <v>36111</v>
      </c>
      <c r="C350" s="519" t="s">
        <v>45</v>
      </c>
      <c r="D350" s="519">
        <v>2</v>
      </c>
      <c r="E350" s="539" t="s">
        <v>408</v>
      </c>
    </row>
    <row r="351" spans="1:6" x14ac:dyDescent="0.2">
      <c r="A351" s="524" t="str">
        <f t="shared" si="7"/>
        <v>INDEC-PB - 36111-1</v>
      </c>
      <c r="B351" s="524">
        <v>36111</v>
      </c>
      <c r="C351" s="524" t="s">
        <v>45</v>
      </c>
      <c r="D351" s="524">
        <v>1</v>
      </c>
      <c r="E351" s="540" t="s">
        <v>409</v>
      </c>
      <c r="F351" s="518" t="s">
        <v>1905</v>
      </c>
    </row>
    <row r="352" spans="1:6" x14ac:dyDescent="0.2">
      <c r="A352" s="519" t="str">
        <f t="shared" si="7"/>
        <v>INDEC-PB - 42921-1</v>
      </c>
      <c r="B352" s="519">
        <v>42921</v>
      </c>
      <c r="C352" s="519" t="s">
        <v>45</v>
      </c>
      <c r="D352" s="519">
        <v>1</v>
      </c>
      <c r="E352" s="539" t="s">
        <v>410</v>
      </c>
    </row>
    <row r="353" spans="1:6" x14ac:dyDescent="0.2">
      <c r="A353" s="524" t="str">
        <f t="shared" si="7"/>
        <v>INDEC-PB - 34800-2</v>
      </c>
      <c r="B353" s="524">
        <v>34800</v>
      </c>
      <c r="C353" s="524" t="s">
        <v>45</v>
      </c>
      <c r="D353" s="524">
        <v>2</v>
      </c>
      <c r="E353" s="540" t="s">
        <v>411</v>
      </c>
      <c r="F353" s="518" t="s">
        <v>1905</v>
      </c>
    </row>
    <row r="354" spans="1:6" x14ac:dyDescent="0.2">
      <c r="A354" s="519" t="str">
        <f t="shared" si="7"/>
        <v>INDEC-PB - 49129-1</v>
      </c>
      <c r="B354" s="519">
        <v>49129</v>
      </c>
      <c r="C354" s="519" t="s">
        <v>45</v>
      </c>
      <c r="D354" s="519">
        <v>1</v>
      </c>
      <c r="E354" s="539" t="s">
        <v>412</v>
      </c>
    </row>
    <row r="355" spans="1:6" x14ac:dyDescent="0.2">
      <c r="A355" s="519" t="str">
        <f t="shared" si="7"/>
        <v>INDEC-PB - 43220-1</v>
      </c>
      <c r="B355" s="519">
        <v>43220</v>
      </c>
      <c r="C355" s="519" t="s">
        <v>45</v>
      </c>
      <c r="D355" s="519">
        <v>1</v>
      </c>
      <c r="E355" s="539" t="s">
        <v>413</v>
      </c>
    </row>
    <row r="356" spans="1:6" x14ac:dyDescent="0.2">
      <c r="A356" s="519" t="str">
        <f t="shared" si="7"/>
        <v>INDEC-PB - 35110-1</v>
      </c>
      <c r="B356" s="519">
        <v>35110</v>
      </c>
      <c r="C356" s="519" t="s">
        <v>45</v>
      </c>
      <c r="D356" s="519">
        <v>1</v>
      </c>
      <c r="E356" s="539" t="s">
        <v>414</v>
      </c>
    </row>
    <row r="357" spans="1:6" x14ac:dyDescent="0.2">
      <c r="A357" s="519" t="str">
        <f t="shared" si="7"/>
        <v>INDEC-PB - 17100-1</v>
      </c>
      <c r="B357" s="519">
        <v>17100</v>
      </c>
      <c r="C357" s="519" t="s">
        <v>45</v>
      </c>
      <c r="D357" s="519">
        <v>1</v>
      </c>
      <c r="E357" s="539" t="s">
        <v>415</v>
      </c>
    </row>
    <row r="358" spans="1:6" x14ac:dyDescent="0.2">
      <c r="A358" s="519" t="str">
        <f t="shared" si="7"/>
        <v>INDEC-PB - 49129-3</v>
      </c>
      <c r="B358" s="519">
        <v>49129</v>
      </c>
      <c r="C358" s="519" t="s">
        <v>45</v>
      </c>
      <c r="D358" s="519">
        <v>3</v>
      </c>
      <c r="E358" s="539" t="s">
        <v>416</v>
      </c>
    </row>
    <row r="359" spans="1:6" x14ac:dyDescent="0.2">
      <c r="A359" s="519" t="str">
        <f t="shared" si="7"/>
        <v>INDEC-PB - 35110-2</v>
      </c>
      <c r="B359" s="519">
        <v>35110</v>
      </c>
      <c r="C359" s="519" t="s">
        <v>45</v>
      </c>
      <c r="D359" s="519">
        <v>2</v>
      </c>
      <c r="E359" s="539" t="s">
        <v>417</v>
      </c>
    </row>
    <row r="360" spans="1:6" x14ac:dyDescent="0.2">
      <c r="A360" s="519" t="str">
        <f t="shared" si="7"/>
        <v>INDEC-PB - 37129-1</v>
      </c>
      <c r="B360" s="519">
        <v>37129</v>
      </c>
      <c r="C360" s="519" t="s">
        <v>45</v>
      </c>
      <c r="D360" s="519">
        <v>1</v>
      </c>
      <c r="E360" s="539" t="s">
        <v>418</v>
      </c>
    </row>
    <row r="361" spans="1:6" x14ac:dyDescent="0.2">
      <c r="A361" s="519" t="str">
        <f t="shared" si="7"/>
        <v>INDEC-PB - 36490-4</v>
      </c>
      <c r="B361" s="519">
        <v>36490</v>
      </c>
      <c r="C361" s="519" t="s">
        <v>45</v>
      </c>
      <c r="D361" s="519">
        <v>4</v>
      </c>
      <c r="E361" s="539" t="s">
        <v>419</v>
      </c>
    </row>
    <row r="362" spans="1:6" x14ac:dyDescent="0.2">
      <c r="A362" s="519" t="str">
        <f t="shared" si="7"/>
        <v>INDEC-PB - 33370-1</v>
      </c>
      <c r="B362" s="519">
        <v>33370</v>
      </c>
      <c r="C362" s="519" t="s">
        <v>45</v>
      </c>
      <c r="D362" s="519">
        <v>1</v>
      </c>
      <c r="E362" s="539" t="s">
        <v>420</v>
      </c>
    </row>
    <row r="363" spans="1:6" x14ac:dyDescent="0.2">
      <c r="A363" s="519" t="str">
        <f t="shared" si="7"/>
        <v>INDEC-PB - 12020-1</v>
      </c>
      <c r="B363" s="519">
        <v>12020</v>
      </c>
      <c r="C363" s="519" t="s">
        <v>45</v>
      </c>
      <c r="D363" s="519">
        <v>1</v>
      </c>
      <c r="E363" s="539" t="s">
        <v>421</v>
      </c>
    </row>
    <row r="364" spans="1:6" x14ac:dyDescent="0.2">
      <c r="A364" s="519" t="str">
        <f t="shared" si="7"/>
        <v>INDEC-PB - 33360-1</v>
      </c>
      <c r="B364" s="519">
        <v>33360</v>
      </c>
      <c r="C364" s="519" t="s">
        <v>45</v>
      </c>
      <c r="D364" s="519">
        <v>1</v>
      </c>
      <c r="E364" s="539" t="s">
        <v>422</v>
      </c>
    </row>
    <row r="365" spans="1:6" x14ac:dyDescent="0.2">
      <c r="A365" s="519" t="str">
        <f t="shared" si="7"/>
        <v>INDEC-PB - 33410-1</v>
      </c>
      <c r="B365" s="519">
        <v>33410</v>
      </c>
      <c r="C365" s="519" t="s">
        <v>45</v>
      </c>
      <c r="D365" s="519">
        <v>1</v>
      </c>
      <c r="E365" s="539" t="s">
        <v>423</v>
      </c>
    </row>
    <row r="366" spans="1:6" x14ac:dyDescent="0.2">
      <c r="A366" s="519" t="str">
        <f t="shared" si="7"/>
        <v>INDEC-PB - 42911-1</v>
      </c>
      <c r="B366" s="519">
        <v>42911</v>
      </c>
      <c r="C366" s="519" t="s">
        <v>45</v>
      </c>
      <c r="D366" s="519">
        <v>1</v>
      </c>
      <c r="E366" s="539" t="s">
        <v>424</v>
      </c>
    </row>
    <row r="367" spans="1:6" x14ac:dyDescent="0.2">
      <c r="A367" s="519" t="str">
        <f t="shared" si="7"/>
        <v>INDEC-PB - 46113-1</v>
      </c>
      <c r="B367" s="519">
        <v>46113</v>
      </c>
      <c r="C367" s="519" t="s">
        <v>45</v>
      </c>
      <c r="D367" s="519">
        <v>1</v>
      </c>
      <c r="E367" s="539" t="s">
        <v>425</v>
      </c>
    </row>
    <row r="368" spans="1:6" x14ac:dyDescent="0.2">
      <c r="A368" s="519" t="str">
        <f t="shared" si="7"/>
        <v>INDEC-PB - 42921-2</v>
      </c>
      <c r="B368" s="519">
        <v>42921</v>
      </c>
      <c r="C368" s="519" t="s">
        <v>45</v>
      </c>
      <c r="D368" s="519">
        <v>2</v>
      </c>
      <c r="E368" s="539" t="s">
        <v>426</v>
      </c>
    </row>
    <row r="369" spans="1:6" x14ac:dyDescent="0.2">
      <c r="A369" s="519" t="str">
        <f t="shared" si="7"/>
        <v>INDEC-PB - 37990-1</v>
      </c>
      <c r="B369" s="519">
        <v>37990</v>
      </c>
      <c r="C369" s="519" t="s">
        <v>45</v>
      </c>
      <c r="D369" s="519">
        <v>1</v>
      </c>
      <c r="E369" s="539" t="s">
        <v>427</v>
      </c>
    </row>
    <row r="370" spans="1:6" x14ac:dyDescent="0.2">
      <c r="A370" s="519" t="str">
        <f t="shared" ref="A370:A425" si="8">CONCATENATE("INDEC-PB - ",B370,C370,D370)</f>
        <v>INDEC-PB - 41242-1</v>
      </c>
      <c r="B370" s="519">
        <v>41242</v>
      </c>
      <c r="C370" s="519" t="s">
        <v>45</v>
      </c>
      <c r="D370" s="519">
        <v>1</v>
      </c>
      <c r="E370" s="539" t="s">
        <v>428</v>
      </c>
    </row>
    <row r="371" spans="1:6" x14ac:dyDescent="0.2">
      <c r="A371" s="519" t="str">
        <f t="shared" si="8"/>
        <v>INDEC-PB - 37510-1</v>
      </c>
      <c r="B371" s="519">
        <v>37510</v>
      </c>
      <c r="C371" s="519" t="s">
        <v>45</v>
      </c>
      <c r="D371" s="519">
        <v>1</v>
      </c>
      <c r="E371" s="539" t="s">
        <v>429</v>
      </c>
    </row>
    <row r="372" spans="1:6" x14ac:dyDescent="0.2">
      <c r="A372" s="519" t="str">
        <f t="shared" si="8"/>
        <v>INDEC-PB - 44440-1</v>
      </c>
      <c r="B372" s="519">
        <v>44440</v>
      </c>
      <c r="C372" s="519" t="s">
        <v>45</v>
      </c>
      <c r="D372" s="519">
        <v>1</v>
      </c>
      <c r="E372" s="539" t="s">
        <v>430</v>
      </c>
    </row>
    <row r="373" spans="1:6" x14ac:dyDescent="0.2">
      <c r="A373" s="519" t="str">
        <f t="shared" si="8"/>
        <v>INDEC-PB - 35110-5</v>
      </c>
      <c r="B373" s="519">
        <v>35110</v>
      </c>
      <c r="C373" s="519" t="s">
        <v>45</v>
      </c>
      <c r="D373" s="519">
        <v>5</v>
      </c>
      <c r="E373" s="539" t="s">
        <v>431</v>
      </c>
    </row>
    <row r="374" spans="1:6" x14ac:dyDescent="0.2">
      <c r="A374" s="519" t="str">
        <f t="shared" si="8"/>
        <v>INDEC-PB - 46212-1</v>
      </c>
      <c r="B374" s="519">
        <v>46212</v>
      </c>
      <c r="C374" s="519" t="s">
        <v>45</v>
      </c>
      <c r="D374" s="519">
        <v>1</v>
      </c>
      <c r="E374" s="539" t="s">
        <v>432</v>
      </c>
    </row>
    <row r="375" spans="1:6" x14ac:dyDescent="0.2">
      <c r="A375" s="524" t="str">
        <f t="shared" si="8"/>
        <v>INDEC-PB - 33340-1</v>
      </c>
      <c r="B375" s="524">
        <v>33340</v>
      </c>
      <c r="C375" s="524" t="s">
        <v>45</v>
      </c>
      <c r="D375" s="524">
        <v>1</v>
      </c>
      <c r="E375" s="540" t="s">
        <v>433</v>
      </c>
      <c r="F375" s="518" t="s">
        <v>1905</v>
      </c>
    </row>
    <row r="376" spans="1:6" x14ac:dyDescent="0.2">
      <c r="A376" s="519" t="str">
        <f t="shared" si="8"/>
        <v>INDEC-PB - 37350-1</v>
      </c>
      <c r="B376" s="519">
        <v>37350</v>
      </c>
      <c r="C376" s="519" t="s">
        <v>45</v>
      </c>
      <c r="D376" s="519">
        <v>1</v>
      </c>
      <c r="E376" s="539" t="s">
        <v>434</v>
      </c>
    </row>
    <row r="377" spans="1:6" x14ac:dyDescent="0.2">
      <c r="A377" s="519" t="str">
        <f t="shared" si="8"/>
        <v>INDEC-PB - 37320-1</v>
      </c>
      <c r="B377" s="519">
        <v>37320</v>
      </c>
      <c r="C377" s="519" t="s">
        <v>45</v>
      </c>
      <c r="D377" s="519">
        <v>1</v>
      </c>
      <c r="E377" s="539" t="s">
        <v>435</v>
      </c>
    </row>
    <row r="378" spans="1:6" x14ac:dyDescent="0.2">
      <c r="A378" s="519" t="str">
        <f t="shared" si="8"/>
        <v>INDEC-PB - 41532-11</v>
      </c>
      <c r="B378" s="519">
        <v>41532</v>
      </c>
      <c r="C378" s="519" t="s">
        <v>45</v>
      </c>
      <c r="D378" s="519">
        <v>11</v>
      </c>
      <c r="E378" s="539" t="s">
        <v>436</v>
      </c>
    </row>
    <row r="379" spans="1:6" x14ac:dyDescent="0.2">
      <c r="A379" s="519" t="str">
        <f t="shared" si="8"/>
        <v>INDEC-PB - 41532-1</v>
      </c>
      <c r="B379" s="519">
        <v>41532</v>
      </c>
      <c r="C379" s="519" t="s">
        <v>45</v>
      </c>
      <c r="D379" s="519">
        <v>1</v>
      </c>
      <c r="E379" s="539" t="s">
        <v>437</v>
      </c>
    </row>
    <row r="380" spans="1:6" x14ac:dyDescent="0.2">
      <c r="A380" s="519" t="str">
        <f t="shared" si="8"/>
        <v>INDEC-PB - 31430-1</v>
      </c>
      <c r="B380" s="519">
        <v>31430</v>
      </c>
      <c r="C380" s="519" t="s">
        <v>45</v>
      </c>
      <c r="D380" s="519">
        <v>1</v>
      </c>
      <c r="E380" s="539" t="s">
        <v>438</v>
      </c>
    </row>
    <row r="381" spans="1:6" x14ac:dyDescent="0.2">
      <c r="A381" s="519" t="str">
        <f t="shared" si="8"/>
        <v>INDEC-PB - 31100-1</v>
      </c>
      <c r="B381" s="519">
        <v>31100</v>
      </c>
      <c r="C381" s="519" t="s">
        <v>45</v>
      </c>
      <c r="D381" s="519">
        <v>1</v>
      </c>
      <c r="E381" s="539" t="s">
        <v>439</v>
      </c>
    </row>
    <row r="382" spans="1:6" x14ac:dyDescent="0.2">
      <c r="A382" s="519" t="str">
        <f t="shared" si="8"/>
        <v>INDEC-PB - 31420-1</v>
      </c>
      <c r="B382" s="519">
        <v>31420</v>
      </c>
      <c r="C382" s="519" t="s">
        <v>45</v>
      </c>
      <c r="D382" s="519">
        <v>1</v>
      </c>
      <c r="E382" s="539" t="s">
        <v>440</v>
      </c>
    </row>
    <row r="383" spans="1:6" x14ac:dyDescent="0.2">
      <c r="A383" s="519" t="str">
        <f t="shared" si="8"/>
        <v>INDEC-PB - 31420-2</v>
      </c>
      <c r="B383" s="519">
        <v>31420</v>
      </c>
      <c r="C383" s="519" t="s">
        <v>45</v>
      </c>
      <c r="D383" s="519">
        <v>2</v>
      </c>
      <c r="E383" s="539" t="s">
        <v>441</v>
      </c>
    </row>
    <row r="384" spans="1:6" x14ac:dyDescent="0.2">
      <c r="A384" s="524" t="str">
        <f t="shared" si="8"/>
        <v>INDEC-PB - 44222-1</v>
      </c>
      <c r="B384" s="524">
        <v>44222</v>
      </c>
      <c r="C384" s="524" t="s">
        <v>45</v>
      </c>
      <c r="D384" s="524">
        <v>1</v>
      </c>
      <c r="E384" s="540" t="s">
        <v>442</v>
      </c>
      <c r="F384" s="518" t="s">
        <v>1905</v>
      </c>
    </row>
    <row r="385" spans="1:6" x14ac:dyDescent="0.2">
      <c r="A385" s="524" t="str">
        <f t="shared" si="8"/>
        <v>INDEC-PB - 44427-1</v>
      </c>
      <c r="B385" s="524">
        <v>44427</v>
      </c>
      <c r="C385" s="524" t="s">
        <v>45</v>
      </c>
      <c r="D385" s="524">
        <v>1</v>
      </c>
      <c r="E385" s="540" t="s">
        <v>443</v>
      </c>
      <c r="F385" s="518" t="s">
        <v>1905</v>
      </c>
    </row>
    <row r="386" spans="1:6" x14ac:dyDescent="0.2">
      <c r="A386" s="519" t="str">
        <f t="shared" si="8"/>
        <v>INDEC-PB - 44430-1</v>
      </c>
      <c r="B386" s="519">
        <v>44430</v>
      </c>
      <c r="C386" s="519" t="s">
        <v>45</v>
      </c>
      <c r="D386" s="519">
        <v>1</v>
      </c>
      <c r="E386" s="539" t="s">
        <v>444</v>
      </c>
    </row>
    <row r="387" spans="1:6" x14ac:dyDescent="0.2">
      <c r="A387" s="519" t="str">
        <f t="shared" si="8"/>
        <v>INDEC-PB - 37930-1</v>
      </c>
      <c r="B387" s="519">
        <v>37930</v>
      </c>
      <c r="C387" s="519" t="s">
        <v>45</v>
      </c>
      <c r="D387" s="519">
        <v>1</v>
      </c>
      <c r="E387" s="539" t="s">
        <v>445</v>
      </c>
    </row>
    <row r="388" spans="1:6" x14ac:dyDescent="0.2">
      <c r="A388" s="519" t="str">
        <f t="shared" si="8"/>
        <v>INDEC-PB - 37330-1</v>
      </c>
      <c r="B388" s="519">
        <v>37330</v>
      </c>
      <c r="C388" s="519" t="s">
        <v>45</v>
      </c>
      <c r="D388" s="519">
        <v>1</v>
      </c>
      <c r="E388" s="539" t="s">
        <v>446</v>
      </c>
    </row>
    <row r="389" spans="1:6" x14ac:dyDescent="0.2">
      <c r="A389" s="519" t="str">
        <f t="shared" si="8"/>
        <v>INDEC-PB - 37540-1</v>
      </c>
      <c r="B389" s="519">
        <v>37540</v>
      </c>
      <c r="C389" s="519" t="s">
        <v>45</v>
      </c>
      <c r="D389" s="519">
        <v>1</v>
      </c>
      <c r="E389" s="539" t="s">
        <v>447</v>
      </c>
    </row>
    <row r="390" spans="1:6" x14ac:dyDescent="0.2">
      <c r="A390" s="519" t="str">
        <f t="shared" si="8"/>
        <v>INDEC-PB - 43121-1</v>
      </c>
      <c r="B390" s="519">
        <v>43121</v>
      </c>
      <c r="C390" s="519" t="s">
        <v>45</v>
      </c>
      <c r="D390" s="519">
        <v>1</v>
      </c>
      <c r="E390" s="539" t="s">
        <v>448</v>
      </c>
    </row>
    <row r="391" spans="1:6" x14ac:dyDescent="0.2">
      <c r="A391" s="519" t="str">
        <f t="shared" si="8"/>
        <v>INDEC-PB - 46112-1</v>
      </c>
      <c r="B391" s="519">
        <v>46112</v>
      </c>
      <c r="C391" s="519" t="s">
        <v>45</v>
      </c>
      <c r="D391" s="519">
        <v>1</v>
      </c>
      <c r="E391" s="539" t="s">
        <v>449</v>
      </c>
    </row>
    <row r="392" spans="1:6" x14ac:dyDescent="0.2">
      <c r="A392" s="524" t="str">
        <f t="shared" si="8"/>
        <v>INDEC-PB - 43122-1</v>
      </c>
      <c r="B392" s="524">
        <v>43122</v>
      </c>
      <c r="C392" s="524" t="s">
        <v>45</v>
      </c>
      <c r="D392" s="524">
        <v>1</v>
      </c>
      <c r="E392" s="540" t="s">
        <v>450</v>
      </c>
      <c r="F392" s="518" t="s">
        <v>1905</v>
      </c>
    </row>
    <row r="393" spans="1:6" x14ac:dyDescent="0.2">
      <c r="A393" s="519" t="str">
        <f t="shared" si="8"/>
        <v>INDEC-PB - 49911-1</v>
      </c>
      <c r="B393" s="519">
        <v>49911</v>
      </c>
      <c r="C393" s="519" t="s">
        <v>45</v>
      </c>
      <c r="D393" s="519">
        <v>1</v>
      </c>
      <c r="E393" s="539" t="s">
        <v>451</v>
      </c>
    </row>
    <row r="394" spans="1:6" x14ac:dyDescent="0.2">
      <c r="A394" s="519" t="str">
        <f t="shared" si="8"/>
        <v>INDEC-PB - 33310-1</v>
      </c>
      <c r="B394" s="519">
        <v>33310</v>
      </c>
      <c r="C394" s="519" t="s">
        <v>45</v>
      </c>
      <c r="D394" s="519">
        <v>1</v>
      </c>
      <c r="E394" s="539" t="s">
        <v>452</v>
      </c>
    </row>
    <row r="395" spans="1:6" x14ac:dyDescent="0.2">
      <c r="A395" s="519" t="str">
        <f t="shared" si="8"/>
        <v>INDEC-PB - 32129-1</v>
      </c>
      <c r="B395" s="519">
        <v>32129</v>
      </c>
      <c r="C395" s="519" t="s">
        <v>45</v>
      </c>
      <c r="D395" s="519">
        <v>1</v>
      </c>
      <c r="E395" s="539" t="s">
        <v>453</v>
      </c>
    </row>
    <row r="396" spans="1:6" x14ac:dyDescent="0.2">
      <c r="A396" s="519" t="str">
        <f t="shared" si="8"/>
        <v>INDEC-PB - 37990-2</v>
      </c>
      <c r="B396" s="519">
        <v>37990</v>
      </c>
      <c r="C396" s="519" t="s">
        <v>45</v>
      </c>
      <c r="D396" s="519">
        <v>2</v>
      </c>
      <c r="E396" s="539" t="s">
        <v>454</v>
      </c>
    </row>
    <row r="397" spans="1:6" x14ac:dyDescent="0.2">
      <c r="A397" s="519" t="str">
        <f t="shared" si="8"/>
        <v>INDEC-PB - 41251-1</v>
      </c>
      <c r="B397" s="519">
        <v>41251</v>
      </c>
      <c r="C397" s="519" t="s">
        <v>45</v>
      </c>
      <c r="D397" s="519">
        <v>1</v>
      </c>
      <c r="E397" s="539" t="s">
        <v>455</v>
      </c>
    </row>
    <row r="398" spans="1:6" x14ac:dyDescent="0.2">
      <c r="A398" s="519" t="str">
        <f t="shared" si="8"/>
        <v>INDEC-PB - 12010-1</v>
      </c>
      <c r="B398" s="519">
        <v>12010</v>
      </c>
      <c r="C398" s="519" t="s">
        <v>45</v>
      </c>
      <c r="D398" s="519">
        <v>1</v>
      </c>
      <c r="E398" s="539" t="s">
        <v>456</v>
      </c>
    </row>
    <row r="399" spans="1:6" x14ac:dyDescent="0.2">
      <c r="A399" s="519" t="str">
        <f t="shared" si="8"/>
        <v>INDEC-PB - 15320-1</v>
      </c>
      <c r="B399" s="519">
        <v>15320</v>
      </c>
      <c r="C399" s="519" t="s">
        <v>45</v>
      </c>
      <c r="D399" s="519">
        <v>1</v>
      </c>
      <c r="E399" s="539" t="s">
        <v>457</v>
      </c>
    </row>
    <row r="400" spans="1:6" x14ac:dyDescent="0.2">
      <c r="A400" s="519" t="str">
        <f t="shared" si="8"/>
        <v>INDEC-PB - 41116-1</v>
      </c>
      <c r="B400" s="519">
        <v>41116</v>
      </c>
      <c r="C400" s="519" t="s">
        <v>45</v>
      </c>
      <c r="D400" s="519">
        <v>1</v>
      </c>
      <c r="E400" s="539" t="s">
        <v>458</v>
      </c>
    </row>
    <row r="401" spans="1:6" x14ac:dyDescent="0.2">
      <c r="A401" s="519" t="str">
        <f t="shared" si="8"/>
        <v>INDEC-PB - 42999-1</v>
      </c>
      <c r="B401" s="519">
        <v>42999</v>
      </c>
      <c r="C401" s="519" t="s">
        <v>45</v>
      </c>
      <c r="D401" s="519">
        <v>1</v>
      </c>
      <c r="E401" s="539" t="s">
        <v>459</v>
      </c>
    </row>
    <row r="402" spans="1:6" x14ac:dyDescent="0.2">
      <c r="A402" s="519" t="str">
        <f t="shared" si="8"/>
        <v>INDEC-PB - 35110-3</v>
      </c>
      <c r="B402" s="519">
        <v>35110</v>
      </c>
      <c r="C402" s="519" t="s">
        <v>45</v>
      </c>
      <c r="D402" s="519">
        <v>3</v>
      </c>
      <c r="E402" s="539" t="s">
        <v>460</v>
      </c>
    </row>
    <row r="403" spans="1:6" x14ac:dyDescent="0.2">
      <c r="A403" s="519" t="str">
        <f t="shared" si="8"/>
        <v>INDEC-PB - 34740-6</v>
      </c>
      <c r="B403" s="519">
        <v>34740</v>
      </c>
      <c r="C403" s="519" t="s">
        <v>45</v>
      </c>
      <c r="D403" s="519">
        <v>6</v>
      </c>
      <c r="E403" s="539" t="s">
        <v>461</v>
      </c>
    </row>
    <row r="404" spans="1:6" x14ac:dyDescent="0.2">
      <c r="A404" s="519" t="str">
        <f t="shared" si="8"/>
        <v>INDEC-PB - 34730-1</v>
      </c>
      <c r="B404" s="519">
        <v>34730</v>
      </c>
      <c r="C404" s="519" t="s">
        <v>45</v>
      </c>
      <c r="D404" s="519">
        <v>1</v>
      </c>
      <c r="E404" s="539" t="s">
        <v>462</v>
      </c>
    </row>
    <row r="405" spans="1:6" x14ac:dyDescent="0.2">
      <c r="A405" s="524" t="str">
        <f t="shared" si="8"/>
        <v>INDEC-PB - 34720-1</v>
      </c>
      <c r="B405" s="524">
        <v>34720</v>
      </c>
      <c r="C405" s="524" t="s">
        <v>45</v>
      </c>
      <c r="D405" s="524">
        <v>1</v>
      </c>
      <c r="E405" s="540" t="s">
        <v>463</v>
      </c>
      <c r="F405" s="518" t="s">
        <v>1905</v>
      </c>
    </row>
    <row r="406" spans="1:6" x14ac:dyDescent="0.2">
      <c r="A406" s="519" t="str">
        <f t="shared" si="8"/>
        <v>INDEC-PB - 34710-1</v>
      </c>
      <c r="B406" s="519">
        <v>34710</v>
      </c>
      <c r="C406" s="519" t="s">
        <v>45</v>
      </c>
      <c r="D406" s="519">
        <v>1</v>
      </c>
      <c r="E406" s="539" t="s">
        <v>464</v>
      </c>
    </row>
    <row r="407" spans="1:6" x14ac:dyDescent="0.2">
      <c r="A407" s="519" t="str">
        <f t="shared" si="8"/>
        <v>INDEC-PB - 41530-1</v>
      </c>
      <c r="B407" s="519">
        <v>41530</v>
      </c>
      <c r="C407" s="519" t="s">
        <v>45</v>
      </c>
      <c r="D407" s="519">
        <v>1</v>
      </c>
      <c r="E407" s="539" t="s">
        <v>465</v>
      </c>
    </row>
    <row r="408" spans="1:6" x14ac:dyDescent="0.2">
      <c r="A408" s="519" t="str">
        <f t="shared" si="8"/>
        <v>INDEC-PB - 41510-1</v>
      </c>
      <c r="B408" s="519">
        <v>41510</v>
      </c>
      <c r="C408" s="519" t="s">
        <v>45</v>
      </c>
      <c r="D408" s="519">
        <v>1</v>
      </c>
      <c r="E408" s="539" t="s">
        <v>466</v>
      </c>
    </row>
    <row r="409" spans="1:6" x14ac:dyDescent="0.2">
      <c r="A409" s="519" t="str">
        <f t="shared" si="8"/>
        <v>INDEC-PB - 31600-2</v>
      </c>
      <c r="B409" s="519">
        <v>31600</v>
      </c>
      <c r="C409" s="519" t="s">
        <v>45</v>
      </c>
      <c r="D409" s="519">
        <v>2</v>
      </c>
      <c r="E409" s="539" t="s">
        <v>467</v>
      </c>
    </row>
    <row r="410" spans="1:6" x14ac:dyDescent="0.2">
      <c r="A410" s="519" t="str">
        <f t="shared" si="8"/>
        <v>INDEC-PB - 49129-2</v>
      </c>
      <c r="B410" s="519">
        <v>49129</v>
      </c>
      <c r="C410" s="519" t="s">
        <v>45</v>
      </c>
      <c r="D410" s="519">
        <v>2</v>
      </c>
      <c r="E410" s="539" t="s">
        <v>468</v>
      </c>
    </row>
    <row r="411" spans="1:6" x14ac:dyDescent="0.2">
      <c r="A411" s="519" t="str">
        <f t="shared" si="8"/>
        <v>INDEC-PB - 34740-1</v>
      </c>
      <c r="B411" s="519">
        <v>34740</v>
      </c>
      <c r="C411" s="519" t="s">
        <v>45</v>
      </c>
      <c r="D411" s="519">
        <v>1</v>
      </c>
      <c r="E411" s="539" t="s">
        <v>469</v>
      </c>
    </row>
    <row r="412" spans="1:6" x14ac:dyDescent="0.2">
      <c r="A412" s="524" t="str">
        <f t="shared" si="8"/>
        <v>INDEC-PB - 43310-1</v>
      </c>
      <c r="B412" s="524">
        <v>43310</v>
      </c>
      <c r="C412" s="524" t="s">
        <v>45</v>
      </c>
      <c r="D412" s="524">
        <v>1</v>
      </c>
      <c r="E412" s="540" t="s">
        <v>470</v>
      </c>
      <c r="F412" s="518" t="s">
        <v>1905</v>
      </c>
    </row>
    <row r="413" spans="1:6" x14ac:dyDescent="0.2">
      <c r="A413" s="519" t="str">
        <f t="shared" si="8"/>
        <v>INDEC-PB - 44240-1</v>
      </c>
      <c r="B413" s="519">
        <v>44240</v>
      </c>
      <c r="C413" s="519" t="s">
        <v>45</v>
      </c>
      <c r="D413" s="519">
        <v>1</v>
      </c>
      <c r="E413" s="539" t="s">
        <v>471</v>
      </c>
    </row>
    <row r="414" spans="1:6" x14ac:dyDescent="0.2">
      <c r="A414" s="519" t="str">
        <f t="shared" si="8"/>
        <v>INDEC-PB - 33500-1</v>
      </c>
      <c r="B414" s="519">
        <v>33500</v>
      </c>
      <c r="C414" s="519" t="s">
        <v>45</v>
      </c>
      <c r="D414" s="519">
        <v>1</v>
      </c>
      <c r="E414" s="539" t="s">
        <v>472</v>
      </c>
    </row>
    <row r="415" spans="1:6" x14ac:dyDescent="0.2">
      <c r="A415" s="519" t="str">
        <f t="shared" si="8"/>
        <v>INDEC-PB - 44214-1</v>
      </c>
      <c r="B415" s="519">
        <v>44214</v>
      </c>
      <c r="C415" s="519" t="s">
        <v>45</v>
      </c>
      <c r="D415" s="519">
        <v>1</v>
      </c>
      <c r="E415" s="539" t="s">
        <v>473</v>
      </c>
    </row>
    <row r="416" spans="1:6" x14ac:dyDescent="0.2">
      <c r="A416" s="519" t="str">
        <f t="shared" si="8"/>
        <v>INDEC-PB - 37350-2</v>
      </c>
      <c r="B416" s="519">
        <v>37350</v>
      </c>
      <c r="C416" s="519" t="s">
        <v>45</v>
      </c>
      <c r="D416" s="519">
        <v>2</v>
      </c>
      <c r="E416" s="539" t="s">
        <v>474</v>
      </c>
    </row>
    <row r="417" spans="1:6" x14ac:dyDescent="0.2">
      <c r="A417" s="519" t="str">
        <f t="shared" si="8"/>
        <v>INDEC-PB - 42943-1</v>
      </c>
      <c r="B417" s="519">
        <v>42943</v>
      </c>
      <c r="C417" s="519" t="s">
        <v>45</v>
      </c>
      <c r="D417" s="519">
        <v>1</v>
      </c>
      <c r="E417" s="539" t="s">
        <v>475</v>
      </c>
    </row>
    <row r="418" spans="1:6" x14ac:dyDescent="0.2">
      <c r="A418" s="519" t="str">
        <f t="shared" si="8"/>
        <v>INDEC-PB - 36990-1</v>
      </c>
      <c r="B418" s="519">
        <v>36990</v>
      </c>
      <c r="C418" s="519" t="s">
        <v>45</v>
      </c>
      <c r="D418" s="519">
        <v>1</v>
      </c>
      <c r="E418" s="539" t="s">
        <v>476</v>
      </c>
    </row>
    <row r="419" spans="1:6" x14ac:dyDescent="0.2">
      <c r="A419" s="519" t="str">
        <f t="shared" si="8"/>
        <v>INDEC-PB - 46121-1</v>
      </c>
      <c r="B419" s="519">
        <v>46121</v>
      </c>
      <c r="C419" s="519" t="s">
        <v>45</v>
      </c>
      <c r="D419" s="519">
        <v>1</v>
      </c>
      <c r="E419" s="539" t="s">
        <v>477</v>
      </c>
    </row>
    <row r="420" spans="1:6" x14ac:dyDescent="0.2">
      <c r="A420" s="519" t="str">
        <f t="shared" si="8"/>
        <v>INDEC-PB - 49115-1</v>
      </c>
      <c r="B420" s="519">
        <v>49115</v>
      </c>
      <c r="C420" s="519" t="s">
        <v>45</v>
      </c>
      <c r="D420" s="519">
        <v>1</v>
      </c>
      <c r="E420" s="539" t="s">
        <v>478</v>
      </c>
    </row>
    <row r="421" spans="1:6" x14ac:dyDescent="0.2">
      <c r="A421" s="524" t="str">
        <f t="shared" si="8"/>
        <v>INDEC-PB - 37113-1</v>
      </c>
      <c r="B421" s="524">
        <v>37113</v>
      </c>
      <c r="C421" s="524" t="s">
        <v>45</v>
      </c>
      <c r="D421" s="524">
        <v>1</v>
      </c>
      <c r="E421" s="540" t="s">
        <v>479</v>
      </c>
      <c r="F421" s="518" t="s">
        <v>1905</v>
      </c>
    </row>
    <row r="422" spans="1:6" x14ac:dyDescent="0.2">
      <c r="A422" s="524" t="str">
        <f t="shared" si="8"/>
        <v>INDEC-PB - 37199-3</v>
      </c>
      <c r="B422" s="524">
        <v>37199</v>
      </c>
      <c r="C422" s="524" t="s">
        <v>45</v>
      </c>
      <c r="D422" s="524">
        <v>3</v>
      </c>
      <c r="E422" s="540" t="s">
        <v>480</v>
      </c>
      <c r="F422" s="518" t="s">
        <v>1905</v>
      </c>
    </row>
    <row r="423" spans="1:6" x14ac:dyDescent="0.2">
      <c r="A423" s="524" t="str">
        <f t="shared" si="8"/>
        <v>INDEC-PB - 37199-1</v>
      </c>
      <c r="B423" s="524">
        <v>37199</v>
      </c>
      <c r="C423" s="524" t="s">
        <v>45</v>
      </c>
      <c r="D423" s="524">
        <v>1</v>
      </c>
      <c r="E423" s="540" t="s">
        <v>481</v>
      </c>
      <c r="F423" s="518" t="s">
        <v>1905</v>
      </c>
    </row>
    <row r="424" spans="1:6" x14ac:dyDescent="0.2">
      <c r="A424" s="524" t="str">
        <f t="shared" si="8"/>
        <v>INDEC-PB - 37199-2</v>
      </c>
      <c r="B424" s="524">
        <v>37199</v>
      </c>
      <c r="C424" s="524" t="s">
        <v>45</v>
      </c>
      <c r="D424" s="524">
        <v>2</v>
      </c>
      <c r="E424" s="540" t="s">
        <v>482</v>
      </c>
      <c r="F424" s="518" t="s">
        <v>1905</v>
      </c>
    </row>
    <row r="425" spans="1:6" x14ac:dyDescent="0.2">
      <c r="A425" s="519" t="str">
        <f t="shared" si="8"/>
        <v>INDEC-PB - 15200-1</v>
      </c>
      <c r="B425" s="519">
        <v>15200</v>
      </c>
      <c r="C425" s="519" t="s">
        <v>45</v>
      </c>
      <c r="D425" s="519">
        <v>1</v>
      </c>
      <c r="E425" s="539" t="s">
        <v>483</v>
      </c>
    </row>
    <row r="426" spans="1:6" x14ac:dyDescent="0.2">
      <c r="A426" s="541"/>
      <c r="E426" s="542"/>
    </row>
    <row r="427" spans="1:6" x14ac:dyDescent="0.2">
      <c r="A427" s="543"/>
      <c r="E427" s="542" t="s">
        <v>484</v>
      </c>
    </row>
    <row r="428" spans="1:6" x14ac:dyDescent="0.2">
      <c r="A428" s="519" t="str">
        <f t="shared" ref="A428:A445" si="9">CONCATENATE("INDEC-PB - ",B428,C428,D428)</f>
        <v>INDEC-PB - 94920-1</v>
      </c>
      <c r="B428" s="519">
        <v>94920</v>
      </c>
      <c r="C428" s="519" t="s">
        <v>45</v>
      </c>
      <c r="D428" s="519">
        <v>1</v>
      </c>
      <c r="E428" s="539" t="s">
        <v>485</v>
      </c>
    </row>
    <row r="429" spans="1:6" x14ac:dyDescent="0.2">
      <c r="A429" s="519" t="str">
        <f t="shared" si="9"/>
        <v>INDEC-PB - 91223-1</v>
      </c>
      <c r="B429" s="519">
        <v>91223</v>
      </c>
      <c r="C429" s="519" t="s">
        <v>45</v>
      </c>
      <c r="D429" s="519">
        <v>1</v>
      </c>
      <c r="E429" s="539" t="s">
        <v>486</v>
      </c>
    </row>
    <row r="430" spans="1:6" x14ac:dyDescent="0.2">
      <c r="A430" s="519" t="str">
        <f t="shared" si="9"/>
        <v>INDEC-PB - 91211-11</v>
      </c>
      <c r="B430" s="519">
        <v>91211</v>
      </c>
      <c r="C430" s="519" t="s">
        <v>45</v>
      </c>
      <c r="D430" s="519">
        <v>11</v>
      </c>
      <c r="E430" s="539" t="s">
        <v>487</v>
      </c>
    </row>
    <row r="431" spans="1:6" x14ac:dyDescent="0.2">
      <c r="A431" s="519" t="str">
        <f t="shared" si="9"/>
        <v>INDEC-PB - 91211-1</v>
      </c>
      <c r="B431" s="519">
        <v>91211</v>
      </c>
      <c r="C431" s="519" t="s">
        <v>45</v>
      </c>
      <c r="D431" s="519">
        <v>1</v>
      </c>
      <c r="E431" s="539" t="s">
        <v>488</v>
      </c>
    </row>
    <row r="432" spans="1:6" x14ac:dyDescent="0.2">
      <c r="A432" s="524" t="str">
        <f t="shared" si="9"/>
        <v>INDEC-PB - 91511-1</v>
      </c>
      <c r="B432" s="524">
        <v>91511</v>
      </c>
      <c r="C432" s="524" t="s">
        <v>45</v>
      </c>
      <c r="D432" s="524">
        <v>1</v>
      </c>
      <c r="E432" s="540" t="s">
        <v>489</v>
      </c>
      <c r="F432" s="518" t="s">
        <v>1905</v>
      </c>
    </row>
    <row r="433" spans="1:6" x14ac:dyDescent="0.2">
      <c r="A433" s="519" t="str">
        <f t="shared" si="9"/>
        <v>INDEC-PB - 91547-1</v>
      </c>
      <c r="B433" s="519">
        <v>91547</v>
      </c>
      <c r="C433" s="519" t="s">
        <v>45</v>
      </c>
      <c r="D433" s="519">
        <v>1</v>
      </c>
      <c r="E433" s="539" t="s">
        <v>490</v>
      </c>
    </row>
    <row r="434" spans="1:6" x14ac:dyDescent="0.2">
      <c r="A434" s="519" t="str">
        <f t="shared" si="9"/>
        <v>INDEC-PB - 81100-1</v>
      </c>
      <c r="B434" s="519">
        <v>81100</v>
      </c>
      <c r="C434" s="519" t="s">
        <v>45</v>
      </c>
      <c r="D434" s="519">
        <v>1</v>
      </c>
      <c r="E434" s="539" t="s">
        <v>491</v>
      </c>
    </row>
    <row r="435" spans="1:6" x14ac:dyDescent="0.2">
      <c r="A435" s="524" t="str">
        <f t="shared" si="9"/>
        <v>INDEC-PB - 91601-2</v>
      </c>
      <c r="B435" s="524">
        <v>91601</v>
      </c>
      <c r="C435" s="524" t="s">
        <v>45</v>
      </c>
      <c r="D435" s="524">
        <v>2</v>
      </c>
      <c r="E435" s="540" t="s">
        <v>492</v>
      </c>
      <c r="F435" s="518" t="s">
        <v>1905</v>
      </c>
    </row>
    <row r="436" spans="1:6" x14ac:dyDescent="0.2">
      <c r="A436" s="519" t="str">
        <f t="shared" si="9"/>
        <v>INDEC-PB - 94214-1</v>
      </c>
      <c r="B436" s="519">
        <v>94214</v>
      </c>
      <c r="C436" s="519" t="s">
        <v>45</v>
      </c>
      <c r="D436" s="519">
        <v>1</v>
      </c>
      <c r="E436" s="539" t="s">
        <v>493</v>
      </c>
    </row>
    <row r="437" spans="1:6" x14ac:dyDescent="0.2">
      <c r="A437" s="519" t="str">
        <f t="shared" si="9"/>
        <v>INDEC-PB - 94216-1</v>
      </c>
      <c r="B437" s="519">
        <v>94216</v>
      </c>
      <c r="C437" s="519" t="s">
        <v>45</v>
      </c>
      <c r="D437" s="519">
        <v>1</v>
      </c>
      <c r="E437" s="539" t="s">
        <v>494</v>
      </c>
    </row>
    <row r="438" spans="1:6" x14ac:dyDescent="0.2">
      <c r="A438" s="524" t="str">
        <f t="shared" si="9"/>
        <v>INDEC-PB - 93310-2</v>
      </c>
      <c r="B438" s="524">
        <v>93310</v>
      </c>
      <c r="C438" s="524" t="s">
        <v>45</v>
      </c>
      <c r="D438" s="524">
        <v>2</v>
      </c>
      <c r="E438" s="540" t="s">
        <v>495</v>
      </c>
      <c r="F438" s="518" t="s">
        <v>1905</v>
      </c>
    </row>
    <row r="439" spans="1:6" x14ac:dyDescent="0.2">
      <c r="A439" s="519" t="str">
        <f t="shared" si="9"/>
        <v>INDEC-PB - 82129-1</v>
      </c>
      <c r="B439" s="519">
        <v>82129</v>
      </c>
      <c r="C439" s="519" t="s">
        <v>45</v>
      </c>
      <c r="D439" s="519">
        <v>1</v>
      </c>
      <c r="E439" s="539" t="s">
        <v>496</v>
      </c>
    </row>
    <row r="440" spans="1:6" x14ac:dyDescent="0.2">
      <c r="A440" s="524" t="str">
        <f t="shared" si="9"/>
        <v>INDEC-PB - 91251-1</v>
      </c>
      <c r="B440" s="524">
        <v>91251</v>
      </c>
      <c r="C440" s="524" t="s">
        <v>45</v>
      </c>
      <c r="D440" s="524">
        <v>1</v>
      </c>
      <c r="E440" s="540" t="s">
        <v>497</v>
      </c>
      <c r="F440" s="518" t="s">
        <v>1905</v>
      </c>
    </row>
    <row r="441" spans="1:6" x14ac:dyDescent="0.2">
      <c r="A441" s="519" t="str">
        <f t="shared" si="9"/>
        <v>INDEC-PB - 93310-1</v>
      </c>
      <c r="B441" s="519">
        <v>93310</v>
      </c>
      <c r="C441" s="519" t="s">
        <v>45</v>
      </c>
      <c r="D441" s="519">
        <v>1</v>
      </c>
      <c r="E441" s="539" t="s">
        <v>498</v>
      </c>
    </row>
    <row r="442" spans="1:6" x14ac:dyDescent="0.2">
      <c r="A442" s="524" t="str">
        <f t="shared" si="9"/>
        <v>INDEC-PB - 84710-1</v>
      </c>
      <c r="B442" s="524">
        <v>84710</v>
      </c>
      <c r="C442" s="524" t="s">
        <v>45</v>
      </c>
      <c r="D442" s="524">
        <v>1</v>
      </c>
      <c r="E442" s="540" t="s">
        <v>499</v>
      </c>
      <c r="F442" s="518" t="s">
        <v>1905</v>
      </c>
    </row>
    <row r="443" spans="1:6" x14ac:dyDescent="0.2">
      <c r="A443" s="524" t="str">
        <f t="shared" si="9"/>
        <v>INDEC-PB - 84740-1</v>
      </c>
      <c r="B443" s="524">
        <v>84740</v>
      </c>
      <c r="C443" s="524" t="s">
        <v>45</v>
      </c>
      <c r="D443" s="524">
        <v>1</v>
      </c>
      <c r="E443" s="540" t="s">
        <v>500</v>
      </c>
      <c r="F443" s="518" t="s">
        <v>1905</v>
      </c>
    </row>
    <row r="444" spans="1:6" x14ac:dyDescent="0.2">
      <c r="A444" s="524" t="str">
        <f t="shared" si="9"/>
        <v>INDEC-PB - 84230-1</v>
      </c>
      <c r="B444" s="524">
        <v>84230</v>
      </c>
      <c r="C444" s="524" t="s">
        <v>45</v>
      </c>
      <c r="D444" s="524">
        <v>1</v>
      </c>
      <c r="E444" s="540" t="s">
        <v>501</v>
      </c>
      <c r="F444" s="518" t="s">
        <v>1905</v>
      </c>
    </row>
    <row r="445" spans="1:6" x14ac:dyDescent="0.2">
      <c r="A445" s="519" t="str">
        <f t="shared" si="9"/>
        <v>INDEC-PB - 85490-1</v>
      </c>
      <c r="B445" s="519">
        <v>85490</v>
      </c>
      <c r="C445" s="519" t="s">
        <v>45</v>
      </c>
      <c r="D445" s="519">
        <v>1</v>
      </c>
      <c r="E445" s="539" t="s">
        <v>502</v>
      </c>
    </row>
    <row r="448" spans="1:6" x14ac:dyDescent="0.2">
      <c r="A448" s="539"/>
      <c r="B448" s="517" t="s">
        <v>504</v>
      </c>
      <c r="C448" s="18"/>
      <c r="D448" s="18"/>
    </row>
    <row r="449" spans="1:5" x14ac:dyDescent="0.2">
      <c r="A449" s="539"/>
      <c r="B449" s="527"/>
      <c r="C449" s="18"/>
      <c r="D449" s="18"/>
    </row>
    <row r="450" spans="1:5" x14ac:dyDescent="0.2">
      <c r="A450" s="745" t="s">
        <v>343</v>
      </c>
      <c r="B450" s="745" t="s">
        <v>505</v>
      </c>
      <c r="C450" s="745"/>
      <c r="D450" s="745"/>
      <c r="E450" s="745" t="s">
        <v>43</v>
      </c>
    </row>
    <row r="451" spans="1:5" x14ac:dyDescent="0.2">
      <c r="A451" s="745"/>
      <c r="B451" s="745" t="s">
        <v>506</v>
      </c>
      <c r="C451" s="745"/>
      <c r="D451" s="745"/>
      <c r="E451" s="745"/>
    </row>
    <row r="452" spans="1:5" x14ac:dyDescent="0.2">
      <c r="B452" s="16"/>
      <c r="C452" s="18"/>
      <c r="D452" s="18"/>
      <c r="E452" s="544"/>
    </row>
    <row r="453" spans="1:5" x14ac:dyDescent="0.2">
      <c r="B453" s="16"/>
      <c r="C453" s="18"/>
      <c r="D453" s="18"/>
      <c r="E453" s="542" t="s">
        <v>507</v>
      </c>
    </row>
    <row r="454" spans="1:5" x14ac:dyDescent="0.2">
      <c r="A454" s="519" t="str">
        <f t="shared" ref="A454:A474" si="10">CONCATENATE("INDEC-PB - ",B454,C454,D454)</f>
        <v>INDEC-PB - 2811-1</v>
      </c>
      <c r="B454" s="18">
        <v>2811</v>
      </c>
      <c r="C454" s="519" t="s">
        <v>45</v>
      </c>
      <c r="D454" s="519">
        <v>1</v>
      </c>
      <c r="E454" s="17" t="s">
        <v>508</v>
      </c>
    </row>
    <row r="455" spans="1:5" x14ac:dyDescent="0.2">
      <c r="A455" s="519" t="str">
        <f t="shared" si="10"/>
        <v>INDEC-PB - 2710-1</v>
      </c>
      <c r="B455" s="18">
        <v>2710</v>
      </c>
      <c r="C455" s="519" t="s">
        <v>45</v>
      </c>
      <c r="D455" s="519">
        <v>1</v>
      </c>
      <c r="E455" s="17" t="s">
        <v>509</v>
      </c>
    </row>
    <row r="456" spans="1:5" x14ac:dyDescent="0.2">
      <c r="A456" s="519" t="str">
        <f t="shared" si="10"/>
        <v>INDEC-PB - 2922-1</v>
      </c>
      <c r="B456" s="18">
        <v>2922</v>
      </c>
      <c r="C456" s="519" t="s">
        <v>45</v>
      </c>
      <c r="D456" s="519">
        <v>1</v>
      </c>
      <c r="E456" s="17" t="s">
        <v>510</v>
      </c>
    </row>
    <row r="457" spans="1:5" x14ac:dyDescent="0.2">
      <c r="A457" s="519" t="str">
        <f t="shared" si="10"/>
        <v>INDEC-PB - 2691-</v>
      </c>
      <c r="B457" s="18">
        <v>2691</v>
      </c>
      <c r="C457" s="519" t="s">
        <v>45</v>
      </c>
      <c r="E457" s="17" t="s">
        <v>511</v>
      </c>
    </row>
    <row r="458" spans="1:5" x14ac:dyDescent="0.2">
      <c r="A458" s="519" t="str">
        <f t="shared" si="10"/>
        <v>INDEC-PB - 2695-</v>
      </c>
      <c r="B458" s="18">
        <v>2695</v>
      </c>
      <c r="C458" s="519" t="s">
        <v>45</v>
      </c>
      <c r="E458" s="17" t="s">
        <v>512</v>
      </c>
    </row>
    <row r="459" spans="1:5" x14ac:dyDescent="0.2">
      <c r="A459" s="519" t="str">
        <f t="shared" si="10"/>
        <v>INDEC-PB - 3410-2</v>
      </c>
      <c r="B459" s="18">
        <v>3410</v>
      </c>
      <c r="C459" s="519" t="s">
        <v>45</v>
      </c>
      <c r="D459" s="519">
        <v>2</v>
      </c>
      <c r="E459" s="17" t="s">
        <v>513</v>
      </c>
    </row>
    <row r="460" spans="1:5" x14ac:dyDescent="0.2">
      <c r="A460" s="519" t="str">
        <f t="shared" si="10"/>
        <v>INDEC-PB - 2520-1</v>
      </c>
      <c r="B460" s="18">
        <v>2520</v>
      </c>
      <c r="C460" s="519" t="s">
        <v>45</v>
      </c>
      <c r="D460" s="519">
        <v>1</v>
      </c>
      <c r="E460" s="539" t="s">
        <v>514</v>
      </c>
    </row>
    <row r="461" spans="1:5" x14ac:dyDescent="0.2">
      <c r="A461" s="519" t="str">
        <f t="shared" si="10"/>
        <v>INDEC-PB - 2413-3</v>
      </c>
      <c r="B461" s="18">
        <v>2413</v>
      </c>
      <c r="C461" s="519" t="s">
        <v>45</v>
      </c>
      <c r="D461" s="519">
        <v>3</v>
      </c>
      <c r="E461" s="539" t="s">
        <v>515</v>
      </c>
    </row>
    <row r="462" spans="1:5" x14ac:dyDescent="0.2">
      <c r="A462" s="519" t="str">
        <f t="shared" si="10"/>
        <v>INDEC-PB - 2519-1</v>
      </c>
      <c r="B462" s="18">
        <v>2519</v>
      </c>
      <c r="C462" s="519" t="s">
        <v>45</v>
      </c>
      <c r="D462" s="519">
        <v>1</v>
      </c>
      <c r="E462" s="539" t="s">
        <v>516</v>
      </c>
    </row>
    <row r="463" spans="1:5" x14ac:dyDescent="0.2">
      <c r="A463" s="519" t="str">
        <f t="shared" si="10"/>
        <v>INDEC-PB - 2520-3</v>
      </c>
      <c r="B463" s="18">
        <v>2520</v>
      </c>
      <c r="C463" s="519" t="s">
        <v>45</v>
      </c>
      <c r="D463" s="519">
        <v>3</v>
      </c>
      <c r="E463" s="539" t="s">
        <v>517</v>
      </c>
    </row>
    <row r="464" spans="1:5" x14ac:dyDescent="0.2">
      <c r="A464" s="519" t="str">
        <f t="shared" si="10"/>
        <v>INDEC-PB - 2022-1</v>
      </c>
      <c r="B464" s="18">
        <v>2022</v>
      </c>
      <c r="C464" s="519" t="s">
        <v>45</v>
      </c>
      <c r="D464" s="519">
        <v>1</v>
      </c>
      <c r="E464" s="539" t="s">
        <v>518</v>
      </c>
    </row>
    <row r="465" spans="1:5" x14ac:dyDescent="0.2">
      <c r="A465" s="519" t="str">
        <f t="shared" si="10"/>
        <v>INDEC-PB - 2511-1</v>
      </c>
      <c r="B465" s="18">
        <v>2511</v>
      </c>
      <c r="C465" s="519" t="s">
        <v>45</v>
      </c>
      <c r="D465" s="519">
        <v>1</v>
      </c>
      <c r="E465" s="539" t="s">
        <v>519</v>
      </c>
    </row>
    <row r="466" spans="1:5" x14ac:dyDescent="0.2">
      <c r="A466" s="519" t="str">
        <f t="shared" si="10"/>
        <v>INDEC-PB - 2899-</v>
      </c>
      <c r="B466" s="18">
        <v>2899</v>
      </c>
      <c r="C466" s="519" t="s">
        <v>45</v>
      </c>
      <c r="E466" s="539" t="s">
        <v>520</v>
      </c>
    </row>
    <row r="467" spans="1:5" x14ac:dyDescent="0.2">
      <c r="A467" s="519" t="str">
        <f t="shared" si="10"/>
        <v>INDEC-PB - 3110-1</v>
      </c>
      <c r="B467" s="18">
        <v>3110</v>
      </c>
      <c r="C467" s="519" t="s">
        <v>45</v>
      </c>
      <c r="D467" s="519">
        <v>1</v>
      </c>
      <c r="E467" s="539" t="s">
        <v>521</v>
      </c>
    </row>
    <row r="468" spans="1:5" x14ac:dyDescent="0.2">
      <c r="A468" s="519" t="str">
        <f t="shared" si="10"/>
        <v>INDEC-PB - 2320-1</v>
      </c>
      <c r="B468" s="18">
        <v>2320</v>
      </c>
      <c r="C468" s="519" t="s">
        <v>45</v>
      </c>
      <c r="D468" s="519">
        <v>1</v>
      </c>
      <c r="E468" s="539" t="s">
        <v>522</v>
      </c>
    </row>
    <row r="469" spans="1:5" x14ac:dyDescent="0.2">
      <c r="A469" s="519" t="str">
        <f t="shared" si="10"/>
        <v>INDEC-PB - 2924-1</v>
      </c>
      <c r="B469" s="18">
        <v>2924</v>
      </c>
      <c r="C469" s="519" t="s">
        <v>45</v>
      </c>
      <c r="D469" s="519">
        <v>1</v>
      </c>
      <c r="E469" s="539" t="s">
        <v>523</v>
      </c>
    </row>
    <row r="470" spans="1:5" x14ac:dyDescent="0.2">
      <c r="A470" s="519" t="str">
        <f t="shared" si="10"/>
        <v>INDEC-PB - 2692-1</v>
      </c>
      <c r="B470" s="18">
        <v>2692</v>
      </c>
      <c r="C470" s="519" t="s">
        <v>45</v>
      </c>
      <c r="D470" s="519">
        <v>1</v>
      </c>
      <c r="E470" s="539" t="s">
        <v>524</v>
      </c>
    </row>
    <row r="471" spans="1:5" x14ac:dyDescent="0.2">
      <c r="A471" s="519" t="str">
        <f t="shared" si="10"/>
        <v>INDEC-PB - 3410-</v>
      </c>
      <c r="B471" s="18">
        <v>3410</v>
      </c>
      <c r="C471" s="519" t="s">
        <v>45</v>
      </c>
      <c r="E471" s="539" t="s">
        <v>525</v>
      </c>
    </row>
    <row r="472" spans="1:5" x14ac:dyDescent="0.2">
      <c r="A472" s="519" t="str">
        <f t="shared" si="10"/>
        <v>INDEC-PB - 2413-1</v>
      </c>
      <c r="B472" s="18">
        <v>2413</v>
      </c>
      <c r="C472" s="519" t="s">
        <v>45</v>
      </c>
      <c r="D472" s="519">
        <v>1</v>
      </c>
      <c r="E472" s="539" t="s">
        <v>526</v>
      </c>
    </row>
    <row r="473" spans="1:5" x14ac:dyDescent="0.2">
      <c r="A473" s="519" t="str">
        <f t="shared" si="10"/>
        <v>INDEC-PB - 291-</v>
      </c>
      <c r="B473" s="18">
        <v>291</v>
      </c>
      <c r="C473" s="519" t="s">
        <v>45</v>
      </c>
      <c r="E473" s="17" t="s">
        <v>527</v>
      </c>
    </row>
    <row r="474" spans="1:5" x14ac:dyDescent="0.2">
      <c r="A474" s="519" t="str">
        <f t="shared" si="10"/>
        <v>INDEC-PB - 2610-1</v>
      </c>
      <c r="B474" s="18">
        <v>2610</v>
      </c>
      <c r="C474" s="519" t="s">
        <v>45</v>
      </c>
      <c r="D474" s="519">
        <v>1</v>
      </c>
      <c r="E474" s="17" t="s">
        <v>528</v>
      </c>
    </row>
    <row r="475" spans="1:5" x14ac:dyDescent="0.2">
      <c r="A475" s="18"/>
      <c r="B475" s="528"/>
      <c r="C475" s="18"/>
      <c r="E475" s="17"/>
    </row>
    <row r="476" spans="1:5" x14ac:dyDescent="0.2">
      <c r="A476" s="18"/>
      <c r="B476" s="528"/>
      <c r="C476" s="18"/>
      <c r="E476" s="542" t="s">
        <v>484</v>
      </c>
    </row>
    <row r="477" spans="1:5" x14ac:dyDescent="0.2">
      <c r="A477" s="519" t="str">
        <f t="shared" ref="A477:A482" si="11">CONCATENATE("INDEC-PB - ",B477,C477,D477)</f>
        <v>INDEC-PB - 2710-1</v>
      </c>
      <c r="B477" s="18">
        <v>2710</v>
      </c>
      <c r="C477" s="519" t="s">
        <v>45</v>
      </c>
      <c r="D477" s="18">
        <v>1</v>
      </c>
      <c r="E477" s="17" t="s">
        <v>529</v>
      </c>
    </row>
    <row r="478" spans="1:5" x14ac:dyDescent="0.2">
      <c r="A478" s="519" t="str">
        <f t="shared" si="11"/>
        <v>INDEC-PB - 2720-1</v>
      </c>
      <c r="B478" s="18">
        <v>2720</v>
      </c>
      <c r="C478" s="519" t="s">
        <v>45</v>
      </c>
      <c r="D478" s="18">
        <v>1</v>
      </c>
      <c r="E478" s="17" t="s">
        <v>530</v>
      </c>
    </row>
    <row r="479" spans="1:5" x14ac:dyDescent="0.2">
      <c r="A479" s="519" t="str">
        <f t="shared" si="11"/>
        <v>INDEC-PB - 2922-1</v>
      </c>
      <c r="B479" s="18">
        <v>2922</v>
      </c>
      <c r="C479" s="519" t="s">
        <v>45</v>
      </c>
      <c r="D479" s="18">
        <v>1</v>
      </c>
      <c r="E479" s="17" t="s">
        <v>531</v>
      </c>
    </row>
    <row r="480" spans="1:5" x14ac:dyDescent="0.2">
      <c r="A480" s="519" t="str">
        <f t="shared" si="11"/>
        <v>INDEC-PB - 2913-1</v>
      </c>
      <c r="B480" s="18">
        <v>2913</v>
      </c>
      <c r="C480" s="519" t="s">
        <v>45</v>
      </c>
      <c r="D480" s="18">
        <v>1</v>
      </c>
      <c r="E480" s="17" t="s">
        <v>532</v>
      </c>
    </row>
    <row r="481" spans="1:8" x14ac:dyDescent="0.2">
      <c r="A481" s="519" t="str">
        <f t="shared" si="11"/>
        <v>INDEC-PB - 2413-11</v>
      </c>
      <c r="B481" s="18">
        <v>2413</v>
      </c>
      <c r="C481" s="519" t="s">
        <v>45</v>
      </c>
      <c r="D481" s="18">
        <v>11</v>
      </c>
      <c r="E481" s="17" t="s">
        <v>533</v>
      </c>
    </row>
    <row r="482" spans="1:8" x14ac:dyDescent="0.2">
      <c r="A482" s="519" t="str">
        <f t="shared" si="11"/>
        <v>INDEC-PB - 2411-1</v>
      </c>
      <c r="B482" s="18">
        <v>2411</v>
      </c>
      <c r="C482" s="519" t="s">
        <v>45</v>
      </c>
      <c r="D482" s="18">
        <v>1</v>
      </c>
      <c r="E482" s="17" t="s">
        <v>534</v>
      </c>
    </row>
    <row r="485" spans="1:8" x14ac:dyDescent="0.2">
      <c r="A485" s="545"/>
      <c r="B485" s="517" t="s">
        <v>570</v>
      </c>
      <c r="C485" s="546"/>
      <c r="D485" s="546"/>
    </row>
    <row r="487" spans="1:8" x14ac:dyDescent="0.2">
      <c r="A487" s="521"/>
      <c r="B487" s="745" t="s">
        <v>261</v>
      </c>
      <c r="C487" s="521"/>
      <c r="D487" s="521"/>
      <c r="E487" s="745" t="s">
        <v>262</v>
      </c>
      <c r="F487" s="745" t="s">
        <v>263</v>
      </c>
      <c r="G487" s="745" t="s">
        <v>264</v>
      </c>
    </row>
    <row r="488" spans="1:8" x14ac:dyDescent="0.2">
      <c r="A488" s="521"/>
      <c r="B488" s="745"/>
      <c r="C488" s="521"/>
      <c r="D488" s="521"/>
      <c r="E488" s="745"/>
      <c r="F488" s="745" t="s">
        <v>265</v>
      </c>
      <c r="G488" s="745"/>
    </row>
    <row r="490" spans="1:8" x14ac:dyDescent="0.2">
      <c r="A490" s="519" t="str">
        <f t="shared" ref="A490:A500" si="12">CONCATENATE("INDEC-DCTO - Inciso ",B490)</f>
        <v>INDEC-DCTO - Inciso a)</v>
      </c>
      <c r="B490" s="519" t="s">
        <v>266</v>
      </c>
      <c r="E490" s="518" t="s">
        <v>267</v>
      </c>
      <c r="F490" s="519" t="s">
        <v>268</v>
      </c>
      <c r="G490" s="518" t="s">
        <v>269</v>
      </c>
    </row>
    <row r="491" spans="1:8" x14ac:dyDescent="0.2">
      <c r="A491" s="519" t="str">
        <f t="shared" si="12"/>
        <v>INDEC-DCTO - Inciso b)</v>
      </c>
      <c r="B491" s="519" t="s">
        <v>270</v>
      </c>
      <c r="E491" s="518" t="s">
        <v>271</v>
      </c>
      <c r="F491" s="519" t="s">
        <v>272</v>
      </c>
      <c r="G491" s="518" t="s">
        <v>273</v>
      </c>
    </row>
    <row r="492" spans="1:8" x14ac:dyDescent="0.2">
      <c r="A492" s="519" t="str">
        <f t="shared" si="12"/>
        <v>INDEC-DCTO - Inciso d)</v>
      </c>
      <c r="B492" s="519" t="s">
        <v>274</v>
      </c>
      <c r="E492" s="518" t="s">
        <v>275</v>
      </c>
      <c r="F492" s="519" t="s">
        <v>272</v>
      </c>
      <c r="G492" s="518" t="s">
        <v>276</v>
      </c>
    </row>
    <row r="493" spans="1:8" x14ac:dyDescent="0.2">
      <c r="A493" s="519" t="str">
        <f t="shared" si="12"/>
        <v>INDEC-DCTO - Inciso f)</v>
      </c>
      <c r="B493" s="519" t="s">
        <v>277</v>
      </c>
      <c r="E493" s="518" t="s">
        <v>278</v>
      </c>
      <c r="F493" s="519" t="s">
        <v>279</v>
      </c>
      <c r="G493" s="518" t="s">
        <v>280</v>
      </c>
    </row>
    <row r="494" spans="1:8" x14ac:dyDescent="0.2">
      <c r="A494" s="519" t="str">
        <f t="shared" si="12"/>
        <v>INDEC-DCTO - Inciso g)</v>
      </c>
      <c r="B494" s="519" t="s">
        <v>281</v>
      </c>
      <c r="E494" s="518" t="s">
        <v>282</v>
      </c>
      <c r="F494" s="519" t="s">
        <v>272</v>
      </c>
      <c r="G494" s="518" t="s">
        <v>283</v>
      </c>
    </row>
    <row r="495" spans="1:8" x14ac:dyDescent="0.2">
      <c r="A495" s="519" t="str">
        <f t="shared" si="12"/>
        <v>INDEC-DCTO - Inciso h)</v>
      </c>
      <c r="B495" s="519" t="s">
        <v>284</v>
      </c>
      <c r="E495" s="518" t="s">
        <v>285</v>
      </c>
      <c r="F495" s="519" t="s">
        <v>286</v>
      </c>
      <c r="G495" s="518" t="s">
        <v>287</v>
      </c>
    </row>
    <row r="496" spans="1:8" x14ac:dyDescent="0.2">
      <c r="A496" s="651" t="str">
        <f t="shared" si="12"/>
        <v>INDEC-DCTO - Inciso p)</v>
      </c>
      <c r="B496" s="651" t="s">
        <v>288</v>
      </c>
      <c r="C496" s="651"/>
      <c r="D496" s="651"/>
      <c r="E496" s="654" t="s">
        <v>289</v>
      </c>
      <c r="F496" s="651" t="s">
        <v>268</v>
      </c>
      <c r="G496" s="654" t="s">
        <v>290</v>
      </c>
      <c r="H496" s="655"/>
    </row>
    <row r="497" spans="1:7" x14ac:dyDescent="0.2">
      <c r="A497" s="519" t="str">
        <f t="shared" si="12"/>
        <v>INDEC-DCTO - Inciso r)</v>
      </c>
      <c r="B497" s="519" t="s">
        <v>291</v>
      </c>
      <c r="E497" s="518" t="s">
        <v>292</v>
      </c>
      <c r="F497" s="519" t="s">
        <v>272</v>
      </c>
      <c r="G497" s="518" t="s">
        <v>293</v>
      </c>
    </row>
    <row r="498" spans="1:7" x14ac:dyDescent="0.2">
      <c r="A498" s="519" t="str">
        <f t="shared" si="12"/>
        <v>INDEC-DCTO - Inciso s)</v>
      </c>
      <c r="B498" s="519" t="s">
        <v>294</v>
      </c>
      <c r="E498" s="518" t="s">
        <v>295</v>
      </c>
      <c r="F498" s="519" t="s">
        <v>286</v>
      </c>
      <c r="G498" s="518" t="s">
        <v>165</v>
      </c>
    </row>
    <row r="499" spans="1:7" x14ac:dyDescent="0.2">
      <c r="A499" s="519" t="str">
        <f t="shared" si="12"/>
        <v>INDEC-DCTO - Inciso u)</v>
      </c>
      <c r="B499" s="519" t="s">
        <v>296</v>
      </c>
      <c r="E499" s="518" t="s">
        <v>297</v>
      </c>
      <c r="F499" s="519">
        <v>4324041</v>
      </c>
      <c r="G499" s="518" t="s">
        <v>188</v>
      </c>
    </row>
    <row r="500" spans="1:7" x14ac:dyDescent="0.2">
      <c r="A500" s="519" t="str">
        <f t="shared" si="12"/>
        <v>INDEC-DCTO - Inciso v)</v>
      </c>
      <c r="B500" s="519" t="s">
        <v>298</v>
      </c>
      <c r="E500" s="518" t="s">
        <v>299</v>
      </c>
      <c r="F500" s="519">
        <v>4322032</v>
      </c>
      <c r="G500" s="518" t="s">
        <v>133</v>
      </c>
    </row>
    <row r="501" spans="1:7" x14ac:dyDescent="0.2">
      <c r="A501" s="519"/>
      <c r="F501" s="519"/>
    </row>
    <row r="502" spans="1:7" x14ac:dyDescent="0.2">
      <c r="A502" s="519" t="str">
        <f>CONCATENATE("INDEC-DCTO - Inciso ",B502)</f>
        <v>INDEC-DCTO - Inciso c)</v>
      </c>
      <c r="B502" s="519" t="s">
        <v>300</v>
      </c>
      <c r="E502" s="518" t="s">
        <v>301</v>
      </c>
      <c r="F502" s="519"/>
      <c r="G502" s="518" t="s">
        <v>571</v>
      </c>
    </row>
    <row r="503" spans="1:7" x14ac:dyDescent="0.2">
      <c r="A503" s="519" t="str">
        <f>CONCATENATE("INDEC-DCTO - Inciso ",B503)</f>
        <v>INDEC-DCTO - Inciso m)</v>
      </c>
      <c r="B503" s="519" t="s">
        <v>302</v>
      </c>
      <c r="E503" s="518" t="s">
        <v>303</v>
      </c>
      <c r="F503" s="519"/>
      <c r="G503" s="518" t="s">
        <v>572</v>
      </c>
    </row>
    <row r="504" spans="1:7" x14ac:dyDescent="0.2">
      <c r="A504" s="519" t="str">
        <f>CONCATENATE("INDEC-DCTO - Inciso ",B504)</f>
        <v>INDEC-DCTO - Inciso n)</v>
      </c>
      <c r="B504" s="519" t="s">
        <v>304</v>
      </c>
      <c r="E504" s="518" t="s">
        <v>305</v>
      </c>
      <c r="F504" s="519"/>
      <c r="G504" s="518" t="s">
        <v>573</v>
      </c>
    </row>
    <row r="505" spans="1:7" x14ac:dyDescent="0.2">
      <c r="A505" s="519" t="str">
        <f>CONCATENATE("INDEC-DCTO - Inciso ",B505)</f>
        <v>INDEC-DCTO - Inciso q)</v>
      </c>
      <c r="B505" s="519" t="s">
        <v>306</v>
      </c>
      <c r="E505" s="518" t="s">
        <v>307</v>
      </c>
      <c r="F505" s="519"/>
      <c r="G505" s="518" t="s">
        <v>574</v>
      </c>
    </row>
    <row r="508" spans="1:7" x14ac:dyDescent="0.2">
      <c r="B508" s="517" t="s">
        <v>575</v>
      </c>
    </row>
    <row r="511" spans="1:7" x14ac:dyDescent="0.2">
      <c r="A511" s="521"/>
      <c r="B511" s="745" t="s">
        <v>261</v>
      </c>
      <c r="C511" s="521"/>
      <c r="D511" s="521"/>
      <c r="E511" s="745" t="s">
        <v>262</v>
      </c>
      <c r="F511" s="745" t="s">
        <v>263</v>
      </c>
      <c r="G511" s="745" t="s">
        <v>264</v>
      </c>
    </row>
    <row r="512" spans="1:7" x14ac:dyDescent="0.2">
      <c r="A512" s="521"/>
      <c r="B512" s="745"/>
      <c r="C512" s="521"/>
      <c r="D512" s="521"/>
      <c r="E512" s="745"/>
      <c r="F512" s="745" t="s">
        <v>265</v>
      </c>
      <c r="G512" s="745"/>
    </row>
    <row r="513" spans="1:7" x14ac:dyDescent="0.2">
      <c r="A513" s="17"/>
      <c r="B513" s="16"/>
      <c r="C513" s="16"/>
      <c r="D513" s="16"/>
      <c r="E513" s="17"/>
      <c r="F513" s="17"/>
      <c r="G513" s="17"/>
    </row>
    <row r="514" spans="1:7" x14ac:dyDescent="0.2">
      <c r="A514" s="17"/>
      <c r="B514" s="16"/>
      <c r="C514" s="16"/>
      <c r="D514" s="16"/>
      <c r="E514" s="534" t="s">
        <v>507</v>
      </c>
      <c r="F514" s="17"/>
      <c r="G514" s="17"/>
    </row>
    <row r="515" spans="1:7" x14ac:dyDescent="0.2">
      <c r="A515" s="519" t="str">
        <f>CONCATENATE("INDEC-DCTO - Inciso ",B515)</f>
        <v>INDEC-DCTO - Inciso e)</v>
      </c>
      <c r="B515" s="519" t="s">
        <v>564</v>
      </c>
      <c r="C515" s="16"/>
      <c r="D515" s="16"/>
      <c r="E515" s="17" t="s">
        <v>546</v>
      </c>
      <c r="F515" s="16" t="s">
        <v>547</v>
      </c>
      <c r="G515" s="17" t="s">
        <v>548</v>
      </c>
    </row>
    <row r="516" spans="1:7" x14ac:dyDescent="0.2">
      <c r="A516" s="519" t="str">
        <f>CONCATENATE("INDEC-DCTO - Inciso ",B516)</f>
        <v>INDEC-DCTO - Inciso i)</v>
      </c>
      <c r="B516" s="519" t="s">
        <v>565</v>
      </c>
      <c r="C516" s="16"/>
      <c r="D516" s="16"/>
      <c r="E516" s="17" t="s">
        <v>549</v>
      </c>
      <c r="F516" s="16" t="s">
        <v>550</v>
      </c>
      <c r="G516" s="17" t="s">
        <v>551</v>
      </c>
    </row>
    <row r="517" spans="1:7" x14ac:dyDescent="0.2">
      <c r="A517" s="651" t="str">
        <f>CONCATENATE("INDEC-DCTO - Inciso ",B517)</f>
        <v>INDEC-DCTO - Inciso k)</v>
      </c>
      <c r="B517" s="651" t="s">
        <v>566</v>
      </c>
      <c r="C517" s="652"/>
      <c r="D517" s="652"/>
      <c r="E517" s="653" t="s">
        <v>552</v>
      </c>
      <c r="F517" s="652" t="s">
        <v>553</v>
      </c>
      <c r="G517" s="653" t="s">
        <v>554</v>
      </c>
    </row>
    <row r="518" spans="1:7" x14ac:dyDescent="0.2">
      <c r="A518" s="519" t="str">
        <f>CONCATENATE("INDEC-DCTO - Inciso ",B518)</f>
        <v>INDEC-DCTO - Inciso t)</v>
      </c>
      <c r="B518" s="519" t="s">
        <v>567</v>
      </c>
      <c r="C518" s="16"/>
      <c r="D518" s="16"/>
      <c r="E518" s="17" t="s">
        <v>555</v>
      </c>
      <c r="F518" s="16" t="s">
        <v>556</v>
      </c>
      <c r="G518" s="17" t="s">
        <v>557</v>
      </c>
    </row>
    <row r="519" spans="1:7" x14ac:dyDescent="0.2">
      <c r="A519" s="519" t="str">
        <f>CONCATENATE("INDEC-DCTO - Inciso ",B519)</f>
        <v>INDEC-DCTO - Inciso w)</v>
      </c>
      <c r="B519" s="519"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34" t="s">
        <v>484</v>
      </c>
      <c r="F521" s="16"/>
      <c r="G521" s="17"/>
    </row>
    <row r="522" spans="1:7" x14ac:dyDescent="0.2">
      <c r="A522" s="651" t="str">
        <f>CONCATENATE("INDEC-DCTO - Inciso ",B522)</f>
        <v>INDEC-DCTO - Inciso j)</v>
      </c>
      <c r="B522" s="651" t="s">
        <v>569</v>
      </c>
      <c r="C522" s="652"/>
      <c r="D522" s="652"/>
      <c r="E522" s="653" t="s">
        <v>561</v>
      </c>
      <c r="F522" s="652" t="s">
        <v>562</v>
      </c>
      <c r="G522" s="653" t="s">
        <v>563</v>
      </c>
    </row>
    <row r="523" spans="1:7" x14ac:dyDescent="0.2">
      <c r="A523" s="16"/>
      <c r="B523" s="16"/>
      <c r="C523" s="16"/>
      <c r="D523" s="16"/>
      <c r="E523" s="17"/>
      <c r="F523" s="16"/>
      <c r="G523" s="17"/>
    </row>
    <row r="526" spans="1:7" x14ac:dyDescent="0.2">
      <c r="A526" s="17"/>
      <c r="B526" s="528"/>
      <c r="C526" s="16"/>
      <c r="D526" s="16"/>
      <c r="E526" s="17"/>
    </row>
    <row r="528" spans="1:7" x14ac:dyDescent="0.2">
      <c r="A528" s="516"/>
      <c r="B528" s="517" t="s">
        <v>308</v>
      </c>
      <c r="C528" s="517"/>
      <c r="D528" s="517"/>
    </row>
    <row r="530" spans="1:5" x14ac:dyDescent="0.2">
      <c r="A530" s="745" t="s">
        <v>343</v>
      </c>
      <c r="B530" s="745" t="s">
        <v>42</v>
      </c>
      <c r="C530" s="745"/>
      <c r="D530" s="745"/>
      <c r="E530" s="745" t="s">
        <v>43</v>
      </c>
    </row>
    <row r="531" spans="1:5" x14ac:dyDescent="0.2">
      <c r="A531" s="745"/>
      <c r="B531" s="745" t="s">
        <v>44</v>
      </c>
      <c r="C531" s="745"/>
      <c r="D531" s="745"/>
      <c r="E531" s="745"/>
    </row>
    <row r="532" spans="1:5" x14ac:dyDescent="0.2">
      <c r="A532" s="519" t="str">
        <f t="shared" ref="A532:A553" si="13">CONCATENATE("INDEC-GG ",B532,C532,D532)</f>
        <v>INDEC-GG 18000-1</v>
      </c>
      <c r="B532" s="519">
        <v>18000</v>
      </c>
      <c r="C532" s="519" t="s">
        <v>45</v>
      </c>
      <c r="D532" s="519">
        <v>1</v>
      </c>
      <c r="E532" s="522" t="s">
        <v>309</v>
      </c>
    </row>
    <row r="533" spans="1:5" x14ac:dyDescent="0.2">
      <c r="A533" s="519" t="str">
        <f t="shared" si="13"/>
        <v>INDEC-GG 83107-1</v>
      </c>
      <c r="B533" s="519">
        <v>83107</v>
      </c>
      <c r="C533" s="519" t="s">
        <v>45</v>
      </c>
      <c r="D533" s="519">
        <v>1</v>
      </c>
      <c r="E533" s="522" t="s">
        <v>310</v>
      </c>
    </row>
    <row r="534" spans="1:5" x14ac:dyDescent="0.2">
      <c r="A534" s="519" t="str">
        <f t="shared" si="13"/>
        <v>INDEC-GG 71240-11</v>
      </c>
      <c r="B534" s="519">
        <v>71240</v>
      </c>
      <c r="C534" s="519" t="s">
        <v>45</v>
      </c>
      <c r="D534" s="519">
        <v>11</v>
      </c>
      <c r="E534" s="523" t="s">
        <v>311</v>
      </c>
    </row>
    <row r="535" spans="1:5" x14ac:dyDescent="0.2">
      <c r="A535" s="519" t="str">
        <f t="shared" si="13"/>
        <v>INDEC-GG 71233-11</v>
      </c>
      <c r="B535" s="519">
        <v>71233</v>
      </c>
      <c r="C535" s="519" t="s">
        <v>45</v>
      </c>
      <c r="D535" s="519">
        <v>11</v>
      </c>
      <c r="E535" s="523" t="s">
        <v>312</v>
      </c>
    </row>
    <row r="536" spans="1:5" x14ac:dyDescent="0.2">
      <c r="A536" s="519" t="str">
        <f t="shared" si="13"/>
        <v>INDEC-GG 51800-11</v>
      </c>
      <c r="B536" s="519">
        <v>51800</v>
      </c>
      <c r="C536" s="519" t="s">
        <v>45</v>
      </c>
      <c r="D536" s="519">
        <v>11</v>
      </c>
      <c r="E536" s="523" t="s">
        <v>313</v>
      </c>
    </row>
    <row r="537" spans="1:5" x14ac:dyDescent="0.2">
      <c r="A537" s="519" t="str">
        <f t="shared" si="13"/>
        <v>INDEC-GG 51800-21</v>
      </c>
      <c r="B537" s="519">
        <v>51800</v>
      </c>
      <c r="C537" s="519" t="s">
        <v>45</v>
      </c>
      <c r="D537" s="519">
        <v>21</v>
      </c>
      <c r="E537" s="522" t="s">
        <v>314</v>
      </c>
    </row>
    <row r="538" spans="1:5" x14ac:dyDescent="0.2">
      <c r="A538" s="519" t="str">
        <f t="shared" si="13"/>
        <v>INDEC-GG 74110-11</v>
      </c>
      <c r="B538" s="519">
        <v>74110</v>
      </c>
      <c r="C538" s="519" t="s">
        <v>45</v>
      </c>
      <c r="D538" s="519">
        <v>11</v>
      </c>
      <c r="E538" s="523" t="s">
        <v>315</v>
      </c>
    </row>
    <row r="539" spans="1:5" x14ac:dyDescent="0.2">
      <c r="A539" s="519" t="str">
        <f t="shared" si="13"/>
        <v>INDEC-GG 51560-31</v>
      </c>
      <c r="B539" s="519">
        <v>51560</v>
      </c>
      <c r="C539" s="519" t="s">
        <v>45</v>
      </c>
      <c r="D539" s="519">
        <v>31</v>
      </c>
      <c r="E539" s="522" t="s">
        <v>316</v>
      </c>
    </row>
    <row r="540" spans="1:5" x14ac:dyDescent="0.2">
      <c r="A540" s="519" t="str">
        <f t="shared" si="13"/>
        <v>INDEC-GG 53111-1</v>
      </c>
      <c r="B540" s="519">
        <v>53111</v>
      </c>
      <c r="C540" s="519" t="s">
        <v>45</v>
      </c>
      <c r="D540" s="519">
        <v>1</v>
      </c>
      <c r="E540" s="523" t="s">
        <v>317</v>
      </c>
    </row>
    <row r="541" spans="1:5" x14ac:dyDescent="0.2">
      <c r="A541" s="519" t="str">
        <f t="shared" si="13"/>
        <v>INDEC-GG 54400-1</v>
      </c>
      <c r="B541" s="519">
        <v>54400</v>
      </c>
      <c r="C541" s="519" t="s">
        <v>45</v>
      </c>
      <c r="D541" s="519">
        <v>1</v>
      </c>
      <c r="E541" s="523" t="s">
        <v>318</v>
      </c>
    </row>
    <row r="542" spans="1:5" x14ac:dyDescent="0.2">
      <c r="A542" s="519" t="str">
        <f t="shared" si="13"/>
        <v>INDEC-GG 18000-21</v>
      </c>
      <c r="B542" s="519">
        <v>18000</v>
      </c>
      <c r="C542" s="519" t="s">
        <v>45</v>
      </c>
      <c r="D542" s="519">
        <v>21</v>
      </c>
      <c r="E542" s="523" t="s">
        <v>319</v>
      </c>
    </row>
    <row r="543" spans="1:5" x14ac:dyDescent="0.2">
      <c r="A543" s="519" t="str">
        <f t="shared" si="13"/>
        <v>INDEC-GG 18000-22</v>
      </c>
      <c r="B543" s="519">
        <v>18000</v>
      </c>
      <c r="C543" s="519" t="s">
        <v>45</v>
      </c>
      <c r="D543" s="519">
        <v>22</v>
      </c>
      <c r="E543" s="523" t="s">
        <v>320</v>
      </c>
    </row>
    <row r="544" spans="1:5" x14ac:dyDescent="0.2">
      <c r="A544" s="519" t="str">
        <f t="shared" si="13"/>
        <v>INDEC-GG 88700-2</v>
      </c>
      <c r="B544" s="519">
        <v>88700</v>
      </c>
      <c r="C544" s="519" t="s">
        <v>45</v>
      </c>
      <c r="D544" s="519">
        <v>2</v>
      </c>
      <c r="E544" s="523" t="s">
        <v>321</v>
      </c>
    </row>
    <row r="545" spans="1:5" x14ac:dyDescent="0.2">
      <c r="A545" s="519" t="str">
        <f t="shared" si="13"/>
        <v>INDEC-GG 88700-31</v>
      </c>
      <c r="B545" s="519">
        <v>88700</v>
      </c>
      <c r="C545" s="519" t="s">
        <v>45</v>
      </c>
      <c r="D545" s="519">
        <v>31</v>
      </c>
      <c r="E545" s="522" t="s">
        <v>322</v>
      </c>
    </row>
    <row r="546" spans="1:5" x14ac:dyDescent="0.2">
      <c r="A546" s="519" t="str">
        <f t="shared" si="13"/>
        <v>INDEC-GG DEP-EQ</v>
      </c>
      <c r="B546" s="519" t="s">
        <v>911</v>
      </c>
      <c r="E546" s="522" t="s">
        <v>323</v>
      </c>
    </row>
    <row r="547" spans="1:5" x14ac:dyDescent="0.2">
      <c r="A547" s="519" t="str">
        <f t="shared" si="13"/>
        <v>INDEC-GG 88700-1</v>
      </c>
      <c r="B547" s="519">
        <v>88700</v>
      </c>
      <c r="C547" s="519" t="s">
        <v>45</v>
      </c>
      <c r="D547" s="519">
        <v>1</v>
      </c>
      <c r="E547" s="522" t="s">
        <v>324</v>
      </c>
    </row>
    <row r="548" spans="1:5" x14ac:dyDescent="0.2">
      <c r="A548" s="519" t="str">
        <f t="shared" si="13"/>
        <v>INDEC-GG 31210-11</v>
      </c>
      <c r="B548" s="519">
        <v>31210</v>
      </c>
      <c r="C548" s="519" t="s">
        <v>45</v>
      </c>
      <c r="D548" s="519">
        <v>11</v>
      </c>
      <c r="E548" s="522" t="s">
        <v>325</v>
      </c>
    </row>
    <row r="549" spans="1:5" x14ac:dyDescent="0.2">
      <c r="A549" s="519" t="str">
        <f t="shared" si="13"/>
        <v>INDEC-GG 81295-1</v>
      </c>
      <c r="B549" s="519">
        <v>81295</v>
      </c>
      <c r="C549" s="519" t="s">
        <v>45</v>
      </c>
      <c r="D549" s="519">
        <v>1</v>
      </c>
      <c r="E549" s="522" t="s">
        <v>326</v>
      </c>
    </row>
    <row r="550" spans="1:5" x14ac:dyDescent="0.2">
      <c r="A550" s="519" t="str">
        <f t="shared" si="13"/>
        <v>INDEC-GG 81297-1</v>
      </c>
      <c r="B550" s="519">
        <v>81297</v>
      </c>
      <c r="C550" s="519" t="s">
        <v>45</v>
      </c>
      <c r="D550" s="519">
        <v>1</v>
      </c>
      <c r="E550" s="523" t="s">
        <v>327</v>
      </c>
    </row>
    <row r="551" spans="1:5" x14ac:dyDescent="0.2">
      <c r="A551" s="519" t="str">
        <f t="shared" si="13"/>
        <v>INDEC-GG 51560-21</v>
      </c>
      <c r="B551" s="519">
        <v>51560</v>
      </c>
      <c r="C551" s="519" t="s">
        <v>45</v>
      </c>
      <c r="D551" s="519">
        <v>21</v>
      </c>
      <c r="E551" s="522" t="s">
        <v>328</v>
      </c>
    </row>
    <row r="552" spans="1:5" x14ac:dyDescent="0.2">
      <c r="A552" s="519" t="str">
        <f t="shared" si="13"/>
        <v>INDEC-GG 31100-11</v>
      </c>
      <c r="B552" s="519">
        <v>31100</v>
      </c>
      <c r="C552" s="519" t="s">
        <v>45</v>
      </c>
      <c r="D552" s="519">
        <v>11</v>
      </c>
      <c r="E552" s="522" t="s">
        <v>329</v>
      </c>
    </row>
    <row r="553" spans="1:5" x14ac:dyDescent="0.2">
      <c r="A553" s="519" t="str">
        <f t="shared" si="13"/>
        <v>INDEC-GG 53211-11</v>
      </c>
      <c r="B553" s="519">
        <v>53211</v>
      </c>
      <c r="C553" s="519" t="s">
        <v>45</v>
      </c>
      <c r="D553" s="519">
        <v>11</v>
      </c>
      <c r="E553" s="523" t="s">
        <v>330</v>
      </c>
    </row>
    <row r="556" spans="1:5" x14ac:dyDescent="0.2">
      <c r="B556" s="517" t="s">
        <v>718</v>
      </c>
    </row>
    <row r="557" spans="1:5" x14ac:dyDescent="0.2">
      <c r="B557" s="517" t="s">
        <v>719</v>
      </c>
    </row>
    <row r="559" spans="1:5" x14ac:dyDescent="0.2">
      <c r="A559" s="519" t="str">
        <f t="shared" ref="A559:A622" si="14">CONCATENATE("DNV-T I - ",B559)</f>
        <v>DNV-T I - 1</v>
      </c>
      <c r="B559" s="519">
        <v>1</v>
      </c>
      <c r="E559" s="518" t="s">
        <v>267</v>
      </c>
    </row>
    <row r="560" spans="1:5" x14ac:dyDescent="0.2">
      <c r="A560" s="519" t="str">
        <f t="shared" si="14"/>
        <v>DNV-T I - 2</v>
      </c>
      <c r="B560" s="519">
        <v>2</v>
      </c>
      <c r="E560" s="518" t="s">
        <v>720</v>
      </c>
    </row>
    <row r="561" spans="1:5" x14ac:dyDescent="0.2">
      <c r="A561" s="519" t="str">
        <f t="shared" si="14"/>
        <v>DNV-T I - 3</v>
      </c>
      <c r="B561" s="519">
        <v>3</v>
      </c>
      <c r="E561" s="518" t="s">
        <v>721</v>
      </c>
    </row>
    <row r="562" spans="1:5" x14ac:dyDescent="0.2">
      <c r="A562" s="519" t="str">
        <f t="shared" si="14"/>
        <v>DNV-T I - 4</v>
      </c>
      <c r="B562" s="519">
        <v>4</v>
      </c>
      <c r="E562" s="518" t="s">
        <v>722</v>
      </c>
    </row>
    <row r="563" spans="1:5" x14ac:dyDescent="0.2">
      <c r="A563" s="519" t="str">
        <f t="shared" si="14"/>
        <v>DNV-T I - 5</v>
      </c>
      <c r="B563" s="519">
        <v>5</v>
      </c>
      <c r="E563" s="518" t="s">
        <v>723</v>
      </c>
    </row>
    <row r="564" spans="1:5" x14ac:dyDescent="0.2">
      <c r="A564" s="519" t="str">
        <f t="shared" si="14"/>
        <v>DNV-T I - 6</v>
      </c>
      <c r="B564" s="519">
        <v>6</v>
      </c>
      <c r="E564" s="518" t="s">
        <v>724</v>
      </c>
    </row>
    <row r="565" spans="1:5" x14ac:dyDescent="0.2">
      <c r="A565" s="519" t="str">
        <f t="shared" si="14"/>
        <v>DNV-T I - 7</v>
      </c>
      <c r="B565" s="519">
        <v>7</v>
      </c>
      <c r="E565" s="518" t="s">
        <v>725</v>
      </c>
    </row>
    <row r="566" spans="1:5" x14ac:dyDescent="0.2">
      <c r="A566" s="519" t="str">
        <f t="shared" si="14"/>
        <v>DNV-T I - 8</v>
      </c>
      <c r="B566" s="519">
        <v>8</v>
      </c>
      <c r="E566" s="518" t="s">
        <v>726</v>
      </c>
    </row>
    <row r="567" spans="1:5" x14ac:dyDescent="0.2">
      <c r="A567" s="519" t="str">
        <f t="shared" si="14"/>
        <v>DNV-T I - 9</v>
      </c>
      <c r="B567" s="519">
        <v>9</v>
      </c>
      <c r="E567" s="518" t="s">
        <v>727</v>
      </c>
    </row>
    <row r="568" spans="1:5" x14ac:dyDescent="0.2">
      <c r="A568" s="519" t="str">
        <f t="shared" si="14"/>
        <v>DNV-T I - 10</v>
      </c>
      <c r="B568" s="519">
        <v>10</v>
      </c>
      <c r="E568" s="518" t="s">
        <v>728</v>
      </c>
    </row>
    <row r="569" spans="1:5" x14ac:dyDescent="0.2">
      <c r="A569" s="519" t="str">
        <f t="shared" si="14"/>
        <v>DNV-T I - 11</v>
      </c>
      <c r="B569" s="519">
        <v>11</v>
      </c>
      <c r="E569" s="518" t="s">
        <v>729</v>
      </c>
    </row>
    <row r="570" spans="1:5" x14ac:dyDescent="0.2">
      <c r="A570" s="519" t="str">
        <f t="shared" si="14"/>
        <v>DNV-T I - 12</v>
      </c>
      <c r="B570" s="519">
        <v>12</v>
      </c>
      <c r="E570" s="518" t="s">
        <v>730</v>
      </c>
    </row>
    <row r="571" spans="1:5" x14ac:dyDescent="0.2">
      <c r="A571" s="519" t="str">
        <f t="shared" si="14"/>
        <v>DNV-T I - 13</v>
      </c>
      <c r="B571" s="519">
        <v>13</v>
      </c>
      <c r="E571" s="518" t="s">
        <v>731</v>
      </c>
    </row>
    <row r="572" spans="1:5" x14ac:dyDescent="0.2">
      <c r="A572" s="519" t="str">
        <f t="shared" si="14"/>
        <v>DNV-T I - 14</v>
      </c>
      <c r="B572" s="519">
        <v>14</v>
      </c>
      <c r="E572" s="518" t="s">
        <v>732</v>
      </c>
    </row>
    <row r="573" spans="1:5" x14ac:dyDescent="0.2">
      <c r="A573" s="519" t="str">
        <f t="shared" si="14"/>
        <v>DNV-T I - 15</v>
      </c>
      <c r="B573" s="519">
        <v>15</v>
      </c>
      <c r="E573" s="518" t="s">
        <v>733</v>
      </c>
    </row>
    <row r="574" spans="1:5" x14ac:dyDescent="0.2">
      <c r="A574" s="519" t="str">
        <f t="shared" si="14"/>
        <v>DNV-T I - 16</v>
      </c>
      <c r="B574" s="519">
        <v>16</v>
      </c>
      <c r="E574" s="518" t="s">
        <v>734</v>
      </c>
    </row>
    <row r="575" spans="1:5" x14ac:dyDescent="0.2">
      <c r="A575" s="519" t="str">
        <f t="shared" si="14"/>
        <v>DNV-T I - 17</v>
      </c>
      <c r="B575" s="519">
        <v>17</v>
      </c>
      <c r="E575" s="518" t="s">
        <v>735</v>
      </c>
    </row>
    <row r="576" spans="1:5" x14ac:dyDescent="0.2">
      <c r="A576" s="519" t="str">
        <f t="shared" si="14"/>
        <v>DNV-T I - 18</v>
      </c>
      <c r="B576" s="519">
        <v>18</v>
      </c>
      <c r="E576" s="518" t="s">
        <v>736</v>
      </c>
    </row>
    <row r="577" spans="1:5" x14ac:dyDescent="0.2">
      <c r="A577" s="519" t="str">
        <f t="shared" si="14"/>
        <v>DNV-T I - 19</v>
      </c>
      <c r="B577" s="519">
        <v>19</v>
      </c>
      <c r="E577" s="518" t="s">
        <v>737</v>
      </c>
    </row>
    <row r="578" spans="1:5" x14ac:dyDescent="0.2">
      <c r="A578" s="519" t="str">
        <f t="shared" si="14"/>
        <v>DNV-T I - 20</v>
      </c>
      <c r="B578" s="519">
        <v>20</v>
      </c>
      <c r="E578" s="518" t="s">
        <v>738</v>
      </c>
    </row>
    <row r="579" spans="1:5" x14ac:dyDescent="0.2">
      <c r="A579" s="519" t="str">
        <f t="shared" si="14"/>
        <v>DNV-T I - 21</v>
      </c>
      <c r="B579" s="519">
        <v>21</v>
      </c>
      <c r="E579" s="518" t="s">
        <v>739</v>
      </c>
    </row>
    <row r="580" spans="1:5" x14ac:dyDescent="0.2">
      <c r="A580" s="519" t="str">
        <f t="shared" si="14"/>
        <v>DNV-T I - 22</v>
      </c>
      <c r="B580" s="519">
        <v>22</v>
      </c>
      <c r="E580" s="518" t="s">
        <v>740</v>
      </c>
    </row>
    <row r="581" spans="1:5" x14ac:dyDescent="0.2">
      <c r="A581" s="519" t="str">
        <f t="shared" si="14"/>
        <v>DNV-T I - 23</v>
      </c>
      <c r="B581" s="519">
        <v>23</v>
      </c>
      <c r="E581" s="518" t="s">
        <v>741</v>
      </c>
    </row>
    <row r="582" spans="1:5" x14ac:dyDescent="0.2">
      <c r="A582" s="519" t="str">
        <f t="shared" si="14"/>
        <v>DNV-T I - 24</v>
      </c>
      <c r="B582" s="519">
        <v>24</v>
      </c>
      <c r="E582" s="518" t="s">
        <v>742</v>
      </c>
    </row>
    <row r="583" spans="1:5" x14ac:dyDescent="0.2">
      <c r="A583" s="519" t="str">
        <f t="shared" si="14"/>
        <v>DNV-T I - 25</v>
      </c>
      <c r="B583" s="519">
        <v>25</v>
      </c>
      <c r="E583" s="518" t="s">
        <v>743</v>
      </c>
    </row>
    <row r="584" spans="1:5" x14ac:dyDescent="0.2">
      <c r="A584" s="519" t="str">
        <f t="shared" si="14"/>
        <v>DNV-T I - 26</v>
      </c>
      <c r="B584" s="519">
        <v>26</v>
      </c>
      <c r="E584" s="518" t="s">
        <v>744</v>
      </c>
    </row>
    <row r="585" spans="1:5" x14ac:dyDescent="0.2">
      <c r="A585" s="519" t="str">
        <f t="shared" si="14"/>
        <v>DNV-T I - 27</v>
      </c>
      <c r="B585" s="519">
        <v>27</v>
      </c>
      <c r="E585" s="518" t="s">
        <v>745</v>
      </c>
    </row>
    <row r="586" spans="1:5" x14ac:dyDescent="0.2">
      <c r="A586" s="519" t="str">
        <f t="shared" si="14"/>
        <v>DNV-T I - 28</v>
      </c>
      <c r="B586" s="519">
        <v>28</v>
      </c>
      <c r="E586" s="518" t="s">
        <v>746</v>
      </c>
    </row>
    <row r="587" spans="1:5" x14ac:dyDescent="0.2">
      <c r="A587" s="519" t="str">
        <f t="shared" si="14"/>
        <v>DNV-T I - 29</v>
      </c>
      <c r="B587" s="519">
        <v>29</v>
      </c>
      <c r="E587" s="518" t="s">
        <v>747</v>
      </c>
    </row>
    <row r="588" spans="1:5" x14ac:dyDescent="0.2">
      <c r="A588" s="519" t="str">
        <f t="shared" si="14"/>
        <v>DNV-T I - 30</v>
      </c>
      <c r="B588" s="519">
        <v>30</v>
      </c>
      <c r="E588" s="518" t="s">
        <v>748</v>
      </c>
    </row>
    <row r="589" spans="1:5" x14ac:dyDescent="0.2">
      <c r="A589" s="519" t="str">
        <f t="shared" si="14"/>
        <v>DNV-T I - 31</v>
      </c>
      <c r="B589" s="519">
        <v>31</v>
      </c>
      <c r="E589" s="518" t="s">
        <v>749</v>
      </c>
    </row>
    <row r="590" spans="1:5" x14ac:dyDescent="0.2">
      <c r="A590" s="519" t="str">
        <f t="shared" si="14"/>
        <v>DNV-T I - 32</v>
      </c>
      <c r="B590" s="519">
        <v>32</v>
      </c>
      <c r="E590" s="518" t="s">
        <v>750</v>
      </c>
    </row>
    <row r="591" spans="1:5" x14ac:dyDescent="0.2">
      <c r="A591" s="519" t="str">
        <f t="shared" si="14"/>
        <v>DNV-T I - 33</v>
      </c>
      <c r="B591" s="519">
        <v>33</v>
      </c>
      <c r="E591" s="518" t="s">
        <v>751</v>
      </c>
    </row>
    <row r="592" spans="1:5" x14ac:dyDescent="0.2">
      <c r="A592" s="519" t="str">
        <f t="shared" si="14"/>
        <v>DNV-T I - 34</v>
      </c>
      <c r="B592" s="519">
        <v>34</v>
      </c>
      <c r="E592" s="518" t="s">
        <v>752</v>
      </c>
    </row>
    <row r="593" spans="1:5" x14ac:dyDescent="0.2">
      <c r="A593" s="519" t="str">
        <f t="shared" si="14"/>
        <v>DNV-T I - 35</v>
      </c>
      <c r="B593" s="519">
        <v>35</v>
      </c>
      <c r="E593" s="518" t="s">
        <v>753</v>
      </c>
    </row>
    <row r="594" spans="1:5" x14ac:dyDescent="0.2">
      <c r="A594" s="519" t="str">
        <f t="shared" si="14"/>
        <v>DNV-T I - 36</v>
      </c>
      <c r="B594" s="519">
        <v>36</v>
      </c>
      <c r="E594" s="518" t="s">
        <v>754</v>
      </c>
    </row>
    <row r="595" spans="1:5" x14ac:dyDescent="0.2">
      <c r="A595" s="519" t="str">
        <f t="shared" si="14"/>
        <v>DNV-T I - 37</v>
      </c>
      <c r="B595" s="519">
        <v>37</v>
      </c>
      <c r="E595" s="518" t="s">
        <v>755</v>
      </c>
    </row>
    <row r="596" spans="1:5" x14ac:dyDescent="0.2">
      <c r="A596" s="519" t="str">
        <f t="shared" si="14"/>
        <v>DNV-T I - 38</v>
      </c>
      <c r="B596" s="519">
        <v>38</v>
      </c>
      <c r="E596" s="518" t="s">
        <v>756</v>
      </c>
    </row>
    <row r="597" spans="1:5" x14ac:dyDescent="0.2">
      <c r="A597" s="519" t="str">
        <f t="shared" si="14"/>
        <v>DNV-T I - 39</v>
      </c>
      <c r="B597" s="519">
        <v>39</v>
      </c>
      <c r="E597" s="518" t="s">
        <v>757</v>
      </c>
    </row>
    <row r="598" spans="1:5" x14ac:dyDescent="0.2">
      <c r="A598" s="519" t="str">
        <f t="shared" si="14"/>
        <v>DNV-T I - 40</v>
      </c>
      <c r="B598" s="519">
        <v>40</v>
      </c>
      <c r="E598" s="518" t="s">
        <v>758</v>
      </c>
    </row>
    <row r="599" spans="1:5" x14ac:dyDescent="0.2">
      <c r="A599" s="519" t="str">
        <f t="shared" si="14"/>
        <v>DNV-T I - 41</v>
      </c>
      <c r="B599" s="519">
        <v>41</v>
      </c>
      <c r="E599" s="518" t="s">
        <v>759</v>
      </c>
    </row>
    <row r="600" spans="1:5" x14ac:dyDescent="0.2">
      <c r="A600" s="519" t="str">
        <f t="shared" si="14"/>
        <v>DNV-T I - 42</v>
      </c>
      <c r="B600" s="519">
        <v>42</v>
      </c>
      <c r="E600" s="518" t="s">
        <v>760</v>
      </c>
    </row>
    <row r="601" spans="1:5" x14ac:dyDescent="0.2">
      <c r="A601" s="519" t="str">
        <f t="shared" si="14"/>
        <v>DNV-T I - 43</v>
      </c>
      <c r="B601" s="519">
        <v>43</v>
      </c>
      <c r="E601" s="518" t="s">
        <v>761</v>
      </c>
    </row>
    <row r="602" spans="1:5" x14ac:dyDescent="0.2">
      <c r="A602" s="519" t="str">
        <f t="shared" si="14"/>
        <v>DNV-T I - 44</v>
      </c>
      <c r="B602" s="519">
        <v>44</v>
      </c>
      <c r="E602" s="518" t="s">
        <v>762</v>
      </c>
    </row>
    <row r="603" spans="1:5" x14ac:dyDescent="0.2">
      <c r="A603" s="519" t="str">
        <f t="shared" si="14"/>
        <v>DNV-T I - 45</v>
      </c>
      <c r="B603" s="519">
        <v>45</v>
      </c>
      <c r="E603" s="518" t="s">
        <v>763</v>
      </c>
    </row>
    <row r="604" spans="1:5" x14ac:dyDescent="0.2">
      <c r="A604" s="519" t="str">
        <f t="shared" si="14"/>
        <v>DNV-T I - 46</v>
      </c>
      <c r="B604" s="519">
        <v>46</v>
      </c>
      <c r="E604" s="518" t="s">
        <v>764</v>
      </c>
    </row>
    <row r="605" spans="1:5" x14ac:dyDescent="0.2">
      <c r="A605" s="519" t="str">
        <f t="shared" si="14"/>
        <v>DNV-T I - 47</v>
      </c>
      <c r="B605" s="519">
        <v>47</v>
      </c>
      <c r="E605" s="518" t="s">
        <v>765</v>
      </c>
    </row>
    <row r="606" spans="1:5" x14ac:dyDescent="0.2">
      <c r="A606" s="519" t="str">
        <f t="shared" si="14"/>
        <v>DNV-T I - 48</v>
      </c>
      <c r="B606" s="519">
        <v>48</v>
      </c>
      <c r="E606" s="518" t="s">
        <v>766</v>
      </c>
    </row>
    <row r="607" spans="1:5" x14ac:dyDescent="0.2">
      <c r="A607" s="519" t="str">
        <f t="shared" si="14"/>
        <v>DNV-T I - 49</v>
      </c>
      <c r="B607" s="519">
        <v>49</v>
      </c>
      <c r="E607" s="518" t="s">
        <v>767</v>
      </c>
    </row>
    <row r="608" spans="1:5" x14ac:dyDescent="0.2">
      <c r="A608" s="519" t="str">
        <f t="shared" si="14"/>
        <v>DNV-T I - 50</v>
      </c>
      <c r="B608" s="519">
        <v>50</v>
      </c>
      <c r="E608" s="518" t="s">
        <v>768</v>
      </c>
    </row>
    <row r="609" spans="1:5" x14ac:dyDescent="0.2">
      <c r="A609" s="519" t="str">
        <f t="shared" si="14"/>
        <v>DNV-T I - 51</v>
      </c>
      <c r="B609" s="519">
        <v>51</v>
      </c>
      <c r="E609" s="518" t="s">
        <v>769</v>
      </c>
    </row>
    <row r="610" spans="1:5" x14ac:dyDescent="0.2">
      <c r="A610" s="519" t="str">
        <f t="shared" si="14"/>
        <v>DNV-T I - 52</v>
      </c>
      <c r="B610" s="519">
        <v>52</v>
      </c>
      <c r="E610" s="518" t="s">
        <v>770</v>
      </c>
    </row>
    <row r="611" spans="1:5" x14ac:dyDescent="0.2">
      <c r="A611" s="519" t="str">
        <f t="shared" si="14"/>
        <v>DNV-T I - 53</v>
      </c>
      <c r="B611" s="519">
        <v>53</v>
      </c>
      <c r="E611" s="518" t="s">
        <v>771</v>
      </c>
    </row>
    <row r="612" spans="1:5" x14ac:dyDescent="0.2">
      <c r="A612" s="519" t="str">
        <f t="shared" si="14"/>
        <v>DNV-T I - 54</v>
      </c>
      <c r="B612" s="519">
        <v>54</v>
      </c>
      <c r="E612" s="518" t="s">
        <v>772</v>
      </c>
    </row>
    <row r="613" spans="1:5" x14ac:dyDescent="0.2">
      <c r="A613" s="519" t="str">
        <f t="shared" si="14"/>
        <v>DNV-T I - 55</v>
      </c>
      <c r="B613" s="519">
        <v>55</v>
      </c>
      <c r="E613" s="518" t="s">
        <v>773</v>
      </c>
    </row>
    <row r="614" spans="1:5" x14ac:dyDescent="0.2">
      <c r="A614" s="519" t="str">
        <f t="shared" si="14"/>
        <v>DNV-T I - 56</v>
      </c>
      <c r="B614" s="519">
        <v>56</v>
      </c>
      <c r="E614" s="518" t="s">
        <v>774</v>
      </c>
    </row>
    <row r="615" spans="1:5" x14ac:dyDescent="0.2">
      <c r="A615" s="519" t="str">
        <f t="shared" si="14"/>
        <v>DNV-T I - 57</v>
      </c>
      <c r="B615" s="519">
        <v>57</v>
      </c>
      <c r="E615" s="518" t="s">
        <v>775</v>
      </c>
    </row>
    <row r="616" spans="1:5" x14ac:dyDescent="0.2">
      <c r="A616" s="519" t="str">
        <f t="shared" si="14"/>
        <v>DNV-T I - 58</v>
      </c>
      <c r="B616" s="519">
        <v>58</v>
      </c>
      <c r="E616" s="518" t="s">
        <v>776</v>
      </c>
    </row>
    <row r="617" spans="1:5" x14ac:dyDescent="0.2">
      <c r="A617" s="519" t="str">
        <f t="shared" si="14"/>
        <v>DNV-T I - 59</v>
      </c>
      <c r="B617" s="519">
        <v>59</v>
      </c>
      <c r="E617" s="518" t="s">
        <v>777</v>
      </c>
    </row>
    <row r="618" spans="1:5" x14ac:dyDescent="0.2">
      <c r="A618" s="519" t="str">
        <f t="shared" si="14"/>
        <v>DNV-T I - 60</v>
      </c>
      <c r="B618" s="519">
        <v>60</v>
      </c>
      <c r="E618" s="518" t="s">
        <v>778</v>
      </c>
    </row>
    <row r="619" spans="1:5" x14ac:dyDescent="0.2">
      <c r="A619" s="519" t="str">
        <f t="shared" si="14"/>
        <v>DNV-T I - 61</v>
      </c>
      <c r="B619" s="519">
        <v>61</v>
      </c>
      <c r="E619" s="518" t="s">
        <v>779</v>
      </c>
    </row>
    <row r="620" spans="1:5" x14ac:dyDescent="0.2">
      <c r="A620" s="519" t="str">
        <f t="shared" si="14"/>
        <v>DNV-T I - 62</v>
      </c>
      <c r="B620" s="519">
        <v>62</v>
      </c>
      <c r="E620" s="518" t="s">
        <v>780</v>
      </c>
    </row>
    <row r="621" spans="1:5" x14ac:dyDescent="0.2">
      <c r="A621" s="519" t="str">
        <f t="shared" si="14"/>
        <v>DNV-T I - 63</v>
      </c>
      <c r="B621" s="519">
        <v>63</v>
      </c>
      <c r="E621" s="518" t="s">
        <v>781</v>
      </c>
    </row>
    <row r="622" spans="1:5" x14ac:dyDescent="0.2">
      <c r="A622" s="519" t="str">
        <f t="shared" si="14"/>
        <v>DNV-T I - 64</v>
      </c>
      <c r="B622" s="519">
        <v>64</v>
      </c>
      <c r="E622" s="518" t="s">
        <v>782</v>
      </c>
    </row>
    <row r="623" spans="1:5" x14ac:dyDescent="0.2">
      <c r="A623" s="519" t="str">
        <f t="shared" ref="A623:A676" si="15">CONCATENATE("DNV-T I - ",B623)</f>
        <v>DNV-T I - 65</v>
      </c>
      <c r="B623" s="519">
        <v>65</v>
      </c>
      <c r="E623" s="518" t="s">
        <v>783</v>
      </c>
    </row>
    <row r="624" spans="1:5" x14ac:dyDescent="0.2">
      <c r="A624" s="519" t="str">
        <f t="shared" si="15"/>
        <v>DNV-T I - 66</v>
      </c>
      <c r="B624" s="519">
        <v>66</v>
      </c>
      <c r="E624" s="518" t="s">
        <v>784</v>
      </c>
    </row>
    <row r="625" spans="1:5" x14ac:dyDescent="0.2">
      <c r="A625" s="519" t="str">
        <f t="shared" si="15"/>
        <v>DNV-T I - 67</v>
      </c>
      <c r="B625" s="519">
        <v>67</v>
      </c>
      <c r="E625" s="518" t="s">
        <v>785</v>
      </c>
    </row>
    <row r="626" spans="1:5" x14ac:dyDescent="0.2">
      <c r="A626" s="519" t="str">
        <f t="shared" si="15"/>
        <v>DNV-T I - 68</v>
      </c>
      <c r="B626" s="519">
        <v>68</v>
      </c>
      <c r="E626" s="518" t="s">
        <v>786</v>
      </c>
    </row>
    <row r="627" spans="1:5" x14ac:dyDescent="0.2">
      <c r="A627" s="519" t="str">
        <f t="shared" si="15"/>
        <v>DNV-T I - 69</v>
      </c>
      <c r="B627" s="519">
        <v>69</v>
      </c>
      <c r="E627" s="518" t="s">
        <v>787</v>
      </c>
    </row>
    <row r="628" spans="1:5" x14ac:dyDescent="0.2">
      <c r="A628" s="519" t="str">
        <f t="shared" si="15"/>
        <v>DNV-T I - 70</v>
      </c>
      <c r="B628" s="519">
        <v>70</v>
      </c>
      <c r="E628" s="518" t="s">
        <v>788</v>
      </c>
    </row>
    <row r="629" spans="1:5" x14ac:dyDescent="0.2">
      <c r="A629" s="519" t="str">
        <f t="shared" si="15"/>
        <v>DNV-T I - 71</v>
      </c>
      <c r="B629" s="519">
        <v>71</v>
      </c>
      <c r="E629" s="518" t="s">
        <v>789</v>
      </c>
    </row>
    <row r="630" spans="1:5" x14ac:dyDescent="0.2">
      <c r="A630" s="519" t="str">
        <f t="shared" si="15"/>
        <v>DNV-T I - 72</v>
      </c>
      <c r="B630" s="519">
        <v>72</v>
      </c>
      <c r="E630" s="518" t="s">
        <v>790</v>
      </c>
    </row>
    <row r="631" spans="1:5" x14ac:dyDescent="0.2">
      <c r="A631" s="519" t="str">
        <f t="shared" si="15"/>
        <v>DNV-T I - 73</v>
      </c>
      <c r="B631" s="519">
        <v>73</v>
      </c>
      <c r="E631" s="518" t="s">
        <v>791</v>
      </c>
    </row>
    <row r="632" spans="1:5" x14ac:dyDescent="0.2">
      <c r="A632" s="519" t="str">
        <f t="shared" si="15"/>
        <v>DNV-T I - 74</v>
      </c>
      <c r="B632" s="519">
        <v>74</v>
      </c>
      <c r="E632" s="518" t="s">
        <v>792</v>
      </c>
    </row>
    <row r="633" spans="1:5" x14ac:dyDescent="0.2">
      <c r="A633" s="519" t="str">
        <f t="shared" si="15"/>
        <v>DNV-T I - 75</v>
      </c>
      <c r="B633" s="519">
        <v>75</v>
      </c>
      <c r="E633" s="518" t="s">
        <v>793</v>
      </c>
    </row>
    <row r="634" spans="1:5" x14ac:dyDescent="0.2">
      <c r="A634" s="519" t="str">
        <f t="shared" si="15"/>
        <v>DNV-T I - 76</v>
      </c>
      <c r="B634" s="519">
        <v>76</v>
      </c>
      <c r="E634" s="518" t="s">
        <v>794</v>
      </c>
    </row>
    <row r="635" spans="1:5" x14ac:dyDescent="0.2">
      <c r="A635" s="519" t="str">
        <f t="shared" si="15"/>
        <v>DNV-T I - 77</v>
      </c>
      <c r="B635" s="519">
        <v>77</v>
      </c>
      <c r="E635" s="518" t="s">
        <v>795</v>
      </c>
    </row>
    <row r="636" spans="1:5" x14ac:dyDescent="0.2">
      <c r="A636" s="519" t="str">
        <f t="shared" si="15"/>
        <v>DNV-T I - 78</v>
      </c>
      <c r="B636" s="519">
        <v>78</v>
      </c>
      <c r="E636" s="518" t="s">
        <v>796</v>
      </c>
    </row>
    <row r="637" spans="1:5" x14ac:dyDescent="0.2">
      <c r="A637" s="519" t="str">
        <f t="shared" si="15"/>
        <v>DNV-T I - 79</v>
      </c>
      <c r="B637" s="519">
        <v>79</v>
      </c>
      <c r="E637" s="518" t="s">
        <v>797</v>
      </c>
    </row>
    <row r="638" spans="1:5" x14ac:dyDescent="0.2">
      <c r="A638" s="519" t="str">
        <f t="shared" si="15"/>
        <v>DNV-T I - 80</v>
      </c>
      <c r="B638" s="519">
        <v>80</v>
      </c>
      <c r="E638" s="518" t="s">
        <v>798</v>
      </c>
    </row>
    <row r="639" spans="1:5" x14ac:dyDescent="0.2">
      <c r="A639" s="519" t="str">
        <f t="shared" si="15"/>
        <v>DNV-T I - 81</v>
      </c>
      <c r="B639" s="519">
        <v>81</v>
      </c>
      <c r="E639" s="518" t="s">
        <v>799</v>
      </c>
    </row>
    <row r="640" spans="1:5" x14ac:dyDescent="0.2">
      <c r="A640" s="519" t="str">
        <f t="shared" si="15"/>
        <v>DNV-T I - 82</v>
      </c>
      <c r="B640" s="519">
        <v>82</v>
      </c>
      <c r="E640" s="518" t="s">
        <v>800</v>
      </c>
    </row>
    <row r="641" spans="1:5" x14ac:dyDescent="0.2">
      <c r="A641" s="519" t="str">
        <f t="shared" si="15"/>
        <v>DNV-T I - 83</v>
      </c>
      <c r="B641" s="519">
        <v>83</v>
      </c>
      <c r="E641" s="518" t="s">
        <v>801</v>
      </c>
    </row>
    <row r="642" spans="1:5" x14ac:dyDescent="0.2">
      <c r="A642" s="519" t="str">
        <f t="shared" si="15"/>
        <v>DNV-T I - 84</v>
      </c>
      <c r="B642" s="519">
        <v>84</v>
      </c>
      <c r="E642" s="518" t="s">
        <v>802</v>
      </c>
    </row>
    <row r="643" spans="1:5" x14ac:dyDescent="0.2">
      <c r="A643" s="519" t="str">
        <f t="shared" si="15"/>
        <v>DNV-T I - 85</v>
      </c>
      <c r="B643" s="519">
        <v>85</v>
      </c>
      <c r="E643" s="518" t="s">
        <v>803</v>
      </c>
    </row>
    <row r="644" spans="1:5" x14ac:dyDescent="0.2">
      <c r="A644" s="519" t="str">
        <f t="shared" si="15"/>
        <v>DNV-T I - 86</v>
      </c>
      <c r="B644" s="519">
        <v>86</v>
      </c>
      <c r="E644" s="518" t="s">
        <v>804</v>
      </c>
    </row>
    <row r="645" spans="1:5" x14ac:dyDescent="0.2">
      <c r="A645" s="519" t="str">
        <f t="shared" si="15"/>
        <v>DNV-T I - 86.1</v>
      </c>
      <c r="B645" s="519" t="s">
        <v>805</v>
      </c>
      <c r="E645" s="518" t="s">
        <v>806</v>
      </c>
    </row>
    <row r="646" spans="1:5" x14ac:dyDescent="0.2">
      <c r="A646" s="519" t="str">
        <f t="shared" si="15"/>
        <v>DNV-T I - 86.1.1</v>
      </c>
      <c r="B646" s="519" t="s">
        <v>807</v>
      </c>
      <c r="E646" s="518" t="s">
        <v>808</v>
      </c>
    </row>
    <row r="647" spans="1:5" x14ac:dyDescent="0.2">
      <c r="A647" s="519" t="str">
        <f t="shared" si="15"/>
        <v>DNV-T I - 86.1.2</v>
      </c>
      <c r="B647" s="519" t="s">
        <v>809</v>
      </c>
      <c r="E647" s="518" t="s">
        <v>810</v>
      </c>
    </row>
    <row r="648" spans="1:5" x14ac:dyDescent="0.2">
      <c r="A648" s="519" t="str">
        <f t="shared" si="15"/>
        <v>DNV-T I - 86.1.3</v>
      </c>
      <c r="B648" s="519" t="s">
        <v>811</v>
      </c>
      <c r="E648" s="518" t="s">
        <v>812</v>
      </c>
    </row>
    <row r="649" spans="1:5" x14ac:dyDescent="0.2">
      <c r="A649" s="519" t="str">
        <f t="shared" si="15"/>
        <v>DNV-T I - 86.1.4</v>
      </c>
      <c r="B649" s="519" t="s">
        <v>813</v>
      </c>
      <c r="E649" s="518" t="s">
        <v>814</v>
      </c>
    </row>
    <row r="650" spans="1:5" x14ac:dyDescent="0.2">
      <c r="A650" s="519" t="str">
        <f t="shared" si="15"/>
        <v>DNV-T I - 86.1.5</v>
      </c>
      <c r="B650" s="519" t="s">
        <v>815</v>
      </c>
      <c r="E650" s="518" t="s">
        <v>816</v>
      </c>
    </row>
    <row r="651" spans="1:5" x14ac:dyDescent="0.2">
      <c r="A651" s="519" t="str">
        <f t="shared" si="15"/>
        <v>DNV-T I - 86.2</v>
      </c>
      <c r="B651" s="519" t="s">
        <v>817</v>
      </c>
      <c r="E651" s="518" t="s">
        <v>818</v>
      </c>
    </row>
    <row r="652" spans="1:5" x14ac:dyDescent="0.2">
      <c r="A652" s="519" t="str">
        <f t="shared" si="15"/>
        <v>DNV-T I - 86.2.1</v>
      </c>
      <c r="B652" s="519" t="s">
        <v>819</v>
      </c>
      <c r="E652" s="518" t="s">
        <v>808</v>
      </c>
    </row>
    <row r="653" spans="1:5" x14ac:dyDescent="0.2">
      <c r="A653" s="519" t="str">
        <f t="shared" si="15"/>
        <v>DNV-T I - 86.2.2</v>
      </c>
      <c r="B653" s="519" t="s">
        <v>820</v>
      </c>
      <c r="E653" s="518" t="s">
        <v>821</v>
      </c>
    </row>
    <row r="654" spans="1:5" x14ac:dyDescent="0.2">
      <c r="A654" s="519" t="str">
        <f t="shared" si="15"/>
        <v>DNV-T I - 86.2.3</v>
      </c>
      <c r="B654" s="519" t="s">
        <v>822</v>
      </c>
      <c r="E654" s="518" t="s">
        <v>810</v>
      </c>
    </row>
    <row r="655" spans="1:5" x14ac:dyDescent="0.2">
      <c r="A655" s="519" t="str">
        <f t="shared" si="15"/>
        <v>DNV-T I - 86.2.4</v>
      </c>
      <c r="B655" s="519" t="s">
        <v>823</v>
      </c>
      <c r="E655" s="518" t="s">
        <v>812</v>
      </c>
    </row>
    <row r="656" spans="1:5" x14ac:dyDescent="0.2">
      <c r="A656" s="519" t="str">
        <f t="shared" si="15"/>
        <v>DNV-T I - 86.2.5</v>
      </c>
      <c r="B656" s="519" t="s">
        <v>824</v>
      </c>
      <c r="E656" s="518" t="s">
        <v>814</v>
      </c>
    </row>
    <row r="657" spans="1:5" x14ac:dyDescent="0.2">
      <c r="A657" s="519" t="str">
        <f t="shared" si="15"/>
        <v>DNV-T I - 86.2.6</v>
      </c>
      <c r="B657" s="519" t="s">
        <v>825</v>
      </c>
      <c r="E657" s="518" t="s">
        <v>816</v>
      </c>
    </row>
    <row r="658" spans="1:5" x14ac:dyDescent="0.2">
      <c r="A658" s="519" t="str">
        <f t="shared" si="15"/>
        <v>DNV-T I - 87</v>
      </c>
      <c r="B658" s="519">
        <v>87</v>
      </c>
      <c r="E658" s="518" t="s">
        <v>826</v>
      </c>
    </row>
    <row r="659" spans="1:5" x14ac:dyDescent="0.2">
      <c r="A659" s="519" t="str">
        <f t="shared" si="15"/>
        <v>DNV-T I - 88</v>
      </c>
      <c r="B659" s="519">
        <v>88</v>
      </c>
      <c r="E659" s="518" t="s">
        <v>827</v>
      </c>
    </row>
    <row r="660" spans="1:5" x14ac:dyDescent="0.2">
      <c r="A660" s="519" t="str">
        <f t="shared" si="15"/>
        <v>DNV-T I - 89</v>
      </c>
      <c r="B660" s="519">
        <v>89</v>
      </c>
      <c r="E660" s="518" t="s">
        <v>828</v>
      </c>
    </row>
    <row r="661" spans="1:5" x14ac:dyDescent="0.2">
      <c r="A661" s="519" t="str">
        <f t="shared" si="15"/>
        <v>DNV-T I - 90</v>
      </c>
      <c r="B661" s="519">
        <v>90</v>
      </c>
      <c r="E661" s="518" t="s">
        <v>829</v>
      </c>
    </row>
    <row r="662" spans="1:5" x14ac:dyDescent="0.2">
      <c r="A662" s="519" t="str">
        <f t="shared" si="15"/>
        <v>DNV-T I - 91</v>
      </c>
      <c r="B662" s="519">
        <v>91</v>
      </c>
      <c r="E662" s="518" t="s">
        <v>830</v>
      </c>
    </row>
    <row r="663" spans="1:5" x14ac:dyDescent="0.2">
      <c r="A663" s="519" t="str">
        <f t="shared" si="15"/>
        <v>DNV-T I - 92</v>
      </c>
      <c r="B663" s="519">
        <v>92</v>
      </c>
      <c r="E663" s="518" t="s">
        <v>831</v>
      </c>
    </row>
    <row r="664" spans="1:5" x14ac:dyDescent="0.2">
      <c r="A664" s="519" t="str">
        <f t="shared" si="15"/>
        <v>DNV-T I - 93</v>
      </c>
      <c r="B664" s="519">
        <v>93</v>
      </c>
      <c r="E664" s="518" t="s">
        <v>832</v>
      </c>
    </row>
    <row r="665" spans="1:5" x14ac:dyDescent="0.2">
      <c r="A665" s="519" t="str">
        <f t="shared" si="15"/>
        <v>DNV-T I - 94</v>
      </c>
      <c r="B665" s="519">
        <v>94</v>
      </c>
      <c r="E665" s="518" t="s">
        <v>833</v>
      </c>
    </row>
    <row r="666" spans="1:5" x14ac:dyDescent="0.2">
      <c r="A666" s="519" t="str">
        <f t="shared" si="15"/>
        <v>DNV-T I - 95</v>
      </c>
      <c r="B666" s="519">
        <v>95</v>
      </c>
      <c r="E666" s="518" t="s">
        <v>834</v>
      </c>
    </row>
    <row r="667" spans="1:5" x14ac:dyDescent="0.2">
      <c r="A667" s="519" t="str">
        <f t="shared" si="15"/>
        <v>DNV-T I - 96</v>
      </c>
      <c r="B667" s="519">
        <v>96</v>
      </c>
      <c r="E667" s="518" t="s">
        <v>835</v>
      </c>
    </row>
    <row r="668" spans="1:5" x14ac:dyDescent="0.2">
      <c r="A668" s="519" t="str">
        <f t="shared" si="15"/>
        <v>DNV-T I - 97</v>
      </c>
      <c r="B668" s="519">
        <v>97</v>
      </c>
      <c r="E668" s="518" t="s">
        <v>836</v>
      </c>
    </row>
    <row r="669" spans="1:5" x14ac:dyDescent="0.2">
      <c r="A669" s="519" t="str">
        <f t="shared" si="15"/>
        <v>DNV-T I - 98</v>
      </c>
      <c r="B669" s="519">
        <v>98</v>
      </c>
      <c r="E669" s="518" t="s">
        <v>837</v>
      </c>
    </row>
    <row r="670" spans="1:5" x14ac:dyDescent="0.2">
      <c r="A670" s="519" t="str">
        <f t="shared" si="15"/>
        <v>DNV-T I - 99</v>
      </c>
      <c r="B670" s="519">
        <v>99</v>
      </c>
      <c r="E670" s="518" t="s">
        <v>838</v>
      </c>
    </row>
    <row r="671" spans="1:5" x14ac:dyDescent="0.2">
      <c r="A671" s="519" t="str">
        <f t="shared" si="15"/>
        <v>DNV-T I - 100</v>
      </c>
      <c r="B671" s="519">
        <v>100</v>
      </c>
      <c r="E671" s="518" t="s">
        <v>839</v>
      </c>
    </row>
    <row r="672" spans="1:5" x14ac:dyDescent="0.2">
      <c r="A672" s="519" t="str">
        <f t="shared" si="15"/>
        <v>DNV-T I - 101</v>
      </c>
      <c r="B672" s="519">
        <v>101</v>
      </c>
      <c r="E672" s="518" t="s">
        <v>840</v>
      </c>
    </row>
    <row r="673" spans="1:7" x14ac:dyDescent="0.2">
      <c r="A673" s="519" t="str">
        <f t="shared" si="15"/>
        <v>DNV-T I - 102</v>
      </c>
      <c r="B673" s="519">
        <v>102</v>
      </c>
      <c r="E673" s="518" t="s">
        <v>841</v>
      </c>
    </row>
    <row r="674" spans="1:7" x14ac:dyDescent="0.2">
      <c r="A674" s="519" t="str">
        <f t="shared" si="15"/>
        <v>DNV-T I - 103</v>
      </c>
      <c r="B674" s="519">
        <v>103</v>
      </c>
      <c r="E674" s="518" t="s">
        <v>842</v>
      </c>
    </row>
    <row r="675" spans="1:7" x14ac:dyDescent="0.2">
      <c r="A675" s="519" t="str">
        <f t="shared" si="15"/>
        <v>DNV-T I - 104</v>
      </c>
      <c r="B675" s="519">
        <v>104</v>
      </c>
      <c r="E675" s="518" t="s">
        <v>843</v>
      </c>
    </row>
    <row r="676" spans="1:7" x14ac:dyDescent="0.2">
      <c r="A676" s="519" t="str">
        <f t="shared" si="15"/>
        <v>DNV-T I - 105</v>
      </c>
      <c r="B676" s="519">
        <v>105</v>
      </c>
      <c r="E676" s="518" t="s">
        <v>844</v>
      </c>
    </row>
    <row r="678" spans="1:7" x14ac:dyDescent="0.2">
      <c r="A678" s="547"/>
      <c r="B678" s="517" t="s">
        <v>845</v>
      </c>
      <c r="C678" s="517"/>
      <c r="D678" s="548"/>
      <c r="E678" s="547"/>
      <c r="F678" s="549"/>
      <c r="G678" s="549"/>
    </row>
    <row r="679" spans="1:7" x14ac:dyDescent="0.2">
      <c r="A679" s="519" t="str">
        <f t="shared" ref="A679:A713" si="16">CONCATENATE("DNV-TRC - ",E679)</f>
        <v>DNV-TRC - 1</v>
      </c>
      <c r="E679" s="550">
        <v>1</v>
      </c>
    </row>
    <row r="680" spans="1:7" x14ac:dyDescent="0.2">
      <c r="A680" s="519" t="str">
        <f t="shared" si="16"/>
        <v>DNV-TRC - 1,5</v>
      </c>
      <c r="E680" s="550">
        <v>1.5</v>
      </c>
    </row>
    <row r="681" spans="1:7" x14ac:dyDescent="0.2">
      <c r="A681" s="519" t="str">
        <f t="shared" si="16"/>
        <v>DNV-TRC - 2</v>
      </c>
      <c r="E681" s="550">
        <v>2</v>
      </c>
    </row>
    <row r="682" spans="1:7" x14ac:dyDescent="0.2">
      <c r="A682" s="519" t="str">
        <f t="shared" si="16"/>
        <v>DNV-TRC - 2,5</v>
      </c>
      <c r="E682" s="550">
        <v>2.5</v>
      </c>
    </row>
    <row r="683" spans="1:7" x14ac:dyDescent="0.2">
      <c r="A683" s="519" t="str">
        <f t="shared" si="16"/>
        <v>DNV-TRC - 3</v>
      </c>
      <c r="E683" s="550">
        <v>3</v>
      </c>
    </row>
    <row r="684" spans="1:7" x14ac:dyDescent="0.2">
      <c r="A684" s="519" t="str">
        <f t="shared" si="16"/>
        <v>DNV-TRC - 3,5</v>
      </c>
      <c r="E684" s="550">
        <v>3.5</v>
      </c>
    </row>
    <row r="685" spans="1:7" x14ac:dyDescent="0.2">
      <c r="A685" s="519" t="str">
        <f t="shared" si="16"/>
        <v>DNV-TRC - 4</v>
      </c>
      <c r="E685" s="550">
        <v>4</v>
      </c>
    </row>
    <row r="686" spans="1:7" x14ac:dyDescent="0.2">
      <c r="A686" s="519" t="str">
        <f t="shared" si="16"/>
        <v>DNV-TRC - 4,5</v>
      </c>
      <c r="E686" s="550">
        <v>4.5</v>
      </c>
    </row>
    <row r="687" spans="1:7" x14ac:dyDescent="0.2">
      <c r="A687" s="519" t="str">
        <f t="shared" si="16"/>
        <v>DNV-TRC - 5</v>
      </c>
      <c r="E687" s="550">
        <v>5</v>
      </c>
    </row>
    <row r="688" spans="1:7" x14ac:dyDescent="0.2">
      <c r="A688" s="519" t="str">
        <f t="shared" si="16"/>
        <v>DNV-TRC - 6</v>
      </c>
      <c r="E688" s="550">
        <v>6</v>
      </c>
    </row>
    <row r="689" spans="1:5" x14ac:dyDescent="0.2">
      <c r="A689" s="519" t="str">
        <f t="shared" si="16"/>
        <v>DNV-TRC - 7</v>
      </c>
      <c r="E689" s="550">
        <v>7</v>
      </c>
    </row>
    <row r="690" spans="1:5" x14ac:dyDescent="0.2">
      <c r="A690" s="519" t="str">
        <f t="shared" si="16"/>
        <v>DNV-TRC - 8</v>
      </c>
      <c r="E690" s="550">
        <v>8</v>
      </c>
    </row>
    <row r="691" spans="1:5" x14ac:dyDescent="0.2">
      <c r="A691" s="519" t="str">
        <f t="shared" si="16"/>
        <v>DNV-TRC - 9</v>
      </c>
      <c r="E691" s="550">
        <v>9</v>
      </c>
    </row>
    <row r="692" spans="1:5" x14ac:dyDescent="0.2">
      <c r="A692" s="519" t="str">
        <f t="shared" si="16"/>
        <v>DNV-TRC - 10</v>
      </c>
      <c r="E692" s="550">
        <v>10</v>
      </c>
    </row>
    <row r="693" spans="1:5" x14ac:dyDescent="0.2">
      <c r="A693" s="519" t="str">
        <f t="shared" si="16"/>
        <v>DNV-TRC - 12</v>
      </c>
      <c r="E693" s="550">
        <v>12</v>
      </c>
    </row>
    <row r="694" spans="1:5" x14ac:dyDescent="0.2">
      <c r="A694" s="519" t="str">
        <f t="shared" si="16"/>
        <v>DNV-TRC - 15</v>
      </c>
      <c r="E694" s="550">
        <v>15</v>
      </c>
    </row>
    <row r="695" spans="1:5" x14ac:dyDescent="0.2">
      <c r="A695" s="519" t="str">
        <f t="shared" si="16"/>
        <v>DNV-TRC - 17</v>
      </c>
      <c r="E695" s="550">
        <v>17</v>
      </c>
    </row>
    <row r="696" spans="1:5" x14ac:dyDescent="0.2">
      <c r="A696" s="519" t="str">
        <f t="shared" si="16"/>
        <v>DNV-TRC - 19</v>
      </c>
      <c r="E696" s="550">
        <v>19</v>
      </c>
    </row>
    <row r="697" spans="1:5" x14ac:dyDescent="0.2">
      <c r="A697" s="519" t="str">
        <f t="shared" si="16"/>
        <v>DNV-TRC - 20</v>
      </c>
      <c r="E697" s="550">
        <v>20</v>
      </c>
    </row>
    <row r="698" spans="1:5" x14ac:dyDescent="0.2">
      <c r="A698" s="519" t="str">
        <f t="shared" si="16"/>
        <v>DNV-TRC - 25</v>
      </c>
      <c r="E698" s="550">
        <v>25</v>
      </c>
    </row>
    <row r="699" spans="1:5" x14ac:dyDescent="0.2">
      <c r="A699" s="519" t="str">
        <f t="shared" si="16"/>
        <v>DNV-TRC - 30</v>
      </c>
      <c r="E699" s="550">
        <v>30</v>
      </c>
    </row>
    <row r="700" spans="1:5" x14ac:dyDescent="0.2">
      <c r="A700" s="519" t="str">
        <f t="shared" si="16"/>
        <v>DNV-TRC - 35</v>
      </c>
      <c r="E700" s="550">
        <v>35</v>
      </c>
    </row>
    <row r="701" spans="1:5" x14ac:dyDescent="0.2">
      <c r="A701" s="519" t="str">
        <f t="shared" si="16"/>
        <v>DNV-TRC - 40</v>
      </c>
      <c r="E701" s="550">
        <v>40</v>
      </c>
    </row>
    <row r="702" spans="1:5" x14ac:dyDescent="0.2">
      <c r="A702" s="519" t="str">
        <f t="shared" si="16"/>
        <v>DNV-TRC - 45</v>
      </c>
      <c r="E702" s="550">
        <v>45</v>
      </c>
    </row>
    <row r="703" spans="1:5" x14ac:dyDescent="0.2">
      <c r="A703" s="519" t="str">
        <f t="shared" si="16"/>
        <v>DNV-TRC - 50</v>
      </c>
      <c r="E703" s="550">
        <v>50</v>
      </c>
    </row>
    <row r="704" spans="1:5" x14ac:dyDescent="0.2">
      <c r="A704" s="519" t="str">
        <f t="shared" si="16"/>
        <v>DNV-TRC - 55</v>
      </c>
      <c r="E704" s="550">
        <v>55</v>
      </c>
    </row>
    <row r="705" spans="1:7" x14ac:dyDescent="0.2">
      <c r="A705" s="519" t="str">
        <f t="shared" si="16"/>
        <v>DNV-TRC - 60</v>
      </c>
      <c r="E705" s="550">
        <v>60</v>
      </c>
    </row>
    <row r="706" spans="1:7" x14ac:dyDescent="0.2">
      <c r="A706" s="519" t="str">
        <f t="shared" si="16"/>
        <v>DNV-TRC - 65</v>
      </c>
      <c r="E706" s="550">
        <v>65</v>
      </c>
    </row>
    <row r="707" spans="1:7" x14ac:dyDescent="0.2">
      <c r="A707" s="519" t="str">
        <f t="shared" si="16"/>
        <v>DNV-TRC - 70</v>
      </c>
      <c r="E707" s="550">
        <v>70</v>
      </c>
    </row>
    <row r="708" spans="1:7" x14ac:dyDescent="0.2">
      <c r="A708" s="519" t="str">
        <f t="shared" si="16"/>
        <v>DNV-TRC - 75</v>
      </c>
      <c r="E708" s="550">
        <v>75</v>
      </c>
    </row>
    <row r="709" spans="1:7" x14ac:dyDescent="0.2">
      <c r="A709" s="519" t="str">
        <f t="shared" si="16"/>
        <v>DNV-TRC - 80</v>
      </c>
      <c r="E709" s="550">
        <v>80</v>
      </c>
    </row>
    <row r="710" spans="1:7" x14ac:dyDescent="0.2">
      <c r="A710" s="519" t="str">
        <f t="shared" si="16"/>
        <v>DNV-TRC - 85</v>
      </c>
      <c r="E710" s="550">
        <v>85</v>
      </c>
    </row>
    <row r="711" spans="1:7" x14ac:dyDescent="0.2">
      <c r="A711" s="519" t="str">
        <f t="shared" si="16"/>
        <v>DNV-TRC - 90</v>
      </c>
      <c r="E711" s="550">
        <v>90</v>
      </c>
    </row>
    <row r="712" spans="1:7" x14ac:dyDescent="0.2">
      <c r="A712" s="519" t="str">
        <f t="shared" si="16"/>
        <v>DNV-TRC - 95</v>
      </c>
      <c r="E712" s="550">
        <v>95</v>
      </c>
    </row>
    <row r="713" spans="1:7" x14ac:dyDescent="0.2">
      <c r="A713" s="519" t="str">
        <f t="shared" si="16"/>
        <v>DNV-TRC - 100</v>
      </c>
      <c r="E713" s="550">
        <v>100</v>
      </c>
    </row>
    <row r="714" spans="1:7" x14ac:dyDescent="0.2">
      <c r="A714" s="519"/>
      <c r="E714" s="550"/>
    </row>
    <row r="716" spans="1:7" x14ac:dyDescent="0.2">
      <c r="A716" s="517"/>
      <c r="B716" s="517" t="s">
        <v>846</v>
      </c>
      <c r="C716" s="517"/>
      <c r="D716" s="517"/>
      <c r="E716" s="516"/>
      <c r="F716" s="516"/>
      <c r="G716" s="516"/>
    </row>
    <row r="717" spans="1:7" x14ac:dyDescent="0.2">
      <c r="A717" s="519" t="str">
        <f t="shared" ref="A717:A751" si="17">CONCATENATE("DNV-TRCA - ",E717)</f>
        <v>DNV-TRCA - 55</v>
      </c>
      <c r="E717" s="550">
        <v>55</v>
      </c>
    </row>
    <row r="718" spans="1:7" x14ac:dyDescent="0.2">
      <c r="A718" s="519" t="str">
        <f t="shared" si="17"/>
        <v>DNV-TRCA - 60</v>
      </c>
      <c r="E718" s="550">
        <v>60</v>
      </c>
    </row>
    <row r="719" spans="1:7" x14ac:dyDescent="0.2">
      <c r="A719" s="519" t="str">
        <f t="shared" si="17"/>
        <v>DNV-TRCA - 65</v>
      </c>
      <c r="E719" s="550">
        <v>65</v>
      </c>
    </row>
    <row r="720" spans="1:7" x14ac:dyDescent="0.2">
      <c r="A720" s="519" t="str">
        <f t="shared" si="17"/>
        <v>DNV-TRCA - 70</v>
      </c>
      <c r="E720" s="550">
        <v>70</v>
      </c>
    </row>
    <row r="721" spans="1:5" x14ac:dyDescent="0.2">
      <c r="A721" s="519" t="str">
        <f t="shared" si="17"/>
        <v>DNV-TRCA - 75</v>
      </c>
      <c r="E721" s="550">
        <v>75</v>
      </c>
    </row>
    <row r="722" spans="1:5" x14ac:dyDescent="0.2">
      <c r="A722" s="519" t="str">
        <f t="shared" si="17"/>
        <v>DNV-TRCA - 80</v>
      </c>
      <c r="E722" s="550">
        <v>80</v>
      </c>
    </row>
    <row r="723" spans="1:5" x14ac:dyDescent="0.2">
      <c r="A723" s="519" t="str">
        <f t="shared" si="17"/>
        <v>DNV-TRCA - 85</v>
      </c>
      <c r="E723" s="550">
        <v>85</v>
      </c>
    </row>
    <row r="724" spans="1:5" x14ac:dyDescent="0.2">
      <c r="A724" s="519" t="str">
        <f t="shared" si="17"/>
        <v>DNV-TRCA - 90</v>
      </c>
      <c r="E724" s="550">
        <v>90</v>
      </c>
    </row>
    <row r="725" spans="1:5" x14ac:dyDescent="0.2">
      <c r="A725" s="519" t="str">
        <f t="shared" si="17"/>
        <v>DNV-TRCA - 95</v>
      </c>
      <c r="E725" s="550">
        <v>95</v>
      </c>
    </row>
    <row r="726" spans="1:5" x14ac:dyDescent="0.2">
      <c r="A726" s="519" t="str">
        <f t="shared" si="17"/>
        <v>DNV-TRCA - 100</v>
      </c>
      <c r="E726" s="550">
        <v>100</v>
      </c>
    </row>
    <row r="727" spans="1:5" x14ac:dyDescent="0.2">
      <c r="A727" s="519" t="str">
        <f t="shared" si="17"/>
        <v>DNV-TRCA - 105</v>
      </c>
      <c r="E727" s="550">
        <v>105</v>
      </c>
    </row>
    <row r="728" spans="1:5" x14ac:dyDescent="0.2">
      <c r="A728" s="519" t="str">
        <f t="shared" si="17"/>
        <v>DNV-TRCA - 110</v>
      </c>
      <c r="E728" s="550">
        <v>110</v>
      </c>
    </row>
    <row r="729" spans="1:5" x14ac:dyDescent="0.2">
      <c r="A729" s="519" t="str">
        <f t="shared" si="17"/>
        <v>DNV-TRCA - 120</v>
      </c>
      <c r="E729" s="550">
        <v>120</v>
      </c>
    </row>
    <row r="730" spans="1:5" x14ac:dyDescent="0.2">
      <c r="A730" s="519" t="str">
        <f t="shared" si="17"/>
        <v>DNV-TRCA - 130</v>
      </c>
      <c r="E730" s="550">
        <v>130</v>
      </c>
    </row>
    <row r="731" spans="1:5" x14ac:dyDescent="0.2">
      <c r="A731" s="519" t="str">
        <f t="shared" si="17"/>
        <v>DNV-TRCA - 140</v>
      </c>
      <c r="E731" s="550">
        <v>140</v>
      </c>
    </row>
    <row r="732" spans="1:5" x14ac:dyDescent="0.2">
      <c r="A732" s="519" t="str">
        <f t="shared" si="17"/>
        <v>DNV-TRCA - 150</v>
      </c>
      <c r="E732" s="550">
        <v>150</v>
      </c>
    </row>
    <row r="733" spans="1:5" x14ac:dyDescent="0.2">
      <c r="A733" s="519" t="str">
        <f t="shared" si="17"/>
        <v>DNV-TRCA - 160</v>
      </c>
      <c r="E733" s="550">
        <v>160</v>
      </c>
    </row>
    <row r="734" spans="1:5" x14ac:dyDescent="0.2">
      <c r="A734" s="519" t="str">
        <f t="shared" si="17"/>
        <v>DNV-TRCA - 170</v>
      </c>
      <c r="E734" s="550">
        <v>170</v>
      </c>
    </row>
    <row r="735" spans="1:5" x14ac:dyDescent="0.2">
      <c r="A735" s="519" t="str">
        <f t="shared" si="17"/>
        <v>DNV-TRCA - 180</v>
      </c>
      <c r="E735" s="550">
        <v>180</v>
      </c>
    </row>
    <row r="736" spans="1:5" x14ac:dyDescent="0.2">
      <c r="A736" s="519" t="str">
        <f t="shared" si="17"/>
        <v>DNV-TRCA - 200</v>
      </c>
      <c r="E736" s="550">
        <v>200</v>
      </c>
    </row>
    <row r="737" spans="1:5" x14ac:dyDescent="0.2">
      <c r="A737" s="519" t="str">
        <f t="shared" si="17"/>
        <v>DNV-TRCA - 225</v>
      </c>
      <c r="E737" s="550">
        <v>225</v>
      </c>
    </row>
    <row r="738" spans="1:5" x14ac:dyDescent="0.2">
      <c r="A738" s="519" t="str">
        <f t="shared" si="17"/>
        <v>DNV-TRCA - 250</v>
      </c>
      <c r="E738" s="550">
        <v>250</v>
      </c>
    </row>
    <row r="739" spans="1:5" x14ac:dyDescent="0.2">
      <c r="A739" s="519" t="str">
        <f t="shared" si="17"/>
        <v>DNV-TRCA - 275</v>
      </c>
      <c r="E739" s="550">
        <v>275</v>
      </c>
    </row>
    <row r="740" spans="1:5" x14ac:dyDescent="0.2">
      <c r="A740" s="519" t="str">
        <f t="shared" si="17"/>
        <v>DNV-TRCA - 300</v>
      </c>
      <c r="E740" s="550">
        <v>300</v>
      </c>
    </row>
    <row r="741" spans="1:5" x14ac:dyDescent="0.2">
      <c r="A741" s="519" t="str">
        <f t="shared" si="17"/>
        <v>DNV-TRCA - 325</v>
      </c>
      <c r="E741" s="550">
        <v>325</v>
      </c>
    </row>
    <row r="742" spans="1:5" x14ac:dyDescent="0.2">
      <c r="A742" s="519" t="str">
        <f t="shared" si="17"/>
        <v>DNV-TRCA - 350</v>
      </c>
      <c r="E742" s="550">
        <v>350</v>
      </c>
    </row>
    <row r="743" spans="1:5" x14ac:dyDescent="0.2">
      <c r="A743" s="519" t="str">
        <f t="shared" si="17"/>
        <v>DNV-TRCA - 375</v>
      </c>
      <c r="E743" s="550">
        <v>375</v>
      </c>
    </row>
    <row r="744" spans="1:5" x14ac:dyDescent="0.2">
      <c r="A744" s="519" t="str">
        <f t="shared" si="17"/>
        <v>DNV-TRCA - 400</v>
      </c>
      <c r="E744" s="550">
        <v>400</v>
      </c>
    </row>
    <row r="745" spans="1:5" x14ac:dyDescent="0.2">
      <c r="A745" s="519" t="str">
        <f t="shared" si="17"/>
        <v>DNV-TRCA - 425</v>
      </c>
      <c r="E745" s="550">
        <v>425</v>
      </c>
    </row>
    <row r="746" spans="1:5" x14ac:dyDescent="0.2">
      <c r="A746" s="519" t="str">
        <f t="shared" si="17"/>
        <v>DNV-TRCA - 450</v>
      </c>
      <c r="E746" s="550">
        <v>450</v>
      </c>
    </row>
    <row r="747" spans="1:5" x14ac:dyDescent="0.2">
      <c r="A747" s="519" t="str">
        <f t="shared" si="17"/>
        <v>DNV-TRCA - 475</v>
      </c>
      <c r="E747" s="550">
        <v>475</v>
      </c>
    </row>
    <row r="748" spans="1:5" x14ac:dyDescent="0.2">
      <c r="A748" s="519" t="str">
        <f t="shared" si="17"/>
        <v>DNV-TRCA - 500</v>
      </c>
      <c r="E748" s="550">
        <v>500</v>
      </c>
    </row>
    <row r="749" spans="1:5" x14ac:dyDescent="0.2">
      <c r="A749" s="519" t="str">
        <f t="shared" si="17"/>
        <v>DNV-TRCA - 600</v>
      </c>
      <c r="E749" s="550">
        <v>600</v>
      </c>
    </row>
    <row r="750" spans="1:5" x14ac:dyDescent="0.2">
      <c r="A750" s="519" t="str">
        <f t="shared" si="17"/>
        <v>DNV-TRCA - 800</v>
      </c>
      <c r="E750" s="550">
        <v>800</v>
      </c>
    </row>
    <row r="751" spans="1:5" x14ac:dyDescent="0.2">
      <c r="A751" s="519" t="str">
        <f t="shared" si="17"/>
        <v>DNV-TRCA - 1000</v>
      </c>
      <c r="E751" s="550">
        <v>1000</v>
      </c>
    </row>
    <row r="756" spans="1:8" x14ac:dyDescent="0.2">
      <c r="A756" s="522"/>
      <c r="B756" s="517" t="s">
        <v>1735</v>
      </c>
    </row>
    <row r="758" spans="1:8" x14ac:dyDescent="0.2">
      <c r="B758" s="519" t="s">
        <v>42</v>
      </c>
      <c r="C758" s="519" t="s">
        <v>847</v>
      </c>
    </row>
    <row r="759" spans="1:8" x14ac:dyDescent="0.2">
      <c r="A759" s="651" t="str">
        <f>CONCATENATE("IIEE-SJ - ",B759)</f>
        <v>IIEE-SJ - 1</v>
      </c>
      <c r="B759" s="651">
        <v>1</v>
      </c>
      <c r="C759" s="651"/>
      <c r="D759" s="651"/>
      <c r="E759" s="654" t="s">
        <v>848</v>
      </c>
      <c r="F759" s="654" t="s">
        <v>1906</v>
      </c>
      <c r="G759" s="654"/>
      <c r="H759" s="655"/>
    </row>
    <row r="760" spans="1:8" x14ac:dyDescent="0.2">
      <c r="A760" s="519" t="s">
        <v>904</v>
      </c>
      <c r="B760" s="519">
        <v>101000</v>
      </c>
      <c r="E760" s="518" t="s">
        <v>715</v>
      </c>
      <c r="G760" s="551"/>
    </row>
    <row r="761" spans="1:8" x14ac:dyDescent="0.2">
      <c r="A761" s="519" t="s">
        <v>903</v>
      </c>
      <c r="B761" s="519">
        <v>102000</v>
      </c>
      <c r="E761" s="518" t="s">
        <v>716</v>
      </c>
      <c r="G761" s="551"/>
    </row>
    <row r="762" spans="1:8" x14ac:dyDescent="0.2">
      <c r="A762" s="519" t="s">
        <v>901</v>
      </c>
      <c r="B762" s="519">
        <v>103000</v>
      </c>
      <c r="E762" s="518" t="s">
        <v>717</v>
      </c>
      <c r="G762" s="551"/>
    </row>
    <row r="763" spans="1:8" x14ac:dyDescent="0.2">
      <c r="A763" s="519"/>
    </row>
    <row r="764" spans="1:8" x14ac:dyDescent="0.2">
      <c r="A764" s="519" t="s">
        <v>1736</v>
      </c>
      <c r="B764" s="519">
        <v>2</v>
      </c>
      <c r="E764" s="518" t="s">
        <v>849</v>
      </c>
    </row>
    <row r="765" spans="1:8" x14ac:dyDescent="0.2">
      <c r="A765" s="519"/>
    </row>
    <row r="766" spans="1:8" x14ac:dyDescent="0.2">
      <c r="A766" s="519" t="s">
        <v>1737</v>
      </c>
      <c r="B766" s="519">
        <v>201</v>
      </c>
      <c r="E766" s="518" t="s">
        <v>850</v>
      </c>
      <c r="F766" s="518" t="s">
        <v>1907</v>
      </c>
    </row>
    <row r="767" spans="1:8" x14ac:dyDescent="0.2">
      <c r="A767" s="519" t="s">
        <v>1738</v>
      </c>
      <c r="B767" s="519">
        <v>201001</v>
      </c>
      <c r="E767" s="518" t="s">
        <v>579</v>
      </c>
    </row>
    <row r="768" spans="1:8" x14ac:dyDescent="0.2">
      <c r="A768" s="519" t="s">
        <v>1739</v>
      </c>
      <c r="B768" s="519">
        <v>201002</v>
      </c>
      <c r="E768" s="518" t="s">
        <v>580</v>
      </c>
    </row>
    <row r="769" spans="1:6" x14ac:dyDescent="0.2">
      <c r="A769" s="519" t="s">
        <v>1740</v>
      </c>
      <c r="B769" s="519">
        <v>201003</v>
      </c>
      <c r="E769" s="518" t="s">
        <v>581</v>
      </c>
    </row>
    <row r="770" spans="1:6" x14ac:dyDescent="0.2">
      <c r="A770" s="524" t="s">
        <v>1741</v>
      </c>
      <c r="B770" s="524">
        <v>201004</v>
      </c>
      <c r="C770" s="524"/>
      <c r="D770" s="524"/>
      <c r="E770" s="525" t="s">
        <v>704</v>
      </c>
      <c r="F770" s="518" t="s">
        <v>1905</v>
      </c>
    </row>
    <row r="771" spans="1:6" x14ac:dyDescent="0.2">
      <c r="A771" s="519"/>
    </row>
    <row r="772" spans="1:6" x14ac:dyDescent="0.2">
      <c r="A772" s="519" t="s">
        <v>1742</v>
      </c>
      <c r="B772" s="519">
        <v>202</v>
      </c>
      <c r="E772" s="518" t="s">
        <v>851</v>
      </c>
      <c r="F772" s="518" t="s">
        <v>1907</v>
      </c>
    </row>
    <row r="773" spans="1:6" x14ac:dyDescent="0.2">
      <c r="A773" s="519" t="s">
        <v>1743</v>
      </c>
      <c r="B773" s="519">
        <v>202001</v>
      </c>
      <c r="E773" s="518" t="s">
        <v>582</v>
      </c>
    </row>
    <row r="774" spans="1:6" x14ac:dyDescent="0.2">
      <c r="A774" s="519" t="s">
        <v>1744</v>
      </c>
      <c r="B774" s="519">
        <v>202002</v>
      </c>
      <c r="E774" s="518" t="s">
        <v>583</v>
      </c>
    </row>
    <row r="775" spans="1:6" x14ac:dyDescent="0.2">
      <c r="A775" s="519" t="s">
        <v>1745</v>
      </c>
      <c r="B775" s="519">
        <v>202003</v>
      </c>
      <c r="E775" s="518" t="s">
        <v>584</v>
      </c>
    </row>
    <row r="776" spans="1:6" x14ac:dyDescent="0.2">
      <c r="A776" s="524" t="s">
        <v>1746</v>
      </c>
      <c r="B776" s="524">
        <v>202004</v>
      </c>
      <c r="C776" s="524"/>
      <c r="D776" s="524"/>
      <c r="E776" s="525" t="s">
        <v>677</v>
      </c>
      <c r="F776" s="518" t="s">
        <v>1905</v>
      </c>
    </row>
    <row r="777" spans="1:6" x14ac:dyDescent="0.2">
      <c r="A777" s="519"/>
    </row>
    <row r="778" spans="1:6" x14ac:dyDescent="0.2">
      <c r="A778" s="519" t="s">
        <v>1747</v>
      </c>
      <c r="B778" s="519">
        <v>203</v>
      </c>
      <c r="E778" s="518" t="s">
        <v>852</v>
      </c>
      <c r="F778" s="518" t="s">
        <v>1907</v>
      </c>
    </row>
    <row r="779" spans="1:6" x14ac:dyDescent="0.2">
      <c r="A779" s="519" t="s">
        <v>910</v>
      </c>
      <c r="B779" s="519">
        <v>203001</v>
      </c>
      <c r="E779" s="518" t="s">
        <v>853</v>
      </c>
    </row>
    <row r="780" spans="1:6" x14ac:dyDescent="0.2">
      <c r="A780" s="519" t="s">
        <v>909</v>
      </c>
      <c r="B780" s="519">
        <v>203002</v>
      </c>
      <c r="E780" s="518" t="s">
        <v>707</v>
      </c>
    </row>
    <row r="781" spans="1:6" x14ac:dyDescent="0.2">
      <c r="A781" s="519"/>
    </row>
    <row r="782" spans="1:6" x14ac:dyDescent="0.2">
      <c r="A782" s="519" t="s">
        <v>1748</v>
      </c>
      <c r="B782" s="519">
        <v>204</v>
      </c>
      <c r="E782" s="518" t="s">
        <v>854</v>
      </c>
      <c r="F782" s="518" t="s">
        <v>1907</v>
      </c>
    </row>
    <row r="783" spans="1:6" x14ac:dyDescent="0.2">
      <c r="A783" s="519" t="s">
        <v>1749</v>
      </c>
      <c r="B783" s="519">
        <v>204001</v>
      </c>
      <c r="E783" s="17" t="s">
        <v>855</v>
      </c>
    </row>
    <row r="784" spans="1:6" x14ac:dyDescent="0.2">
      <c r="A784" s="519" t="s">
        <v>1750</v>
      </c>
      <c r="B784" s="519">
        <v>204002</v>
      </c>
      <c r="E784" s="17" t="s">
        <v>856</v>
      </c>
    </row>
    <row r="785" spans="1:6" x14ac:dyDescent="0.2">
      <c r="A785" s="519" t="s">
        <v>1751</v>
      </c>
      <c r="B785" s="519">
        <v>204003</v>
      </c>
      <c r="E785" s="17" t="s">
        <v>857</v>
      </c>
    </row>
    <row r="786" spans="1:6" x14ac:dyDescent="0.2">
      <c r="A786" s="524" t="s">
        <v>1752</v>
      </c>
      <c r="B786" s="524">
        <v>204004</v>
      </c>
      <c r="C786" s="524"/>
      <c r="D786" s="524"/>
      <c r="E786" s="525" t="s">
        <v>687</v>
      </c>
      <c r="F786" s="518" t="s">
        <v>1905</v>
      </c>
    </row>
    <row r="787" spans="1:6" x14ac:dyDescent="0.2">
      <c r="A787" s="524" t="s">
        <v>1753</v>
      </c>
      <c r="B787" s="524">
        <v>204005</v>
      </c>
      <c r="C787" s="524"/>
      <c r="D787" s="524"/>
      <c r="E787" s="525" t="s">
        <v>688</v>
      </c>
      <c r="F787" s="518" t="s">
        <v>1905</v>
      </c>
    </row>
    <row r="788" spans="1:6" x14ac:dyDescent="0.2">
      <c r="A788" s="519"/>
    </row>
    <row r="789" spans="1:6" x14ac:dyDescent="0.2">
      <c r="A789" s="519" t="s">
        <v>1754</v>
      </c>
      <c r="B789" s="519">
        <v>205</v>
      </c>
      <c r="E789" s="518" t="s">
        <v>858</v>
      </c>
      <c r="F789" s="518" t="s">
        <v>1907</v>
      </c>
    </row>
    <row r="790" spans="1:6" x14ac:dyDescent="0.2">
      <c r="A790" s="519" t="s">
        <v>1755</v>
      </c>
      <c r="B790" s="519">
        <v>205001</v>
      </c>
      <c r="E790" s="518" t="s">
        <v>1756</v>
      </c>
    </row>
    <row r="791" spans="1:6" x14ac:dyDescent="0.2">
      <c r="A791" s="519" t="s">
        <v>908</v>
      </c>
      <c r="B791" s="519">
        <v>205002</v>
      </c>
      <c r="E791" s="518" t="s">
        <v>1757</v>
      </c>
    </row>
    <row r="792" spans="1:6" x14ac:dyDescent="0.2">
      <c r="A792" s="524" t="s">
        <v>1758</v>
      </c>
      <c r="B792" s="524">
        <v>205003</v>
      </c>
      <c r="C792" s="524"/>
      <c r="D792" s="524"/>
      <c r="E792" s="525" t="s">
        <v>685</v>
      </c>
      <c r="F792" s="518" t="s">
        <v>1905</v>
      </c>
    </row>
    <row r="793" spans="1:6" x14ac:dyDescent="0.2">
      <c r="A793" s="524" t="s">
        <v>1759</v>
      </c>
      <c r="B793" s="524">
        <v>205004</v>
      </c>
      <c r="C793" s="524"/>
      <c r="D793" s="524"/>
      <c r="E793" s="525" t="s">
        <v>686</v>
      </c>
      <c r="F793" s="518" t="s">
        <v>1905</v>
      </c>
    </row>
    <row r="794" spans="1:6" x14ac:dyDescent="0.2">
      <c r="A794" s="524" t="s">
        <v>1760</v>
      </c>
      <c r="B794" s="524">
        <v>205005</v>
      </c>
      <c r="C794" s="524"/>
      <c r="D794" s="524"/>
      <c r="E794" s="525" t="s">
        <v>684</v>
      </c>
      <c r="F794" s="518" t="s">
        <v>1905</v>
      </c>
    </row>
    <row r="795" spans="1:6" x14ac:dyDescent="0.2">
      <c r="A795" s="519"/>
    </row>
    <row r="796" spans="1:6" x14ac:dyDescent="0.2">
      <c r="A796" s="519" t="s">
        <v>1761</v>
      </c>
      <c r="B796" s="519">
        <v>206</v>
      </c>
      <c r="E796" s="518" t="s">
        <v>859</v>
      </c>
      <c r="F796" s="518" t="s">
        <v>1907</v>
      </c>
    </row>
    <row r="797" spans="1:6" x14ac:dyDescent="0.2">
      <c r="A797" s="519" t="s">
        <v>1762</v>
      </c>
      <c r="B797" s="519">
        <v>206001</v>
      </c>
      <c r="E797" s="518" t="s">
        <v>860</v>
      </c>
    </row>
    <row r="798" spans="1:6" x14ac:dyDescent="0.2">
      <c r="A798" s="519" t="s">
        <v>1763</v>
      </c>
      <c r="B798" s="519">
        <v>206002</v>
      </c>
      <c r="E798" s="518" t="s">
        <v>585</v>
      </c>
    </row>
    <row r="799" spans="1:6" x14ac:dyDescent="0.2">
      <c r="A799" s="524" t="s">
        <v>1764</v>
      </c>
      <c r="B799" s="524">
        <v>206003</v>
      </c>
      <c r="C799" s="524"/>
      <c r="D799" s="524"/>
      <c r="E799" s="525" t="s">
        <v>678</v>
      </c>
      <c r="F799" s="518" t="s">
        <v>1905</v>
      </c>
    </row>
    <row r="800" spans="1:6" x14ac:dyDescent="0.2">
      <c r="A800" s="524" t="s">
        <v>1765</v>
      </c>
      <c r="B800" s="524">
        <v>206004</v>
      </c>
      <c r="C800" s="524"/>
      <c r="D800" s="524"/>
      <c r="E800" s="525" t="s">
        <v>679</v>
      </c>
      <c r="F800" s="518" t="s">
        <v>1905</v>
      </c>
    </row>
    <row r="801" spans="1:6" x14ac:dyDescent="0.2">
      <c r="A801" s="519"/>
    </row>
    <row r="802" spans="1:6" x14ac:dyDescent="0.2">
      <c r="A802" s="519" t="s">
        <v>1766</v>
      </c>
      <c r="B802" s="519">
        <v>207</v>
      </c>
      <c r="E802" s="518" t="s">
        <v>861</v>
      </c>
      <c r="F802" s="518" t="s">
        <v>1907</v>
      </c>
    </row>
    <row r="803" spans="1:6" x14ac:dyDescent="0.2">
      <c r="A803" s="519" t="s">
        <v>1767</v>
      </c>
      <c r="B803" s="519">
        <v>207001</v>
      </c>
      <c r="E803" s="518" t="s">
        <v>586</v>
      </c>
    </row>
    <row r="804" spans="1:6" x14ac:dyDescent="0.2">
      <c r="A804" s="524" t="s">
        <v>1768</v>
      </c>
      <c r="B804" s="524">
        <v>207002</v>
      </c>
      <c r="C804" s="524"/>
      <c r="D804" s="524"/>
      <c r="E804" s="525" t="s">
        <v>862</v>
      </c>
      <c r="F804" s="518" t="s">
        <v>1905</v>
      </c>
    </row>
    <row r="805" spans="1:6" x14ac:dyDescent="0.2">
      <c r="A805" s="524" t="s">
        <v>1769</v>
      </c>
      <c r="B805" s="524">
        <v>207003</v>
      </c>
      <c r="C805" s="524"/>
      <c r="D805" s="524"/>
      <c r="E805" s="525" t="s">
        <v>680</v>
      </c>
      <c r="F805" s="518" t="s">
        <v>1905</v>
      </c>
    </row>
    <row r="806" spans="1:6" x14ac:dyDescent="0.2">
      <c r="A806" s="524" t="s">
        <v>1770</v>
      </c>
      <c r="B806" s="524">
        <v>207004</v>
      </c>
      <c r="C806" s="524"/>
      <c r="D806" s="524"/>
      <c r="E806" s="525" t="s">
        <v>683</v>
      </c>
      <c r="F806" s="518" t="s">
        <v>1905</v>
      </c>
    </row>
    <row r="807" spans="1:6" x14ac:dyDescent="0.2">
      <c r="A807" s="519"/>
    </row>
    <row r="808" spans="1:6" x14ac:dyDescent="0.2">
      <c r="A808" s="519" t="s">
        <v>1771</v>
      </c>
      <c r="B808" s="519">
        <v>208</v>
      </c>
      <c r="E808" s="518" t="s">
        <v>863</v>
      </c>
      <c r="F808" s="518" t="s">
        <v>1907</v>
      </c>
    </row>
    <row r="809" spans="1:6" x14ac:dyDescent="0.2">
      <c r="A809" s="519" t="s">
        <v>1772</v>
      </c>
      <c r="B809" s="519">
        <v>208001</v>
      </c>
      <c r="E809" s="518" t="s">
        <v>587</v>
      </c>
    </row>
    <row r="810" spans="1:6" x14ac:dyDescent="0.2">
      <c r="A810" s="524" t="s">
        <v>1773</v>
      </c>
      <c r="B810" s="524">
        <v>208002</v>
      </c>
      <c r="C810" s="524"/>
      <c r="D810" s="524"/>
      <c r="E810" s="525" t="s">
        <v>864</v>
      </c>
      <c r="F810" s="518" t="s">
        <v>1905</v>
      </c>
    </row>
    <row r="811" spans="1:6" x14ac:dyDescent="0.2">
      <c r="A811" s="519"/>
    </row>
    <row r="812" spans="1:6" x14ac:dyDescent="0.2">
      <c r="A812" s="519" t="s">
        <v>1774</v>
      </c>
      <c r="B812" s="519">
        <v>209</v>
      </c>
      <c r="E812" s="518" t="s">
        <v>865</v>
      </c>
      <c r="F812" s="518" t="s">
        <v>1907</v>
      </c>
    </row>
    <row r="813" spans="1:6" x14ac:dyDescent="0.2">
      <c r="A813" s="519" t="s">
        <v>1775</v>
      </c>
      <c r="B813" s="519">
        <v>209001</v>
      </c>
      <c r="E813" s="518" t="s">
        <v>588</v>
      </c>
    </row>
    <row r="814" spans="1:6" x14ac:dyDescent="0.2">
      <c r="A814" s="519" t="s">
        <v>1776</v>
      </c>
      <c r="B814" s="519">
        <v>209002</v>
      </c>
      <c r="E814" s="518" t="s">
        <v>589</v>
      </c>
    </row>
    <row r="815" spans="1:6" x14ac:dyDescent="0.2">
      <c r="A815" s="519" t="s">
        <v>1777</v>
      </c>
      <c r="B815" s="519">
        <v>209003</v>
      </c>
      <c r="E815" s="518" t="s">
        <v>590</v>
      </c>
    </row>
    <row r="816" spans="1:6" x14ac:dyDescent="0.2">
      <c r="A816" s="519" t="s">
        <v>1778</v>
      </c>
      <c r="B816" s="519">
        <v>209004</v>
      </c>
      <c r="E816" s="518" t="s">
        <v>591</v>
      </c>
    </row>
    <row r="817" spans="1:6" x14ac:dyDescent="0.2">
      <c r="A817" s="524" t="s">
        <v>1779</v>
      </c>
      <c r="B817" s="524">
        <v>209005</v>
      </c>
      <c r="C817" s="524"/>
      <c r="D817" s="524"/>
      <c r="E817" s="525" t="s">
        <v>690</v>
      </c>
      <c r="F817" s="518" t="s">
        <v>1905</v>
      </c>
    </row>
    <row r="818" spans="1:6" x14ac:dyDescent="0.2">
      <c r="A818" s="524" t="s">
        <v>1780</v>
      </c>
      <c r="B818" s="524">
        <v>209006</v>
      </c>
      <c r="C818" s="524"/>
      <c r="D818" s="524"/>
      <c r="E818" s="525" t="s">
        <v>691</v>
      </c>
      <c r="F818" s="518" t="s">
        <v>1905</v>
      </c>
    </row>
    <row r="819" spans="1:6" x14ac:dyDescent="0.2">
      <c r="A819" s="524" t="s">
        <v>1781</v>
      </c>
      <c r="B819" s="524">
        <v>209007</v>
      </c>
      <c r="C819" s="524"/>
      <c r="D819" s="524"/>
      <c r="E819" s="525" t="s">
        <v>692</v>
      </c>
      <c r="F819" s="518" t="s">
        <v>1905</v>
      </c>
    </row>
    <row r="820" spans="1:6" x14ac:dyDescent="0.2">
      <c r="A820" s="519"/>
    </row>
    <row r="821" spans="1:6" x14ac:dyDescent="0.2">
      <c r="A821" s="519" t="s">
        <v>1782</v>
      </c>
      <c r="B821" s="519">
        <v>210</v>
      </c>
      <c r="E821" s="518" t="s">
        <v>866</v>
      </c>
      <c r="F821" s="518" t="s">
        <v>1907</v>
      </c>
    </row>
    <row r="822" spans="1:6" x14ac:dyDescent="0.2">
      <c r="A822" s="519" t="s">
        <v>1783</v>
      </c>
      <c r="B822" s="519">
        <v>210001</v>
      </c>
      <c r="E822" s="518" t="s">
        <v>592</v>
      </c>
    </row>
    <row r="823" spans="1:6" x14ac:dyDescent="0.2">
      <c r="A823" s="519" t="s">
        <v>1784</v>
      </c>
      <c r="B823" s="519">
        <v>210002</v>
      </c>
      <c r="E823" s="518" t="s">
        <v>593</v>
      </c>
    </row>
    <row r="824" spans="1:6" x14ac:dyDescent="0.2">
      <c r="A824" s="519" t="s">
        <v>1785</v>
      </c>
      <c r="B824" s="519">
        <v>210003</v>
      </c>
      <c r="E824" s="518" t="s">
        <v>594</v>
      </c>
    </row>
    <row r="825" spans="1:6" x14ac:dyDescent="0.2">
      <c r="A825" s="519" t="s">
        <v>1786</v>
      </c>
      <c r="B825" s="519">
        <v>210004</v>
      </c>
      <c r="E825" s="518" t="s">
        <v>595</v>
      </c>
    </row>
    <row r="826" spans="1:6" x14ac:dyDescent="0.2">
      <c r="A826" s="519" t="s">
        <v>1787</v>
      </c>
      <c r="B826" s="519">
        <v>210005</v>
      </c>
      <c r="E826" s="518" t="s">
        <v>596</v>
      </c>
    </row>
    <row r="827" spans="1:6" x14ac:dyDescent="0.2">
      <c r="A827" s="519" t="s">
        <v>1788</v>
      </c>
      <c r="B827" s="519">
        <v>210006</v>
      </c>
      <c r="E827" s="518" t="s">
        <v>597</v>
      </c>
    </row>
    <row r="828" spans="1:6" x14ac:dyDescent="0.2">
      <c r="A828" s="519" t="s">
        <v>1789</v>
      </c>
      <c r="B828" s="519">
        <v>210007</v>
      </c>
      <c r="E828" s="518" t="s">
        <v>598</v>
      </c>
    </row>
    <row r="829" spans="1:6" x14ac:dyDescent="0.2">
      <c r="A829" s="519" t="s">
        <v>1790</v>
      </c>
      <c r="B829" s="519">
        <v>210008</v>
      </c>
      <c r="E829" s="518" t="s">
        <v>599</v>
      </c>
    </row>
    <row r="830" spans="1:6" x14ac:dyDescent="0.2">
      <c r="A830" s="519"/>
    </row>
    <row r="831" spans="1:6" x14ac:dyDescent="0.2">
      <c r="A831" s="519" t="s">
        <v>1791</v>
      </c>
      <c r="B831" s="519">
        <v>211</v>
      </c>
      <c r="E831" s="518" t="s">
        <v>867</v>
      </c>
      <c r="F831" s="518" t="s">
        <v>1907</v>
      </c>
    </row>
    <row r="832" spans="1:6" x14ac:dyDescent="0.2">
      <c r="A832" s="519" t="s">
        <v>1792</v>
      </c>
      <c r="B832" s="519">
        <v>211001</v>
      </c>
      <c r="E832" s="518" t="s">
        <v>600</v>
      </c>
    </row>
    <row r="833" spans="1:6" x14ac:dyDescent="0.2">
      <c r="A833" s="519" t="s">
        <v>1793</v>
      </c>
      <c r="B833" s="519">
        <v>211002</v>
      </c>
      <c r="E833" s="518" t="s">
        <v>601</v>
      </c>
    </row>
    <row r="834" spans="1:6" x14ac:dyDescent="0.2">
      <c r="A834" s="519" t="s">
        <v>1794</v>
      </c>
      <c r="B834" s="519">
        <v>211003</v>
      </c>
      <c r="E834" s="518" t="s">
        <v>602</v>
      </c>
    </row>
    <row r="835" spans="1:6" x14ac:dyDescent="0.2">
      <c r="A835" s="519" t="s">
        <v>1795</v>
      </c>
      <c r="B835" s="519">
        <v>211004</v>
      </c>
      <c r="E835" s="518" t="s">
        <v>603</v>
      </c>
    </row>
    <row r="836" spans="1:6" x14ac:dyDescent="0.2">
      <c r="A836" s="519" t="s">
        <v>1796</v>
      </c>
      <c r="B836" s="519">
        <v>211005</v>
      </c>
      <c r="E836" s="518" t="s">
        <v>604</v>
      </c>
    </row>
    <row r="837" spans="1:6" x14ac:dyDescent="0.2">
      <c r="A837" s="524" t="s">
        <v>1797</v>
      </c>
      <c r="B837" s="524">
        <v>211006</v>
      </c>
      <c r="C837" s="524"/>
      <c r="D837" s="524"/>
      <c r="E837" s="525" t="s">
        <v>705</v>
      </c>
      <c r="F837" s="518" t="s">
        <v>1905</v>
      </c>
    </row>
    <row r="838" spans="1:6" x14ac:dyDescent="0.2">
      <c r="A838" s="524" t="s">
        <v>1798</v>
      </c>
      <c r="B838" s="524">
        <v>211007</v>
      </c>
      <c r="C838" s="524"/>
      <c r="D838" s="524"/>
      <c r="E838" s="525" t="s">
        <v>706</v>
      </c>
      <c r="F838" s="518" t="s">
        <v>1905</v>
      </c>
    </row>
    <row r="839" spans="1:6" x14ac:dyDescent="0.2">
      <c r="A839" s="524" t="s">
        <v>1799</v>
      </c>
      <c r="B839" s="524">
        <v>211008</v>
      </c>
      <c r="C839" s="524"/>
      <c r="D839" s="524"/>
      <c r="E839" s="525" t="s">
        <v>868</v>
      </c>
      <c r="F839" s="518" t="s">
        <v>1905</v>
      </c>
    </row>
    <row r="840" spans="1:6" x14ac:dyDescent="0.2">
      <c r="A840" s="524" t="s">
        <v>1800</v>
      </c>
      <c r="B840" s="524">
        <v>211009</v>
      </c>
      <c r="C840" s="524"/>
      <c r="D840" s="524"/>
      <c r="E840" s="525" t="s">
        <v>869</v>
      </c>
      <c r="F840" s="518" t="s">
        <v>1905</v>
      </c>
    </row>
    <row r="841" spans="1:6" x14ac:dyDescent="0.2">
      <c r="A841" s="519"/>
    </row>
    <row r="842" spans="1:6" x14ac:dyDescent="0.2">
      <c r="A842" s="519" t="s">
        <v>1801</v>
      </c>
      <c r="B842" s="519">
        <v>212</v>
      </c>
      <c r="E842" s="518" t="s">
        <v>870</v>
      </c>
      <c r="F842" s="518" t="s">
        <v>1907</v>
      </c>
    </row>
    <row r="843" spans="1:6" x14ac:dyDescent="0.2">
      <c r="A843" s="519" t="s">
        <v>1802</v>
      </c>
      <c r="B843" s="519">
        <v>212001</v>
      </c>
      <c r="E843" s="518" t="s">
        <v>605</v>
      </c>
    </row>
    <row r="844" spans="1:6" x14ac:dyDescent="0.2">
      <c r="A844" s="519" t="s">
        <v>1803</v>
      </c>
      <c r="B844" s="519">
        <v>212002</v>
      </c>
      <c r="E844" s="518" t="s">
        <v>606</v>
      </c>
    </row>
    <row r="845" spans="1:6" x14ac:dyDescent="0.2">
      <c r="A845" s="524" t="s">
        <v>1804</v>
      </c>
      <c r="B845" s="524">
        <v>212003</v>
      </c>
      <c r="C845" s="524"/>
      <c r="D845" s="524"/>
      <c r="E845" s="525" t="s">
        <v>607</v>
      </c>
      <c r="F845" s="518" t="s">
        <v>1905</v>
      </c>
    </row>
    <row r="846" spans="1:6" x14ac:dyDescent="0.2">
      <c r="A846" s="519" t="s">
        <v>1805</v>
      </c>
      <c r="B846" s="519">
        <v>212004</v>
      </c>
      <c r="E846" s="518" t="s">
        <v>608</v>
      </c>
    </row>
    <row r="847" spans="1:6" x14ac:dyDescent="0.2">
      <c r="A847" s="519"/>
    </row>
    <row r="848" spans="1:6" x14ac:dyDescent="0.2">
      <c r="A848" s="519" t="s">
        <v>1806</v>
      </c>
      <c r="B848" s="519">
        <v>213</v>
      </c>
      <c r="E848" s="518" t="s">
        <v>871</v>
      </c>
      <c r="F848" s="518" t="s">
        <v>1907</v>
      </c>
    </row>
    <row r="849" spans="1:6" x14ac:dyDescent="0.2">
      <c r="A849" s="519" t="s">
        <v>1807</v>
      </c>
      <c r="B849" s="519">
        <v>213001</v>
      </c>
      <c r="E849" s="518" t="s">
        <v>609</v>
      </c>
    </row>
    <row r="850" spans="1:6" x14ac:dyDescent="0.2">
      <c r="A850" s="519" t="s">
        <v>1808</v>
      </c>
      <c r="B850" s="519">
        <v>213002</v>
      </c>
      <c r="E850" s="518" t="s">
        <v>610</v>
      </c>
    </row>
    <row r="851" spans="1:6" x14ac:dyDescent="0.2">
      <c r="A851" s="519" t="s">
        <v>1809</v>
      </c>
      <c r="B851" s="519">
        <v>213003</v>
      </c>
      <c r="E851" s="518" t="s">
        <v>611</v>
      </c>
    </row>
    <row r="852" spans="1:6" x14ac:dyDescent="0.2">
      <c r="A852" s="519" t="s">
        <v>1810</v>
      </c>
      <c r="B852" s="519">
        <v>213004</v>
      </c>
      <c r="E852" s="518" t="s">
        <v>612</v>
      </c>
    </row>
    <row r="853" spans="1:6" x14ac:dyDescent="0.2">
      <c r="A853" s="519" t="s">
        <v>1811</v>
      </c>
      <c r="B853" s="519">
        <v>213005</v>
      </c>
      <c r="E853" s="518" t="s">
        <v>613</v>
      </c>
    </row>
    <row r="854" spans="1:6" x14ac:dyDescent="0.2">
      <c r="A854" s="519" t="s">
        <v>1812</v>
      </c>
      <c r="B854" s="519">
        <v>213006</v>
      </c>
      <c r="E854" s="518" t="s">
        <v>614</v>
      </c>
    </row>
    <row r="855" spans="1:6" x14ac:dyDescent="0.2">
      <c r="A855" s="519" t="s">
        <v>1813</v>
      </c>
      <c r="B855" s="519">
        <v>213007</v>
      </c>
      <c r="E855" s="518" t="s">
        <v>615</v>
      </c>
    </row>
    <row r="856" spans="1:6" x14ac:dyDescent="0.2">
      <c r="A856" s="519" t="s">
        <v>1814</v>
      </c>
      <c r="B856" s="519">
        <v>213008</v>
      </c>
      <c r="E856" s="518" t="s">
        <v>616</v>
      </c>
    </row>
    <row r="857" spans="1:6" x14ac:dyDescent="0.2">
      <c r="A857" s="519"/>
    </row>
    <row r="858" spans="1:6" x14ac:dyDescent="0.2">
      <c r="A858" s="519" t="s">
        <v>1815</v>
      </c>
      <c r="B858" s="519">
        <v>214</v>
      </c>
      <c r="E858" s="518" t="s">
        <v>872</v>
      </c>
      <c r="F858" s="518" t="s">
        <v>1907</v>
      </c>
    </row>
    <row r="859" spans="1:6" x14ac:dyDescent="0.2">
      <c r="A859" s="519" t="s">
        <v>1816</v>
      </c>
      <c r="B859" s="519">
        <v>214001</v>
      </c>
      <c r="E859" s="518" t="s">
        <v>617</v>
      </c>
    </row>
    <row r="860" spans="1:6" x14ac:dyDescent="0.2">
      <c r="A860" s="519" t="s">
        <v>1593</v>
      </c>
      <c r="B860" s="519">
        <v>214002</v>
      </c>
      <c r="E860" s="518" t="s">
        <v>618</v>
      </c>
    </row>
    <row r="861" spans="1:6" x14ac:dyDescent="0.2">
      <c r="A861" s="519" t="s">
        <v>1817</v>
      </c>
      <c r="B861" s="519">
        <v>214003</v>
      </c>
      <c r="E861" s="518" t="s">
        <v>619</v>
      </c>
    </row>
    <row r="862" spans="1:6" x14ac:dyDescent="0.2">
      <c r="A862" s="519" t="s">
        <v>1594</v>
      </c>
      <c r="B862" s="519">
        <v>214004</v>
      </c>
      <c r="E862" s="518" t="s">
        <v>620</v>
      </c>
    </row>
    <row r="863" spans="1:6" x14ac:dyDescent="0.2">
      <c r="A863" s="519" t="s">
        <v>1818</v>
      </c>
      <c r="B863" s="519">
        <v>214005</v>
      </c>
      <c r="E863" s="518" t="s">
        <v>621</v>
      </c>
    </row>
    <row r="864" spans="1:6" x14ac:dyDescent="0.2">
      <c r="A864" s="519" t="s">
        <v>1595</v>
      </c>
      <c r="B864" s="519">
        <v>214006</v>
      </c>
      <c r="E864" s="518" t="s">
        <v>622</v>
      </c>
    </row>
    <row r="865" spans="1:6" x14ac:dyDescent="0.2">
      <c r="A865" s="519"/>
    </row>
    <row r="866" spans="1:6" x14ac:dyDescent="0.2">
      <c r="A866" s="519" t="s">
        <v>1819</v>
      </c>
      <c r="B866" s="519">
        <v>215</v>
      </c>
      <c r="E866" s="518" t="s">
        <v>873</v>
      </c>
      <c r="F866" s="518" t="s">
        <v>1907</v>
      </c>
    </row>
    <row r="867" spans="1:6" x14ac:dyDescent="0.2">
      <c r="A867" s="524" t="s">
        <v>1820</v>
      </c>
      <c r="B867" s="524">
        <v>215001</v>
      </c>
      <c r="C867" s="524"/>
      <c r="D867" s="524"/>
      <c r="E867" s="525" t="s">
        <v>623</v>
      </c>
      <c r="F867" s="518" t="s">
        <v>1905</v>
      </c>
    </row>
    <row r="868" spans="1:6" x14ac:dyDescent="0.2">
      <c r="A868" s="524" t="s">
        <v>1821</v>
      </c>
      <c r="B868" s="524">
        <v>215002</v>
      </c>
      <c r="C868" s="524"/>
      <c r="D868" s="524"/>
      <c r="E868" s="525" t="s">
        <v>624</v>
      </c>
      <c r="F868" s="518" t="s">
        <v>1905</v>
      </c>
    </row>
    <row r="869" spans="1:6" x14ac:dyDescent="0.2">
      <c r="A869" s="524" t="s">
        <v>1822</v>
      </c>
      <c r="B869" s="524">
        <v>215003</v>
      </c>
      <c r="C869" s="524"/>
      <c r="D869" s="524"/>
      <c r="E869" s="525" t="s">
        <v>625</v>
      </c>
      <c r="F869" s="518" t="s">
        <v>1905</v>
      </c>
    </row>
    <row r="870" spans="1:6" x14ac:dyDescent="0.2">
      <c r="A870" s="519" t="s">
        <v>1823</v>
      </c>
      <c r="B870" s="519">
        <v>215004</v>
      </c>
      <c r="E870" s="518" t="s">
        <v>626</v>
      </c>
    </row>
    <row r="871" spans="1:6" x14ac:dyDescent="0.2">
      <c r="A871" s="519" t="s">
        <v>1824</v>
      </c>
      <c r="B871" s="519">
        <v>215005</v>
      </c>
      <c r="E871" s="518" t="s">
        <v>627</v>
      </c>
    </row>
    <row r="872" spans="1:6" x14ac:dyDescent="0.2">
      <c r="A872" s="519" t="s">
        <v>1825</v>
      </c>
      <c r="B872" s="519">
        <v>215006</v>
      </c>
      <c r="E872" s="518" t="s">
        <v>628</v>
      </c>
    </row>
    <row r="873" spans="1:6" x14ac:dyDescent="0.2">
      <c r="A873" s="519"/>
    </row>
    <row r="874" spans="1:6" x14ac:dyDescent="0.2">
      <c r="A874" s="519" t="s">
        <v>1826</v>
      </c>
      <c r="B874" s="519">
        <v>216</v>
      </c>
      <c r="E874" s="518" t="s">
        <v>874</v>
      </c>
      <c r="F874" s="518" t="s">
        <v>1907</v>
      </c>
    </row>
    <row r="875" spans="1:6" x14ac:dyDescent="0.2">
      <c r="A875" s="519" t="s">
        <v>1827</v>
      </c>
      <c r="B875" s="519">
        <v>216001</v>
      </c>
      <c r="E875" s="518" t="s">
        <v>629</v>
      </c>
    </row>
    <row r="876" spans="1:6" x14ac:dyDescent="0.2">
      <c r="A876" s="519" t="s">
        <v>1828</v>
      </c>
      <c r="B876" s="519">
        <v>216002</v>
      </c>
      <c r="E876" s="518" t="s">
        <v>630</v>
      </c>
    </row>
    <row r="877" spans="1:6" x14ac:dyDescent="0.2">
      <c r="A877" s="519" t="s">
        <v>1829</v>
      </c>
      <c r="B877" s="519">
        <v>216003</v>
      </c>
      <c r="E877" s="518" t="s">
        <v>631</v>
      </c>
    </row>
    <row r="878" spans="1:6" x14ac:dyDescent="0.2">
      <c r="A878" s="519" t="s">
        <v>1830</v>
      </c>
      <c r="B878" s="519">
        <v>216004</v>
      </c>
      <c r="E878" s="518" t="s">
        <v>632</v>
      </c>
    </row>
    <row r="879" spans="1:6" x14ac:dyDescent="0.2">
      <c r="A879" s="519" t="s">
        <v>1831</v>
      </c>
      <c r="B879" s="519">
        <v>216005</v>
      </c>
      <c r="E879" s="518" t="s">
        <v>633</v>
      </c>
    </row>
    <row r="880" spans="1:6" x14ac:dyDescent="0.2">
      <c r="A880" s="519"/>
    </row>
    <row r="881" spans="1:6" x14ac:dyDescent="0.2">
      <c r="A881" s="519" t="s">
        <v>1832</v>
      </c>
      <c r="B881" s="519">
        <v>217</v>
      </c>
      <c r="E881" s="518" t="s">
        <v>875</v>
      </c>
      <c r="F881" s="518" t="s">
        <v>1907</v>
      </c>
    </row>
    <row r="882" spans="1:6" x14ac:dyDescent="0.2">
      <c r="A882" s="519" t="s">
        <v>1833</v>
      </c>
      <c r="B882" s="519">
        <v>217001</v>
      </c>
      <c r="E882" s="518" t="s">
        <v>634</v>
      </c>
    </row>
    <row r="883" spans="1:6" x14ac:dyDescent="0.2">
      <c r="A883" s="519" t="s">
        <v>1834</v>
      </c>
      <c r="B883" s="519">
        <v>217002</v>
      </c>
      <c r="E883" s="518" t="s">
        <v>635</v>
      </c>
    </row>
    <row r="884" spans="1:6" x14ac:dyDescent="0.2">
      <c r="A884" s="519"/>
    </row>
    <row r="885" spans="1:6" x14ac:dyDescent="0.2">
      <c r="A885" s="519" t="s">
        <v>1835</v>
      </c>
      <c r="B885" s="519">
        <v>218</v>
      </c>
      <c r="E885" s="518" t="s">
        <v>826</v>
      </c>
      <c r="F885" s="518" t="s">
        <v>1907</v>
      </c>
    </row>
    <row r="886" spans="1:6" x14ac:dyDescent="0.2">
      <c r="A886" s="519" t="s">
        <v>1836</v>
      </c>
      <c r="B886" s="519">
        <v>218001</v>
      </c>
      <c r="E886" s="518" t="s">
        <v>636</v>
      </c>
    </row>
    <row r="887" spans="1:6" x14ac:dyDescent="0.2">
      <c r="A887" s="519" t="s">
        <v>1837</v>
      </c>
      <c r="B887" s="519">
        <v>218002</v>
      </c>
      <c r="E887" s="518" t="s">
        <v>637</v>
      </c>
    </row>
    <row r="888" spans="1:6" x14ac:dyDescent="0.2">
      <c r="A888" s="519" t="s">
        <v>1838</v>
      </c>
      <c r="B888" s="519">
        <v>218003</v>
      </c>
      <c r="E888" s="518" t="s">
        <v>638</v>
      </c>
    </row>
    <row r="889" spans="1:6" x14ac:dyDescent="0.2">
      <c r="A889" s="519"/>
    </row>
    <row r="890" spans="1:6" x14ac:dyDescent="0.2">
      <c r="A890" s="519" t="s">
        <v>1839</v>
      </c>
      <c r="B890" s="519">
        <v>219</v>
      </c>
      <c r="E890" s="518" t="s">
        <v>876</v>
      </c>
      <c r="F890" s="518" t="s">
        <v>1907</v>
      </c>
    </row>
    <row r="891" spans="1:6" x14ac:dyDescent="0.2">
      <c r="A891" s="519" t="s">
        <v>1840</v>
      </c>
      <c r="B891" s="519">
        <v>219001</v>
      </c>
      <c r="E891" s="518" t="s">
        <v>877</v>
      </c>
    </row>
    <row r="892" spans="1:6" x14ac:dyDescent="0.2">
      <c r="A892" s="519" t="s">
        <v>1841</v>
      </c>
      <c r="B892" s="519">
        <v>219002</v>
      </c>
      <c r="E892" s="518" t="s">
        <v>878</v>
      </c>
    </row>
    <row r="893" spans="1:6" x14ac:dyDescent="0.2">
      <c r="A893" s="519" t="s">
        <v>1842</v>
      </c>
      <c r="B893" s="519">
        <v>219003</v>
      </c>
      <c r="E893" s="518" t="s">
        <v>879</v>
      </c>
    </row>
    <row r="894" spans="1:6" x14ac:dyDescent="0.2">
      <c r="A894" s="519" t="s">
        <v>1843</v>
      </c>
      <c r="B894" s="519">
        <v>219004</v>
      </c>
      <c r="E894" s="518" t="s">
        <v>880</v>
      </c>
    </row>
    <row r="895" spans="1:6" x14ac:dyDescent="0.2">
      <c r="A895" s="519" t="s">
        <v>1844</v>
      </c>
      <c r="B895" s="519">
        <v>219005</v>
      </c>
      <c r="E895" s="518" t="s">
        <v>881</v>
      </c>
    </row>
    <row r="896" spans="1:6" x14ac:dyDescent="0.2">
      <c r="A896" s="519"/>
    </row>
    <row r="897" spans="1:6" x14ac:dyDescent="0.2">
      <c r="A897" s="519" t="s">
        <v>1845</v>
      </c>
      <c r="B897" s="519">
        <v>220</v>
      </c>
      <c r="E897" s="518" t="s">
        <v>882</v>
      </c>
      <c r="F897" s="518" t="s">
        <v>1907</v>
      </c>
    </row>
    <row r="898" spans="1:6" x14ac:dyDescent="0.2">
      <c r="A898" s="524" t="s">
        <v>1846</v>
      </c>
      <c r="B898" s="524">
        <v>220001</v>
      </c>
      <c r="C898" s="524"/>
      <c r="D898" s="524"/>
      <c r="E898" s="525" t="s">
        <v>639</v>
      </c>
      <c r="F898" s="518" t="s">
        <v>1905</v>
      </c>
    </row>
    <row r="899" spans="1:6" x14ac:dyDescent="0.2">
      <c r="A899" s="524" t="s">
        <v>1847</v>
      </c>
      <c r="B899" s="524">
        <v>220002</v>
      </c>
      <c r="C899" s="524"/>
      <c r="D899" s="524"/>
      <c r="E899" s="525" t="s">
        <v>640</v>
      </c>
      <c r="F899" s="518" t="s">
        <v>1905</v>
      </c>
    </row>
    <row r="900" spans="1:6" x14ac:dyDescent="0.2">
      <c r="A900" s="524" t="s">
        <v>1848</v>
      </c>
      <c r="B900" s="524">
        <v>220003</v>
      </c>
      <c r="C900" s="524"/>
      <c r="D900" s="524"/>
      <c r="E900" s="525" t="s">
        <v>641</v>
      </c>
      <c r="F900" s="518" t="s">
        <v>1905</v>
      </c>
    </row>
    <row r="901" spans="1:6" x14ac:dyDescent="0.2">
      <c r="A901" s="519" t="s">
        <v>1849</v>
      </c>
      <c r="B901" s="519">
        <v>220004</v>
      </c>
      <c r="E901" s="518" t="s">
        <v>642</v>
      </c>
    </row>
    <row r="902" spans="1:6" x14ac:dyDescent="0.2">
      <c r="A902" s="519" t="s">
        <v>1850</v>
      </c>
      <c r="B902" s="519">
        <v>220005</v>
      </c>
      <c r="E902" s="518" t="s">
        <v>643</v>
      </c>
    </row>
    <row r="903" spans="1:6" x14ac:dyDescent="0.2">
      <c r="A903" s="519" t="s">
        <v>1851</v>
      </c>
      <c r="B903" s="519">
        <v>220006</v>
      </c>
      <c r="E903" s="518" t="s">
        <v>644</v>
      </c>
    </row>
    <row r="904" spans="1:6" x14ac:dyDescent="0.2">
      <c r="A904" s="519"/>
    </row>
    <row r="905" spans="1:6" x14ac:dyDescent="0.2">
      <c r="A905" s="519" t="s">
        <v>1852</v>
      </c>
      <c r="B905" s="519">
        <v>221</v>
      </c>
      <c r="E905" s="518" t="s">
        <v>883</v>
      </c>
      <c r="F905" s="518" t="s">
        <v>1907</v>
      </c>
    </row>
    <row r="906" spans="1:6" x14ac:dyDescent="0.2">
      <c r="A906" s="519" t="s">
        <v>1853</v>
      </c>
      <c r="B906" s="519">
        <v>221001</v>
      </c>
      <c r="E906" s="518" t="s">
        <v>645</v>
      </c>
    </row>
    <row r="907" spans="1:6" x14ac:dyDescent="0.2">
      <c r="A907" s="519" t="s">
        <v>1854</v>
      </c>
      <c r="B907" s="519">
        <v>221002</v>
      </c>
      <c r="E907" s="518" t="s">
        <v>646</v>
      </c>
    </row>
    <row r="908" spans="1:6" x14ac:dyDescent="0.2">
      <c r="A908" s="519" t="s">
        <v>1855</v>
      </c>
      <c r="B908" s="519">
        <v>221003</v>
      </c>
      <c r="E908" s="518" t="s">
        <v>647</v>
      </c>
    </row>
    <row r="909" spans="1:6" x14ac:dyDescent="0.2">
      <c r="A909" s="524" t="s">
        <v>1856</v>
      </c>
      <c r="B909" s="524">
        <v>221004</v>
      </c>
      <c r="C909" s="524"/>
      <c r="D909" s="524"/>
      <c r="E909" s="525" t="s">
        <v>648</v>
      </c>
      <c r="F909" s="518" t="s">
        <v>1905</v>
      </c>
    </row>
    <row r="910" spans="1:6" x14ac:dyDescent="0.2">
      <c r="A910" s="524" t="s">
        <v>1857</v>
      </c>
      <c r="B910" s="524">
        <v>221005</v>
      </c>
      <c r="C910" s="524"/>
      <c r="D910" s="524"/>
      <c r="E910" s="525" t="s">
        <v>649</v>
      </c>
      <c r="F910" s="518" t="s">
        <v>1905</v>
      </c>
    </row>
    <row r="911" spans="1:6" x14ac:dyDescent="0.2">
      <c r="A911" s="519" t="s">
        <v>1858</v>
      </c>
      <c r="B911" s="519">
        <v>221006</v>
      </c>
      <c r="E911" s="518" t="s">
        <v>650</v>
      </c>
    </row>
    <row r="912" spans="1:6" x14ac:dyDescent="0.2">
      <c r="A912" s="519"/>
    </row>
    <row r="913" spans="1:6" x14ac:dyDescent="0.2">
      <c r="A913" s="519" t="s">
        <v>1859</v>
      </c>
      <c r="B913" s="519">
        <v>222</v>
      </c>
      <c r="E913" s="518" t="s">
        <v>884</v>
      </c>
      <c r="F913" s="518" t="s">
        <v>1907</v>
      </c>
    </row>
    <row r="914" spans="1:6" x14ac:dyDescent="0.2">
      <c r="A914" s="519" t="s">
        <v>1860</v>
      </c>
      <c r="B914" s="519">
        <v>222001</v>
      </c>
      <c r="E914" s="518" t="s">
        <v>651</v>
      </c>
    </row>
    <row r="915" spans="1:6" x14ac:dyDescent="0.2">
      <c r="A915" s="519" t="s">
        <v>1861</v>
      </c>
      <c r="B915" s="519">
        <v>222002</v>
      </c>
      <c r="E915" s="518" t="s">
        <v>652</v>
      </c>
    </row>
    <row r="916" spans="1:6" x14ac:dyDescent="0.2">
      <c r="A916" s="519" t="s">
        <v>1862</v>
      </c>
      <c r="B916" s="519">
        <v>222003</v>
      </c>
      <c r="E916" s="518" t="s">
        <v>653</v>
      </c>
    </row>
    <row r="917" spans="1:6" x14ac:dyDescent="0.2">
      <c r="A917" s="519" t="s">
        <v>1863</v>
      </c>
      <c r="B917" s="519">
        <v>222004</v>
      </c>
      <c r="E917" s="518" t="s">
        <v>654</v>
      </c>
    </row>
    <row r="918" spans="1:6" x14ac:dyDescent="0.2">
      <c r="A918" s="519" t="s">
        <v>1864</v>
      </c>
      <c r="B918" s="519">
        <v>222005</v>
      </c>
      <c r="E918" s="518" t="s">
        <v>655</v>
      </c>
    </row>
    <row r="919" spans="1:6" x14ac:dyDescent="0.2">
      <c r="A919" s="519" t="s">
        <v>1865</v>
      </c>
      <c r="B919" s="519">
        <v>222006</v>
      </c>
      <c r="E919" s="518" t="s">
        <v>656</v>
      </c>
    </row>
    <row r="920" spans="1:6" x14ac:dyDescent="0.2">
      <c r="A920" s="519" t="s">
        <v>1866</v>
      </c>
      <c r="B920" s="519">
        <v>222007</v>
      </c>
      <c r="E920" s="518" t="s">
        <v>657</v>
      </c>
    </row>
    <row r="921" spans="1:6" x14ac:dyDescent="0.2">
      <c r="A921" s="519" t="s">
        <v>1867</v>
      </c>
      <c r="B921" s="519">
        <v>222008</v>
      </c>
      <c r="E921" s="518" t="s">
        <v>658</v>
      </c>
    </row>
    <row r="922" spans="1:6" x14ac:dyDescent="0.2">
      <c r="A922" s="519" t="s">
        <v>1868</v>
      </c>
      <c r="B922" s="519">
        <v>222009</v>
      </c>
      <c r="E922" s="518" t="s">
        <v>659</v>
      </c>
    </row>
    <row r="923" spans="1:6" x14ac:dyDescent="0.2">
      <c r="A923" s="519" t="s">
        <v>1869</v>
      </c>
      <c r="B923" s="519">
        <v>222010</v>
      </c>
      <c r="E923" s="518" t="s">
        <v>660</v>
      </c>
    </row>
    <row r="924" spans="1:6" x14ac:dyDescent="0.2">
      <c r="A924" s="519" t="s">
        <v>1870</v>
      </c>
      <c r="B924" s="519">
        <v>222011</v>
      </c>
      <c r="E924" s="518" t="s">
        <v>661</v>
      </c>
    </row>
    <row r="925" spans="1:6" x14ac:dyDescent="0.2">
      <c r="A925" s="519" t="s">
        <v>1871</v>
      </c>
      <c r="B925" s="519">
        <v>222012</v>
      </c>
      <c r="E925" s="518" t="s">
        <v>662</v>
      </c>
    </row>
    <row r="926" spans="1:6" x14ac:dyDescent="0.2">
      <c r="A926" s="519" t="s">
        <v>1872</v>
      </c>
      <c r="B926" s="519">
        <v>222013</v>
      </c>
      <c r="E926" s="518" t="s">
        <v>663</v>
      </c>
    </row>
    <row r="927" spans="1:6" x14ac:dyDescent="0.2">
      <c r="A927" s="519" t="s">
        <v>1873</v>
      </c>
      <c r="B927" s="519">
        <v>222014</v>
      </c>
      <c r="E927" s="518" t="s">
        <v>664</v>
      </c>
    </row>
    <row r="928" spans="1:6" x14ac:dyDescent="0.2">
      <c r="A928" s="519" t="s">
        <v>1874</v>
      </c>
      <c r="B928" s="519">
        <v>222015</v>
      </c>
      <c r="E928" s="518" t="s">
        <v>665</v>
      </c>
    </row>
    <row r="929" spans="1:6" x14ac:dyDescent="0.2">
      <c r="A929" s="519" t="s">
        <v>1875</v>
      </c>
      <c r="B929" s="519">
        <v>222016</v>
      </c>
      <c r="E929" s="518" t="s">
        <v>666</v>
      </c>
    </row>
    <row r="930" spans="1:6" x14ac:dyDescent="0.2">
      <c r="A930" s="519"/>
    </row>
    <row r="931" spans="1:6" x14ac:dyDescent="0.2">
      <c r="A931" s="519" t="s">
        <v>1876</v>
      </c>
      <c r="B931" s="519">
        <v>223</v>
      </c>
      <c r="E931" s="518" t="s">
        <v>885</v>
      </c>
      <c r="F931" s="518" t="s">
        <v>1907</v>
      </c>
    </row>
    <row r="932" spans="1:6" x14ac:dyDescent="0.2">
      <c r="A932" s="519" t="s">
        <v>1877</v>
      </c>
      <c r="B932" s="519">
        <v>223001</v>
      </c>
      <c r="E932" s="518" t="s">
        <v>667</v>
      </c>
    </row>
    <row r="933" spans="1:6" x14ac:dyDescent="0.2">
      <c r="A933" s="519" t="s">
        <v>1878</v>
      </c>
      <c r="B933" s="519">
        <v>223002</v>
      </c>
      <c r="E933" s="518" t="s">
        <v>668</v>
      </c>
    </row>
    <row r="934" spans="1:6" x14ac:dyDescent="0.2">
      <c r="A934" s="524" t="s">
        <v>1879</v>
      </c>
      <c r="B934" s="524">
        <v>223003</v>
      </c>
      <c r="C934" s="524"/>
      <c r="D934" s="524"/>
      <c r="E934" s="525" t="s">
        <v>669</v>
      </c>
      <c r="F934" s="518" t="s">
        <v>1905</v>
      </c>
    </row>
    <row r="935" spans="1:6" x14ac:dyDescent="0.2">
      <c r="A935" s="519" t="s">
        <v>1880</v>
      </c>
      <c r="B935" s="519">
        <v>223004</v>
      </c>
      <c r="E935" s="518" t="s">
        <v>670</v>
      </c>
    </row>
    <row r="936" spans="1:6" x14ac:dyDescent="0.2">
      <c r="A936" s="519" t="s">
        <v>1881</v>
      </c>
      <c r="B936" s="519">
        <v>223005</v>
      </c>
      <c r="E936" s="518" t="s">
        <v>671</v>
      </c>
    </row>
    <row r="937" spans="1:6" x14ac:dyDescent="0.2">
      <c r="A937" s="519" t="s">
        <v>1882</v>
      </c>
      <c r="B937" s="519">
        <v>223006</v>
      </c>
      <c r="E937" s="518" t="s">
        <v>672</v>
      </c>
    </row>
    <row r="938" spans="1:6" x14ac:dyDescent="0.2">
      <c r="A938" s="519" t="s">
        <v>1883</v>
      </c>
      <c r="B938" s="519">
        <v>223007</v>
      </c>
      <c r="E938" s="518" t="s">
        <v>673</v>
      </c>
    </row>
    <row r="939" spans="1:6" x14ac:dyDescent="0.2">
      <c r="A939" s="519" t="s">
        <v>1884</v>
      </c>
      <c r="B939" s="519">
        <v>223008</v>
      </c>
      <c r="E939" s="518" t="s">
        <v>674</v>
      </c>
    </row>
    <row r="940" spans="1:6" x14ac:dyDescent="0.2">
      <c r="A940" s="519" t="s">
        <v>1885</v>
      </c>
      <c r="B940" s="519">
        <v>223009</v>
      </c>
      <c r="E940" s="518" t="s">
        <v>675</v>
      </c>
    </row>
    <row r="941" spans="1:6" x14ac:dyDescent="0.2">
      <c r="A941" s="519" t="s">
        <v>1886</v>
      </c>
      <c r="B941" s="519">
        <v>223010</v>
      </c>
      <c r="E941" s="518" t="s">
        <v>676</v>
      </c>
    </row>
    <row r="942" spans="1:6" x14ac:dyDescent="0.2">
      <c r="A942" s="519"/>
    </row>
    <row r="943" spans="1:6" x14ac:dyDescent="0.2">
      <c r="A943" s="519" t="s">
        <v>1887</v>
      </c>
      <c r="B943" s="519">
        <v>224</v>
      </c>
      <c r="E943" s="518" t="s">
        <v>301</v>
      </c>
      <c r="F943" s="518" t="s">
        <v>1907</v>
      </c>
    </row>
    <row r="944" spans="1:6" x14ac:dyDescent="0.2">
      <c r="A944" s="524" t="s">
        <v>1888</v>
      </c>
      <c r="B944" s="524">
        <v>224001</v>
      </c>
      <c r="C944" s="524"/>
      <c r="D944" s="524"/>
      <c r="E944" s="525" t="s">
        <v>681</v>
      </c>
      <c r="F944" s="518" t="s">
        <v>1905</v>
      </c>
    </row>
    <row r="945" spans="1:6" x14ac:dyDescent="0.2">
      <c r="A945" s="524" t="s">
        <v>1889</v>
      </c>
      <c r="B945" s="524">
        <v>224002</v>
      </c>
      <c r="C945" s="524"/>
      <c r="D945" s="524"/>
      <c r="E945" s="525" t="s">
        <v>682</v>
      </c>
      <c r="F945" s="518" t="s">
        <v>1905</v>
      </c>
    </row>
    <row r="946" spans="1:6" x14ac:dyDescent="0.2">
      <c r="A946" s="519"/>
    </row>
    <row r="947" spans="1:6" x14ac:dyDescent="0.2">
      <c r="A947" s="519" t="s">
        <v>1890</v>
      </c>
      <c r="B947" s="519">
        <v>225</v>
      </c>
      <c r="E947" s="518" t="s">
        <v>886</v>
      </c>
      <c r="F947" s="518" t="s">
        <v>1907</v>
      </c>
    </row>
    <row r="948" spans="1:6" x14ac:dyDescent="0.2">
      <c r="A948" s="524" t="s">
        <v>1891</v>
      </c>
      <c r="B948" s="524">
        <v>225001</v>
      </c>
      <c r="C948" s="524"/>
      <c r="D948" s="524"/>
      <c r="E948" s="525" t="s">
        <v>700</v>
      </c>
      <c r="F948" s="518" t="s">
        <v>1905</v>
      </c>
    </row>
    <row r="949" spans="1:6" x14ac:dyDescent="0.2">
      <c r="A949" s="524" t="s">
        <v>1892</v>
      </c>
      <c r="B949" s="524">
        <v>225002</v>
      </c>
      <c r="C949" s="524"/>
      <c r="D949" s="524"/>
      <c r="E949" s="525" t="s">
        <v>701</v>
      </c>
      <c r="F949" s="518" t="s">
        <v>1905</v>
      </c>
    </row>
    <row r="950" spans="1:6" x14ac:dyDescent="0.2">
      <c r="A950" s="519"/>
    </row>
    <row r="951" spans="1:6" x14ac:dyDescent="0.2">
      <c r="A951" s="519" t="s">
        <v>1893</v>
      </c>
      <c r="B951" s="519">
        <v>226</v>
      </c>
      <c r="E951" s="518" t="s">
        <v>887</v>
      </c>
      <c r="F951" s="518" t="s">
        <v>1907</v>
      </c>
    </row>
    <row r="952" spans="1:6" x14ac:dyDescent="0.2">
      <c r="A952" s="524" t="s">
        <v>1894</v>
      </c>
      <c r="B952" s="524">
        <v>226003</v>
      </c>
      <c r="C952" s="524"/>
      <c r="D952" s="524"/>
      <c r="E952" s="525" t="s">
        <v>689</v>
      </c>
      <c r="F952" s="518" t="s">
        <v>1905</v>
      </c>
    </row>
    <row r="953" spans="1:6" x14ac:dyDescent="0.2">
      <c r="A953" s="524" t="s">
        <v>1895</v>
      </c>
      <c r="B953" s="524">
        <v>226004</v>
      </c>
      <c r="C953" s="524"/>
      <c r="D953" s="524"/>
      <c r="E953" s="525" t="s">
        <v>702</v>
      </c>
      <c r="F953" s="518" t="s">
        <v>1905</v>
      </c>
    </row>
    <row r="954" spans="1:6" x14ac:dyDescent="0.2">
      <c r="A954" s="524" t="s">
        <v>1896</v>
      </c>
      <c r="B954" s="524">
        <v>226005</v>
      </c>
      <c r="C954" s="524"/>
      <c r="D954" s="524"/>
      <c r="E954" s="525" t="s">
        <v>703</v>
      </c>
      <c r="F954" s="518" t="s">
        <v>1905</v>
      </c>
    </row>
    <row r="955" spans="1:6" x14ac:dyDescent="0.2">
      <c r="A955" s="519"/>
    </row>
    <row r="956" spans="1:6" x14ac:dyDescent="0.2">
      <c r="A956" s="519" t="s">
        <v>1897</v>
      </c>
      <c r="B956" s="519">
        <v>227</v>
      </c>
      <c r="E956" s="518" t="s">
        <v>888</v>
      </c>
      <c r="F956" s="518" t="s">
        <v>1907</v>
      </c>
    </row>
    <row r="957" spans="1:6" x14ac:dyDescent="0.2">
      <c r="A957" s="524" t="s">
        <v>1898</v>
      </c>
      <c r="B957" s="524">
        <v>227001</v>
      </c>
      <c r="C957" s="524"/>
      <c r="D957" s="524"/>
      <c r="E957" s="525" t="s">
        <v>694</v>
      </c>
      <c r="F957" s="518" t="s">
        <v>1905</v>
      </c>
    </row>
    <row r="958" spans="1:6" x14ac:dyDescent="0.2">
      <c r="A958" s="524" t="s">
        <v>1899</v>
      </c>
      <c r="B958" s="524">
        <v>227002</v>
      </c>
      <c r="C958" s="524"/>
      <c r="D958" s="524"/>
      <c r="E958" s="525" t="s">
        <v>695</v>
      </c>
      <c r="F958" s="518" t="s">
        <v>1905</v>
      </c>
    </row>
    <row r="959" spans="1:6" x14ac:dyDescent="0.2">
      <c r="A959" s="524" t="s">
        <v>1900</v>
      </c>
      <c r="B959" s="524">
        <v>227003</v>
      </c>
      <c r="C959" s="524"/>
      <c r="D959" s="524"/>
      <c r="E959" s="525" t="s">
        <v>696</v>
      </c>
      <c r="F959" s="518" t="s">
        <v>1905</v>
      </c>
    </row>
    <row r="960" spans="1:6" x14ac:dyDescent="0.2">
      <c r="A960" s="524" t="s">
        <v>1901</v>
      </c>
      <c r="B960" s="524">
        <v>227004</v>
      </c>
      <c r="C960" s="524"/>
      <c r="D960" s="524"/>
      <c r="E960" s="525" t="s">
        <v>697</v>
      </c>
      <c r="F960" s="518" t="s">
        <v>1905</v>
      </c>
    </row>
    <row r="961" spans="1:7" x14ac:dyDescent="0.2">
      <c r="A961" s="524" t="s">
        <v>1902</v>
      </c>
      <c r="B961" s="524">
        <v>227005</v>
      </c>
      <c r="C961" s="524"/>
      <c r="D961" s="524"/>
      <c r="E961" s="525" t="s">
        <v>698</v>
      </c>
      <c r="F961" s="518" t="s">
        <v>1905</v>
      </c>
    </row>
    <row r="962" spans="1:7" x14ac:dyDescent="0.2">
      <c r="A962" s="524" t="s">
        <v>1903</v>
      </c>
      <c r="B962" s="524">
        <v>227006</v>
      </c>
      <c r="C962" s="524"/>
      <c r="D962" s="524"/>
      <c r="E962" s="525" t="s">
        <v>699</v>
      </c>
      <c r="F962" s="518" t="s">
        <v>1905</v>
      </c>
    </row>
    <row r="963" spans="1:7" x14ac:dyDescent="0.2">
      <c r="A963" s="524" t="s">
        <v>1904</v>
      </c>
      <c r="B963" s="524">
        <v>227007</v>
      </c>
      <c r="C963" s="524"/>
      <c r="D963" s="524"/>
      <c r="E963" s="525" t="s">
        <v>693</v>
      </c>
      <c r="F963" s="518" t="s">
        <v>1905</v>
      </c>
    </row>
    <row r="964" spans="1:7" x14ac:dyDescent="0.2">
      <c r="A964" s="519"/>
    </row>
    <row r="965" spans="1:7" x14ac:dyDescent="0.2">
      <c r="E965" s="519"/>
      <c r="G965" s="519"/>
    </row>
    <row r="966" spans="1:7" x14ac:dyDescent="0.2">
      <c r="E966" s="519"/>
      <c r="G966" s="519"/>
    </row>
    <row r="967" spans="1:7" x14ac:dyDescent="0.2">
      <c r="E967" s="519"/>
      <c r="G967" s="519"/>
    </row>
    <row r="968" spans="1:7" x14ac:dyDescent="0.2">
      <c r="E968" s="519"/>
      <c r="G968" s="519"/>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90" zoomScaleNormal="90" zoomScaleSheetLayoutView="90" workbookViewId="0">
      <selection activeCell="C17" sqref="C17"/>
    </sheetView>
  </sheetViews>
  <sheetFormatPr baseColWidth="10" defaultColWidth="11.42578125" defaultRowHeight="20.100000000000001" customHeight="1" x14ac:dyDescent="0.2"/>
  <cols>
    <col min="1" max="1" width="11.140625" style="564" customWidth="1"/>
    <col min="2" max="2" width="19" style="65" customWidth="1"/>
    <col min="3" max="3" width="78.28515625" style="65" customWidth="1"/>
    <col min="4" max="4" width="9.140625" style="94" customWidth="1"/>
    <col min="5" max="5" width="10" style="65" customWidth="1"/>
    <col min="6" max="6" width="15.7109375" style="65" customWidth="1"/>
    <col min="7" max="7" width="94.140625" style="65" customWidth="1"/>
    <col min="8" max="8" width="9.42578125" style="65" customWidth="1"/>
    <col min="9" max="9" width="13.42578125" style="65" customWidth="1"/>
    <col min="10" max="10" width="41" style="67" customWidth="1"/>
    <col min="11" max="11" width="24.85546875" style="65" customWidth="1"/>
    <col min="12" max="16384" width="11.42578125" style="65"/>
  </cols>
  <sheetData>
    <row r="1" spans="1:10" ht="20.100000000000001" customHeight="1" x14ac:dyDescent="0.2">
      <c r="A1" s="662" t="s">
        <v>919</v>
      </c>
      <c r="B1" s="663"/>
      <c r="C1" s="663"/>
      <c r="D1" s="664"/>
      <c r="E1" s="70"/>
      <c r="F1" s="70"/>
      <c r="I1" s="67"/>
      <c r="J1" s="65"/>
    </row>
    <row r="2" spans="1:10" ht="20.100000000000001" customHeight="1" x14ac:dyDescent="0.2">
      <c r="A2" s="64" t="s">
        <v>8</v>
      </c>
      <c r="C2" s="64" t="s">
        <v>2014</v>
      </c>
      <c r="D2" s="64"/>
      <c r="E2" s="64"/>
      <c r="F2" s="64"/>
      <c r="I2" s="67"/>
      <c r="J2" s="65"/>
    </row>
    <row r="3" spans="1:10" s="75" customFormat="1" ht="20.100000000000001" customHeight="1" x14ac:dyDescent="0.2">
      <c r="A3" s="74" t="s">
        <v>9</v>
      </c>
      <c r="C3" s="76" t="s">
        <v>1957</v>
      </c>
      <c r="D3" s="77"/>
      <c r="E3" s="74" t="s">
        <v>1928</v>
      </c>
      <c r="F3" s="77"/>
      <c r="I3" s="161"/>
    </row>
    <row r="4" spans="1:10" s="72" customFormat="1" ht="19.5" customHeight="1" x14ac:dyDescent="0.2">
      <c r="A4" s="140" t="s">
        <v>959</v>
      </c>
      <c r="C4" s="141"/>
      <c r="D4" s="5"/>
      <c r="E4" s="76"/>
      <c r="F4" s="72" t="s">
        <v>1929</v>
      </c>
      <c r="I4" s="415"/>
    </row>
    <row r="5" spans="1:10" s="72" customFormat="1" ht="19.5" customHeight="1" x14ac:dyDescent="0.2">
      <c r="A5" s="140" t="s">
        <v>960</v>
      </c>
      <c r="C5" s="141"/>
      <c r="D5" s="5"/>
      <c r="E5" s="5"/>
      <c r="I5" s="415"/>
    </row>
    <row r="6" spans="1:10" s="72" customFormat="1" ht="19.5" customHeight="1" x14ac:dyDescent="0.2">
      <c r="A6" s="140" t="s">
        <v>961</v>
      </c>
      <c r="C6" s="141"/>
      <c r="D6" s="5"/>
      <c r="E6" s="426"/>
      <c r="F6" s="72" t="s">
        <v>1930</v>
      </c>
      <c r="I6" s="415"/>
    </row>
    <row r="7" spans="1:10" s="72" customFormat="1" ht="19.5" customHeight="1" x14ac:dyDescent="0.2">
      <c r="A7" s="140" t="s">
        <v>962</v>
      </c>
      <c r="C7" s="141"/>
      <c r="D7" s="5"/>
      <c r="E7" s="5"/>
      <c r="I7" s="415"/>
    </row>
    <row r="8" spans="1:10" s="75" customFormat="1" ht="20.100000000000001" customHeight="1" x14ac:dyDescent="0.2">
      <c r="A8" s="74" t="s">
        <v>13</v>
      </c>
      <c r="C8" s="78" t="s">
        <v>1956</v>
      </c>
      <c r="D8" s="77"/>
      <c r="E8" s="569"/>
      <c r="F8" s="72" t="s">
        <v>1931</v>
      </c>
      <c r="I8" s="161"/>
    </row>
    <row r="9" spans="1:10" s="75" customFormat="1" ht="20.100000000000001" customHeight="1" x14ac:dyDescent="0.2">
      <c r="A9" s="74" t="s">
        <v>1958</v>
      </c>
      <c r="C9" s="656" t="s">
        <v>1959</v>
      </c>
      <c r="I9" s="161"/>
    </row>
    <row r="10" spans="1:10" s="75" customFormat="1" ht="20.100000000000001" customHeight="1" x14ac:dyDescent="0.2">
      <c r="A10" s="74" t="s">
        <v>30</v>
      </c>
      <c r="C10" s="79" t="s">
        <v>1960</v>
      </c>
      <c r="I10" s="161"/>
    </row>
    <row r="11" spans="1:10" s="75" customFormat="1" ht="20.100000000000001" customHeight="1" x14ac:dyDescent="0.2">
      <c r="A11" s="74" t="s">
        <v>15</v>
      </c>
      <c r="C11" s="80">
        <v>58878000</v>
      </c>
      <c r="I11" s="161"/>
    </row>
    <row r="12" spans="1:10" s="75" customFormat="1" ht="20.100000000000001" customHeight="1" x14ac:dyDescent="0.2">
      <c r="A12" s="74" t="s">
        <v>892</v>
      </c>
      <c r="C12" s="81">
        <v>0.3</v>
      </c>
      <c r="I12" s="161"/>
    </row>
    <row r="13" spans="1:10" s="75" customFormat="1" ht="20.100000000000001" customHeight="1" x14ac:dyDescent="0.2">
      <c r="A13" s="74" t="s">
        <v>891</v>
      </c>
      <c r="C13" s="657"/>
      <c r="I13" s="161"/>
    </row>
    <row r="14" spans="1:10" s="75" customFormat="1" ht="20.100000000000001" customHeight="1" x14ac:dyDescent="0.2">
      <c r="A14" s="74" t="s">
        <v>14</v>
      </c>
      <c r="C14" s="82">
        <v>60</v>
      </c>
      <c r="I14" s="161"/>
    </row>
    <row r="15" spans="1:10" s="75" customFormat="1" ht="20.100000000000001" customHeight="1" x14ac:dyDescent="0.2">
      <c r="A15" s="74"/>
      <c r="B15" s="83"/>
      <c r="I15" s="161"/>
    </row>
    <row r="16" spans="1:10" ht="20.100000000000001" customHeight="1" x14ac:dyDescent="0.2">
      <c r="A16" s="665" t="s">
        <v>920</v>
      </c>
      <c r="B16" s="665"/>
      <c r="C16" s="665"/>
      <c r="D16" s="665"/>
      <c r="E16" s="665"/>
      <c r="F16" s="70"/>
      <c r="I16" s="67"/>
      <c r="J16" s="65"/>
    </row>
    <row r="17" spans="1:11" s="75" customFormat="1" ht="20.100000000000001" customHeight="1" x14ac:dyDescent="0.2">
      <c r="A17" s="74" t="s">
        <v>10</v>
      </c>
      <c r="C17" s="426"/>
      <c r="D17" s="95"/>
      <c r="I17" s="161"/>
    </row>
    <row r="18" spans="1:11" s="72" customFormat="1" ht="20.100000000000001" customHeight="1" x14ac:dyDescent="0.2">
      <c r="A18" s="140" t="s">
        <v>1715</v>
      </c>
      <c r="B18" s="422"/>
      <c r="C18" s="426"/>
      <c r="D18" s="5"/>
      <c r="E18" s="5"/>
      <c r="I18" s="415"/>
    </row>
    <row r="19" spans="1:11" s="72" customFormat="1" ht="20.100000000000001" customHeight="1" x14ac:dyDescent="0.2">
      <c r="A19" s="140" t="s">
        <v>1716</v>
      </c>
      <c r="B19" s="422"/>
      <c r="C19" s="426"/>
      <c r="D19" s="5"/>
      <c r="E19" s="5"/>
      <c r="I19" s="415"/>
    </row>
    <row r="20" spans="1:11" s="72" customFormat="1" ht="20.100000000000001" customHeight="1" x14ac:dyDescent="0.2">
      <c r="A20" s="140" t="s">
        <v>1717</v>
      </c>
      <c r="B20" s="422"/>
      <c r="C20" s="426"/>
      <c r="D20" s="5"/>
      <c r="E20" s="5"/>
      <c r="I20" s="415"/>
      <c r="K20" s="72" t="e">
        <f>MATCH(Datos!B32,T_Datos)</f>
        <v>#N/A</v>
      </c>
    </row>
    <row r="21" spans="1:11" s="72" customFormat="1" ht="20.100000000000001" customHeight="1" x14ac:dyDescent="0.2">
      <c r="A21" s="140" t="s">
        <v>1716</v>
      </c>
      <c r="B21" s="422"/>
      <c r="C21" s="426"/>
      <c r="D21" s="5"/>
      <c r="E21" s="5"/>
      <c r="I21" s="415"/>
    </row>
    <row r="22" spans="1:11" s="72" customFormat="1" ht="20.100000000000001" customHeight="1" x14ac:dyDescent="0.2">
      <c r="A22" s="140" t="s">
        <v>1717</v>
      </c>
      <c r="B22" s="422"/>
      <c r="C22" s="426"/>
      <c r="D22" s="5"/>
      <c r="E22" s="5"/>
      <c r="I22" s="415"/>
    </row>
    <row r="23" spans="1:11" s="72" customFormat="1" ht="20.100000000000001" customHeight="1" x14ac:dyDescent="0.2">
      <c r="A23" s="74" t="s">
        <v>1714</v>
      </c>
      <c r="C23" s="426"/>
      <c r="D23" s="95"/>
      <c r="E23" s="75"/>
      <c r="F23" s="75"/>
      <c r="G23" s="75"/>
      <c r="H23" s="75"/>
      <c r="I23" s="415"/>
    </row>
    <row r="24" spans="1:11" s="72" customFormat="1" ht="20.100000000000001" customHeight="1" x14ac:dyDescent="0.2">
      <c r="A24" s="74" t="s">
        <v>914</v>
      </c>
      <c r="C24" s="426"/>
      <c r="D24" s="96"/>
      <c r="E24" s="93"/>
      <c r="F24" s="93"/>
      <c r="G24" s="65"/>
      <c r="H24" s="65"/>
      <c r="I24" s="415"/>
    </row>
    <row r="25" spans="1:11" s="72" customFormat="1" ht="20.100000000000001" customHeight="1" x14ac:dyDescent="0.2">
      <c r="A25" s="74" t="s">
        <v>913</v>
      </c>
      <c r="B25" s="65"/>
      <c r="C25" s="426"/>
      <c r="D25" s="96"/>
      <c r="E25" s="65"/>
      <c r="F25" s="65"/>
      <c r="G25" s="65"/>
      <c r="H25" s="65"/>
      <c r="I25" s="415"/>
    </row>
    <row r="26" spans="1:11" s="72" customFormat="1" ht="20.100000000000001" customHeight="1" x14ac:dyDescent="0.2">
      <c r="A26" s="74" t="s">
        <v>939</v>
      </c>
      <c r="C26" s="426"/>
      <c r="D26" s="96"/>
      <c r="E26" s="65"/>
      <c r="F26" s="65"/>
      <c r="G26" s="65"/>
      <c r="H26" s="65"/>
      <c r="I26" s="415"/>
    </row>
    <row r="27" spans="1:11" s="72" customFormat="1" ht="20.100000000000001" customHeight="1" x14ac:dyDescent="0.2">
      <c r="A27" s="74" t="s">
        <v>912</v>
      </c>
      <c r="B27" s="65"/>
      <c r="C27" s="426"/>
      <c r="D27" s="96"/>
      <c r="E27" s="65"/>
      <c r="F27" s="65"/>
      <c r="G27" s="65"/>
      <c r="H27" s="65"/>
      <c r="I27" s="415"/>
    </row>
    <row r="28" spans="1:11" ht="20.100000000000001" customHeight="1" x14ac:dyDescent="0.2">
      <c r="A28" s="74" t="s">
        <v>916</v>
      </c>
      <c r="C28" s="568">
        <f>PrecioUnitario(1,Costo_Financiero,Gasto_Generales_Porcentaje,Beneficio,Ingresos_Brutos,IVA)</f>
        <v>1</v>
      </c>
      <c r="I28" s="67"/>
      <c r="J28" s="84"/>
    </row>
    <row r="29" spans="1:11" ht="20.100000000000001" customHeight="1" x14ac:dyDescent="0.2">
      <c r="D29" s="67"/>
      <c r="E29" s="94"/>
      <c r="K29" s="84"/>
    </row>
    <row r="30" spans="1:11" ht="20.100000000000001" customHeight="1" x14ac:dyDescent="0.2">
      <c r="B30" s="662" t="s">
        <v>938</v>
      </c>
      <c r="C30" s="663"/>
      <c r="D30" s="663"/>
      <c r="E30" s="664"/>
      <c r="F30" s="70"/>
      <c r="I30" s="67"/>
      <c r="J30" s="84"/>
    </row>
    <row r="31" spans="1:11" ht="20.100000000000001" customHeight="1" x14ac:dyDescent="0.2">
      <c r="G31" s="661" t="s">
        <v>940</v>
      </c>
      <c r="H31" s="661"/>
      <c r="I31" s="67"/>
      <c r="J31" s="84"/>
    </row>
    <row r="32" spans="1:11" ht="27.75" customHeight="1" x14ac:dyDescent="0.2">
      <c r="B32" s="430" t="s">
        <v>893</v>
      </c>
      <c r="C32" s="427" t="s">
        <v>0</v>
      </c>
      <c r="D32" s="431" t="s">
        <v>1</v>
      </c>
      <c r="E32" s="430" t="s">
        <v>2</v>
      </c>
      <c r="F32" s="99"/>
      <c r="G32" s="430" t="s">
        <v>941</v>
      </c>
      <c r="H32" s="430" t="s">
        <v>1</v>
      </c>
      <c r="I32" s="67"/>
      <c r="J32" s="430" t="s">
        <v>1718</v>
      </c>
    </row>
    <row r="33" spans="1:11" ht="20.100000000000001" customHeight="1" x14ac:dyDescent="0.2">
      <c r="B33" s="62"/>
      <c r="C33" s="421"/>
      <c r="D33" s="97"/>
      <c r="E33" s="62"/>
      <c r="F33" s="99"/>
      <c r="G33" s="580"/>
      <c r="H33" s="580"/>
      <c r="I33" s="67"/>
      <c r="J33" s="65"/>
    </row>
    <row r="34" spans="1:11" ht="20.100000000000001" customHeight="1" x14ac:dyDescent="0.2">
      <c r="A34" s="564">
        <v>0</v>
      </c>
      <c r="B34" s="427">
        <v>1</v>
      </c>
      <c r="C34" s="749" t="str">
        <f t="shared" ref="C34:C64" si="0">IFERROR(VLOOKUP(J34,T_Código_Items,2,FALSE),G34)</f>
        <v>DPTO. SARMIENTO - CANAL PRIMERO DE COCHAGUAL</v>
      </c>
      <c r="D34" s="98">
        <f t="shared" ref="D34:D64" si="1">IFERROR(VLOOKUP(J34,T_Código_Items,3,FALSE),H34)</f>
        <v>0</v>
      </c>
      <c r="E34" s="566"/>
      <c r="F34" s="136"/>
      <c r="G34" s="137" t="s">
        <v>1961</v>
      </c>
      <c r="H34" s="565"/>
      <c r="I34" s="67"/>
      <c r="J34" s="65"/>
    </row>
    <row r="35" spans="1:11" ht="20.100000000000001" customHeight="1" x14ac:dyDescent="0.2">
      <c r="A35" s="564">
        <f t="shared" ref="A35:A41" si="2">IF(D35=0,A34,A34+1)</f>
        <v>0</v>
      </c>
      <c r="B35" s="100" t="s">
        <v>1955</v>
      </c>
      <c r="C35" s="63" t="str">
        <f t="shared" si="0"/>
        <v>TRABAJOS PREPARATORIOS</v>
      </c>
      <c r="D35" s="98">
        <f t="shared" si="1"/>
        <v>0</v>
      </c>
      <c r="E35" s="567"/>
      <c r="F35" s="138"/>
      <c r="G35" s="137" t="s">
        <v>1962</v>
      </c>
      <c r="H35" s="565"/>
      <c r="I35" s="423"/>
      <c r="J35" s="65"/>
    </row>
    <row r="36" spans="1:11" ht="20.100000000000001" customHeight="1" x14ac:dyDescent="0.2">
      <c r="A36" s="564">
        <f t="shared" si="2"/>
        <v>1</v>
      </c>
      <c r="B36" s="100" t="s">
        <v>1979</v>
      </c>
      <c r="C36" s="63" t="str">
        <f t="shared" si="0"/>
        <v>Preparación y Limpieza de Superf.</v>
      </c>
      <c r="D36" s="98" t="str">
        <f t="shared" si="1"/>
        <v>GL</v>
      </c>
      <c r="E36" s="567"/>
      <c r="F36" s="138"/>
      <c r="G36" s="137" t="s">
        <v>1963</v>
      </c>
      <c r="H36" s="565" t="s">
        <v>2009</v>
      </c>
      <c r="I36" s="424"/>
      <c r="J36" s="65"/>
    </row>
    <row r="37" spans="1:11" ht="20.100000000000001" customHeight="1" x14ac:dyDescent="0.2">
      <c r="A37" s="564">
        <f t="shared" si="2"/>
        <v>2</v>
      </c>
      <c r="B37" s="100" t="s">
        <v>1980</v>
      </c>
      <c r="C37" s="63" t="str">
        <f t="shared" si="0"/>
        <v>Replanteo</v>
      </c>
      <c r="D37" s="98" t="str">
        <f t="shared" si="1"/>
        <v>GL</v>
      </c>
      <c r="E37" s="567"/>
      <c r="F37" s="138"/>
      <c r="G37" s="137" t="s">
        <v>1964</v>
      </c>
      <c r="H37" s="565" t="s">
        <v>2009</v>
      </c>
      <c r="I37" s="67"/>
      <c r="J37" s="65"/>
    </row>
    <row r="38" spans="1:11" ht="27.75" customHeight="1" x14ac:dyDescent="0.2">
      <c r="A38" s="564">
        <f t="shared" si="2"/>
        <v>2</v>
      </c>
      <c r="B38" s="100" t="s">
        <v>1981</v>
      </c>
      <c r="C38" s="63" t="str">
        <f t="shared" si="0"/>
        <v>ESTRUCTURA RESISTENTE</v>
      </c>
      <c r="D38" s="98">
        <f t="shared" si="1"/>
        <v>0</v>
      </c>
      <c r="E38" s="567"/>
      <c r="F38" s="138"/>
      <c r="G38" s="137" t="s">
        <v>1965</v>
      </c>
      <c r="H38" s="565"/>
      <c r="I38" s="425"/>
      <c r="J38" s="158"/>
    </row>
    <row r="39" spans="1:11" ht="25.5" customHeight="1" x14ac:dyDescent="0.2">
      <c r="A39" s="564">
        <f t="shared" si="2"/>
        <v>3</v>
      </c>
      <c r="B39" s="100" t="s">
        <v>1982</v>
      </c>
      <c r="C39" s="659" t="str">
        <f t="shared" si="0"/>
        <v xml:space="preserve">Hormigón H-21  </v>
      </c>
      <c r="D39" s="98" t="str">
        <f t="shared" si="1"/>
        <v>M3</v>
      </c>
      <c r="E39" s="567"/>
      <c r="F39" s="138"/>
      <c r="G39" s="658" t="s">
        <v>1966</v>
      </c>
      <c r="H39" s="565" t="s">
        <v>2010</v>
      </c>
      <c r="I39" s="425"/>
      <c r="J39" s="65"/>
    </row>
    <row r="40" spans="1:11" ht="20.100000000000001" customHeight="1" x14ac:dyDescent="0.2">
      <c r="A40" s="564">
        <f t="shared" si="2"/>
        <v>4</v>
      </c>
      <c r="B40" s="100" t="s">
        <v>1983</v>
      </c>
      <c r="C40" s="63" t="str">
        <f t="shared" si="0"/>
        <v>Armadura puesta en obra</v>
      </c>
      <c r="D40" s="98" t="str">
        <f t="shared" si="1"/>
        <v>KG</v>
      </c>
      <c r="E40" s="567"/>
      <c r="F40" s="138"/>
      <c r="G40" s="137" t="s">
        <v>1967</v>
      </c>
      <c r="H40" s="565" t="s">
        <v>2011</v>
      </c>
      <c r="I40" s="425"/>
      <c r="J40" s="65"/>
      <c r="K40" s="85"/>
    </row>
    <row r="41" spans="1:11" ht="20.100000000000001" customHeight="1" x14ac:dyDescent="0.2">
      <c r="A41" s="564">
        <f t="shared" si="2"/>
        <v>5</v>
      </c>
      <c r="B41" s="100" t="s">
        <v>1984</v>
      </c>
      <c r="C41" s="63" t="str">
        <f t="shared" si="0"/>
        <v>Anclajes Químicos</v>
      </c>
      <c r="D41" s="98" t="str">
        <f t="shared" si="1"/>
        <v>GL</v>
      </c>
      <c r="E41" s="567"/>
      <c r="F41" s="138"/>
      <c r="G41" s="137" t="s">
        <v>1968</v>
      </c>
      <c r="H41" s="565" t="s">
        <v>2009</v>
      </c>
      <c r="I41" s="425"/>
      <c r="J41" s="65"/>
      <c r="K41" s="85"/>
    </row>
    <row r="42" spans="1:11" ht="20.100000000000001" customHeight="1" x14ac:dyDescent="0.2">
      <c r="A42" s="564">
        <f t="shared" ref="A42:A98" si="3">IF(D42=0,A41,A41+1)</f>
        <v>6</v>
      </c>
      <c r="B42" s="100" t="s">
        <v>1985</v>
      </c>
      <c r="C42" s="63" t="str">
        <f t="shared" si="0"/>
        <v>Puente de Adherencia</v>
      </c>
      <c r="D42" s="98" t="str">
        <f t="shared" si="1"/>
        <v>GL</v>
      </c>
      <c r="E42" s="567"/>
      <c r="F42" s="138"/>
      <c r="G42" s="137" t="s">
        <v>1969</v>
      </c>
      <c r="H42" s="565" t="s">
        <v>2009</v>
      </c>
      <c r="I42" s="425"/>
      <c r="J42" s="65"/>
      <c r="K42" s="85"/>
    </row>
    <row r="43" spans="1:11" ht="20.100000000000001" customHeight="1" x14ac:dyDescent="0.2">
      <c r="A43" s="564">
        <f t="shared" si="3"/>
        <v>7</v>
      </c>
      <c r="B43" s="100" t="s">
        <v>1986</v>
      </c>
      <c r="C43" s="63" t="str">
        <f t="shared" si="0"/>
        <v>Juntas de Contracción y dilatación</v>
      </c>
      <c r="D43" s="98" t="str">
        <f t="shared" si="1"/>
        <v>ML</v>
      </c>
      <c r="E43" s="567"/>
      <c r="F43" s="138"/>
      <c r="G43" s="137" t="s">
        <v>1970</v>
      </c>
      <c r="H43" s="565" t="s">
        <v>2012</v>
      </c>
      <c r="I43" s="425"/>
      <c r="J43" s="65"/>
      <c r="K43" s="85"/>
    </row>
    <row r="44" spans="1:11" ht="20.100000000000001" customHeight="1" x14ac:dyDescent="0.2">
      <c r="A44" s="564">
        <f t="shared" si="3"/>
        <v>7</v>
      </c>
      <c r="B44" s="427">
        <v>2</v>
      </c>
      <c r="C44" s="749" t="str">
        <f t="shared" si="0"/>
        <v>DPTO. 9 DE JULIO (R. BALMACEDA y R. ZUNGRY ALDAY)</v>
      </c>
      <c r="D44" s="98">
        <f t="shared" si="1"/>
        <v>0</v>
      </c>
      <c r="E44" s="567"/>
      <c r="F44" s="138"/>
      <c r="G44" s="137" t="s">
        <v>1971</v>
      </c>
      <c r="H44" s="565"/>
      <c r="I44" s="425"/>
      <c r="J44" s="65"/>
      <c r="K44" s="85"/>
    </row>
    <row r="45" spans="1:11" ht="24.75" customHeight="1" x14ac:dyDescent="0.2">
      <c r="A45" s="564">
        <f t="shared" si="3"/>
        <v>7</v>
      </c>
      <c r="B45" s="100" t="s">
        <v>1954</v>
      </c>
      <c r="C45" s="63" t="str">
        <f t="shared" si="0"/>
        <v>TRABAJOS PREPARATORIOS</v>
      </c>
      <c r="D45" s="98">
        <f t="shared" si="1"/>
        <v>0</v>
      </c>
      <c r="E45" s="567"/>
      <c r="F45" s="138"/>
      <c r="G45" s="137" t="s">
        <v>1962</v>
      </c>
      <c r="H45" s="565"/>
      <c r="I45" s="425"/>
      <c r="J45" s="65"/>
      <c r="K45" s="85"/>
    </row>
    <row r="46" spans="1:11" ht="27.75" customHeight="1" x14ac:dyDescent="0.2">
      <c r="A46" s="564">
        <f t="shared" si="3"/>
        <v>8</v>
      </c>
      <c r="B46" s="100" t="s">
        <v>1987</v>
      </c>
      <c r="C46" s="659" t="str">
        <f t="shared" si="0"/>
        <v>Preparación y Limpieza de Superf.</v>
      </c>
      <c r="D46" s="98" t="str">
        <f t="shared" si="1"/>
        <v>GL</v>
      </c>
      <c r="E46" s="567"/>
      <c r="F46" s="138"/>
      <c r="G46" s="658" t="s">
        <v>1963</v>
      </c>
      <c r="H46" s="565" t="s">
        <v>2009</v>
      </c>
      <c r="I46" s="425"/>
      <c r="J46" s="65"/>
      <c r="K46" s="85"/>
    </row>
    <row r="47" spans="1:11" ht="20.100000000000001" customHeight="1" x14ac:dyDescent="0.2">
      <c r="A47" s="564">
        <f t="shared" si="3"/>
        <v>9</v>
      </c>
      <c r="B47" s="100" t="s">
        <v>1988</v>
      </c>
      <c r="C47" s="63" t="str">
        <f t="shared" si="0"/>
        <v>Replanteo</v>
      </c>
      <c r="D47" s="98" t="str">
        <f t="shared" si="1"/>
        <v>GL</v>
      </c>
      <c r="E47" s="567"/>
      <c r="F47" s="138"/>
      <c r="G47" s="137" t="s">
        <v>1964</v>
      </c>
      <c r="H47" s="565" t="s">
        <v>2009</v>
      </c>
      <c r="I47" s="425"/>
      <c r="J47" s="65"/>
      <c r="K47" s="85"/>
    </row>
    <row r="48" spans="1:11" ht="20.100000000000001" customHeight="1" x14ac:dyDescent="0.2">
      <c r="A48" s="564">
        <f t="shared" si="3"/>
        <v>9</v>
      </c>
      <c r="B48" s="100" t="s">
        <v>1989</v>
      </c>
      <c r="C48" s="63" t="str">
        <f t="shared" si="0"/>
        <v>ESTRUCTURA RESISTENTE</v>
      </c>
      <c r="D48" s="98">
        <f t="shared" si="1"/>
        <v>0</v>
      </c>
      <c r="E48" s="567"/>
      <c r="F48" s="138"/>
      <c r="G48" s="137" t="s">
        <v>1965</v>
      </c>
      <c r="H48" s="565"/>
      <c r="I48" s="425"/>
      <c r="J48" s="65"/>
      <c r="K48" s="85"/>
    </row>
    <row r="49" spans="1:11" ht="20.100000000000001" customHeight="1" x14ac:dyDescent="0.2">
      <c r="A49" s="564">
        <f t="shared" si="3"/>
        <v>10</v>
      </c>
      <c r="B49" s="100" t="s">
        <v>1990</v>
      </c>
      <c r="C49" s="63" t="str">
        <f t="shared" si="0"/>
        <v xml:space="preserve">Hormigón H-21  </v>
      </c>
      <c r="D49" s="98" t="str">
        <f t="shared" si="1"/>
        <v>M3</v>
      </c>
      <c r="E49" s="567"/>
      <c r="F49" s="138"/>
      <c r="G49" s="137" t="s">
        <v>1966</v>
      </c>
      <c r="H49" s="565" t="s">
        <v>2010</v>
      </c>
      <c r="I49" s="425"/>
      <c r="J49" s="65"/>
      <c r="K49" s="85"/>
    </row>
    <row r="50" spans="1:11" ht="20.100000000000001" customHeight="1" x14ac:dyDescent="0.2">
      <c r="A50" s="564">
        <f t="shared" si="3"/>
        <v>11</v>
      </c>
      <c r="B50" s="100" t="s">
        <v>1991</v>
      </c>
      <c r="C50" s="63" t="str">
        <f t="shared" si="0"/>
        <v>Armadura puesta en obra</v>
      </c>
      <c r="D50" s="98" t="str">
        <f t="shared" si="1"/>
        <v>KG</v>
      </c>
      <c r="E50" s="567"/>
      <c r="F50" s="138"/>
      <c r="G50" s="137" t="s">
        <v>1967</v>
      </c>
      <c r="H50" s="565" t="s">
        <v>2011</v>
      </c>
      <c r="I50" s="425"/>
      <c r="J50" s="65"/>
      <c r="K50" s="85"/>
    </row>
    <row r="51" spans="1:11" ht="20.100000000000001" customHeight="1" x14ac:dyDescent="0.2">
      <c r="A51" s="564">
        <f t="shared" si="3"/>
        <v>12</v>
      </c>
      <c r="B51" s="100" t="s">
        <v>1992</v>
      </c>
      <c r="C51" s="63" t="str">
        <f t="shared" si="0"/>
        <v>Anclajes Químicos</v>
      </c>
      <c r="D51" s="98" t="str">
        <f t="shared" si="1"/>
        <v>GL</v>
      </c>
      <c r="E51" s="567"/>
      <c r="F51" s="138"/>
      <c r="G51" s="137" t="s">
        <v>1968</v>
      </c>
      <c r="H51" s="565" t="s">
        <v>2009</v>
      </c>
      <c r="I51" s="425"/>
      <c r="J51" s="65"/>
      <c r="K51" s="85"/>
    </row>
    <row r="52" spans="1:11" ht="20.100000000000001" customHeight="1" x14ac:dyDescent="0.2">
      <c r="A52" s="564">
        <f t="shared" si="3"/>
        <v>13</v>
      </c>
      <c r="B52" s="100" t="s">
        <v>1993</v>
      </c>
      <c r="C52" s="63" t="str">
        <f t="shared" si="0"/>
        <v>Puente de Adherencia</v>
      </c>
      <c r="D52" s="98" t="str">
        <f t="shared" si="1"/>
        <v>GL</v>
      </c>
      <c r="E52" s="567"/>
      <c r="F52" s="138"/>
      <c r="G52" s="137" t="s">
        <v>1969</v>
      </c>
      <c r="H52" s="565" t="s">
        <v>2009</v>
      </c>
      <c r="I52" s="425"/>
      <c r="J52" s="65"/>
      <c r="K52" s="85"/>
    </row>
    <row r="53" spans="1:11" ht="20.100000000000001" customHeight="1" x14ac:dyDescent="0.2">
      <c r="A53" s="564">
        <f t="shared" si="3"/>
        <v>13</v>
      </c>
      <c r="B53" s="427">
        <v>3</v>
      </c>
      <c r="C53" s="749" t="str">
        <f t="shared" si="0"/>
        <v>RECRECIMIENTO C. PASTORIZA-VIDELA</v>
      </c>
      <c r="D53" s="98">
        <f t="shared" si="1"/>
        <v>0</v>
      </c>
      <c r="E53" s="567"/>
      <c r="F53" s="138"/>
      <c r="G53" s="137" t="s">
        <v>1972</v>
      </c>
      <c r="H53" s="565"/>
      <c r="I53" s="425"/>
      <c r="J53" s="65"/>
      <c r="K53" s="85"/>
    </row>
    <row r="54" spans="1:11" ht="20.100000000000001" customHeight="1" x14ac:dyDescent="0.2">
      <c r="A54" s="564">
        <f t="shared" si="3"/>
        <v>13</v>
      </c>
      <c r="B54" s="100" t="s">
        <v>1994</v>
      </c>
      <c r="C54" s="63" t="str">
        <f t="shared" si="0"/>
        <v>Trabajos Preparatorios</v>
      </c>
      <c r="D54" s="98">
        <f t="shared" si="1"/>
        <v>0</v>
      </c>
      <c r="E54" s="567"/>
      <c r="F54" s="138"/>
      <c r="G54" s="137" t="s">
        <v>1973</v>
      </c>
      <c r="H54" s="565"/>
      <c r="I54" s="425"/>
      <c r="J54" s="65"/>
      <c r="K54" s="85"/>
    </row>
    <row r="55" spans="1:11" ht="20.100000000000001" customHeight="1" x14ac:dyDescent="0.2">
      <c r="A55" s="564">
        <f t="shared" si="3"/>
        <v>14</v>
      </c>
      <c r="B55" s="100" t="s">
        <v>1995</v>
      </c>
      <c r="C55" s="63" t="str">
        <f t="shared" si="0"/>
        <v>Preparación y Limpieza de Superf.</v>
      </c>
      <c r="D55" s="98" t="str">
        <f t="shared" si="1"/>
        <v>GL</v>
      </c>
      <c r="E55" s="567"/>
      <c r="F55" s="138"/>
      <c r="G55" s="137" t="s">
        <v>1963</v>
      </c>
      <c r="H55" s="565" t="s">
        <v>2009</v>
      </c>
      <c r="I55" s="425"/>
      <c r="J55" s="65"/>
      <c r="K55" s="85"/>
    </row>
    <row r="56" spans="1:11" ht="20.100000000000001" customHeight="1" x14ac:dyDescent="0.2">
      <c r="A56" s="564">
        <f t="shared" si="3"/>
        <v>15</v>
      </c>
      <c r="B56" s="100" t="s">
        <v>1996</v>
      </c>
      <c r="C56" s="63" t="str">
        <f t="shared" si="0"/>
        <v>Replanteo</v>
      </c>
      <c r="D56" s="98" t="str">
        <f t="shared" si="1"/>
        <v>GL</v>
      </c>
      <c r="E56" s="567"/>
      <c r="F56" s="138"/>
      <c r="G56" s="137" t="s">
        <v>1964</v>
      </c>
      <c r="H56" s="565" t="s">
        <v>2009</v>
      </c>
      <c r="I56" s="425"/>
      <c r="J56" s="65"/>
      <c r="K56" s="85"/>
    </row>
    <row r="57" spans="1:11" ht="20.100000000000001" customHeight="1" x14ac:dyDescent="0.2">
      <c r="A57" s="564">
        <f t="shared" si="3"/>
        <v>15</v>
      </c>
      <c r="B57" s="100" t="s">
        <v>1997</v>
      </c>
      <c r="C57" s="63" t="str">
        <f t="shared" si="0"/>
        <v>Estructura Resistente Recrecimiento</v>
      </c>
      <c r="D57" s="98">
        <f t="shared" si="1"/>
        <v>0</v>
      </c>
      <c r="E57" s="567"/>
      <c r="F57" s="138"/>
      <c r="G57" s="137" t="s">
        <v>1974</v>
      </c>
      <c r="H57" s="565"/>
      <c r="I57" s="425"/>
      <c r="J57" s="65"/>
    </row>
    <row r="58" spans="1:11" ht="20.100000000000001" customHeight="1" x14ac:dyDescent="0.2">
      <c r="A58" s="564">
        <f t="shared" si="3"/>
        <v>16</v>
      </c>
      <c r="B58" s="100" t="s">
        <v>1998</v>
      </c>
      <c r="C58" s="63" t="str">
        <f t="shared" si="0"/>
        <v xml:space="preserve">Hormigón H-21  </v>
      </c>
      <c r="D58" s="98" t="str">
        <f t="shared" si="1"/>
        <v>M3</v>
      </c>
      <c r="E58" s="567"/>
      <c r="F58" s="138"/>
      <c r="G58" s="137" t="s">
        <v>1966</v>
      </c>
      <c r="H58" s="565" t="s">
        <v>2010</v>
      </c>
      <c r="I58" s="425"/>
      <c r="J58" s="65"/>
    </row>
    <row r="59" spans="1:11" ht="20.100000000000001" customHeight="1" x14ac:dyDescent="0.2">
      <c r="A59" s="564">
        <f t="shared" si="3"/>
        <v>17</v>
      </c>
      <c r="B59" s="100" t="s">
        <v>1999</v>
      </c>
      <c r="C59" s="63" t="str">
        <f t="shared" si="0"/>
        <v>Armadura puesta en obra</v>
      </c>
      <c r="D59" s="98" t="str">
        <f t="shared" si="1"/>
        <v>KG</v>
      </c>
      <c r="E59" s="567"/>
      <c r="F59" s="138"/>
      <c r="G59" s="137" t="s">
        <v>1967</v>
      </c>
      <c r="H59" s="565" t="s">
        <v>2011</v>
      </c>
      <c r="I59" s="425"/>
      <c r="J59" s="65"/>
    </row>
    <row r="60" spans="1:11" ht="20.100000000000001" customHeight="1" x14ac:dyDescent="0.2">
      <c r="A60" s="564">
        <f t="shared" si="3"/>
        <v>18</v>
      </c>
      <c r="B60" s="100" t="s">
        <v>2000</v>
      </c>
      <c r="C60" s="63" t="str">
        <f t="shared" si="0"/>
        <v>Anclajes Químicos</v>
      </c>
      <c r="D60" s="98" t="str">
        <f t="shared" si="1"/>
        <v>GL</v>
      </c>
      <c r="E60" s="567"/>
      <c r="F60" s="138"/>
      <c r="G60" s="137" t="s">
        <v>1968</v>
      </c>
      <c r="H60" s="565" t="s">
        <v>2009</v>
      </c>
      <c r="I60" s="425"/>
      <c r="J60" s="65"/>
    </row>
    <row r="61" spans="1:11" ht="20.100000000000001" customHeight="1" x14ac:dyDescent="0.2">
      <c r="A61" s="564">
        <f t="shared" si="3"/>
        <v>19</v>
      </c>
      <c r="B61" s="100" t="s">
        <v>2001</v>
      </c>
      <c r="C61" s="63" t="str">
        <f t="shared" si="0"/>
        <v>Puente de Adherencia</v>
      </c>
      <c r="D61" s="98" t="str">
        <f t="shared" si="1"/>
        <v>GL</v>
      </c>
      <c r="E61" s="567"/>
      <c r="F61" s="138"/>
      <c r="G61" s="137" t="s">
        <v>1969</v>
      </c>
      <c r="H61" s="565" t="s">
        <v>2009</v>
      </c>
      <c r="I61" s="425"/>
      <c r="J61" s="65"/>
    </row>
    <row r="62" spans="1:11" ht="20.100000000000001" customHeight="1" x14ac:dyDescent="0.2">
      <c r="A62" s="564">
        <f t="shared" si="3"/>
        <v>19</v>
      </c>
      <c r="B62" s="100" t="s">
        <v>2002</v>
      </c>
      <c r="C62" s="63" t="str">
        <f t="shared" si="0"/>
        <v>REEMPLAZO DE PAÑOS DE H° C. PASTORIZA-VIDELA</v>
      </c>
      <c r="D62" s="98">
        <f t="shared" si="1"/>
        <v>0</v>
      </c>
      <c r="E62" s="567"/>
      <c r="F62" s="138"/>
      <c r="G62" s="137" t="s">
        <v>1975</v>
      </c>
      <c r="H62" s="565"/>
      <c r="I62" s="425"/>
      <c r="J62" s="65"/>
    </row>
    <row r="63" spans="1:11" ht="20.100000000000001" customHeight="1" x14ac:dyDescent="0.2">
      <c r="A63" s="564">
        <f t="shared" si="3"/>
        <v>20</v>
      </c>
      <c r="B63" s="100" t="s">
        <v>2003</v>
      </c>
      <c r="C63" s="63" t="str">
        <f t="shared" si="0"/>
        <v>Demolicion</v>
      </c>
      <c r="D63" s="98" t="str">
        <f t="shared" si="1"/>
        <v>M3</v>
      </c>
      <c r="E63" s="567"/>
      <c r="F63" s="138"/>
      <c r="G63" s="137" t="s">
        <v>1976</v>
      </c>
      <c r="H63" s="565" t="s">
        <v>2010</v>
      </c>
      <c r="I63" s="425"/>
      <c r="J63" s="65"/>
    </row>
    <row r="64" spans="1:11" ht="20.100000000000001" customHeight="1" x14ac:dyDescent="0.2">
      <c r="A64" s="564">
        <f t="shared" si="3"/>
        <v>21</v>
      </c>
      <c r="B64" s="100" t="s">
        <v>2004</v>
      </c>
      <c r="C64" s="63" t="str">
        <f t="shared" si="0"/>
        <v>Relleno y Compactacion</v>
      </c>
      <c r="D64" s="98" t="str">
        <f t="shared" si="1"/>
        <v>M3</v>
      </c>
      <c r="E64" s="567"/>
      <c r="F64" s="138"/>
      <c r="G64" s="137" t="s">
        <v>1977</v>
      </c>
      <c r="H64" s="565" t="s">
        <v>2010</v>
      </c>
      <c r="I64" s="425"/>
      <c r="J64" s="65"/>
    </row>
    <row r="65" spans="1:10" ht="20.100000000000001" customHeight="1" x14ac:dyDescent="0.2">
      <c r="A65" s="564">
        <f t="shared" si="3"/>
        <v>22</v>
      </c>
      <c r="B65" s="100" t="s">
        <v>2005</v>
      </c>
      <c r="C65" s="63" t="str">
        <f t="shared" ref="C65:C96" si="4">IFERROR(VLOOKUP(J65,T_Código_Items,2,FALSE),G65)</f>
        <v xml:space="preserve">Hormigón H-21  </v>
      </c>
      <c r="D65" s="98" t="str">
        <f t="shared" ref="D65:D96" si="5">IFERROR(VLOOKUP(J65,T_Código_Items,3,FALSE),H65)</f>
        <v>M3</v>
      </c>
      <c r="E65" s="567"/>
      <c r="F65" s="138"/>
      <c r="G65" s="137" t="s">
        <v>1966</v>
      </c>
      <c r="H65" s="565" t="s">
        <v>2010</v>
      </c>
      <c r="I65" s="425"/>
      <c r="J65" s="65"/>
    </row>
    <row r="66" spans="1:10" ht="20.100000000000001" customHeight="1" x14ac:dyDescent="0.2">
      <c r="A66" s="564">
        <f t="shared" si="3"/>
        <v>23</v>
      </c>
      <c r="B66" s="100" t="s">
        <v>2006</v>
      </c>
      <c r="C66" s="63" t="str">
        <f t="shared" si="4"/>
        <v>Armadura puesta en obra</v>
      </c>
      <c r="D66" s="98" t="str">
        <f t="shared" si="5"/>
        <v>KG</v>
      </c>
      <c r="E66" s="567"/>
      <c r="F66" s="138"/>
      <c r="G66" s="137" t="s">
        <v>1967</v>
      </c>
      <c r="H66" s="565" t="s">
        <v>2011</v>
      </c>
      <c r="I66" s="425"/>
      <c r="J66" s="65"/>
    </row>
    <row r="67" spans="1:10" ht="20.100000000000001" customHeight="1" x14ac:dyDescent="0.2">
      <c r="A67" s="564">
        <f t="shared" si="3"/>
        <v>24</v>
      </c>
      <c r="B67" s="100" t="s">
        <v>2007</v>
      </c>
      <c r="C67" s="63" t="str">
        <f t="shared" si="4"/>
        <v>Puente de Adherencia</v>
      </c>
      <c r="D67" s="98" t="str">
        <f t="shared" si="5"/>
        <v>GL</v>
      </c>
      <c r="E67" s="567"/>
      <c r="F67" s="138"/>
      <c r="G67" s="137" t="s">
        <v>1969</v>
      </c>
      <c r="H67" s="565" t="s">
        <v>2009</v>
      </c>
      <c r="I67" s="425"/>
      <c r="J67" s="65"/>
    </row>
    <row r="68" spans="1:10" ht="20.100000000000001" customHeight="1" x14ac:dyDescent="0.2">
      <c r="A68" s="564">
        <f t="shared" si="3"/>
        <v>25</v>
      </c>
      <c r="B68" s="100" t="s">
        <v>2008</v>
      </c>
      <c r="C68" s="63" t="str">
        <f t="shared" si="4"/>
        <v>Juntas de Construccion y Dilatacion</v>
      </c>
      <c r="D68" s="98" t="str">
        <f t="shared" si="5"/>
        <v>ML</v>
      </c>
      <c r="E68" s="567"/>
      <c r="F68" s="138"/>
      <c r="G68" s="137" t="s">
        <v>1978</v>
      </c>
      <c r="H68" s="565" t="s">
        <v>2012</v>
      </c>
      <c r="I68" s="425"/>
      <c r="J68" s="65"/>
    </row>
    <row r="69" spans="1:10" ht="20.100000000000001" customHeight="1" x14ac:dyDescent="0.2">
      <c r="A69" s="564">
        <f t="shared" si="3"/>
        <v>25</v>
      </c>
      <c r="B69" s="100"/>
      <c r="C69" s="63">
        <f t="shared" si="4"/>
        <v>0</v>
      </c>
      <c r="D69" s="98">
        <f t="shared" si="5"/>
        <v>0</v>
      </c>
      <c r="E69" s="567"/>
      <c r="F69" s="138"/>
      <c r="G69" s="137"/>
      <c r="H69" s="565"/>
      <c r="I69" s="425"/>
      <c r="J69" s="65"/>
    </row>
    <row r="70" spans="1:10" ht="20.100000000000001" customHeight="1" x14ac:dyDescent="0.2">
      <c r="A70" s="564">
        <f t="shared" si="3"/>
        <v>25</v>
      </c>
      <c r="B70" s="100"/>
      <c r="C70" s="63">
        <f t="shared" si="4"/>
        <v>0</v>
      </c>
      <c r="D70" s="98">
        <f t="shared" si="5"/>
        <v>0</v>
      </c>
      <c r="E70" s="567"/>
      <c r="F70" s="138"/>
      <c r="G70" s="137"/>
      <c r="H70" s="565"/>
      <c r="I70" s="425"/>
      <c r="J70" s="65"/>
    </row>
    <row r="71" spans="1:10" ht="20.100000000000001" customHeight="1" x14ac:dyDescent="0.2">
      <c r="A71" s="564">
        <f t="shared" si="3"/>
        <v>25</v>
      </c>
      <c r="B71" s="100"/>
      <c r="C71" s="63">
        <f t="shared" si="4"/>
        <v>0</v>
      </c>
      <c r="D71" s="98">
        <f t="shared" si="5"/>
        <v>0</v>
      </c>
      <c r="E71" s="567"/>
      <c r="F71" s="138"/>
      <c r="G71" s="137"/>
      <c r="H71" s="565"/>
      <c r="I71" s="425"/>
      <c r="J71" s="65"/>
    </row>
    <row r="72" spans="1:10" ht="20.100000000000001" customHeight="1" x14ac:dyDescent="0.2">
      <c r="A72" s="564">
        <f t="shared" si="3"/>
        <v>25</v>
      </c>
      <c r="B72" s="100"/>
      <c r="C72" s="63">
        <f t="shared" si="4"/>
        <v>0</v>
      </c>
      <c r="D72" s="98">
        <f t="shared" si="5"/>
        <v>0</v>
      </c>
      <c r="E72" s="567"/>
      <c r="F72" s="138"/>
      <c r="G72" s="137"/>
      <c r="H72" s="565"/>
      <c r="I72" s="425"/>
      <c r="J72" s="65"/>
    </row>
    <row r="73" spans="1:10" ht="20.100000000000001" customHeight="1" x14ac:dyDescent="0.2">
      <c r="A73" s="564">
        <f t="shared" si="3"/>
        <v>25</v>
      </c>
      <c r="B73" s="100"/>
      <c r="C73" s="63">
        <f t="shared" si="4"/>
        <v>0</v>
      </c>
      <c r="D73" s="98">
        <f t="shared" si="5"/>
        <v>0</v>
      </c>
      <c r="E73" s="567"/>
      <c r="F73" s="138"/>
      <c r="G73" s="137"/>
      <c r="H73" s="565"/>
      <c r="I73" s="425"/>
      <c r="J73" s="65"/>
    </row>
    <row r="74" spans="1:10" ht="20.100000000000001" customHeight="1" x14ac:dyDescent="0.2">
      <c r="A74" s="564">
        <f t="shared" si="3"/>
        <v>25</v>
      </c>
      <c r="B74" s="100"/>
      <c r="C74" s="63">
        <f t="shared" si="4"/>
        <v>0</v>
      </c>
      <c r="D74" s="98">
        <f t="shared" si="5"/>
        <v>0</v>
      </c>
      <c r="E74" s="567"/>
      <c r="F74" s="138"/>
      <c r="G74" s="137"/>
      <c r="H74" s="565"/>
      <c r="I74" s="425"/>
      <c r="J74" s="65"/>
    </row>
    <row r="75" spans="1:10" ht="20.100000000000001" customHeight="1" x14ac:dyDescent="0.2">
      <c r="A75" s="564">
        <f t="shared" si="3"/>
        <v>25</v>
      </c>
      <c r="B75" s="100"/>
      <c r="C75" s="63">
        <f t="shared" si="4"/>
        <v>0</v>
      </c>
      <c r="D75" s="98">
        <f t="shared" si="5"/>
        <v>0</v>
      </c>
      <c r="E75" s="567"/>
      <c r="F75" s="138"/>
      <c r="G75" s="137"/>
      <c r="H75" s="565"/>
      <c r="I75" s="425"/>
      <c r="J75" s="65"/>
    </row>
    <row r="76" spans="1:10" ht="20.100000000000001" customHeight="1" x14ac:dyDescent="0.2">
      <c r="A76" s="564">
        <f t="shared" si="3"/>
        <v>25</v>
      </c>
      <c r="B76" s="100"/>
      <c r="C76" s="63">
        <f t="shared" si="4"/>
        <v>0</v>
      </c>
      <c r="D76" s="98">
        <f t="shared" si="5"/>
        <v>0</v>
      </c>
      <c r="E76" s="567"/>
      <c r="F76" s="138"/>
      <c r="G76" s="137"/>
      <c r="H76" s="565"/>
      <c r="I76" s="425"/>
      <c r="J76" s="65"/>
    </row>
    <row r="77" spans="1:10" ht="20.100000000000001" customHeight="1" x14ac:dyDescent="0.2">
      <c r="A77" s="564">
        <f t="shared" si="3"/>
        <v>25</v>
      </c>
      <c r="B77" s="100"/>
      <c r="C77" s="63">
        <f t="shared" si="4"/>
        <v>0</v>
      </c>
      <c r="D77" s="98">
        <f t="shared" si="5"/>
        <v>0</v>
      </c>
      <c r="E77" s="567"/>
      <c r="F77" s="138"/>
      <c r="G77" s="137"/>
      <c r="H77" s="565"/>
      <c r="I77" s="425"/>
      <c r="J77" s="65"/>
    </row>
    <row r="78" spans="1:10" ht="20.100000000000001" customHeight="1" x14ac:dyDescent="0.2">
      <c r="A78" s="564">
        <f t="shared" si="3"/>
        <v>25</v>
      </c>
      <c r="B78" s="100"/>
      <c r="C78" s="63">
        <f t="shared" si="4"/>
        <v>0</v>
      </c>
      <c r="D78" s="98">
        <f t="shared" si="5"/>
        <v>0</v>
      </c>
      <c r="E78" s="567"/>
      <c r="F78" s="138"/>
      <c r="G78" s="137"/>
      <c r="H78" s="565"/>
      <c r="I78" s="425"/>
      <c r="J78" s="65"/>
    </row>
    <row r="79" spans="1:10" ht="20.100000000000001" customHeight="1" x14ac:dyDescent="0.2">
      <c r="A79" s="564">
        <f t="shared" si="3"/>
        <v>25</v>
      </c>
      <c r="B79" s="100"/>
      <c r="C79" s="63">
        <f t="shared" si="4"/>
        <v>0</v>
      </c>
      <c r="D79" s="98">
        <f t="shared" si="5"/>
        <v>0</v>
      </c>
      <c r="E79" s="567"/>
      <c r="F79" s="138"/>
      <c r="G79" s="137"/>
      <c r="H79" s="565"/>
      <c r="I79" s="425"/>
      <c r="J79" s="65"/>
    </row>
    <row r="80" spans="1:10" ht="20.100000000000001" customHeight="1" x14ac:dyDescent="0.2">
      <c r="A80" s="564">
        <f t="shared" si="3"/>
        <v>25</v>
      </c>
      <c r="B80" s="100"/>
      <c r="C80" s="63">
        <f t="shared" si="4"/>
        <v>0</v>
      </c>
      <c r="D80" s="98">
        <f t="shared" si="5"/>
        <v>0</v>
      </c>
      <c r="E80" s="567"/>
      <c r="F80" s="138"/>
      <c r="G80" s="137"/>
      <c r="H80" s="565"/>
      <c r="I80" s="425"/>
      <c r="J80" s="65"/>
    </row>
    <row r="81" spans="1:10" ht="20.100000000000001" customHeight="1" x14ac:dyDescent="0.2">
      <c r="A81" s="564">
        <f t="shared" si="3"/>
        <v>25</v>
      </c>
      <c r="B81" s="100"/>
      <c r="C81" s="63">
        <f t="shared" si="4"/>
        <v>0</v>
      </c>
      <c r="D81" s="98">
        <f t="shared" si="5"/>
        <v>0</v>
      </c>
      <c r="E81" s="567"/>
      <c r="F81" s="138"/>
      <c r="G81" s="137"/>
      <c r="H81" s="565"/>
      <c r="I81" s="425"/>
      <c r="J81" s="65"/>
    </row>
    <row r="82" spans="1:10" ht="20.100000000000001" customHeight="1" x14ac:dyDescent="0.2">
      <c r="A82" s="564">
        <f t="shared" si="3"/>
        <v>25</v>
      </c>
      <c r="B82" s="100"/>
      <c r="C82" s="63">
        <f t="shared" si="4"/>
        <v>0</v>
      </c>
      <c r="D82" s="98">
        <f t="shared" si="5"/>
        <v>0</v>
      </c>
      <c r="E82" s="567"/>
      <c r="F82" s="138"/>
      <c r="G82" s="137"/>
      <c r="H82" s="565"/>
      <c r="I82" s="425"/>
      <c r="J82" s="65"/>
    </row>
    <row r="83" spans="1:10" ht="20.100000000000001" customHeight="1" x14ac:dyDescent="0.2">
      <c r="A83" s="564">
        <f t="shared" si="3"/>
        <v>25</v>
      </c>
      <c r="B83" s="100"/>
      <c r="C83" s="63">
        <f t="shared" si="4"/>
        <v>0</v>
      </c>
      <c r="D83" s="98">
        <f t="shared" si="5"/>
        <v>0</v>
      </c>
      <c r="E83" s="567"/>
      <c r="F83" s="138"/>
      <c r="G83" s="137"/>
      <c r="H83" s="565"/>
      <c r="I83" s="425"/>
      <c r="J83" s="65"/>
    </row>
    <row r="84" spans="1:10" ht="20.100000000000001" customHeight="1" x14ac:dyDescent="0.2">
      <c r="A84" s="564">
        <f t="shared" si="3"/>
        <v>25</v>
      </c>
      <c r="B84" s="100"/>
      <c r="C84" s="63">
        <f t="shared" si="4"/>
        <v>0</v>
      </c>
      <c r="D84" s="98">
        <f t="shared" si="5"/>
        <v>0</v>
      </c>
      <c r="E84" s="567"/>
      <c r="F84" s="138"/>
      <c r="G84" s="137"/>
      <c r="H84" s="565"/>
      <c r="I84" s="425"/>
      <c r="J84" s="65"/>
    </row>
    <row r="85" spans="1:10" ht="20.100000000000001" customHeight="1" x14ac:dyDescent="0.2">
      <c r="A85" s="564">
        <f t="shared" si="3"/>
        <v>25</v>
      </c>
      <c r="B85" s="100"/>
      <c r="C85" s="63">
        <f t="shared" si="4"/>
        <v>0</v>
      </c>
      <c r="D85" s="98">
        <f t="shared" si="5"/>
        <v>0</v>
      </c>
      <c r="E85" s="567"/>
      <c r="F85" s="138"/>
      <c r="G85" s="137"/>
      <c r="H85" s="565"/>
      <c r="I85" s="425"/>
      <c r="J85" s="65"/>
    </row>
    <row r="86" spans="1:10" ht="20.100000000000001" customHeight="1" x14ac:dyDescent="0.2">
      <c r="A86" s="564">
        <f t="shared" si="3"/>
        <v>25</v>
      </c>
      <c r="B86" s="100"/>
      <c r="C86" s="63">
        <f t="shared" si="4"/>
        <v>0</v>
      </c>
      <c r="D86" s="98">
        <f t="shared" si="5"/>
        <v>0</v>
      </c>
      <c r="E86" s="567"/>
      <c r="F86" s="138"/>
      <c r="G86" s="137"/>
      <c r="H86" s="565"/>
      <c r="I86" s="425"/>
      <c r="J86" s="65"/>
    </row>
    <row r="87" spans="1:10" ht="20.100000000000001" customHeight="1" x14ac:dyDescent="0.2">
      <c r="A87" s="564">
        <f t="shared" si="3"/>
        <v>25</v>
      </c>
      <c r="B87" s="100"/>
      <c r="C87" s="63">
        <f t="shared" si="4"/>
        <v>0</v>
      </c>
      <c r="D87" s="98">
        <f t="shared" si="5"/>
        <v>0</v>
      </c>
      <c r="E87" s="567"/>
      <c r="F87" s="138"/>
      <c r="G87" s="137"/>
      <c r="H87" s="565"/>
      <c r="I87" s="425"/>
      <c r="J87" s="65"/>
    </row>
    <row r="88" spans="1:10" ht="20.100000000000001" customHeight="1" x14ac:dyDescent="0.2">
      <c r="A88" s="564">
        <f t="shared" si="3"/>
        <v>25</v>
      </c>
      <c r="B88" s="100"/>
      <c r="C88" s="63">
        <f t="shared" si="4"/>
        <v>0</v>
      </c>
      <c r="D88" s="98">
        <f t="shared" si="5"/>
        <v>0</v>
      </c>
      <c r="E88" s="567"/>
      <c r="F88" s="138"/>
      <c r="G88" s="137"/>
      <c r="H88" s="565"/>
      <c r="I88" s="425"/>
      <c r="J88" s="65"/>
    </row>
    <row r="89" spans="1:10" ht="20.100000000000001" customHeight="1" x14ac:dyDescent="0.2">
      <c r="A89" s="564">
        <f t="shared" si="3"/>
        <v>25</v>
      </c>
      <c r="B89" s="100"/>
      <c r="C89" s="63">
        <f t="shared" si="4"/>
        <v>0</v>
      </c>
      <c r="D89" s="98">
        <f t="shared" si="5"/>
        <v>0</v>
      </c>
      <c r="E89" s="567"/>
      <c r="F89" s="138"/>
      <c r="G89" s="137"/>
      <c r="H89" s="565"/>
      <c r="I89" s="425"/>
      <c r="J89" s="65"/>
    </row>
    <row r="90" spans="1:10" ht="20.100000000000001" customHeight="1" x14ac:dyDescent="0.2">
      <c r="A90" s="564">
        <f t="shared" si="3"/>
        <v>25</v>
      </c>
      <c r="B90" s="100"/>
      <c r="C90" s="63">
        <f t="shared" si="4"/>
        <v>0</v>
      </c>
      <c r="D90" s="98">
        <f t="shared" si="5"/>
        <v>0</v>
      </c>
      <c r="E90" s="567"/>
      <c r="F90" s="138"/>
      <c r="G90" s="137"/>
      <c r="H90" s="565"/>
      <c r="I90" s="425"/>
      <c r="J90" s="65"/>
    </row>
    <row r="91" spans="1:10" ht="20.100000000000001" customHeight="1" x14ac:dyDescent="0.2">
      <c r="A91" s="564">
        <f t="shared" si="3"/>
        <v>25</v>
      </c>
      <c r="B91" s="100"/>
      <c r="C91" s="63">
        <f t="shared" si="4"/>
        <v>0</v>
      </c>
      <c r="D91" s="98">
        <f t="shared" si="5"/>
        <v>0</v>
      </c>
      <c r="E91" s="567"/>
      <c r="F91" s="138"/>
      <c r="G91" s="137"/>
      <c r="H91" s="565"/>
      <c r="I91" s="425"/>
      <c r="J91" s="65"/>
    </row>
    <row r="92" spans="1:10" ht="20.100000000000001" customHeight="1" x14ac:dyDescent="0.2">
      <c r="A92" s="564">
        <f t="shared" si="3"/>
        <v>25</v>
      </c>
      <c r="B92" s="100"/>
      <c r="C92" s="63">
        <f t="shared" si="4"/>
        <v>0</v>
      </c>
      <c r="D92" s="98">
        <f t="shared" si="5"/>
        <v>0</v>
      </c>
      <c r="E92" s="567"/>
      <c r="F92" s="138"/>
      <c r="G92" s="137"/>
      <c r="H92" s="565"/>
      <c r="I92" s="425"/>
      <c r="J92" s="65"/>
    </row>
    <row r="93" spans="1:10" ht="20.100000000000001" customHeight="1" x14ac:dyDescent="0.2">
      <c r="A93" s="564">
        <f t="shared" si="3"/>
        <v>25</v>
      </c>
      <c r="B93" s="100"/>
      <c r="C93" s="63">
        <f t="shared" si="4"/>
        <v>0</v>
      </c>
      <c r="D93" s="98">
        <f t="shared" si="5"/>
        <v>0</v>
      </c>
      <c r="E93" s="567"/>
      <c r="F93" s="138"/>
      <c r="G93" s="137"/>
      <c r="H93" s="565"/>
      <c r="I93" s="425"/>
      <c r="J93" s="65"/>
    </row>
    <row r="94" spans="1:10" ht="20.100000000000001" customHeight="1" x14ac:dyDescent="0.2">
      <c r="A94" s="564">
        <f t="shared" si="3"/>
        <v>25</v>
      </c>
      <c r="B94" s="100"/>
      <c r="C94" s="63">
        <f t="shared" si="4"/>
        <v>0</v>
      </c>
      <c r="D94" s="98">
        <f t="shared" si="5"/>
        <v>0</v>
      </c>
      <c r="E94" s="567"/>
      <c r="F94" s="138"/>
      <c r="G94" s="137"/>
      <c r="H94" s="565"/>
      <c r="I94" s="425"/>
      <c r="J94" s="65"/>
    </row>
    <row r="95" spans="1:10" ht="20.100000000000001" customHeight="1" x14ac:dyDescent="0.2">
      <c r="A95" s="564">
        <f t="shared" si="3"/>
        <v>25</v>
      </c>
      <c r="B95" s="100"/>
      <c r="C95" s="63">
        <f t="shared" si="4"/>
        <v>0</v>
      </c>
      <c r="D95" s="98">
        <f t="shared" si="5"/>
        <v>0</v>
      </c>
      <c r="E95" s="567"/>
      <c r="F95" s="138"/>
      <c r="G95" s="137"/>
      <c r="H95" s="565"/>
      <c r="I95" s="425"/>
      <c r="J95" s="65"/>
    </row>
    <row r="96" spans="1:10" ht="20.100000000000001" customHeight="1" x14ac:dyDescent="0.2">
      <c r="A96" s="564">
        <f t="shared" si="3"/>
        <v>25</v>
      </c>
      <c r="B96" s="100"/>
      <c r="C96" s="63">
        <f t="shared" si="4"/>
        <v>0</v>
      </c>
      <c r="D96" s="98">
        <f t="shared" si="5"/>
        <v>0</v>
      </c>
      <c r="E96" s="567"/>
      <c r="F96" s="138"/>
      <c r="G96" s="137"/>
      <c r="H96" s="565"/>
      <c r="I96" s="425"/>
      <c r="J96" s="65"/>
    </row>
    <row r="97" spans="1:10" ht="20.100000000000001" customHeight="1" x14ac:dyDescent="0.2">
      <c r="A97" s="564">
        <f t="shared" si="3"/>
        <v>25</v>
      </c>
      <c r="B97" s="100"/>
      <c r="C97" s="63">
        <f t="shared" ref="C97:C128" si="6">IFERROR(VLOOKUP(J97,T_Código_Items,2,FALSE),G97)</f>
        <v>0</v>
      </c>
      <c r="D97" s="98">
        <f t="shared" ref="D97:D128" si="7">IFERROR(VLOOKUP(J97,T_Código_Items,3,FALSE),H97)</f>
        <v>0</v>
      </c>
      <c r="E97" s="567"/>
      <c r="F97" s="138"/>
      <c r="G97" s="137"/>
      <c r="H97" s="565"/>
      <c r="I97" s="425"/>
      <c r="J97" s="65"/>
    </row>
    <row r="98" spans="1:10" ht="20.100000000000001" customHeight="1" x14ac:dyDescent="0.2">
      <c r="A98" s="564">
        <f t="shared" si="3"/>
        <v>25</v>
      </c>
      <c r="B98" s="100"/>
      <c r="C98" s="63">
        <f t="shared" si="6"/>
        <v>0</v>
      </c>
      <c r="D98" s="98">
        <f t="shared" si="7"/>
        <v>0</v>
      </c>
      <c r="E98" s="567"/>
      <c r="F98" s="138"/>
      <c r="G98" s="137"/>
      <c r="H98" s="565"/>
      <c r="I98" s="425"/>
      <c r="J98" s="65"/>
    </row>
    <row r="99" spans="1:10" ht="20.100000000000001" customHeight="1" x14ac:dyDescent="0.2">
      <c r="A99" s="564">
        <f t="shared" ref="A99:A162" si="8">IF(D99=0,A98,A98+1)</f>
        <v>25</v>
      </c>
      <c r="B99" s="100"/>
      <c r="C99" s="63">
        <f t="shared" si="6"/>
        <v>0</v>
      </c>
      <c r="D99" s="98">
        <f t="shared" si="7"/>
        <v>0</v>
      </c>
      <c r="E99" s="567"/>
      <c r="F99" s="138"/>
      <c r="G99" s="137"/>
      <c r="H99" s="565"/>
      <c r="I99" s="425"/>
      <c r="J99" s="65"/>
    </row>
    <row r="100" spans="1:10" ht="20.100000000000001" customHeight="1" x14ac:dyDescent="0.2">
      <c r="A100" s="564">
        <f t="shared" si="8"/>
        <v>25</v>
      </c>
      <c r="B100" s="100"/>
      <c r="C100" s="63">
        <f t="shared" si="6"/>
        <v>0</v>
      </c>
      <c r="D100" s="98">
        <f t="shared" si="7"/>
        <v>0</v>
      </c>
      <c r="E100" s="567"/>
      <c r="F100" s="138"/>
      <c r="G100" s="137"/>
      <c r="H100" s="565"/>
      <c r="I100" s="425"/>
      <c r="J100" s="65"/>
    </row>
    <row r="101" spans="1:10" ht="20.100000000000001" customHeight="1" x14ac:dyDescent="0.2">
      <c r="A101" s="564">
        <f t="shared" si="8"/>
        <v>25</v>
      </c>
      <c r="B101" s="100"/>
      <c r="C101" s="63">
        <f t="shared" si="6"/>
        <v>0</v>
      </c>
      <c r="D101" s="98">
        <f t="shared" si="7"/>
        <v>0</v>
      </c>
      <c r="E101" s="567"/>
      <c r="F101" s="138"/>
      <c r="G101" s="137"/>
      <c r="H101" s="565"/>
      <c r="I101" s="425"/>
      <c r="J101" s="65"/>
    </row>
    <row r="102" spans="1:10" ht="20.100000000000001" customHeight="1" x14ac:dyDescent="0.2">
      <c r="A102" s="564">
        <f t="shared" si="8"/>
        <v>25</v>
      </c>
      <c r="B102" s="100"/>
      <c r="C102" s="63">
        <f t="shared" si="6"/>
        <v>0</v>
      </c>
      <c r="D102" s="98">
        <f t="shared" si="7"/>
        <v>0</v>
      </c>
      <c r="E102" s="567"/>
      <c r="F102" s="138"/>
      <c r="G102" s="137"/>
      <c r="H102" s="565"/>
      <c r="I102" s="425"/>
      <c r="J102" s="65"/>
    </row>
    <row r="103" spans="1:10" ht="20.100000000000001" customHeight="1" x14ac:dyDescent="0.2">
      <c r="A103" s="564">
        <f t="shared" si="8"/>
        <v>25</v>
      </c>
      <c r="B103" s="100"/>
      <c r="C103" s="63">
        <f t="shared" si="6"/>
        <v>0</v>
      </c>
      <c r="D103" s="98">
        <f t="shared" si="7"/>
        <v>0</v>
      </c>
      <c r="E103" s="567"/>
      <c r="F103" s="138"/>
      <c r="G103" s="137"/>
      <c r="H103" s="565"/>
      <c r="I103" s="425"/>
      <c r="J103" s="65"/>
    </row>
    <row r="104" spans="1:10" ht="20.100000000000001" customHeight="1" x14ac:dyDescent="0.2">
      <c r="A104" s="564">
        <f t="shared" si="8"/>
        <v>25</v>
      </c>
      <c r="B104" s="100"/>
      <c r="C104" s="63">
        <f t="shared" si="6"/>
        <v>0</v>
      </c>
      <c r="D104" s="98">
        <f t="shared" si="7"/>
        <v>0</v>
      </c>
      <c r="E104" s="567"/>
      <c r="F104" s="138"/>
      <c r="G104" s="137"/>
      <c r="H104" s="565"/>
      <c r="I104" s="425"/>
      <c r="J104" s="65"/>
    </row>
    <row r="105" spans="1:10" ht="20.100000000000001" customHeight="1" x14ac:dyDescent="0.2">
      <c r="A105" s="564">
        <f t="shared" si="8"/>
        <v>25</v>
      </c>
      <c r="B105" s="100"/>
      <c r="C105" s="63">
        <f t="shared" si="6"/>
        <v>0</v>
      </c>
      <c r="D105" s="98">
        <f t="shared" si="7"/>
        <v>0</v>
      </c>
      <c r="E105" s="567"/>
      <c r="F105" s="138"/>
      <c r="G105" s="137"/>
      <c r="H105" s="565"/>
      <c r="I105" s="425"/>
      <c r="J105" s="65"/>
    </row>
    <row r="106" spans="1:10" ht="20.100000000000001" customHeight="1" x14ac:dyDescent="0.2">
      <c r="A106" s="564">
        <f t="shared" si="8"/>
        <v>25</v>
      </c>
      <c r="B106" s="100"/>
      <c r="C106" s="63">
        <f t="shared" si="6"/>
        <v>0</v>
      </c>
      <c r="D106" s="98">
        <f t="shared" si="7"/>
        <v>0</v>
      </c>
      <c r="E106" s="567"/>
      <c r="F106" s="138"/>
      <c r="G106" s="137"/>
      <c r="H106" s="565"/>
      <c r="I106" s="425"/>
      <c r="J106" s="65"/>
    </row>
    <row r="107" spans="1:10" ht="20.100000000000001" customHeight="1" x14ac:dyDescent="0.2">
      <c r="A107" s="564">
        <f t="shared" si="8"/>
        <v>25</v>
      </c>
      <c r="B107" s="100"/>
      <c r="C107" s="63">
        <f t="shared" si="6"/>
        <v>0</v>
      </c>
      <c r="D107" s="98">
        <f t="shared" si="7"/>
        <v>0</v>
      </c>
      <c r="E107" s="567"/>
      <c r="F107" s="138"/>
      <c r="G107" s="137"/>
      <c r="H107" s="565"/>
      <c r="I107" s="425"/>
      <c r="J107" s="65"/>
    </row>
    <row r="108" spans="1:10" ht="20.100000000000001" customHeight="1" x14ac:dyDescent="0.2">
      <c r="A108" s="564">
        <f t="shared" si="8"/>
        <v>25</v>
      </c>
      <c r="B108" s="100"/>
      <c r="C108" s="63">
        <f t="shared" si="6"/>
        <v>0</v>
      </c>
      <c r="D108" s="98">
        <f t="shared" si="7"/>
        <v>0</v>
      </c>
      <c r="E108" s="567"/>
      <c r="F108" s="138"/>
      <c r="G108" s="137"/>
      <c r="H108" s="565"/>
      <c r="I108" s="425"/>
      <c r="J108" s="65"/>
    </row>
    <row r="109" spans="1:10" ht="20.100000000000001" customHeight="1" x14ac:dyDescent="0.2">
      <c r="A109" s="564">
        <f t="shared" si="8"/>
        <v>25</v>
      </c>
      <c r="B109" s="100"/>
      <c r="C109" s="63">
        <f t="shared" si="6"/>
        <v>0</v>
      </c>
      <c r="D109" s="98">
        <f t="shared" si="7"/>
        <v>0</v>
      </c>
      <c r="E109" s="567"/>
      <c r="F109" s="138"/>
      <c r="G109" s="137"/>
      <c r="H109" s="565"/>
      <c r="I109" s="425"/>
      <c r="J109" s="65"/>
    </row>
    <row r="110" spans="1:10" ht="20.100000000000001" customHeight="1" x14ac:dyDescent="0.2">
      <c r="A110" s="564">
        <f t="shared" si="8"/>
        <v>25</v>
      </c>
      <c r="B110" s="100"/>
      <c r="C110" s="63">
        <f t="shared" si="6"/>
        <v>0</v>
      </c>
      <c r="D110" s="98">
        <f t="shared" si="7"/>
        <v>0</v>
      </c>
      <c r="E110" s="567"/>
      <c r="F110" s="138"/>
      <c r="G110" s="137"/>
      <c r="H110" s="565"/>
      <c r="I110" s="425"/>
      <c r="J110" s="65"/>
    </row>
    <row r="111" spans="1:10" ht="20.100000000000001" customHeight="1" x14ac:dyDescent="0.2">
      <c r="A111" s="564">
        <f t="shared" si="8"/>
        <v>25</v>
      </c>
      <c r="B111" s="100"/>
      <c r="C111" s="63">
        <f t="shared" si="6"/>
        <v>0</v>
      </c>
      <c r="D111" s="98">
        <f t="shared" si="7"/>
        <v>0</v>
      </c>
      <c r="E111" s="567"/>
      <c r="F111" s="138"/>
      <c r="G111" s="137"/>
      <c r="H111" s="565"/>
      <c r="I111" s="425"/>
      <c r="J111" s="65"/>
    </row>
    <row r="112" spans="1:10" ht="20.100000000000001" customHeight="1" x14ac:dyDescent="0.2">
      <c r="A112" s="564">
        <f t="shared" si="8"/>
        <v>25</v>
      </c>
      <c r="B112" s="100"/>
      <c r="C112" s="63">
        <f t="shared" si="6"/>
        <v>0</v>
      </c>
      <c r="D112" s="98">
        <f t="shared" si="7"/>
        <v>0</v>
      </c>
      <c r="E112" s="567"/>
      <c r="F112" s="138"/>
      <c r="G112" s="137"/>
      <c r="H112" s="565"/>
      <c r="I112" s="425"/>
      <c r="J112" s="65"/>
    </row>
    <row r="113" spans="1:10" ht="20.100000000000001" customHeight="1" x14ac:dyDescent="0.2">
      <c r="A113" s="564">
        <f t="shared" si="8"/>
        <v>25</v>
      </c>
      <c r="B113" s="100"/>
      <c r="C113" s="63">
        <f t="shared" si="6"/>
        <v>0</v>
      </c>
      <c r="D113" s="98">
        <f t="shared" si="7"/>
        <v>0</v>
      </c>
      <c r="E113" s="567"/>
      <c r="F113" s="138"/>
      <c r="G113" s="137"/>
      <c r="H113" s="565"/>
      <c r="I113" s="425"/>
      <c r="J113" s="65"/>
    </row>
    <row r="114" spans="1:10" ht="20.100000000000001" customHeight="1" x14ac:dyDescent="0.2">
      <c r="A114" s="564">
        <f t="shared" si="8"/>
        <v>25</v>
      </c>
      <c r="B114" s="100"/>
      <c r="C114" s="63">
        <f t="shared" si="6"/>
        <v>0</v>
      </c>
      <c r="D114" s="98">
        <f t="shared" si="7"/>
        <v>0</v>
      </c>
      <c r="E114" s="567"/>
      <c r="F114" s="138"/>
      <c r="G114" s="137"/>
      <c r="H114" s="565"/>
      <c r="I114" s="425"/>
      <c r="J114" s="65"/>
    </row>
    <row r="115" spans="1:10" ht="20.100000000000001" customHeight="1" x14ac:dyDescent="0.2">
      <c r="A115" s="564">
        <f t="shared" si="8"/>
        <v>25</v>
      </c>
      <c r="B115" s="100"/>
      <c r="C115" s="63">
        <f t="shared" si="6"/>
        <v>0</v>
      </c>
      <c r="D115" s="98">
        <f t="shared" si="7"/>
        <v>0</v>
      </c>
      <c r="E115" s="567"/>
      <c r="F115" s="138"/>
      <c r="G115" s="137"/>
      <c r="H115" s="565"/>
      <c r="I115" s="425"/>
      <c r="J115" s="65"/>
    </row>
    <row r="116" spans="1:10" ht="20.100000000000001" customHeight="1" x14ac:dyDescent="0.2">
      <c r="A116" s="564">
        <f t="shared" si="8"/>
        <v>25</v>
      </c>
      <c r="B116" s="100"/>
      <c r="C116" s="63">
        <f t="shared" si="6"/>
        <v>0</v>
      </c>
      <c r="D116" s="98">
        <f t="shared" si="7"/>
        <v>0</v>
      </c>
      <c r="E116" s="567"/>
      <c r="F116" s="138"/>
      <c r="G116" s="137"/>
      <c r="H116" s="565"/>
      <c r="I116" s="425"/>
      <c r="J116" s="65"/>
    </row>
    <row r="117" spans="1:10" ht="20.100000000000001" customHeight="1" x14ac:dyDescent="0.2">
      <c r="A117" s="564">
        <f t="shared" si="8"/>
        <v>25</v>
      </c>
      <c r="B117" s="100"/>
      <c r="C117" s="63">
        <f t="shared" si="6"/>
        <v>0</v>
      </c>
      <c r="D117" s="98">
        <f t="shared" si="7"/>
        <v>0</v>
      </c>
      <c r="E117" s="567"/>
      <c r="F117" s="138"/>
      <c r="G117" s="137"/>
      <c r="H117" s="565"/>
      <c r="I117" s="425"/>
      <c r="J117" s="65"/>
    </row>
    <row r="118" spans="1:10" ht="20.100000000000001" customHeight="1" x14ac:dyDescent="0.2">
      <c r="A118" s="564">
        <f t="shared" si="8"/>
        <v>25</v>
      </c>
      <c r="B118" s="100"/>
      <c r="C118" s="63">
        <f t="shared" si="6"/>
        <v>0</v>
      </c>
      <c r="D118" s="98">
        <f t="shared" si="7"/>
        <v>0</v>
      </c>
      <c r="E118" s="567"/>
      <c r="F118" s="138"/>
      <c r="G118" s="137"/>
      <c r="H118" s="565"/>
      <c r="I118" s="425"/>
      <c r="J118" s="65"/>
    </row>
    <row r="119" spans="1:10" ht="20.100000000000001" customHeight="1" x14ac:dyDescent="0.2">
      <c r="A119" s="564">
        <f t="shared" si="8"/>
        <v>25</v>
      </c>
      <c r="B119" s="100"/>
      <c r="C119" s="63">
        <f t="shared" si="6"/>
        <v>0</v>
      </c>
      <c r="D119" s="98">
        <f t="shared" si="7"/>
        <v>0</v>
      </c>
      <c r="E119" s="567"/>
      <c r="F119" s="138"/>
      <c r="G119" s="137"/>
      <c r="H119" s="565"/>
      <c r="I119" s="425"/>
      <c r="J119" s="65"/>
    </row>
    <row r="120" spans="1:10" ht="20.100000000000001" customHeight="1" x14ac:dyDescent="0.2">
      <c r="A120" s="564">
        <f t="shared" si="8"/>
        <v>25</v>
      </c>
      <c r="B120" s="100"/>
      <c r="C120" s="63">
        <f t="shared" si="6"/>
        <v>0</v>
      </c>
      <c r="D120" s="98">
        <f t="shared" si="7"/>
        <v>0</v>
      </c>
      <c r="E120" s="567"/>
      <c r="F120" s="138"/>
      <c r="G120" s="137"/>
      <c r="H120" s="565"/>
      <c r="I120" s="425"/>
      <c r="J120" s="65"/>
    </row>
    <row r="121" spans="1:10" ht="20.100000000000001" customHeight="1" x14ac:dyDescent="0.2">
      <c r="A121" s="564">
        <f t="shared" si="8"/>
        <v>25</v>
      </c>
      <c r="B121" s="100"/>
      <c r="C121" s="63">
        <f t="shared" si="6"/>
        <v>0</v>
      </c>
      <c r="D121" s="98">
        <f t="shared" si="7"/>
        <v>0</v>
      </c>
      <c r="E121" s="567"/>
      <c r="F121" s="138"/>
      <c r="G121" s="137"/>
      <c r="H121" s="565"/>
      <c r="I121" s="425"/>
      <c r="J121" s="65"/>
    </row>
    <row r="122" spans="1:10" ht="20.100000000000001" customHeight="1" x14ac:dyDescent="0.2">
      <c r="A122" s="564">
        <f t="shared" si="8"/>
        <v>25</v>
      </c>
      <c r="B122" s="100"/>
      <c r="C122" s="63">
        <f t="shared" si="6"/>
        <v>0</v>
      </c>
      <c r="D122" s="98">
        <f t="shared" si="7"/>
        <v>0</v>
      </c>
      <c r="E122" s="567"/>
      <c r="F122" s="138"/>
      <c r="G122" s="137"/>
      <c r="H122" s="565"/>
      <c r="I122" s="425"/>
      <c r="J122" s="65"/>
    </row>
    <row r="123" spans="1:10" ht="20.100000000000001" customHeight="1" x14ac:dyDescent="0.2">
      <c r="A123" s="564">
        <f t="shared" si="8"/>
        <v>25</v>
      </c>
      <c r="B123" s="100"/>
      <c r="C123" s="63">
        <f t="shared" si="6"/>
        <v>0</v>
      </c>
      <c r="D123" s="98">
        <f t="shared" si="7"/>
        <v>0</v>
      </c>
      <c r="E123" s="567"/>
      <c r="F123" s="138"/>
      <c r="G123" s="137"/>
      <c r="H123" s="565"/>
      <c r="I123" s="425"/>
      <c r="J123" s="65"/>
    </row>
    <row r="124" spans="1:10" ht="20.100000000000001" customHeight="1" x14ac:dyDescent="0.2">
      <c r="A124" s="564">
        <f t="shared" si="8"/>
        <v>25</v>
      </c>
      <c r="B124" s="100"/>
      <c r="C124" s="63">
        <f t="shared" si="6"/>
        <v>0</v>
      </c>
      <c r="D124" s="98">
        <f t="shared" si="7"/>
        <v>0</v>
      </c>
      <c r="E124" s="567"/>
      <c r="F124" s="138"/>
      <c r="G124" s="137"/>
      <c r="H124" s="565"/>
      <c r="I124" s="425"/>
      <c r="J124" s="65"/>
    </row>
    <row r="125" spans="1:10" ht="20.100000000000001" customHeight="1" x14ac:dyDescent="0.2">
      <c r="A125" s="564">
        <f t="shared" si="8"/>
        <v>25</v>
      </c>
      <c r="B125" s="100"/>
      <c r="C125" s="63">
        <f t="shared" si="6"/>
        <v>0</v>
      </c>
      <c r="D125" s="98">
        <f t="shared" si="7"/>
        <v>0</v>
      </c>
      <c r="E125" s="567"/>
      <c r="F125" s="138"/>
      <c r="G125" s="137"/>
      <c r="H125" s="565"/>
      <c r="I125" s="425"/>
      <c r="J125" s="65"/>
    </row>
    <row r="126" spans="1:10" ht="20.100000000000001" customHeight="1" x14ac:dyDescent="0.2">
      <c r="A126" s="564">
        <f t="shared" si="8"/>
        <v>25</v>
      </c>
      <c r="B126" s="100"/>
      <c r="C126" s="63">
        <f t="shared" si="6"/>
        <v>0</v>
      </c>
      <c r="D126" s="98">
        <f t="shared" si="7"/>
        <v>0</v>
      </c>
      <c r="E126" s="567"/>
      <c r="F126" s="138"/>
      <c r="G126" s="137"/>
      <c r="H126" s="565"/>
      <c r="I126" s="425"/>
      <c r="J126" s="65"/>
    </row>
    <row r="127" spans="1:10" ht="20.100000000000001" customHeight="1" x14ac:dyDescent="0.2">
      <c r="A127" s="564">
        <f t="shared" si="8"/>
        <v>25</v>
      </c>
      <c r="B127" s="100"/>
      <c r="C127" s="63">
        <f t="shared" si="6"/>
        <v>0</v>
      </c>
      <c r="D127" s="98">
        <f t="shared" si="7"/>
        <v>0</v>
      </c>
      <c r="E127" s="567"/>
      <c r="F127" s="138"/>
      <c r="G127" s="137"/>
      <c r="H127" s="565"/>
      <c r="I127" s="425"/>
      <c r="J127" s="65"/>
    </row>
    <row r="128" spans="1:10" ht="20.100000000000001" customHeight="1" x14ac:dyDescent="0.2">
      <c r="A128" s="564">
        <f t="shared" si="8"/>
        <v>25</v>
      </c>
      <c r="B128" s="100"/>
      <c r="C128" s="63">
        <f t="shared" si="6"/>
        <v>0</v>
      </c>
      <c r="D128" s="98">
        <f t="shared" si="7"/>
        <v>0</v>
      </c>
      <c r="E128" s="567"/>
      <c r="F128" s="138"/>
      <c r="G128" s="137"/>
      <c r="H128" s="565"/>
      <c r="I128" s="425"/>
      <c r="J128" s="65"/>
    </row>
    <row r="129" spans="1:10" ht="20.100000000000001" customHeight="1" x14ac:dyDescent="0.2">
      <c r="A129" s="564">
        <f t="shared" si="8"/>
        <v>25</v>
      </c>
      <c r="B129" s="100"/>
      <c r="C129" s="63">
        <f t="shared" ref="C129:C160" si="9">IFERROR(VLOOKUP(J129,T_Código_Items,2,FALSE),G129)</f>
        <v>0</v>
      </c>
      <c r="D129" s="98">
        <f t="shared" ref="D129:D160" si="10">IFERROR(VLOOKUP(J129,T_Código_Items,3,FALSE),H129)</f>
        <v>0</v>
      </c>
      <c r="E129" s="567"/>
      <c r="F129" s="138"/>
      <c r="G129" s="137"/>
      <c r="H129" s="565"/>
      <c r="I129" s="425"/>
      <c r="J129" s="65"/>
    </row>
    <row r="130" spans="1:10" ht="20.100000000000001" customHeight="1" x14ac:dyDescent="0.2">
      <c r="A130" s="564">
        <f t="shared" si="8"/>
        <v>25</v>
      </c>
      <c r="B130" s="100"/>
      <c r="C130" s="63">
        <f t="shared" si="9"/>
        <v>0</v>
      </c>
      <c r="D130" s="98">
        <f t="shared" si="10"/>
        <v>0</v>
      </c>
      <c r="E130" s="567"/>
      <c r="F130" s="138"/>
      <c r="G130" s="137"/>
      <c r="H130" s="565"/>
      <c r="I130" s="425"/>
      <c r="J130" s="65"/>
    </row>
    <row r="131" spans="1:10" ht="20.100000000000001" customHeight="1" x14ac:dyDescent="0.2">
      <c r="A131" s="564">
        <f t="shared" si="8"/>
        <v>25</v>
      </c>
      <c r="B131" s="100"/>
      <c r="C131" s="63">
        <f t="shared" si="9"/>
        <v>0</v>
      </c>
      <c r="D131" s="98">
        <f t="shared" si="10"/>
        <v>0</v>
      </c>
      <c r="E131" s="567"/>
      <c r="F131" s="138"/>
      <c r="G131" s="137"/>
      <c r="H131" s="565"/>
      <c r="I131" s="425"/>
      <c r="J131" s="65"/>
    </row>
    <row r="132" spans="1:10" ht="20.100000000000001" customHeight="1" x14ac:dyDescent="0.2">
      <c r="A132" s="564">
        <f t="shared" si="8"/>
        <v>25</v>
      </c>
      <c r="B132" s="100"/>
      <c r="C132" s="63">
        <f t="shared" si="9"/>
        <v>0</v>
      </c>
      <c r="D132" s="98">
        <f t="shared" si="10"/>
        <v>0</v>
      </c>
      <c r="E132" s="567"/>
      <c r="F132" s="138"/>
      <c r="G132" s="137"/>
      <c r="H132" s="565"/>
      <c r="I132" s="425"/>
      <c r="J132" s="65"/>
    </row>
    <row r="133" spans="1:10" ht="20.100000000000001" customHeight="1" x14ac:dyDescent="0.2">
      <c r="A133" s="564">
        <f t="shared" si="8"/>
        <v>25</v>
      </c>
      <c r="B133" s="100"/>
      <c r="C133" s="63">
        <f t="shared" si="9"/>
        <v>0</v>
      </c>
      <c r="D133" s="98">
        <f t="shared" si="10"/>
        <v>0</v>
      </c>
      <c r="E133" s="567"/>
      <c r="F133" s="138"/>
      <c r="G133" s="137"/>
      <c r="H133" s="565"/>
      <c r="I133" s="425"/>
      <c r="J133" s="65"/>
    </row>
    <row r="134" spans="1:10" ht="20.100000000000001" customHeight="1" x14ac:dyDescent="0.2">
      <c r="A134" s="564">
        <f t="shared" si="8"/>
        <v>25</v>
      </c>
      <c r="B134" s="100"/>
      <c r="C134" s="63">
        <f t="shared" si="9"/>
        <v>0</v>
      </c>
      <c r="D134" s="98">
        <f t="shared" si="10"/>
        <v>0</v>
      </c>
      <c r="E134" s="567"/>
      <c r="F134" s="138"/>
      <c r="G134" s="137"/>
      <c r="H134" s="565"/>
      <c r="I134" s="425"/>
      <c r="J134" s="65"/>
    </row>
    <row r="135" spans="1:10" ht="20.100000000000001" customHeight="1" x14ac:dyDescent="0.2">
      <c r="A135" s="564">
        <f t="shared" si="8"/>
        <v>25</v>
      </c>
      <c r="B135" s="100"/>
      <c r="C135" s="63">
        <f t="shared" si="9"/>
        <v>0</v>
      </c>
      <c r="D135" s="98">
        <f t="shared" si="10"/>
        <v>0</v>
      </c>
      <c r="E135" s="567"/>
      <c r="F135" s="138"/>
      <c r="G135" s="137"/>
      <c r="H135" s="565"/>
      <c r="I135" s="425"/>
      <c r="J135" s="65"/>
    </row>
    <row r="136" spans="1:10" ht="20.100000000000001" customHeight="1" x14ac:dyDescent="0.2">
      <c r="A136" s="564">
        <f t="shared" si="8"/>
        <v>25</v>
      </c>
      <c r="B136" s="100"/>
      <c r="C136" s="63">
        <f t="shared" si="9"/>
        <v>0</v>
      </c>
      <c r="D136" s="98">
        <f t="shared" si="10"/>
        <v>0</v>
      </c>
      <c r="E136" s="567"/>
      <c r="F136" s="138"/>
      <c r="G136" s="137"/>
      <c r="H136" s="565"/>
      <c r="I136" s="425"/>
      <c r="J136" s="65"/>
    </row>
    <row r="137" spans="1:10" ht="20.100000000000001" customHeight="1" x14ac:dyDescent="0.2">
      <c r="A137" s="564">
        <f t="shared" si="8"/>
        <v>25</v>
      </c>
      <c r="B137" s="100"/>
      <c r="C137" s="63">
        <f t="shared" si="9"/>
        <v>0</v>
      </c>
      <c r="D137" s="98">
        <f t="shared" si="10"/>
        <v>0</v>
      </c>
      <c r="E137" s="567"/>
      <c r="F137" s="138"/>
      <c r="G137" s="137"/>
      <c r="H137" s="565"/>
      <c r="I137" s="425"/>
      <c r="J137" s="65"/>
    </row>
    <row r="138" spans="1:10" ht="20.100000000000001" customHeight="1" x14ac:dyDescent="0.2">
      <c r="A138" s="564">
        <f t="shared" si="8"/>
        <v>25</v>
      </c>
      <c r="B138" s="100"/>
      <c r="C138" s="63">
        <f t="shared" si="9"/>
        <v>0</v>
      </c>
      <c r="D138" s="98">
        <f t="shared" si="10"/>
        <v>0</v>
      </c>
      <c r="E138" s="567"/>
      <c r="F138" s="138"/>
      <c r="G138" s="137"/>
      <c r="H138" s="565"/>
      <c r="I138" s="425"/>
      <c r="J138" s="65"/>
    </row>
    <row r="139" spans="1:10" ht="20.100000000000001" customHeight="1" x14ac:dyDescent="0.2">
      <c r="A139" s="564">
        <f t="shared" si="8"/>
        <v>25</v>
      </c>
      <c r="B139" s="100"/>
      <c r="C139" s="63">
        <f t="shared" si="9"/>
        <v>0</v>
      </c>
      <c r="D139" s="98">
        <f t="shared" si="10"/>
        <v>0</v>
      </c>
      <c r="E139" s="567"/>
      <c r="F139" s="138"/>
      <c r="G139" s="137"/>
      <c r="H139" s="565"/>
      <c r="I139" s="425"/>
      <c r="J139" s="65"/>
    </row>
    <row r="140" spans="1:10" ht="20.100000000000001" customHeight="1" x14ac:dyDescent="0.2">
      <c r="A140" s="564">
        <f t="shared" si="8"/>
        <v>25</v>
      </c>
      <c r="B140" s="100"/>
      <c r="C140" s="63">
        <f t="shared" si="9"/>
        <v>0</v>
      </c>
      <c r="D140" s="98">
        <f t="shared" si="10"/>
        <v>0</v>
      </c>
      <c r="E140" s="567"/>
      <c r="F140" s="138"/>
      <c r="G140" s="137"/>
      <c r="H140" s="565"/>
      <c r="I140" s="425"/>
      <c r="J140" s="65"/>
    </row>
    <row r="141" spans="1:10" ht="20.100000000000001" customHeight="1" x14ac:dyDescent="0.2">
      <c r="A141" s="564">
        <f t="shared" si="8"/>
        <v>25</v>
      </c>
      <c r="B141" s="100"/>
      <c r="C141" s="63">
        <f t="shared" si="9"/>
        <v>0</v>
      </c>
      <c r="D141" s="98">
        <f t="shared" si="10"/>
        <v>0</v>
      </c>
      <c r="E141" s="567"/>
      <c r="F141" s="138"/>
      <c r="G141" s="137"/>
      <c r="H141" s="565"/>
      <c r="I141" s="425"/>
      <c r="J141" s="65"/>
    </row>
    <row r="142" spans="1:10" ht="20.100000000000001" customHeight="1" x14ac:dyDescent="0.2">
      <c r="A142" s="564">
        <f t="shared" si="8"/>
        <v>25</v>
      </c>
      <c r="B142" s="100"/>
      <c r="C142" s="63">
        <f t="shared" si="9"/>
        <v>0</v>
      </c>
      <c r="D142" s="98">
        <f t="shared" si="10"/>
        <v>0</v>
      </c>
      <c r="E142" s="567"/>
      <c r="F142" s="138"/>
      <c r="G142" s="137"/>
      <c r="H142" s="565"/>
      <c r="I142" s="425"/>
      <c r="J142" s="65"/>
    </row>
    <row r="143" spans="1:10" ht="20.100000000000001" customHeight="1" x14ac:dyDescent="0.2">
      <c r="A143" s="564">
        <f t="shared" si="8"/>
        <v>25</v>
      </c>
      <c r="B143" s="100"/>
      <c r="C143" s="63">
        <f t="shared" si="9"/>
        <v>0</v>
      </c>
      <c r="D143" s="98">
        <f t="shared" si="10"/>
        <v>0</v>
      </c>
      <c r="E143" s="567"/>
      <c r="F143" s="138"/>
      <c r="G143" s="137"/>
      <c r="H143" s="565"/>
      <c r="I143" s="425"/>
      <c r="J143" s="65"/>
    </row>
    <row r="144" spans="1:10" ht="20.100000000000001" customHeight="1" x14ac:dyDescent="0.2">
      <c r="A144" s="564">
        <f t="shared" si="8"/>
        <v>25</v>
      </c>
      <c r="B144" s="100"/>
      <c r="C144" s="63">
        <f t="shared" si="9"/>
        <v>0</v>
      </c>
      <c r="D144" s="98">
        <f t="shared" si="10"/>
        <v>0</v>
      </c>
      <c r="E144" s="567"/>
      <c r="F144" s="138"/>
      <c r="G144" s="137"/>
      <c r="H144" s="565"/>
      <c r="I144" s="425"/>
      <c r="J144" s="65"/>
    </row>
    <row r="145" spans="1:10" ht="20.100000000000001" customHeight="1" x14ac:dyDescent="0.2">
      <c r="A145" s="564">
        <f t="shared" si="8"/>
        <v>25</v>
      </c>
      <c r="B145" s="100"/>
      <c r="C145" s="63">
        <f t="shared" si="9"/>
        <v>0</v>
      </c>
      <c r="D145" s="98">
        <f t="shared" si="10"/>
        <v>0</v>
      </c>
      <c r="E145" s="567"/>
      <c r="F145" s="138"/>
      <c r="G145" s="137"/>
      <c r="H145" s="565"/>
      <c r="I145" s="425"/>
      <c r="J145" s="65"/>
    </row>
    <row r="146" spans="1:10" ht="20.100000000000001" customHeight="1" x14ac:dyDescent="0.2">
      <c r="A146" s="564">
        <f t="shared" si="8"/>
        <v>25</v>
      </c>
      <c r="B146" s="100"/>
      <c r="C146" s="63">
        <f t="shared" si="9"/>
        <v>0</v>
      </c>
      <c r="D146" s="98">
        <f t="shared" si="10"/>
        <v>0</v>
      </c>
      <c r="E146" s="567"/>
      <c r="F146" s="138"/>
      <c r="G146" s="137"/>
      <c r="H146" s="565"/>
      <c r="I146" s="425"/>
      <c r="J146" s="65"/>
    </row>
    <row r="147" spans="1:10" ht="20.100000000000001" customHeight="1" x14ac:dyDescent="0.2">
      <c r="A147" s="564">
        <f t="shared" si="8"/>
        <v>25</v>
      </c>
      <c r="B147" s="100"/>
      <c r="C147" s="63">
        <f t="shared" si="9"/>
        <v>0</v>
      </c>
      <c r="D147" s="98">
        <f t="shared" si="10"/>
        <v>0</v>
      </c>
      <c r="E147" s="567"/>
      <c r="F147" s="138"/>
      <c r="G147" s="137"/>
      <c r="H147" s="565"/>
      <c r="I147" s="425"/>
      <c r="J147" s="65"/>
    </row>
    <row r="148" spans="1:10" ht="20.100000000000001" customHeight="1" x14ac:dyDescent="0.2">
      <c r="A148" s="564">
        <f t="shared" si="8"/>
        <v>25</v>
      </c>
      <c r="B148" s="100"/>
      <c r="C148" s="63">
        <f t="shared" si="9"/>
        <v>0</v>
      </c>
      <c r="D148" s="98">
        <f t="shared" si="10"/>
        <v>0</v>
      </c>
      <c r="E148" s="567"/>
      <c r="F148" s="138"/>
      <c r="G148" s="137"/>
      <c r="H148" s="565"/>
      <c r="I148" s="425"/>
      <c r="J148" s="65"/>
    </row>
    <row r="149" spans="1:10" ht="20.100000000000001" customHeight="1" x14ac:dyDescent="0.2">
      <c r="A149" s="564">
        <f t="shared" si="8"/>
        <v>25</v>
      </c>
      <c r="B149" s="100"/>
      <c r="C149" s="63">
        <f t="shared" si="9"/>
        <v>0</v>
      </c>
      <c r="D149" s="98">
        <f t="shared" si="10"/>
        <v>0</v>
      </c>
      <c r="E149" s="567"/>
      <c r="F149" s="138"/>
      <c r="G149" s="137"/>
      <c r="H149" s="565"/>
      <c r="I149" s="425"/>
      <c r="J149" s="65"/>
    </row>
    <row r="150" spans="1:10" ht="20.100000000000001" customHeight="1" x14ac:dyDescent="0.2">
      <c r="A150" s="564">
        <f t="shared" si="8"/>
        <v>25</v>
      </c>
      <c r="B150" s="100"/>
      <c r="C150" s="63">
        <f t="shared" si="9"/>
        <v>0</v>
      </c>
      <c r="D150" s="98">
        <f t="shared" si="10"/>
        <v>0</v>
      </c>
      <c r="E150" s="567"/>
      <c r="F150" s="138"/>
      <c r="G150" s="137"/>
      <c r="H150" s="565"/>
      <c r="I150" s="425"/>
      <c r="J150" s="65"/>
    </row>
    <row r="151" spans="1:10" ht="20.100000000000001" customHeight="1" x14ac:dyDescent="0.2">
      <c r="A151" s="564">
        <f t="shared" si="8"/>
        <v>25</v>
      </c>
      <c r="B151" s="100"/>
      <c r="C151" s="63">
        <f t="shared" si="9"/>
        <v>0</v>
      </c>
      <c r="D151" s="98">
        <f t="shared" si="10"/>
        <v>0</v>
      </c>
      <c r="E151" s="567"/>
      <c r="F151" s="138"/>
      <c r="G151" s="137"/>
      <c r="H151" s="565"/>
      <c r="I151" s="425"/>
      <c r="J151" s="65"/>
    </row>
    <row r="152" spans="1:10" ht="20.100000000000001" customHeight="1" x14ac:dyDescent="0.2">
      <c r="A152" s="564">
        <f t="shared" si="8"/>
        <v>25</v>
      </c>
      <c r="B152" s="100"/>
      <c r="C152" s="63">
        <f t="shared" si="9"/>
        <v>0</v>
      </c>
      <c r="D152" s="98">
        <f t="shared" si="10"/>
        <v>0</v>
      </c>
      <c r="E152" s="567"/>
      <c r="F152" s="138"/>
      <c r="G152" s="137"/>
      <c r="H152" s="565"/>
      <c r="I152" s="425"/>
      <c r="J152" s="65"/>
    </row>
    <row r="153" spans="1:10" ht="20.100000000000001" customHeight="1" x14ac:dyDescent="0.2">
      <c r="A153" s="564">
        <f t="shared" si="8"/>
        <v>25</v>
      </c>
      <c r="B153" s="100"/>
      <c r="C153" s="63">
        <f t="shared" si="9"/>
        <v>0</v>
      </c>
      <c r="D153" s="98">
        <f t="shared" si="10"/>
        <v>0</v>
      </c>
      <c r="E153" s="567"/>
      <c r="F153" s="138"/>
      <c r="G153" s="137"/>
      <c r="H153" s="565"/>
      <c r="I153" s="425"/>
      <c r="J153" s="65"/>
    </row>
    <row r="154" spans="1:10" ht="20.100000000000001" customHeight="1" x14ac:dyDescent="0.2">
      <c r="A154" s="564">
        <f t="shared" si="8"/>
        <v>25</v>
      </c>
      <c r="B154" s="100"/>
      <c r="C154" s="63">
        <f t="shared" si="9"/>
        <v>0</v>
      </c>
      <c r="D154" s="98">
        <f t="shared" si="10"/>
        <v>0</v>
      </c>
      <c r="E154" s="567"/>
      <c r="F154" s="138"/>
      <c r="G154" s="137"/>
      <c r="H154" s="565"/>
      <c r="I154" s="425"/>
      <c r="J154" s="65"/>
    </row>
    <row r="155" spans="1:10" ht="20.100000000000001" customHeight="1" x14ac:dyDescent="0.2">
      <c r="A155" s="564">
        <f t="shared" si="8"/>
        <v>25</v>
      </c>
      <c r="B155" s="100"/>
      <c r="C155" s="63">
        <f t="shared" si="9"/>
        <v>0</v>
      </c>
      <c r="D155" s="98">
        <f t="shared" si="10"/>
        <v>0</v>
      </c>
      <c r="E155" s="567"/>
      <c r="F155" s="138"/>
      <c r="G155" s="137"/>
      <c r="H155" s="565"/>
      <c r="I155" s="425"/>
      <c r="J155" s="65"/>
    </row>
    <row r="156" spans="1:10" ht="20.100000000000001" customHeight="1" x14ac:dyDescent="0.2">
      <c r="A156" s="564">
        <f t="shared" si="8"/>
        <v>25</v>
      </c>
      <c r="B156" s="100"/>
      <c r="C156" s="63">
        <f t="shared" si="9"/>
        <v>0</v>
      </c>
      <c r="D156" s="98">
        <f t="shared" si="10"/>
        <v>0</v>
      </c>
      <c r="E156" s="567"/>
      <c r="F156" s="138"/>
      <c r="G156" s="137"/>
      <c r="H156" s="565"/>
      <c r="I156" s="425"/>
      <c r="J156" s="65"/>
    </row>
    <row r="157" spans="1:10" ht="20.100000000000001" customHeight="1" x14ac:dyDescent="0.2">
      <c r="A157" s="564">
        <f t="shared" si="8"/>
        <v>25</v>
      </c>
      <c r="B157" s="100"/>
      <c r="C157" s="63">
        <f t="shared" si="9"/>
        <v>0</v>
      </c>
      <c r="D157" s="98">
        <f t="shared" si="10"/>
        <v>0</v>
      </c>
      <c r="E157" s="567"/>
      <c r="F157" s="138"/>
      <c r="G157" s="137"/>
      <c r="H157" s="565"/>
      <c r="I157" s="425"/>
      <c r="J157" s="65"/>
    </row>
    <row r="158" spans="1:10" ht="20.100000000000001" customHeight="1" x14ac:dyDescent="0.2">
      <c r="A158" s="564">
        <f t="shared" si="8"/>
        <v>25</v>
      </c>
      <c r="B158" s="100"/>
      <c r="C158" s="63">
        <f t="shared" si="9"/>
        <v>0</v>
      </c>
      <c r="D158" s="98">
        <f t="shared" si="10"/>
        <v>0</v>
      </c>
      <c r="E158" s="567"/>
      <c r="F158" s="138"/>
      <c r="G158" s="137"/>
      <c r="H158" s="565"/>
      <c r="I158" s="425"/>
      <c r="J158" s="65"/>
    </row>
    <row r="159" spans="1:10" ht="20.100000000000001" customHeight="1" x14ac:dyDescent="0.2">
      <c r="A159" s="564">
        <f t="shared" si="8"/>
        <v>25</v>
      </c>
      <c r="B159" s="100"/>
      <c r="C159" s="63">
        <f t="shared" si="9"/>
        <v>0</v>
      </c>
      <c r="D159" s="98">
        <f t="shared" si="10"/>
        <v>0</v>
      </c>
      <c r="E159" s="567"/>
      <c r="F159" s="138"/>
      <c r="G159" s="137"/>
      <c r="H159" s="565"/>
      <c r="I159" s="425"/>
      <c r="J159" s="65"/>
    </row>
    <row r="160" spans="1:10" ht="20.100000000000001" customHeight="1" x14ac:dyDescent="0.2">
      <c r="A160" s="564">
        <f t="shared" si="8"/>
        <v>25</v>
      </c>
      <c r="B160" s="100"/>
      <c r="C160" s="63">
        <f t="shared" si="9"/>
        <v>0</v>
      </c>
      <c r="D160" s="98">
        <f t="shared" si="10"/>
        <v>0</v>
      </c>
      <c r="E160" s="567"/>
      <c r="F160" s="138"/>
      <c r="G160" s="137"/>
      <c r="H160" s="565"/>
      <c r="I160" s="425"/>
      <c r="J160" s="65"/>
    </row>
    <row r="161" spans="1:10" ht="20.100000000000001" customHeight="1" x14ac:dyDescent="0.2">
      <c r="A161" s="564">
        <f t="shared" si="8"/>
        <v>25</v>
      </c>
      <c r="B161" s="100"/>
      <c r="C161" s="63">
        <f t="shared" ref="C161:C183" si="11">IFERROR(VLOOKUP(J161,T_Código_Items,2,FALSE),G161)</f>
        <v>0</v>
      </c>
      <c r="D161" s="98">
        <f t="shared" ref="D161:D183" si="12">IFERROR(VLOOKUP(J161,T_Código_Items,3,FALSE),H161)</f>
        <v>0</v>
      </c>
      <c r="E161" s="567"/>
      <c r="F161" s="138"/>
      <c r="G161" s="137"/>
      <c r="H161" s="565"/>
      <c r="I161" s="425"/>
      <c r="J161" s="65"/>
    </row>
    <row r="162" spans="1:10" ht="20.100000000000001" customHeight="1" x14ac:dyDescent="0.2">
      <c r="A162" s="564">
        <f t="shared" si="8"/>
        <v>25</v>
      </c>
      <c r="B162" s="100"/>
      <c r="C162" s="63">
        <f t="shared" si="11"/>
        <v>0</v>
      </c>
      <c r="D162" s="98">
        <f t="shared" si="12"/>
        <v>0</v>
      </c>
      <c r="E162" s="567"/>
      <c r="F162" s="138"/>
      <c r="G162" s="137"/>
      <c r="H162" s="565"/>
      <c r="I162" s="425"/>
      <c r="J162" s="65"/>
    </row>
    <row r="163" spans="1:10" ht="20.100000000000001" customHeight="1" x14ac:dyDescent="0.2">
      <c r="A163" s="564">
        <f t="shared" ref="A163:A183" si="13">IF(D163=0,A162,A162+1)</f>
        <v>25</v>
      </c>
      <c r="B163" s="100"/>
      <c r="C163" s="63">
        <f t="shared" si="11"/>
        <v>0</v>
      </c>
      <c r="D163" s="98">
        <f t="shared" si="12"/>
        <v>0</v>
      </c>
      <c r="E163" s="567"/>
      <c r="F163" s="138"/>
      <c r="G163" s="137"/>
      <c r="H163" s="565"/>
      <c r="I163" s="425"/>
      <c r="J163" s="65"/>
    </row>
    <row r="164" spans="1:10" ht="20.100000000000001" customHeight="1" x14ac:dyDescent="0.2">
      <c r="A164" s="564">
        <f t="shared" si="13"/>
        <v>25</v>
      </c>
      <c r="B164" s="100"/>
      <c r="C164" s="63">
        <f t="shared" si="11"/>
        <v>0</v>
      </c>
      <c r="D164" s="98">
        <f t="shared" si="12"/>
        <v>0</v>
      </c>
      <c r="E164" s="567"/>
      <c r="F164" s="138"/>
      <c r="G164" s="137"/>
      <c r="H164" s="565"/>
      <c r="I164" s="425"/>
      <c r="J164" s="65"/>
    </row>
    <row r="165" spans="1:10" ht="20.100000000000001" customHeight="1" x14ac:dyDescent="0.2">
      <c r="A165" s="564">
        <f t="shared" si="13"/>
        <v>25</v>
      </c>
      <c r="B165" s="100"/>
      <c r="C165" s="63">
        <f t="shared" si="11"/>
        <v>0</v>
      </c>
      <c r="D165" s="98">
        <f t="shared" si="12"/>
        <v>0</v>
      </c>
      <c r="E165" s="567"/>
      <c r="F165" s="138"/>
      <c r="G165" s="137"/>
      <c r="H165" s="565"/>
      <c r="I165" s="425"/>
      <c r="J165" s="65"/>
    </row>
    <row r="166" spans="1:10" ht="20.100000000000001" customHeight="1" x14ac:dyDescent="0.2">
      <c r="A166" s="564">
        <f t="shared" si="13"/>
        <v>25</v>
      </c>
      <c r="B166" s="100"/>
      <c r="C166" s="63">
        <f t="shared" si="11"/>
        <v>0</v>
      </c>
      <c r="D166" s="98">
        <f t="shared" si="12"/>
        <v>0</v>
      </c>
      <c r="E166" s="567"/>
      <c r="F166" s="138"/>
      <c r="G166" s="137"/>
      <c r="H166" s="565"/>
      <c r="I166" s="425"/>
      <c r="J166" s="65"/>
    </row>
    <row r="167" spans="1:10" ht="20.100000000000001" customHeight="1" x14ac:dyDescent="0.2">
      <c r="A167" s="564">
        <f t="shared" si="13"/>
        <v>25</v>
      </c>
      <c r="B167" s="100"/>
      <c r="C167" s="63">
        <f t="shared" si="11"/>
        <v>0</v>
      </c>
      <c r="D167" s="98">
        <f t="shared" si="12"/>
        <v>0</v>
      </c>
      <c r="E167" s="567"/>
      <c r="F167" s="138"/>
      <c r="G167" s="137"/>
      <c r="H167" s="565"/>
      <c r="I167" s="425"/>
      <c r="J167" s="65"/>
    </row>
    <row r="168" spans="1:10" ht="20.100000000000001" customHeight="1" x14ac:dyDescent="0.2">
      <c r="A168" s="564">
        <f t="shared" si="13"/>
        <v>25</v>
      </c>
      <c r="B168" s="100"/>
      <c r="C168" s="63">
        <f t="shared" si="11"/>
        <v>0</v>
      </c>
      <c r="D168" s="98">
        <f t="shared" si="12"/>
        <v>0</v>
      </c>
      <c r="E168" s="567"/>
      <c r="F168" s="138"/>
      <c r="G168" s="137"/>
      <c r="H168" s="565"/>
      <c r="I168" s="425"/>
      <c r="J168" s="65"/>
    </row>
    <row r="169" spans="1:10" ht="20.100000000000001" customHeight="1" x14ac:dyDescent="0.2">
      <c r="A169" s="564">
        <f t="shared" si="13"/>
        <v>25</v>
      </c>
      <c r="B169" s="100"/>
      <c r="C169" s="63">
        <f t="shared" si="11"/>
        <v>0</v>
      </c>
      <c r="D169" s="98">
        <f t="shared" si="12"/>
        <v>0</v>
      </c>
      <c r="E169" s="567"/>
      <c r="F169" s="138"/>
      <c r="G169" s="137"/>
      <c r="H169" s="565"/>
      <c r="I169" s="425"/>
      <c r="J169" s="65"/>
    </row>
    <row r="170" spans="1:10" ht="20.100000000000001" customHeight="1" x14ac:dyDescent="0.2">
      <c r="A170" s="564">
        <f t="shared" si="13"/>
        <v>25</v>
      </c>
      <c r="B170" s="100"/>
      <c r="C170" s="63">
        <f t="shared" si="11"/>
        <v>0</v>
      </c>
      <c r="D170" s="98">
        <f t="shared" si="12"/>
        <v>0</v>
      </c>
      <c r="E170" s="567"/>
      <c r="F170" s="138"/>
      <c r="G170" s="137"/>
      <c r="H170" s="565"/>
      <c r="I170" s="425"/>
      <c r="J170" s="65"/>
    </row>
    <row r="171" spans="1:10" ht="20.100000000000001" customHeight="1" x14ac:dyDescent="0.2">
      <c r="A171" s="564">
        <f t="shared" si="13"/>
        <v>25</v>
      </c>
      <c r="B171" s="100"/>
      <c r="C171" s="63">
        <f t="shared" si="11"/>
        <v>0</v>
      </c>
      <c r="D171" s="98">
        <f t="shared" si="12"/>
        <v>0</v>
      </c>
      <c r="E171" s="567"/>
      <c r="F171" s="138"/>
      <c r="G171" s="137"/>
      <c r="H171" s="565"/>
      <c r="I171" s="425"/>
      <c r="J171" s="65"/>
    </row>
    <row r="172" spans="1:10" ht="20.100000000000001" customHeight="1" x14ac:dyDescent="0.2">
      <c r="A172" s="564">
        <f t="shared" si="13"/>
        <v>25</v>
      </c>
      <c r="B172" s="100"/>
      <c r="C172" s="63">
        <f t="shared" si="11"/>
        <v>0</v>
      </c>
      <c r="D172" s="98">
        <f t="shared" si="12"/>
        <v>0</v>
      </c>
      <c r="E172" s="567"/>
      <c r="F172" s="138"/>
      <c r="G172" s="137"/>
      <c r="H172" s="565"/>
      <c r="I172" s="425"/>
      <c r="J172" s="65"/>
    </row>
    <row r="173" spans="1:10" ht="20.100000000000001" customHeight="1" x14ac:dyDescent="0.2">
      <c r="A173" s="564">
        <f t="shared" si="13"/>
        <v>25</v>
      </c>
      <c r="B173" s="100"/>
      <c r="C173" s="63">
        <f t="shared" si="11"/>
        <v>0</v>
      </c>
      <c r="D173" s="98">
        <f t="shared" si="12"/>
        <v>0</v>
      </c>
      <c r="E173" s="567"/>
      <c r="F173" s="138"/>
      <c r="G173" s="137"/>
      <c r="H173" s="565"/>
      <c r="I173" s="425"/>
      <c r="J173" s="65"/>
    </row>
    <row r="174" spans="1:10" ht="20.100000000000001" customHeight="1" x14ac:dyDescent="0.2">
      <c r="A174" s="564">
        <f t="shared" si="13"/>
        <v>25</v>
      </c>
      <c r="B174" s="100"/>
      <c r="C174" s="63">
        <f t="shared" si="11"/>
        <v>0</v>
      </c>
      <c r="D174" s="98">
        <f t="shared" si="12"/>
        <v>0</v>
      </c>
      <c r="E174" s="567"/>
      <c r="F174" s="138"/>
      <c r="G174" s="137"/>
      <c r="H174" s="565"/>
      <c r="I174" s="425"/>
      <c r="J174" s="65"/>
    </row>
    <row r="175" spans="1:10" ht="20.100000000000001" customHeight="1" x14ac:dyDescent="0.2">
      <c r="A175" s="564">
        <f t="shared" si="13"/>
        <v>25</v>
      </c>
      <c r="B175" s="100"/>
      <c r="C175" s="63">
        <f t="shared" si="11"/>
        <v>0</v>
      </c>
      <c r="D175" s="98">
        <f t="shared" si="12"/>
        <v>0</v>
      </c>
      <c r="E175" s="567"/>
      <c r="F175" s="138"/>
      <c r="G175" s="137"/>
      <c r="H175" s="565"/>
      <c r="I175" s="425"/>
      <c r="J175" s="65"/>
    </row>
    <row r="176" spans="1:10" ht="20.100000000000001" customHeight="1" x14ac:dyDescent="0.2">
      <c r="A176" s="564">
        <f t="shared" si="13"/>
        <v>25</v>
      </c>
      <c r="B176" s="100"/>
      <c r="C176" s="63">
        <f t="shared" si="11"/>
        <v>0</v>
      </c>
      <c r="D176" s="98">
        <f t="shared" si="12"/>
        <v>0</v>
      </c>
      <c r="E176" s="567"/>
      <c r="F176" s="138"/>
      <c r="G176" s="137"/>
      <c r="H176" s="565"/>
      <c r="I176" s="425"/>
      <c r="J176" s="65"/>
    </row>
    <row r="177" spans="1:10" ht="20.100000000000001" customHeight="1" x14ac:dyDescent="0.2">
      <c r="A177" s="564">
        <f t="shared" si="13"/>
        <v>25</v>
      </c>
      <c r="B177" s="100"/>
      <c r="C177" s="63">
        <f t="shared" si="11"/>
        <v>0</v>
      </c>
      <c r="D177" s="98">
        <f t="shared" si="12"/>
        <v>0</v>
      </c>
      <c r="E177" s="567"/>
      <c r="F177" s="138"/>
      <c r="G177" s="137"/>
      <c r="H177" s="565"/>
      <c r="I177" s="425"/>
      <c r="J177" s="65"/>
    </row>
    <row r="178" spans="1:10" ht="20.100000000000001" customHeight="1" x14ac:dyDescent="0.2">
      <c r="A178" s="564">
        <f t="shared" si="13"/>
        <v>25</v>
      </c>
      <c r="B178" s="100"/>
      <c r="C178" s="63">
        <f t="shared" si="11"/>
        <v>0</v>
      </c>
      <c r="D178" s="98">
        <f t="shared" si="12"/>
        <v>0</v>
      </c>
      <c r="E178" s="567"/>
      <c r="F178" s="138"/>
      <c r="G178" s="137"/>
      <c r="H178" s="565"/>
      <c r="I178" s="425"/>
      <c r="J178" s="65"/>
    </row>
    <row r="179" spans="1:10" ht="20.100000000000001" customHeight="1" x14ac:dyDescent="0.2">
      <c r="A179" s="564">
        <f t="shared" si="13"/>
        <v>25</v>
      </c>
      <c r="B179" s="100"/>
      <c r="C179" s="63">
        <f t="shared" si="11"/>
        <v>0</v>
      </c>
      <c r="D179" s="98">
        <f t="shared" si="12"/>
        <v>0</v>
      </c>
      <c r="E179" s="567"/>
      <c r="F179" s="138"/>
      <c r="G179" s="137"/>
      <c r="H179" s="565"/>
      <c r="I179" s="425"/>
      <c r="J179" s="65"/>
    </row>
    <row r="180" spans="1:10" ht="20.100000000000001" customHeight="1" x14ac:dyDescent="0.2">
      <c r="A180" s="564">
        <f t="shared" si="13"/>
        <v>25</v>
      </c>
      <c r="B180" s="100"/>
      <c r="C180" s="63">
        <f t="shared" si="11"/>
        <v>0</v>
      </c>
      <c r="D180" s="98">
        <f t="shared" si="12"/>
        <v>0</v>
      </c>
      <c r="E180" s="567"/>
      <c r="F180" s="138"/>
      <c r="G180" s="137"/>
      <c r="H180" s="565"/>
      <c r="I180" s="425"/>
      <c r="J180" s="65"/>
    </row>
    <row r="181" spans="1:10" ht="20.100000000000001" customHeight="1" x14ac:dyDescent="0.2">
      <c r="A181" s="564">
        <f t="shared" si="13"/>
        <v>25</v>
      </c>
      <c r="B181" s="100"/>
      <c r="C181" s="63">
        <f t="shared" si="11"/>
        <v>0</v>
      </c>
      <c r="D181" s="98">
        <f t="shared" si="12"/>
        <v>0</v>
      </c>
      <c r="E181" s="567"/>
      <c r="F181" s="138"/>
      <c r="G181" s="137"/>
      <c r="H181" s="565"/>
      <c r="I181" s="425"/>
      <c r="J181" s="65"/>
    </row>
    <row r="182" spans="1:10" ht="20.100000000000001" customHeight="1" x14ac:dyDescent="0.2">
      <c r="A182" s="564">
        <f t="shared" si="13"/>
        <v>25</v>
      </c>
      <c r="B182" s="100"/>
      <c r="C182" s="63">
        <f t="shared" si="11"/>
        <v>0</v>
      </c>
      <c r="D182" s="98">
        <f t="shared" si="12"/>
        <v>0</v>
      </c>
      <c r="E182" s="567"/>
      <c r="F182" s="138"/>
      <c r="G182" s="137"/>
      <c r="H182" s="565"/>
      <c r="I182" s="425"/>
      <c r="J182" s="65"/>
    </row>
    <row r="183" spans="1:10" ht="20.100000000000001" customHeight="1" x14ac:dyDescent="0.2">
      <c r="A183" s="564">
        <f t="shared" si="13"/>
        <v>25</v>
      </c>
      <c r="B183" s="100"/>
      <c r="C183" s="63">
        <f t="shared" si="11"/>
        <v>0</v>
      </c>
      <c r="D183" s="98">
        <f t="shared" si="12"/>
        <v>0</v>
      </c>
      <c r="E183" s="567"/>
      <c r="F183" s="138"/>
      <c r="G183" s="137"/>
      <c r="H183" s="565"/>
      <c r="I183" s="425"/>
      <c r="J183" s="65"/>
    </row>
    <row r="184" spans="1:10" ht="20.100000000000001" customHeight="1" x14ac:dyDescent="0.2">
      <c r="H184" s="94"/>
      <c r="I184" s="425"/>
      <c r="J184" s="65"/>
    </row>
    <row r="185" spans="1:10" ht="20.100000000000001" customHeight="1" x14ac:dyDescent="0.2">
      <c r="H185" s="94"/>
      <c r="I185" s="425"/>
      <c r="J185" s="65"/>
    </row>
    <row r="186" spans="1:10" ht="20.100000000000001" customHeight="1" x14ac:dyDescent="0.2">
      <c r="H186" s="94"/>
      <c r="I186" s="425"/>
      <c r="J186" s="65"/>
    </row>
    <row r="187" spans="1:10" ht="20.100000000000001" customHeight="1" x14ac:dyDescent="0.2">
      <c r="H187" s="94"/>
      <c r="I187" s="425"/>
      <c r="J187" s="65"/>
    </row>
    <row r="188" spans="1:10" ht="20.100000000000001" customHeight="1" x14ac:dyDescent="0.2">
      <c r="H188" s="94"/>
      <c r="I188" s="425"/>
      <c r="J188" s="65"/>
    </row>
    <row r="189" spans="1:10" ht="20.100000000000001" customHeight="1" x14ac:dyDescent="0.2">
      <c r="H189" s="94"/>
      <c r="I189" s="425"/>
      <c r="J189" s="65"/>
    </row>
    <row r="190" spans="1:10" ht="20.100000000000001" customHeight="1" x14ac:dyDescent="0.2">
      <c r="H190" s="94"/>
      <c r="I190" s="425"/>
      <c r="J190" s="65"/>
    </row>
    <row r="191" spans="1:10" ht="20.100000000000001" customHeight="1" x14ac:dyDescent="0.2">
      <c r="H191" s="94"/>
      <c r="I191" s="425"/>
      <c r="J191" s="65"/>
    </row>
    <row r="192" spans="1:10" ht="20.100000000000001" customHeight="1" x14ac:dyDescent="0.2">
      <c r="H192" s="94"/>
      <c r="I192" s="425"/>
      <c r="J192" s="65"/>
    </row>
    <row r="193" spans="8:10" ht="20.100000000000001" customHeight="1" x14ac:dyDescent="0.2">
      <c r="H193" s="94"/>
      <c r="I193" s="425"/>
      <c r="J193" s="65"/>
    </row>
    <row r="194" spans="8:10" ht="20.100000000000001" customHeight="1" x14ac:dyDescent="0.2">
      <c r="H194" s="94"/>
      <c r="I194" s="425"/>
      <c r="J194" s="65"/>
    </row>
    <row r="195" spans="8:10" ht="20.100000000000001" customHeight="1" x14ac:dyDescent="0.2">
      <c r="H195" s="94"/>
      <c r="I195" s="425"/>
      <c r="J195" s="65"/>
    </row>
    <row r="196" spans="8:10" ht="20.100000000000001" customHeight="1" x14ac:dyDescent="0.2">
      <c r="H196" s="94"/>
      <c r="I196" s="425"/>
      <c r="J196" s="65"/>
    </row>
    <row r="197" spans="8:10" ht="20.100000000000001" customHeight="1" x14ac:dyDescent="0.2">
      <c r="H197" s="94"/>
      <c r="I197" s="425"/>
      <c r="J197" s="65"/>
    </row>
    <row r="198" spans="8:10" ht="20.100000000000001" customHeight="1" x14ac:dyDescent="0.2">
      <c r="H198" s="94"/>
      <c r="I198" s="425"/>
      <c r="J198" s="65"/>
    </row>
    <row r="199" spans="8:10" ht="20.100000000000001" customHeight="1" x14ac:dyDescent="0.2">
      <c r="H199" s="94"/>
      <c r="I199" s="425"/>
      <c r="J199" s="65"/>
    </row>
    <row r="200" spans="8:10" ht="20.100000000000001" customHeight="1" x14ac:dyDescent="0.2">
      <c r="H200" s="94"/>
      <c r="I200" s="425"/>
      <c r="J200" s="65"/>
    </row>
    <row r="201" spans="8:10" ht="20.100000000000001" customHeight="1" x14ac:dyDescent="0.2">
      <c r="H201" s="94"/>
      <c r="I201" s="425"/>
      <c r="J201" s="65"/>
    </row>
    <row r="202" spans="8:10" ht="20.100000000000001" customHeight="1" x14ac:dyDescent="0.2">
      <c r="H202" s="94"/>
      <c r="I202" s="425"/>
      <c r="J202" s="65"/>
    </row>
    <row r="203" spans="8:10" ht="20.100000000000001" customHeight="1" x14ac:dyDescent="0.2">
      <c r="H203" s="94"/>
      <c r="I203" s="425"/>
      <c r="J203" s="65"/>
    </row>
    <row r="204" spans="8:10" ht="20.100000000000001" customHeight="1" x14ac:dyDescent="0.2">
      <c r="H204" s="94"/>
      <c r="I204" s="425"/>
      <c r="J204" s="65"/>
    </row>
    <row r="205" spans="8:10" ht="20.100000000000001" customHeight="1" x14ac:dyDescent="0.2">
      <c r="H205" s="94"/>
      <c r="I205" s="425"/>
      <c r="J205" s="65"/>
    </row>
    <row r="206" spans="8:10" ht="20.100000000000001" customHeight="1" x14ac:dyDescent="0.2">
      <c r="H206" s="94"/>
      <c r="I206" s="425"/>
      <c r="J206" s="65"/>
    </row>
    <row r="207" spans="8:10" ht="20.100000000000001" customHeight="1" x14ac:dyDescent="0.2">
      <c r="H207" s="94"/>
      <c r="I207" s="425"/>
      <c r="J207" s="65"/>
    </row>
    <row r="208" spans="8:10" ht="20.100000000000001" customHeight="1" x14ac:dyDescent="0.2">
      <c r="H208" s="94"/>
      <c r="I208" s="425"/>
      <c r="J208" s="65"/>
    </row>
    <row r="209" spans="4:10" ht="20.100000000000001" customHeight="1" x14ac:dyDescent="0.2">
      <c r="H209" s="94"/>
      <c r="I209" s="425"/>
      <c r="J209" s="65"/>
    </row>
    <row r="210" spans="4:10" ht="20.100000000000001" customHeight="1" x14ac:dyDescent="0.2">
      <c r="H210" s="94"/>
      <c r="I210" s="425"/>
      <c r="J210" s="65"/>
    </row>
    <row r="211" spans="4:10" ht="20.100000000000001" customHeight="1" x14ac:dyDescent="0.2">
      <c r="H211" s="94"/>
      <c r="I211" s="425"/>
      <c r="J211" s="65"/>
    </row>
    <row r="212" spans="4:10" ht="20.100000000000001" customHeight="1" x14ac:dyDescent="0.2">
      <c r="H212" s="94"/>
      <c r="I212" s="425"/>
      <c r="J212" s="65"/>
    </row>
    <row r="213" spans="4:10" ht="20.100000000000001" customHeight="1" x14ac:dyDescent="0.2">
      <c r="H213" s="94"/>
      <c r="I213" s="425"/>
      <c r="J213" s="65"/>
    </row>
    <row r="214" spans="4:10" ht="20.100000000000001" customHeight="1" x14ac:dyDescent="0.2">
      <c r="H214" s="94"/>
      <c r="I214" s="425"/>
      <c r="J214" s="65"/>
    </row>
    <row r="215" spans="4:10" ht="20.100000000000001" customHeight="1" x14ac:dyDescent="0.2">
      <c r="D215" s="65"/>
      <c r="E215" s="94"/>
      <c r="I215" s="94"/>
      <c r="J215" s="425"/>
    </row>
    <row r="216" spans="4:10" ht="20.100000000000001" customHeight="1" x14ac:dyDescent="0.2">
      <c r="D216" s="65"/>
      <c r="E216" s="94"/>
      <c r="I216" s="94"/>
      <c r="J216" s="425"/>
    </row>
    <row r="217" spans="4:10" ht="20.100000000000001" customHeight="1" x14ac:dyDescent="0.2">
      <c r="J217" s="425"/>
    </row>
    <row r="218" spans="4:10" ht="20.100000000000001" customHeight="1" x14ac:dyDescent="0.2">
      <c r="J218" s="425"/>
    </row>
    <row r="219" spans="4:10" ht="20.100000000000001" customHeight="1" x14ac:dyDescent="0.2">
      <c r="J219" s="425"/>
    </row>
    <row r="220" spans="4:10" ht="20.100000000000001" customHeight="1" x14ac:dyDescent="0.2">
      <c r="J220" s="425"/>
    </row>
    <row r="221" spans="4:10" ht="20.100000000000001" customHeight="1" x14ac:dyDescent="0.2">
      <c r="J221" s="425"/>
    </row>
    <row r="222" spans="4:10" ht="20.100000000000001" customHeight="1" x14ac:dyDescent="0.2">
      <c r="J222" s="425"/>
    </row>
    <row r="223" spans="4:10" ht="20.100000000000001" customHeight="1" x14ac:dyDescent="0.2">
      <c r="J223" s="425"/>
    </row>
    <row r="224" spans="4:10" ht="20.100000000000001" customHeight="1" x14ac:dyDescent="0.2">
      <c r="J224" s="425"/>
    </row>
    <row r="225" spans="10:10" ht="20.100000000000001" customHeight="1" x14ac:dyDescent="0.2">
      <c r="J225" s="425"/>
    </row>
    <row r="226" spans="10:10" ht="20.100000000000001" customHeight="1" x14ac:dyDescent="0.2">
      <c r="J226" s="425"/>
    </row>
    <row r="227" spans="10:10" ht="20.100000000000001" customHeight="1" x14ac:dyDescent="0.2">
      <c r="J227" s="425"/>
    </row>
    <row r="228" spans="10:10" ht="20.100000000000001" customHeight="1" x14ac:dyDescent="0.2">
      <c r="J228" s="425"/>
    </row>
    <row r="229" spans="10:10" ht="20.100000000000001" customHeight="1" x14ac:dyDescent="0.2">
      <c r="J229" s="425"/>
    </row>
    <row r="230" spans="10:10" ht="20.100000000000001" customHeight="1" x14ac:dyDescent="0.2">
      <c r="J230" s="425"/>
    </row>
    <row r="231" spans="10:10" ht="20.100000000000001" customHeight="1" x14ac:dyDescent="0.2">
      <c r="J231" s="425"/>
    </row>
    <row r="232" spans="10:10" ht="20.100000000000001" customHeight="1" x14ac:dyDescent="0.2">
      <c r="J232" s="425"/>
    </row>
    <row r="233" spans="10:10" ht="20.100000000000001" customHeight="1" x14ac:dyDescent="0.2">
      <c r="J233" s="425"/>
    </row>
    <row r="234" spans="10:10" ht="20.100000000000001" customHeight="1" x14ac:dyDescent="0.2">
      <c r="J234" s="425"/>
    </row>
    <row r="235" spans="10:10" ht="20.100000000000001" customHeight="1" x14ac:dyDescent="0.2">
      <c r="J235" s="425"/>
    </row>
    <row r="236" spans="10:10" ht="20.100000000000001" customHeight="1" x14ac:dyDescent="0.2">
      <c r="J236" s="425"/>
    </row>
    <row r="237" spans="10:10" ht="20.100000000000001" customHeight="1" x14ac:dyDescent="0.2">
      <c r="J237" s="425"/>
    </row>
    <row r="238" spans="10:10" ht="20.100000000000001" customHeight="1" x14ac:dyDescent="0.2">
      <c r="J238" s="425"/>
    </row>
    <row r="239" spans="10:10" ht="20.100000000000001" customHeight="1" x14ac:dyDescent="0.2">
      <c r="J239" s="425"/>
    </row>
    <row r="240" spans="10:10" ht="20.100000000000001" customHeight="1" x14ac:dyDescent="0.2">
      <c r="J240" s="425"/>
    </row>
    <row r="241" spans="10:10" ht="20.100000000000001" customHeight="1" x14ac:dyDescent="0.2">
      <c r="J241" s="425"/>
    </row>
    <row r="242" spans="10:10" ht="20.100000000000001" customHeight="1" x14ac:dyDescent="0.2">
      <c r="J242" s="425"/>
    </row>
    <row r="243" spans="10:10" ht="20.100000000000001" customHeight="1" x14ac:dyDescent="0.2">
      <c r="J243" s="425"/>
    </row>
    <row r="244" spans="10:10" ht="20.100000000000001" customHeight="1" x14ac:dyDescent="0.2">
      <c r="J244" s="425"/>
    </row>
    <row r="245" spans="10:10" ht="20.100000000000001" customHeight="1" x14ac:dyDescent="0.2">
      <c r="J245" s="425"/>
    </row>
    <row r="246" spans="10:10" ht="20.100000000000001" customHeight="1" x14ac:dyDescent="0.2">
      <c r="J246" s="425"/>
    </row>
    <row r="247" spans="10:10" ht="20.100000000000001" customHeight="1" x14ac:dyDescent="0.2">
      <c r="J247" s="425"/>
    </row>
    <row r="248" spans="10:10" ht="20.100000000000001" customHeight="1" x14ac:dyDescent="0.2">
      <c r="J248" s="425"/>
    </row>
    <row r="249" spans="10:10" ht="20.100000000000001" customHeight="1" x14ac:dyDescent="0.2">
      <c r="J249" s="425"/>
    </row>
    <row r="250" spans="10:10" ht="20.100000000000001" customHeight="1" x14ac:dyDescent="0.2">
      <c r="J250" s="425"/>
    </row>
    <row r="251" spans="10:10" ht="20.100000000000001" customHeight="1" x14ac:dyDescent="0.2">
      <c r="J251" s="425"/>
    </row>
    <row r="252" spans="10:10" ht="20.100000000000001" customHeight="1" x14ac:dyDescent="0.2">
      <c r="J252" s="425"/>
    </row>
    <row r="253" spans="10:10" ht="20.100000000000001" customHeight="1" x14ac:dyDescent="0.2">
      <c r="J253" s="425"/>
    </row>
    <row r="254" spans="10:10" ht="20.100000000000001" customHeight="1" x14ac:dyDescent="0.2">
      <c r="J254" s="425"/>
    </row>
    <row r="255" spans="10:10" ht="20.100000000000001" customHeight="1" x14ac:dyDescent="0.2">
      <c r="J255" s="425"/>
    </row>
    <row r="256" spans="10:10" ht="20.100000000000001" customHeight="1" x14ac:dyDescent="0.2">
      <c r="J256" s="425"/>
    </row>
    <row r="257" spans="3:10" ht="20.100000000000001" customHeight="1" x14ac:dyDescent="0.2">
      <c r="J257" s="425"/>
    </row>
    <row r="258" spans="3:10" ht="20.100000000000001" customHeight="1" x14ac:dyDescent="0.2">
      <c r="J258" s="425"/>
    </row>
    <row r="259" spans="3:10" ht="20.100000000000001" customHeight="1" x14ac:dyDescent="0.2">
      <c r="J259" s="425"/>
    </row>
    <row r="260" spans="3:10" ht="20.100000000000001" customHeight="1" x14ac:dyDescent="0.2">
      <c r="J260" s="425"/>
    </row>
    <row r="261" spans="3:10" ht="20.100000000000001" customHeight="1" x14ac:dyDescent="0.2">
      <c r="J261" s="425"/>
    </row>
    <row r="262" spans="3:10" ht="20.100000000000001" customHeight="1" x14ac:dyDescent="0.2">
      <c r="C262" s="65">
        <v>5</v>
      </c>
      <c r="J262" s="425"/>
    </row>
    <row r="263" spans="3:10" ht="20.100000000000001" customHeight="1" x14ac:dyDescent="0.2">
      <c r="J263" s="425"/>
    </row>
    <row r="264" spans="3:10" ht="20.100000000000001" customHeight="1" x14ac:dyDescent="0.2">
      <c r="J264" s="425"/>
    </row>
    <row r="265" spans="3:10" ht="20.100000000000001" customHeight="1" x14ac:dyDescent="0.2">
      <c r="J265" s="425"/>
    </row>
    <row r="266" spans="3:10" ht="20.100000000000001" customHeight="1" x14ac:dyDescent="0.2">
      <c r="J266" s="425"/>
    </row>
    <row r="267" spans="3:10" ht="20.100000000000001" customHeight="1" x14ac:dyDescent="0.2">
      <c r="J267" s="425"/>
    </row>
    <row r="268" spans="3:10" ht="20.100000000000001" customHeight="1" x14ac:dyDescent="0.2">
      <c r="J268" s="425"/>
    </row>
    <row r="269" spans="3:10" ht="20.100000000000001" customHeight="1" x14ac:dyDescent="0.2">
      <c r="J269" s="425"/>
    </row>
    <row r="270" spans="3:10" ht="20.100000000000001" customHeight="1" x14ac:dyDescent="0.2">
      <c r="J270" s="425"/>
    </row>
    <row r="271" spans="3:10" ht="20.100000000000001" customHeight="1" x14ac:dyDescent="0.2">
      <c r="J271" s="425"/>
    </row>
    <row r="272" spans="3:10" ht="20.100000000000001" customHeight="1" x14ac:dyDescent="0.2">
      <c r="J272" s="425"/>
    </row>
    <row r="273" spans="10:10" ht="20.100000000000001" customHeight="1" x14ac:dyDescent="0.2">
      <c r="J273" s="425"/>
    </row>
    <row r="274" spans="10:10" ht="20.100000000000001" customHeight="1" x14ac:dyDescent="0.2">
      <c r="J274" s="425"/>
    </row>
    <row r="275" spans="10:10" ht="20.100000000000001" customHeight="1" x14ac:dyDescent="0.2">
      <c r="J275" s="425"/>
    </row>
    <row r="276" spans="10:10" ht="20.100000000000001" customHeight="1" x14ac:dyDescent="0.2">
      <c r="J276" s="425"/>
    </row>
    <row r="277" spans="10:10" ht="20.100000000000001" customHeight="1" x14ac:dyDescent="0.2">
      <c r="J277" s="425"/>
    </row>
    <row r="278" spans="10:10" ht="20.100000000000001" customHeight="1" x14ac:dyDescent="0.2">
      <c r="J278" s="425"/>
    </row>
    <row r="279" spans="10:10" ht="20.100000000000001" customHeight="1" x14ac:dyDescent="0.2">
      <c r="J279" s="425"/>
    </row>
    <row r="280" spans="10:10" ht="20.100000000000001" customHeight="1" x14ac:dyDescent="0.2">
      <c r="J280" s="425"/>
    </row>
    <row r="281" spans="10:10" ht="20.100000000000001" customHeight="1" x14ac:dyDescent="0.2">
      <c r="J281" s="425"/>
    </row>
    <row r="282" spans="10:10" ht="20.100000000000001" customHeight="1" x14ac:dyDescent="0.2">
      <c r="J282" s="425"/>
    </row>
    <row r="283" spans="10:10" ht="20.100000000000001" customHeight="1" x14ac:dyDescent="0.2">
      <c r="J283" s="425"/>
    </row>
    <row r="284" spans="10:10" ht="20.100000000000001" customHeight="1" x14ac:dyDescent="0.2">
      <c r="J284" s="425"/>
    </row>
    <row r="285" spans="10:10" ht="20.100000000000001" customHeight="1" x14ac:dyDescent="0.2">
      <c r="J285" s="425"/>
    </row>
    <row r="286" spans="10:10" ht="20.100000000000001" customHeight="1" x14ac:dyDescent="0.2">
      <c r="J286" s="425"/>
    </row>
    <row r="287" spans="10:10" ht="20.100000000000001" customHeight="1" x14ac:dyDescent="0.2">
      <c r="J287" s="425"/>
    </row>
    <row r="288" spans="10:10" ht="20.100000000000001" customHeight="1" x14ac:dyDescent="0.2">
      <c r="J288" s="425"/>
    </row>
    <row r="289" spans="10:10" ht="20.100000000000001" customHeight="1" x14ac:dyDescent="0.2">
      <c r="J289" s="425"/>
    </row>
    <row r="290" spans="10:10" ht="20.100000000000001" customHeight="1" x14ac:dyDescent="0.2">
      <c r="J290" s="425"/>
    </row>
    <row r="291" spans="10:10" ht="20.100000000000001" customHeight="1" x14ac:dyDescent="0.2">
      <c r="J291" s="425"/>
    </row>
    <row r="292" spans="10:10" ht="20.100000000000001" customHeight="1" x14ac:dyDescent="0.2">
      <c r="J292" s="425"/>
    </row>
    <row r="293" spans="10:10" ht="20.100000000000001" customHeight="1" x14ac:dyDescent="0.2">
      <c r="J293" s="425"/>
    </row>
    <row r="294" spans="10:10" ht="20.100000000000001" customHeight="1" x14ac:dyDescent="0.2">
      <c r="J294" s="425"/>
    </row>
    <row r="295" spans="10:10" ht="20.100000000000001" customHeight="1" x14ac:dyDescent="0.2">
      <c r="J295" s="425"/>
    </row>
    <row r="296" spans="10:10" ht="20.100000000000001" customHeight="1" x14ac:dyDescent="0.2">
      <c r="J296" s="425"/>
    </row>
    <row r="297" spans="10:10" ht="20.100000000000001" customHeight="1" x14ac:dyDescent="0.2">
      <c r="J297" s="425"/>
    </row>
    <row r="298" spans="10:10" ht="20.100000000000001" customHeight="1" x14ac:dyDescent="0.2">
      <c r="J298" s="425"/>
    </row>
    <row r="299" spans="10:10" ht="20.100000000000001" customHeight="1" x14ac:dyDescent="0.2">
      <c r="J299" s="425"/>
    </row>
    <row r="300" spans="10:10" ht="20.100000000000001" customHeight="1" x14ac:dyDescent="0.2">
      <c r="J300" s="425"/>
    </row>
    <row r="301" spans="10:10" ht="20.100000000000001" customHeight="1" x14ac:dyDescent="0.2">
      <c r="J301" s="425"/>
    </row>
    <row r="302" spans="10:10" ht="20.100000000000001" customHeight="1" x14ac:dyDescent="0.2">
      <c r="J302" s="425"/>
    </row>
    <row r="303" spans="10:10" ht="20.100000000000001" customHeight="1" x14ac:dyDescent="0.2">
      <c r="J303" s="425"/>
    </row>
    <row r="304" spans="10:10" ht="20.100000000000001" customHeight="1" x14ac:dyDescent="0.2">
      <c r="J304" s="425"/>
    </row>
    <row r="305" spans="3:10" ht="20.100000000000001" customHeight="1" x14ac:dyDescent="0.2">
      <c r="J305" s="425"/>
    </row>
    <row r="306" spans="3:10" ht="20.100000000000001" customHeight="1" x14ac:dyDescent="0.2">
      <c r="J306" s="425"/>
    </row>
    <row r="307" spans="3:10" ht="20.100000000000001" customHeight="1" x14ac:dyDescent="0.2">
      <c r="J307" s="425"/>
    </row>
    <row r="308" spans="3:10" ht="20.100000000000001" customHeight="1" x14ac:dyDescent="0.2">
      <c r="J308" s="425"/>
    </row>
    <row r="309" spans="3:10" ht="20.100000000000001" customHeight="1" x14ac:dyDescent="0.2">
      <c r="J309" s="425"/>
    </row>
    <row r="310" spans="3:10" ht="20.100000000000001" customHeight="1" x14ac:dyDescent="0.2">
      <c r="J310" s="425"/>
    </row>
    <row r="311" spans="3:10" ht="20.100000000000001" customHeight="1" x14ac:dyDescent="0.2">
      <c r="J311" s="425"/>
    </row>
    <row r="312" spans="3:10" ht="20.100000000000001" customHeight="1" x14ac:dyDescent="0.2">
      <c r="C312" s="65">
        <v>5</v>
      </c>
    </row>
    <row r="362" spans="3:3" ht="20.100000000000001" customHeight="1" x14ac:dyDescent="0.2">
      <c r="C362" s="65">
        <v>5</v>
      </c>
    </row>
    <row r="412" spans="3:3" ht="20.100000000000001" customHeight="1" x14ac:dyDescent="0.2">
      <c r="C412" s="65">
        <v>5</v>
      </c>
    </row>
    <row r="462" spans="3:3" ht="20.100000000000001" customHeight="1" x14ac:dyDescent="0.2">
      <c r="C462" s="65">
        <v>5</v>
      </c>
    </row>
    <row r="512" spans="3:3" ht="20.100000000000001" customHeight="1" x14ac:dyDescent="0.2">
      <c r="C512" s="65">
        <v>5</v>
      </c>
    </row>
    <row r="562" spans="3:3" ht="20.100000000000001" customHeight="1" x14ac:dyDescent="0.2">
      <c r="C562" s="65">
        <v>5</v>
      </c>
    </row>
    <row r="612" spans="3:3" ht="20.100000000000001" customHeight="1" x14ac:dyDescent="0.2">
      <c r="C612" s="65">
        <v>5</v>
      </c>
    </row>
    <row r="662" spans="3:3" ht="20.100000000000001" customHeight="1" x14ac:dyDescent="0.2">
      <c r="C662" s="65">
        <v>5</v>
      </c>
    </row>
    <row r="712" spans="3:3" ht="20.100000000000001" customHeight="1" x14ac:dyDescent="0.2">
      <c r="C712" s="65">
        <v>5</v>
      </c>
    </row>
    <row r="762" spans="3:3" ht="20.100000000000001" customHeight="1" x14ac:dyDescent="0.2">
      <c r="C762" s="65">
        <v>5</v>
      </c>
    </row>
    <row r="812" spans="3:3" ht="20.100000000000001" customHeight="1" x14ac:dyDescent="0.2">
      <c r="C812" s="65">
        <v>5</v>
      </c>
    </row>
    <row r="813" spans="3:3" ht="20.100000000000001" customHeight="1" x14ac:dyDescent="0.2">
      <c r="C813" s="65" t="e">
        <f>Datos!#REF!</f>
        <v>#REF!</v>
      </c>
    </row>
    <row r="862" spans="3:3" ht="20.100000000000001" customHeight="1" x14ac:dyDescent="0.2">
      <c r="C862" s="65">
        <v>5</v>
      </c>
    </row>
    <row r="863" spans="3:3" ht="20.100000000000001" customHeight="1" x14ac:dyDescent="0.2">
      <c r="C863" s="65" t="e">
        <f>Datos!#REF!</f>
        <v>#REF!</v>
      </c>
    </row>
    <row r="912" spans="3:3" ht="20.100000000000001" customHeight="1" x14ac:dyDescent="0.2">
      <c r="C912" s="65">
        <v>5</v>
      </c>
    </row>
    <row r="913" spans="3:3" ht="20.100000000000001" customHeight="1" x14ac:dyDescent="0.2">
      <c r="C913" s="65" t="e">
        <f>Datos!#REF!</f>
        <v>#REF!</v>
      </c>
    </row>
    <row r="962" spans="3:3" ht="20.100000000000001" customHeight="1" x14ac:dyDescent="0.2">
      <c r="C962" s="65">
        <v>5</v>
      </c>
    </row>
    <row r="963" spans="3:3" ht="20.100000000000001" customHeight="1" x14ac:dyDescent="0.2">
      <c r="C963" s="65" t="e">
        <f>Datos!#REF!</f>
        <v>#REF!</v>
      </c>
    </row>
    <row r="1013" spans="3:3" ht="20.100000000000001" customHeight="1" x14ac:dyDescent="0.2">
      <c r="C1013" s="65" t="e">
        <f>Datos!#REF!</f>
        <v>#REF!</v>
      </c>
    </row>
    <row r="1062" spans="3:3" ht="20.100000000000001" customHeight="1" x14ac:dyDescent="0.2">
      <c r="C1062" s="65">
        <v>7</v>
      </c>
    </row>
    <row r="1063" spans="3:3" ht="20.100000000000001" customHeight="1" x14ac:dyDescent="0.2">
      <c r="C1063" s="65" t="e">
        <f>Datos!#REF!</f>
        <v>#REF!</v>
      </c>
    </row>
    <row r="1113" spans="3:3" ht="20.100000000000001" customHeight="1" x14ac:dyDescent="0.2">
      <c r="C1113" s="65" t="e">
        <f>Datos!#REF!</f>
        <v>#REF!</v>
      </c>
    </row>
    <row r="1162" spans="3:3" ht="20.100000000000001" customHeight="1" x14ac:dyDescent="0.2">
      <c r="C1162" s="65">
        <v>8</v>
      </c>
    </row>
    <row r="1163" spans="3:3" ht="20.100000000000001" customHeight="1" x14ac:dyDescent="0.2">
      <c r="C1163" s="65" t="e">
        <f>Datos!#REF!</f>
        <v>#REF!</v>
      </c>
    </row>
    <row r="1212" spans="3:3" ht="20.100000000000001" customHeight="1" x14ac:dyDescent="0.2">
      <c r="C1212" s="65">
        <v>8</v>
      </c>
    </row>
    <row r="1213" spans="3:3" ht="20.100000000000001" customHeight="1" x14ac:dyDescent="0.2">
      <c r="C1213" s="65" t="e">
        <f>Datos!#REF!</f>
        <v>#REF!</v>
      </c>
    </row>
    <row r="1262" spans="3:3" ht="20.100000000000001" customHeight="1" x14ac:dyDescent="0.2">
      <c r="C1262" s="65">
        <v>8</v>
      </c>
    </row>
    <row r="1263" spans="3:3" ht="20.100000000000001" customHeight="1" x14ac:dyDescent="0.2">
      <c r="C1263" s="65" t="e">
        <f>Datos!#REF!</f>
        <v>#REF!</v>
      </c>
    </row>
    <row r="1312" spans="3:3" ht="20.100000000000001" customHeight="1" x14ac:dyDescent="0.2">
      <c r="C1312" s="65">
        <v>8</v>
      </c>
    </row>
    <row r="1313" spans="3:3" ht="20.100000000000001" customHeight="1" x14ac:dyDescent="0.2">
      <c r="C1313" s="65" t="e">
        <f>Datos!#REF!</f>
        <v>#REF!</v>
      </c>
    </row>
    <row r="1362" spans="3:3" ht="20.100000000000001" customHeight="1" x14ac:dyDescent="0.2">
      <c r="C1362" s="65">
        <v>8</v>
      </c>
    </row>
    <row r="1363" spans="3:3" ht="20.100000000000001" customHeight="1" x14ac:dyDescent="0.2">
      <c r="C1363" s="65" t="e">
        <f>Datos!#REF!</f>
        <v>#REF!</v>
      </c>
    </row>
    <row r="1413" spans="3:3" ht="20.100000000000001" customHeight="1" x14ac:dyDescent="0.2">
      <c r="C1413" s="65" t="e">
        <f>Datos!#REF!</f>
        <v>#REF!</v>
      </c>
    </row>
    <row r="1463" spans="3:3" ht="20.100000000000001" customHeight="1" x14ac:dyDescent="0.2">
      <c r="C1463" s="65" t="e">
        <f>Datos!#REF!</f>
        <v>#REF!</v>
      </c>
    </row>
    <row r="1513" spans="3:3" ht="20.100000000000001" customHeight="1" x14ac:dyDescent="0.2">
      <c r="C1513" s="65" t="e">
        <f>Datos!#REF!</f>
        <v>#REF!</v>
      </c>
    </row>
    <row r="1562" spans="3:3" ht="20.100000000000001" customHeight="1" x14ac:dyDescent="0.2">
      <c r="C1562" s="65">
        <v>12</v>
      </c>
    </row>
    <row r="1563" spans="3:3" ht="20.100000000000001" customHeight="1" x14ac:dyDescent="0.2">
      <c r="C1563" s="65" t="e">
        <f>Datos!#REF!</f>
        <v>#REF!</v>
      </c>
    </row>
    <row r="1612" spans="3:3" ht="20.100000000000001" customHeight="1" x14ac:dyDescent="0.2">
      <c r="C1612" s="65">
        <v>12</v>
      </c>
    </row>
    <row r="1613" spans="3:3" ht="20.100000000000001" customHeight="1" x14ac:dyDescent="0.2">
      <c r="C1613" s="65" t="e">
        <f>Datos!#REF!</f>
        <v>#REF!</v>
      </c>
    </row>
    <row r="1662" spans="3:3" ht="20.100000000000001" customHeight="1" x14ac:dyDescent="0.2">
      <c r="C1662" s="65">
        <v>12</v>
      </c>
    </row>
    <row r="1663" spans="3:3" ht="20.100000000000001" customHeight="1" x14ac:dyDescent="0.2">
      <c r="C1663" s="65" t="e">
        <f>Datos!#REF!</f>
        <v>#REF!</v>
      </c>
    </row>
    <row r="1712" spans="3:3" ht="20.100000000000001" customHeight="1" x14ac:dyDescent="0.2">
      <c r="C1712" s="65">
        <v>12</v>
      </c>
    </row>
    <row r="1713" spans="3:3" ht="20.100000000000001" customHeight="1" x14ac:dyDescent="0.2">
      <c r="C1713" s="65" t="e">
        <f>Datos!#REF!</f>
        <v>#REF!</v>
      </c>
    </row>
    <row r="1762" spans="3:3" ht="20.100000000000001" customHeight="1" x14ac:dyDescent="0.2">
      <c r="C1762" s="65">
        <v>12</v>
      </c>
    </row>
    <row r="1763" spans="3:3" ht="20.100000000000001" customHeight="1" x14ac:dyDescent="0.2">
      <c r="C1763" s="65" t="e">
        <f>Datos!#REF!</f>
        <v>#REF!</v>
      </c>
    </row>
    <row r="1812" spans="3:3" ht="20.100000000000001" customHeight="1" x14ac:dyDescent="0.2">
      <c r="C1812" s="65">
        <v>13</v>
      </c>
    </row>
    <row r="1813" spans="3:3" ht="20.100000000000001" customHeight="1" x14ac:dyDescent="0.2">
      <c r="C1813" s="65" t="e">
        <f>Datos!#REF!</f>
        <v>#REF!</v>
      </c>
    </row>
    <row r="1862" spans="3:3" ht="20.100000000000001" customHeight="1" x14ac:dyDescent="0.2">
      <c r="C1862" s="65">
        <v>13</v>
      </c>
    </row>
    <row r="1863" spans="3:3" ht="20.100000000000001" customHeight="1" x14ac:dyDescent="0.2">
      <c r="C1863" s="65" t="e">
        <f>Datos!#REF!</f>
        <v>#REF!</v>
      </c>
    </row>
  </sheetData>
  <mergeCells count="4">
    <mergeCell ref="G31:H31"/>
    <mergeCell ref="A1:D1"/>
    <mergeCell ref="A16:E16"/>
    <mergeCell ref="B30:E30"/>
  </mergeCells>
  <conditionalFormatting sqref="D24:D27">
    <cfRule type="expression" dxfId="140" priority="4" stopIfTrue="1">
      <formula>#REF!=1</formula>
    </cfRule>
  </conditionalFormatting>
  <conditionalFormatting sqref="B34:B183">
    <cfRule type="expression" dxfId="139" priority="5" stopIfTrue="1">
      <formula>#REF!&gt;0</formula>
    </cfRule>
    <cfRule type="expression" dxfId="138" priority="6" stopIfTrue="1">
      <formula>#REF!&gt;0</formula>
    </cfRule>
    <cfRule type="expression" dxfId="137" priority="7" stopIfTrue="1">
      <formula>#REF!&gt;0</formula>
    </cfRule>
  </conditionalFormatting>
  <conditionalFormatting sqref="D24:D27">
    <cfRule type="expression" dxfId="136" priority="8" stopIfTrue="1">
      <formula>#REF!=1</formula>
    </cfRule>
  </conditionalFormatting>
  <conditionalFormatting sqref="C34:C183">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44" workbookViewId="0">
      <selection activeCell="C536" sqref="C536"/>
    </sheetView>
  </sheetViews>
  <sheetFormatPr baseColWidth="10" defaultColWidth="11.42578125" defaultRowHeight="15" x14ac:dyDescent="0.2"/>
  <cols>
    <col min="1" max="1" width="11.42578125" style="300"/>
    <col min="2" max="2" width="23" style="300" bestFit="1" customWidth="1"/>
    <col min="3" max="3" width="61.7109375" style="300" customWidth="1"/>
    <col min="4" max="4" width="17.28515625" style="300" bestFit="1" customWidth="1"/>
    <col min="5" max="16384" width="11.42578125" style="37"/>
  </cols>
  <sheetData>
    <row r="1" spans="1:19" x14ac:dyDescent="0.2">
      <c r="A1" s="158"/>
      <c r="B1" s="159" t="s">
        <v>993</v>
      </c>
      <c r="C1" s="160" t="s">
        <v>994</v>
      </c>
      <c r="D1" s="161"/>
      <c r="G1" s="162"/>
      <c r="H1" s="163" t="s">
        <v>993</v>
      </c>
      <c r="I1" s="164" t="s">
        <v>994</v>
      </c>
      <c r="J1" s="162"/>
      <c r="K1" s="162"/>
      <c r="L1" s="162"/>
      <c r="M1" s="162"/>
      <c r="N1" s="162"/>
      <c r="O1" s="165"/>
      <c r="P1" s="162"/>
      <c r="Q1" s="162"/>
      <c r="R1" s="162"/>
      <c r="S1" s="162"/>
    </row>
    <row r="2" spans="1:19" ht="15.75" thickBot="1" x14ac:dyDescent="0.25">
      <c r="A2" s="158"/>
      <c r="B2" s="159"/>
      <c r="C2" s="160"/>
      <c r="D2" s="161"/>
      <c r="G2" s="162"/>
      <c r="H2" s="166"/>
      <c r="I2" s="167"/>
      <c r="J2" s="162"/>
      <c r="K2" s="162"/>
      <c r="L2" s="162"/>
      <c r="M2" s="162"/>
      <c r="N2" s="162"/>
      <c r="O2" s="165"/>
      <c r="P2" s="162"/>
      <c r="Q2" s="162"/>
      <c r="R2" s="162"/>
      <c r="S2" s="162"/>
    </row>
    <row r="3" spans="1:19" x14ac:dyDescent="0.2">
      <c r="A3" s="168">
        <v>1</v>
      </c>
      <c r="B3" s="169" t="s">
        <v>995</v>
      </c>
      <c r="C3" s="75" t="s">
        <v>996</v>
      </c>
      <c r="D3" s="161"/>
      <c r="G3" s="162"/>
      <c r="H3" s="170">
        <v>1</v>
      </c>
      <c r="I3" s="171"/>
      <c r="J3" s="172"/>
      <c r="K3" s="173" t="s">
        <v>996</v>
      </c>
      <c r="L3" s="174"/>
      <c r="M3" s="174"/>
      <c r="N3" s="174"/>
      <c r="O3" s="175"/>
      <c r="P3" s="162"/>
      <c r="Q3" s="176">
        <f>H3</f>
        <v>1</v>
      </c>
      <c r="R3" s="167" t="str">
        <f>CONCATENATE("II-",TEXT(Q3,"0000"))</f>
        <v>II-0001</v>
      </c>
      <c r="S3" s="177" t="str">
        <f>K3</f>
        <v xml:space="preserve"> ACERO EN BARRA COLOCADO</v>
      </c>
    </row>
    <row r="4" spans="1:19" x14ac:dyDescent="0.2">
      <c r="A4" s="168"/>
      <c r="B4" s="169"/>
      <c r="C4" s="75"/>
      <c r="D4" s="161"/>
      <c r="G4" s="162"/>
      <c r="H4" s="178"/>
      <c r="I4" s="179" t="s">
        <v>997</v>
      </c>
      <c r="J4" s="180"/>
      <c r="K4" s="181" t="s">
        <v>998</v>
      </c>
      <c r="L4" s="182"/>
      <c r="M4" s="182"/>
      <c r="N4" s="182"/>
      <c r="O4" s="183"/>
      <c r="P4" s="162"/>
      <c r="Q4" s="162"/>
      <c r="R4" s="162"/>
      <c r="S4" s="162"/>
    </row>
    <row r="5" spans="1:19" x14ac:dyDescent="0.2">
      <c r="A5" s="168">
        <v>1</v>
      </c>
      <c r="B5" s="169" t="s">
        <v>999</v>
      </c>
      <c r="C5" s="75" t="s">
        <v>1000</v>
      </c>
      <c r="D5" s="167" t="s">
        <v>1001</v>
      </c>
      <c r="G5" s="162"/>
      <c r="H5" s="178"/>
      <c r="I5" s="167"/>
      <c r="J5" s="184">
        <v>1</v>
      </c>
      <c r="K5" s="162"/>
      <c r="L5" s="177" t="s">
        <v>1002</v>
      </c>
      <c r="M5" s="162"/>
      <c r="N5" s="162"/>
      <c r="O5" s="185" t="s">
        <v>1001</v>
      </c>
      <c r="P5" s="162"/>
      <c r="Q5" s="176">
        <v>1</v>
      </c>
      <c r="R5" s="169" t="str">
        <f>CONCATENATE($R$3,".",TEXT(Q5,"0000"))</f>
        <v>II-0001.0001</v>
      </c>
      <c r="S5" s="162" t="str">
        <f t="shared" ref="S5:S12" si="0">CONCATENATE($E$4," ",L5)</f>
        <v xml:space="preserve"> Ø4</v>
      </c>
    </row>
    <row r="6" spans="1:19" x14ac:dyDescent="0.2">
      <c r="A6" s="168">
        <v>2</v>
      </c>
      <c r="B6" s="161" t="s">
        <v>1003</v>
      </c>
      <c r="C6" s="75" t="s">
        <v>1004</v>
      </c>
      <c r="D6" s="167" t="s">
        <v>1001</v>
      </c>
      <c r="G6" s="162"/>
      <c r="H6" s="178"/>
      <c r="I6" s="167"/>
      <c r="J6" s="184">
        <v>2</v>
      </c>
      <c r="K6" s="162"/>
      <c r="L6" s="177" t="s">
        <v>1005</v>
      </c>
      <c r="M6" s="162"/>
      <c r="N6" s="162"/>
      <c r="O6" s="185" t="s">
        <v>1001</v>
      </c>
      <c r="P6" s="162"/>
      <c r="Q6" s="176">
        <v>2</v>
      </c>
      <c r="R6" s="169" t="str">
        <f t="shared" ref="R6:R30" si="1">CONCATENATE($R$3,".",TEXT(Q6,"0000"))</f>
        <v>II-0001.0002</v>
      </c>
      <c r="S6" s="162" t="str">
        <f t="shared" si="0"/>
        <v xml:space="preserve"> Ø6</v>
      </c>
    </row>
    <row r="7" spans="1:19" x14ac:dyDescent="0.2">
      <c r="A7" s="168">
        <v>3</v>
      </c>
      <c r="B7" s="161" t="s">
        <v>1006</v>
      </c>
      <c r="C7" s="75" t="s">
        <v>1007</v>
      </c>
      <c r="D7" s="167" t="s">
        <v>1001</v>
      </c>
      <c r="G7" s="162"/>
      <c r="H7" s="178"/>
      <c r="I7" s="167"/>
      <c r="J7" s="184">
        <v>3</v>
      </c>
      <c r="K7" s="162"/>
      <c r="L7" s="177" t="s">
        <v>1008</v>
      </c>
      <c r="M7" s="162"/>
      <c r="N7" s="162"/>
      <c r="O7" s="185" t="s">
        <v>1001</v>
      </c>
      <c r="P7" s="162"/>
      <c r="Q7" s="176">
        <v>3</v>
      </c>
      <c r="R7" s="169" t="str">
        <f t="shared" si="1"/>
        <v>II-0001.0003</v>
      </c>
      <c r="S7" s="162" t="str">
        <f t="shared" si="0"/>
        <v xml:space="preserve"> Ø8</v>
      </c>
    </row>
    <row r="8" spans="1:19" x14ac:dyDescent="0.2">
      <c r="A8" s="168">
        <v>4</v>
      </c>
      <c r="B8" s="161" t="s">
        <v>1009</v>
      </c>
      <c r="C8" s="186" t="s">
        <v>1010</v>
      </c>
      <c r="D8" s="167" t="s">
        <v>1001</v>
      </c>
      <c r="G8" s="162"/>
      <c r="H8" s="178"/>
      <c r="I8" s="167"/>
      <c r="J8" s="184">
        <v>4</v>
      </c>
      <c r="K8" s="162"/>
      <c r="L8" s="177" t="s">
        <v>1011</v>
      </c>
      <c r="M8" s="162"/>
      <c r="N8" s="162"/>
      <c r="O8" s="185" t="s">
        <v>1001</v>
      </c>
      <c r="P8" s="162"/>
      <c r="Q8" s="176">
        <v>4</v>
      </c>
      <c r="R8" s="169" t="str">
        <f t="shared" si="1"/>
        <v>II-0001.0004</v>
      </c>
      <c r="S8" s="162" t="str">
        <f t="shared" si="0"/>
        <v xml:space="preserve"> Ø10</v>
      </c>
    </row>
    <row r="9" spans="1:19" x14ac:dyDescent="0.2">
      <c r="A9" s="168">
        <v>5</v>
      </c>
      <c r="B9" s="169" t="s">
        <v>1012</v>
      </c>
      <c r="C9" s="75" t="s">
        <v>1013</v>
      </c>
      <c r="D9" s="167" t="s">
        <v>1001</v>
      </c>
      <c r="G9" s="162"/>
      <c r="H9" s="178"/>
      <c r="I9" s="167"/>
      <c r="J9" s="184">
        <v>5</v>
      </c>
      <c r="K9" s="162"/>
      <c r="L9" s="177" t="s">
        <v>1014</v>
      </c>
      <c r="M9" s="162"/>
      <c r="N9" s="162"/>
      <c r="O9" s="185" t="s">
        <v>1001</v>
      </c>
      <c r="P9" s="162"/>
      <c r="Q9" s="176">
        <v>5</v>
      </c>
      <c r="R9" s="169" t="str">
        <f t="shared" si="1"/>
        <v>II-0001.0005</v>
      </c>
      <c r="S9" s="162" t="str">
        <f t="shared" si="0"/>
        <v xml:space="preserve"> Ø12</v>
      </c>
    </row>
    <row r="10" spans="1:19" x14ac:dyDescent="0.2">
      <c r="A10" s="168">
        <v>6</v>
      </c>
      <c r="B10" s="169" t="s">
        <v>1015</v>
      </c>
      <c r="C10" s="75" t="s">
        <v>1016</v>
      </c>
      <c r="D10" s="167" t="s">
        <v>1001</v>
      </c>
      <c r="G10" s="162"/>
      <c r="H10" s="178"/>
      <c r="I10" s="167"/>
      <c r="J10" s="184">
        <v>6</v>
      </c>
      <c r="K10" s="162"/>
      <c r="L10" s="177" t="s">
        <v>1017</v>
      </c>
      <c r="M10" s="162"/>
      <c r="N10" s="162"/>
      <c r="O10" s="185" t="s">
        <v>1001</v>
      </c>
      <c r="P10" s="162"/>
      <c r="Q10" s="176">
        <v>6</v>
      </c>
      <c r="R10" s="169" t="str">
        <f t="shared" si="1"/>
        <v>II-0001.0006</v>
      </c>
      <c r="S10" s="162" t="str">
        <f t="shared" si="0"/>
        <v xml:space="preserve"> Ø16</v>
      </c>
    </row>
    <row r="11" spans="1:19" x14ac:dyDescent="0.2">
      <c r="A11" s="168">
        <v>7</v>
      </c>
      <c r="B11" s="169" t="s">
        <v>1018</v>
      </c>
      <c r="C11" s="75" t="s">
        <v>1019</v>
      </c>
      <c r="D11" s="167" t="s">
        <v>1001</v>
      </c>
      <c r="G11" s="162"/>
      <c r="H11" s="178"/>
      <c r="I11" s="167"/>
      <c r="J11" s="184">
        <v>7</v>
      </c>
      <c r="K11" s="162"/>
      <c r="L11" s="177" t="s">
        <v>1020</v>
      </c>
      <c r="M11" s="162"/>
      <c r="N11" s="162"/>
      <c r="O11" s="185" t="s">
        <v>1001</v>
      </c>
      <c r="P11" s="162"/>
      <c r="Q11" s="176">
        <v>7</v>
      </c>
      <c r="R11" s="169" t="str">
        <f t="shared" si="1"/>
        <v>II-0001.0007</v>
      </c>
      <c r="S11" s="162" t="str">
        <f t="shared" si="0"/>
        <v xml:space="preserve"> Ø18</v>
      </c>
    </row>
    <row r="12" spans="1:19" x14ac:dyDescent="0.2">
      <c r="A12" s="168">
        <v>8</v>
      </c>
      <c r="B12" s="161" t="s">
        <v>1021</v>
      </c>
      <c r="C12" s="75" t="s">
        <v>1022</v>
      </c>
      <c r="D12" s="167" t="s">
        <v>1001</v>
      </c>
      <c r="G12" s="162"/>
      <c r="H12" s="178"/>
      <c r="I12" s="167"/>
      <c r="J12" s="187">
        <v>8</v>
      </c>
      <c r="K12" s="188"/>
      <c r="L12" s="189" t="s">
        <v>1023</v>
      </c>
      <c r="M12" s="188"/>
      <c r="N12" s="188"/>
      <c r="O12" s="190" t="s">
        <v>1001</v>
      </c>
      <c r="P12" s="162"/>
      <c r="Q12" s="176">
        <v>8</v>
      </c>
      <c r="R12" s="169" t="str">
        <f t="shared" si="1"/>
        <v>II-0001.0008</v>
      </c>
      <c r="S12" s="162" t="str">
        <f t="shared" si="0"/>
        <v xml:space="preserve"> Ø20</v>
      </c>
    </row>
    <row r="13" spans="1:19" x14ac:dyDescent="0.2">
      <c r="A13" s="168"/>
      <c r="B13" s="161"/>
      <c r="C13" s="75"/>
      <c r="D13" s="167"/>
      <c r="G13" s="162"/>
      <c r="H13" s="178"/>
      <c r="I13" s="179" t="s">
        <v>1024</v>
      </c>
      <c r="J13" s="167"/>
      <c r="K13" s="191" t="s">
        <v>1025</v>
      </c>
      <c r="L13" s="182"/>
      <c r="M13" s="182"/>
      <c r="N13" s="182"/>
      <c r="O13" s="183"/>
      <c r="P13" s="162"/>
      <c r="Q13" s="162"/>
      <c r="R13" s="162"/>
      <c r="S13" s="162"/>
    </row>
    <row r="14" spans="1:19" x14ac:dyDescent="0.2">
      <c r="A14" s="168">
        <v>20</v>
      </c>
      <c r="B14" s="161" t="s">
        <v>1026</v>
      </c>
      <c r="C14" s="186" t="s">
        <v>1000</v>
      </c>
      <c r="D14" s="167" t="s">
        <v>1001</v>
      </c>
      <c r="G14" s="162"/>
      <c r="H14" s="178"/>
      <c r="I14" s="167"/>
      <c r="J14" s="184">
        <v>1</v>
      </c>
      <c r="K14" s="162"/>
      <c r="L14" s="177" t="s">
        <v>1002</v>
      </c>
      <c r="M14" s="162"/>
      <c r="N14" s="162"/>
      <c r="O14" s="185" t="s">
        <v>1001</v>
      </c>
      <c r="P14" s="162"/>
      <c r="Q14" s="176">
        <v>20</v>
      </c>
      <c r="R14" s="169" t="str">
        <f t="shared" si="1"/>
        <v>II-0001.0020</v>
      </c>
      <c r="S14" s="162" t="str">
        <f t="shared" ref="S14:S21" si="2">CONCATENATE($E$13," ",L14)</f>
        <v xml:space="preserve"> Ø4</v>
      </c>
    </row>
    <row r="15" spans="1:19" x14ac:dyDescent="0.2">
      <c r="A15" s="168">
        <v>21</v>
      </c>
      <c r="B15" s="169" t="s">
        <v>1027</v>
      </c>
      <c r="C15" s="75" t="s">
        <v>1004</v>
      </c>
      <c r="D15" s="167" t="s">
        <v>1001</v>
      </c>
      <c r="G15" s="162"/>
      <c r="H15" s="178"/>
      <c r="I15" s="167"/>
      <c r="J15" s="184">
        <v>2</v>
      </c>
      <c r="K15" s="162"/>
      <c r="L15" s="177" t="s">
        <v>1005</v>
      </c>
      <c r="M15" s="162"/>
      <c r="N15" s="162"/>
      <c r="O15" s="185" t="s">
        <v>1001</v>
      </c>
      <c r="P15" s="162"/>
      <c r="Q15" s="176">
        <v>21</v>
      </c>
      <c r="R15" s="169" t="str">
        <f t="shared" si="1"/>
        <v>II-0001.0021</v>
      </c>
      <c r="S15" s="162" t="str">
        <f t="shared" si="2"/>
        <v xml:space="preserve"> Ø6</v>
      </c>
    </row>
    <row r="16" spans="1:19" x14ac:dyDescent="0.2">
      <c r="A16" s="168">
        <v>22</v>
      </c>
      <c r="B16" s="169" t="s">
        <v>1028</v>
      </c>
      <c r="C16" s="75" t="s">
        <v>1007</v>
      </c>
      <c r="D16" s="167" t="s">
        <v>1001</v>
      </c>
      <c r="G16" s="162"/>
      <c r="H16" s="178"/>
      <c r="I16" s="167"/>
      <c r="J16" s="184">
        <v>3</v>
      </c>
      <c r="K16" s="162"/>
      <c r="L16" s="177" t="s">
        <v>1008</v>
      </c>
      <c r="M16" s="162"/>
      <c r="N16" s="162"/>
      <c r="O16" s="185" t="s">
        <v>1001</v>
      </c>
      <c r="P16" s="162"/>
      <c r="Q16" s="176">
        <v>22</v>
      </c>
      <c r="R16" s="169" t="str">
        <f t="shared" si="1"/>
        <v>II-0001.0022</v>
      </c>
      <c r="S16" s="162" t="str">
        <f t="shared" si="2"/>
        <v xml:space="preserve"> Ø8</v>
      </c>
    </row>
    <row r="17" spans="1:19" x14ac:dyDescent="0.2">
      <c r="A17" s="168">
        <v>23</v>
      </c>
      <c r="B17" s="169" t="s">
        <v>1029</v>
      </c>
      <c r="C17" s="75" t="s">
        <v>1010</v>
      </c>
      <c r="D17" s="167" t="s">
        <v>1001</v>
      </c>
      <c r="G17" s="162"/>
      <c r="H17" s="178"/>
      <c r="I17" s="167"/>
      <c r="J17" s="184">
        <v>4</v>
      </c>
      <c r="K17" s="162"/>
      <c r="L17" s="177" t="s">
        <v>1011</v>
      </c>
      <c r="M17" s="162"/>
      <c r="N17" s="162"/>
      <c r="O17" s="185" t="s">
        <v>1001</v>
      </c>
      <c r="P17" s="162"/>
      <c r="Q17" s="176">
        <v>23</v>
      </c>
      <c r="R17" s="169" t="str">
        <f t="shared" si="1"/>
        <v>II-0001.0023</v>
      </c>
      <c r="S17" s="162" t="str">
        <f t="shared" si="2"/>
        <v xml:space="preserve"> Ø10</v>
      </c>
    </row>
    <row r="18" spans="1:19" x14ac:dyDescent="0.2">
      <c r="A18" s="168">
        <v>24</v>
      </c>
      <c r="B18" s="169" t="s">
        <v>1030</v>
      </c>
      <c r="C18" s="75" t="s">
        <v>1013</v>
      </c>
      <c r="D18" s="167" t="s">
        <v>1001</v>
      </c>
      <c r="G18" s="162"/>
      <c r="H18" s="178"/>
      <c r="I18" s="167"/>
      <c r="J18" s="184">
        <v>5</v>
      </c>
      <c r="K18" s="162"/>
      <c r="L18" s="177" t="s">
        <v>1014</v>
      </c>
      <c r="M18" s="162"/>
      <c r="N18" s="162"/>
      <c r="O18" s="185" t="s">
        <v>1001</v>
      </c>
      <c r="P18" s="162"/>
      <c r="Q18" s="176">
        <v>24</v>
      </c>
      <c r="R18" s="169" t="str">
        <f t="shared" si="1"/>
        <v>II-0001.0024</v>
      </c>
      <c r="S18" s="162" t="str">
        <f t="shared" si="2"/>
        <v xml:space="preserve"> Ø12</v>
      </c>
    </row>
    <row r="19" spans="1:19" x14ac:dyDescent="0.2">
      <c r="A19" s="168">
        <v>25</v>
      </c>
      <c r="B19" s="161" t="s">
        <v>1031</v>
      </c>
      <c r="C19" s="75" t="s">
        <v>1016</v>
      </c>
      <c r="D19" s="167" t="s">
        <v>1001</v>
      </c>
      <c r="G19" s="162"/>
      <c r="H19" s="178"/>
      <c r="I19" s="167"/>
      <c r="J19" s="184">
        <v>6</v>
      </c>
      <c r="K19" s="162"/>
      <c r="L19" s="177" t="s">
        <v>1017</v>
      </c>
      <c r="M19" s="162"/>
      <c r="N19" s="162"/>
      <c r="O19" s="185" t="s">
        <v>1001</v>
      </c>
      <c r="P19" s="162"/>
      <c r="Q19" s="176">
        <v>25</v>
      </c>
      <c r="R19" s="169" t="str">
        <f t="shared" si="1"/>
        <v>II-0001.0025</v>
      </c>
      <c r="S19" s="162" t="str">
        <f t="shared" si="2"/>
        <v xml:space="preserve"> Ø16</v>
      </c>
    </row>
    <row r="20" spans="1:19" x14ac:dyDescent="0.2">
      <c r="A20" s="168">
        <v>26</v>
      </c>
      <c r="B20" s="161" t="s">
        <v>1032</v>
      </c>
      <c r="C20" s="75" t="s">
        <v>1019</v>
      </c>
      <c r="D20" s="167" t="s">
        <v>1001</v>
      </c>
      <c r="G20" s="162"/>
      <c r="H20" s="178"/>
      <c r="I20" s="167"/>
      <c r="J20" s="184">
        <v>7</v>
      </c>
      <c r="K20" s="162"/>
      <c r="L20" s="177" t="s">
        <v>1020</v>
      </c>
      <c r="M20" s="162"/>
      <c r="N20" s="162"/>
      <c r="O20" s="185" t="s">
        <v>1001</v>
      </c>
      <c r="P20" s="162"/>
      <c r="Q20" s="176">
        <v>26</v>
      </c>
      <c r="R20" s="169" t="str">
        <f t="shared" si="1"/>
        <v>II-0001.0026</v>
      </c>
      <c r="S20" s="162" t="str">
        <f t="shared" si="2"/>
        <v xml:space="preserve"> Ø18</v>
      </c>
    </row>
    <row r="21" spans="1:19" x14ac:dyDescent="0.2">
      <c r="A21" s="168">
        <v>27</v>
      </c>
      <c r="B21" s="161" t="s">
        <v>1033</v>
      </c>
      <c r="C21" s="186" t="s">
        <v>1022</v>
      </c>
      <c r="D21" s="167" t="s">
        <v>1001</v>
      </c>
      <c r="G21" s="162"/>
      <c r="H21" s="178"/>
      <c r="I21" s="192"/>
      <c r="J21" s="187">
        <v>8</v>
      </c>
      <c r="K21" s="188"/>
      <c r="L21" s="189" t="s">
        <v>1023</v>
      </c>
      <c r="M21" s="188"/>
      <c r="N21" s="188"/>
      <c r="O21" s="190" t="s">
        <v>1001</v>
      </c>
      <c r="P21" s="162"/>
      <c r="Q21" s="176">
        <v>27</v>
      </c>
      <c r="R21" s="169" t="str">
        <f t="shared" si="1"/>
        <v>II-0001.0027</v>
      </c>
      <c r="S21" s="162" t="str">
        <f t="shared" si="2"/>
        <v xml:space="preserve"> Ø20</v>
      </c>
    </row>
    <row r="22" spans="1:19" x14ac:dyDescent="0.2">
      <c r="A22" s="168"/>
      <c r="B22" s="169"/>
      <c r="C22" s="75"/>
      <c r="D22" s="167"/>
      <c r="G22" s="162"/>
      <c r="H22" s="178"/>
      <c r="I22" s="179" t="s">
        <v>1034</v>
      </c>
      <c r="J22" s="167"/>
      <c r="K22" s="191" t="s">
        <v>1035</v>
      </c>
      <c r="L22" s="182"/>
      <c r="M22" s="182"/>
      <c r="N22" s="182"/>
      <c r="O22" s="183"/>
      <c r="P22" s="162"/>
      <c r="Q22" s="162"/>
      <c r="R22" s="162"/>
      <c r="S22" s="162"/>
    </row>
    <row r="23" spans="1:19" x14ac:dyDescent="0.2">
      <c r="A23" s="168">
        <v>30</v>
      </c>
      <c r="B23" s="169" t="s">
        <v>1036</v>
      </c>
      <c r="C23" s="75" t="s">
        <v>1000</v>
      </c>
      <c r="D23" s="167" t="s">
        <v>1001</v>
      </c>
      <c r="G23" s="162"/>
      <c r="H23" s="178"/>
      <c r="I23" s="167"/>
      <c r="J23" s="184">
        <v>1</v>
      </c>
      <c r="K23" s="162"/>
      <c r="L23" s="177" t="s">
        <v>1002</v>
      </c>
      <c r="M23" s="162"/>
      <c r="N23" s="162"/>
      <c r="O23" s="185" t="s">
        <v>1001</v>
      </c>
      <c r="P23" s="162"/>
      <c r="Q23" s="176">
        <v>30</v>
      </c>
      <c r="R23" s="169" t="str">
        <f t="shared" si="1"/>
        <v>II-0001.0030</v>
      </c>
      <c r="S23" s="162" t="str">
        <f>CONCATENATE($E$22," ",L23)</f>
        <v xml:space="preserve"> Ø4</v>
      </c>
    </row>
    <row r="24" spans="1:19" x14ac:dyDescent="0.2">
      <c r="A24" s="168">
        <v>31</v>
      </c>
      <c r="B24" s="169" t="s">
        <v>1037</v>
      </c>
      <c r="C24" s="75" t="s">
        <v>1004</v>
      </c>
      <c r="D24" s="167" t="s">
        <v>1001</v>
      </c>
      <c r="G24" s="162"/>
      <c r="H24" s="178"/>
      <c r="I24" s="167"/>
      <c r="J24" s="184">
        <v>2</v>
      </c>
      <c r="K24" s="162"/>
      <c r="L24" s="177" t="s">
        <v>1005</v>
      </c>
      <c r="M24" s="162"/>
      <c r="N24" s="162"/>
      <c r="O24" s="185" t="s">
        <v>1001</v>
      </c>
      <c r="P24" s="162"/>
      <c r="Q24" s="176">
        <v>31</v>
      </c>
      <c r="R24" s="169" t="str">
        <f t="shared" si="1"/>
        <v>II-0001.0031</v>
      </c>
      <c r="S24" s="162" t="str">
        <f t="shared" ref="S24:S30" si="3">CONCATENATE($E$22," ",L24)</f>
        <v xml:space="preserve"> Ø6</v>
      </c>
    </row>
    <row r="25" spans="1:19" x14ac:dyDescent="0.2">
      <c r="A25" s="168">
        <v>32</v>
      </c>
      <c r="B25" s="169" t="s">
        <v>1038</v>
      </c>
      <c r="C25" s="75" t="s">
        <v>1007</v>
      </c>
      <c r="D25" s="167" t="s">
        <v>1001</v>
      </c>
      <c r="G25" s="162"/>
      <c r="H25" s="178"/>
      <c r="I25" s="167"/>
      <c r="J25" s="184">
        <v>3</v>
      </c>
      <c r="K25" s="162"/>
      <c r="L25" s="177" t="s">
        <v>1008</v>
      </c>
      <c r="M25" s="162"/>
      <c r="N25" s="162"/>
      <c r="O25" s="185" t="s">
        <v>1001</v>
      </c>
      <c r="P25" s="162"/>
      <c r="Q25" s="176">
        <v>32</v>
      </c>
      <c r="R25" s="169" t="str">
        <f t="shared" si="1"/>
        <v>II-0001.0032</v>
      </c>
      <c r="S25" s="162" t="str">
        <f t="shared" si="3"/>
        <v xml:space="preserve"> Ø8</v>
      </c>
    </row>
    <row r="26" spans="1:19" x14ac:dyDescent="0.2">
      <c r="A26" s="168">
        <v>33</v>
      </c>
      <c r="B26" s="169" t="s">
        <v>1039</v>
      </c>
      <c r="C26" s="75" t="s">
        <v>1010</v>
      </c>
      <c r="D26" s="167" t="s">
        <v>1001</v>
      </c>
      <c r="G26" s="162"/>
      <c r="H26" s="178"/>
      <c r="I26" s="167"/>
      <c r="J26" s="184">
        <v>4</v>
      </c>
      <c r="K26" s="162"/>
      <c r="L26" s="177" t="s">
        <v>1011</v>
      </c>
      <c r="M26" s="162"/>
      <c r="N26" s="162"/>
      <c r="O26" s="185" t="s">
        <v>1001</v>
      </c>
      <c r="P26" s="162"/>
      <c r="Q26" s="176">
        <v>33</v>
      </c>
      <c r="R26" s="169" t="str">
        <f t="shared" si="1"/>
        <v>II-0001.0033</v>
      </c>
      <c r="S26" s="162" t="str">
        <f t="shared" si="3"/>
        <v xml:space="preserve"> Ø10</v>
      </c>
    </row>
    <row r="27" spans="1:19" x14ac:dyDescent="0.2">
      <c r="A27" s="168">
        <v>34</v>
      </c>
      <c r="B27" s="169" t="s">
        <v>1040</v>
      </c>
      <c r="C27" s="75" t="s">
        <v>1013</v>
      </c>
      <c r="D27" s="167" t="s">
        <v>1001</v>
      </c>
      <c r="G27" s="162"/>
      <c r="H27" s="178"/>
      <c r="I27" s="167"/>
      <c r="J27" s="184">
        <v>5</v>
      </c>
      <c r="K27" s="162"/>
      <c r="L27" s="177" t="s">
        <v>1014</v>
      </c>
      <c r="M27" s="162"/>
      <c r="N27" s="162"/>
      <c r="O27" s="185" t="s">
        <v>1001</v>
      </c>
      <c r="P27" s="162"/>
      <c r="Q27" s="176">
        <v>34</v>
      </c>
      <c r="R27" s="169" t="str">
        <f t="shared" si="1"/>
        <v>II-0001.0034</v>
      </c>
      <c r="S27" s="162" t="str">
        <f t="shared" si="3"/>
        <v xml:space="preserve"> Ø12</v>
      </c>
    </row>
    <row r="28" spans="1:19" x14ac:dyDescent="0.2">
      <c r="A28" s="168">
        <v>35</v>
      </c>
      <c r="B28" s="169" t="s">
        <v>1041</v>
      </c>
      <c r="C28" s="75" t="s">
        <v>1016</v>
      </c>
      <c r="D28" s="167" t="s">
        <v>1001</v>
      </c>
      <c r="G28" s="162"/>
      <c r="H28" s="178"/>
      <c r="I28" s="167"/>
      <c r="J28" s="184">
        <v>6</v>
      </c>
      <c r="K28" s="162"/>
      <c r="L28" s="177" t="s">
        <v>1017</v>
      </c>
      <c r="M28" s="162"/>
      <c r="N28" s="162"/>
      <c r="O28" s="185" t="s">
        <v>1001</v>
      </c>
      <c r="P28" s="162"/>
      <c r="Q28" s="176">
        <v>35</v>
      </c>
      <c r="R28" s="169" t="str">
        <f t="shared" si="1"/>
        <v>II-0001.0035</v>
      </c>
      <c r="S28" s="162" t="str">
        <f t="shared" si="3"/>
        <v xml:space="preserve"> Ø16</v>
      </c>
    </row>
    <row r="29" spans="1:19" x14ac:dyDescent="0.2">
      <c r="A29" s="168">
        <v>36</v>
      </c>
      <c r="B29" s="169" t="s">
        <v>1042</v>
      </c>
      <c r="C29" s="75" t="s">
        <v>1019</v>
      </c>
      <c r="D29" s="167" t="s">
        <v>1001</v>
      </c>
      <c r="G29" s="162"/>
      <c r="H29" s="178"/>
      <c r="I29" s="167"/>
      <c r="J29" s="184">
        <v>7</v>
      </c>
      <c r="K29" s="162"/>
      <c r="L29" s="177" t="s">
        <v>1020</v>
      </c>
      <c r="M29" s="162"/>
      <c r="N29" s="162"/>
      <c r="O29" s="185" t="s">
        <v>1001</v>
      </c>
      <c r="P29" s="162"/>
      <c r="Q29" s="176">
        <v>36</v>
      </c>
      <c r="R29" s="169" t="str">
        <f t="shared" si="1"/>
        <v>II-0001.0036</v>
      </c>
      <c r="S29" s="162" t="str">
        <f t="shared" si="3"/>
        <v xml:space="preserve"> Ø18</v>
      </c>
    </row>
    <row r="30" spans="1:19" ht="15.75" thickBot="1" x14ac:dyDescent="0.25">
      <c r="A30" s="168">
        <v>37</v>
      </c>
      <c r="B30" s="169" t="s">
        <v>1043</v>
      </c>
      <c r="C30" s="75" t="s">
        <v>1022</v>
      </c>
      <c r="D30" s="167" t="s">
        <v>1001</v>
      </c>
      <c r="G30" s="162"/>
      <c r="H30" s="193"/>
      <c r="I30" s="194"/>
      <c r="J30" s="195">
        <v>8</v>
      </c>
      <c r="K30" s="196"/>
      <c r="L30" s="197" t="s">
        <v>1023</v>
      </c>
      <c r="M30" s="196"/>
      <c r="N30" s="196"/>
      <c r="O30" s="198" t="s">
        <v>1001</v>
      </c>
      <c r="P30" s="162"/>
      <c r="Q30" s="176">
        <v>37</v>
      </c>
      <c r="R30" s="169" t="str">
        <f t="shared" si="1"/>
        <v>II-0001.0037</v>
      </c>
      <c r="S30" s="162" t="str">
        <f t="shared" si="3"/>
        <v xml:space="preserve"> Ø20</v>
      </c>
    </row>
    <row r="31" spans="1:19" ht="16.5" thickTop="1" thickBot="1" x14ac:dyDescent="0.25">
      <c r="A31" s="168"/>
      <c r="B31" s="169"/>
      <c r="C31" s="75"/>
      <c r="D31" s="167"/>
      <c r="G31" s="162"/>
      <c r="H31" s="178"/>
      <c r="I31" s="167"/>
      <c r="J31" s="167"/>
      <c r="K31" s="162"/>
      <c r="L31" s="177"/>
      <c r="M31" s="162"/>
      <c r="N31" s="162"/>
      <c r="O31" s="199"/>
      <c r="P31" s="162"/>
      <c r="Q31" s="176"/>
      <c r="R31" s="169"/>
      <c r="S31" s="162"/>
    </row>
    <row r="32" spans="1:19" ht="15.75" thickTop="1" x14ac:dyDescent="0.2">
      <c r="A32" s="168">
        <v>2</v>
      </c>
      <c r="B32" s="169" t="s">
        <v>1044</v>
      </c>
      <c r="C32" s="75" t="s">
        <v>1045</v>
      </c>
      <c r="D32" s="167"/>
      <c r="G32" s="162"/>
      <c r="H32" s="200">
        <v>2</v>
      </c>
      <c r="I32" s="201"/>
      <c r="J32" s="202"/>
      <c r="K32" s="746" t="s">
        <v>1045</v>
      </c>
      <c r="L32" s="746"/>
      <c r="M32" s="746"/>
      <c r="N32" s="746"/>
      <c r="O32" s="203"/>
      <c r="P32" s="162"/>
      <c r="Q32" s="176">
        <f>H32</f>
        <v>2</v>
      </c>
      <c r="R32" s="167" t="str">
        <f>CONCATENATE("II-",TEXT(Q32,"0000"))</f>
        <v>II-0002</v>
      </c>
      <c r="S32" s="177" t="str">
        <f>K32</f>
        <v>ABOVEDAMIENTO  REACONDICIONAMIENTO</v>
      </c>
    </row>
    <row r="33" spans="1:19" ht="15.75" thickBot="1" x14ac:dyDescent="0.25">
      <c r="A33" s="168">
        <v>1</v>
      </c>
      <c r="B33" s="169" t="s">
        <v>1046</v>
      </c>
      <c r="C33" s="75" t="s">
        <v>1047</v>
      </c>
      <c r="D33" s="167" t="s">
        <v>6</v>
      </c>
      <c r="G33" s="162"/>
      <c r="H33" s="204"/>
      <c r="I33" s="205" t="s">
        <v>997</v>
      </c>
      <c r="J33" s="206"/>
      <c r="K33" s="207" t="s">
        <v>1048</v>
      </c>
      <c r="L33" s="208"/>
      <c r="M33" s="208"/>
      <c r="N33" s="208"/>
      <c r="O33" s="209" t="s">
        <v>6</v>
      </c>
      <c r="P33" s="162"/>
      <c r="Q33" s="176">
        <v>1</v>
      </c>
      <c r="R33" s="169" t="str">
        <f>CONCATENATE($R$32,".",TEXT(Q33,"0000"))</f>
        <v>II-0002.0001</v>
      </c>
      <c r="S33" s="162" t="str">
        <f>CONCATENATE($K$33," ",L33)</f>
        <v xml:space="preserve">V-384 </v>
      </c>
    </row>
    <row r="34" spans="1:19" ht="16.5" thickTop="1" thickBot="1" x14ac:dyDescent="0.25">
      <c r="A34" s="168"/>
      <c r="B34" s="161"/>
      <c r="C34" s="75"/>
      <c r="D34" s="167"/>
      <c r="G34" s="162"/>
      <c r="H34" s="178"/>
      <c r="I34" s="167"/>
      <c r="J34" s="167"/>
      <c r="K34" s="210"/>
      <c r="L34" s="162"/>
      <c r="M34" s="162"/>
      <c r="N34" s="162"/>
      <c r="O34" s="199"/>
      <c r="P34" s="162"/>
      <c r="Q34" s="162"/>
      <c r="R34" s="162"/>
      <c r="S34" s="162"/>
    </row>
    <row r="35" spans="1:19" ht="15.75" thickTop="1" x14ac:dyDescent="0.2">
      <c r="A35" s="168">
        <v>3</v>
      </c>
      <c r="B35" s="161" t="s">
        <v>1049</v>
      </c>
      <c r="C35" s="75" t="s">
        <v>1050</v>
      </c>
      <c r="D35" s="167"/>
      <c r="G35" s="162"/>
      <c r="H35" s="200">
        <v>3</v>
      </c>
      <c r="I35" s="202"/>
      <c r="J35" s="202"/>
      <c r="K35" s="211" t="s">
        <v>1050</v>
      </c>
      <c r="L35" s="212"/>
      <c r="M35" s="212"/>
      <c r="N35" s="212"/>
      <c r="O35" s="203"/>
      <c r="P35" s="162"/>
      <c r="Q35" s="176">
        <f>H35</f>
        <v>3</v>
      </c>
      <c r="R35" s="167" t="str">
        <f>CONCATENATE("II-",TEXT(Q35,"0000"))</f>
        <v>II-0003</v>
      </c>
      <c r="S35" s="177" t="str">
        <f>K35</f>
        <v>ALAMBRADO</v>
      </c>
    </row>
    <row r="36" spans="1:19" x14ac:dyDescent="0.2">
      <c r="A36" s="168"/>
      <c r="B36" s="161"/>
      <c r="C36" s="186"/>
      <c r="D36" s="167"/>
      <c r="G36" s="162"/>
      <c r="H36" s="213"/>
      <c r="I36" s="179" t="s">
        <v>997</v>
      </c>
      <c r="J36" s="180"/>
      <c r="K36" s="210" t="s">
        <v>1051</v>
      </c>
      <c r="L36" s="162"/>
      <c r="M36" s="162"/>
      <c r="N36" s="162"/>
      <c r="O36" s="214"/>
      <c r="P36" s="162"/>
      <c r="Q36" s="162"/>
      <c r="R36" s="162"/>
      <c r="S36" s="162"/>
    </row>
    <row r="37" spans="1:19" x14ac:dyDescent="0.2">
      <c r="A37" s="168">
        <v>1</v>
      </c>
      <c r="B37" s="169" t="s">
        <v>1052</v>
      </c>
      <c r="C37" s="75" t="s">
        <v>1053</v>
      </c>
      <c r="D37" s="167" t="s">
        <v>973</v>
      </c>
      <c r="G37" s="162"/>
      <c r="H37" s="178"/>
      <c r="I37" s="167"/>
      <c r="J37" s="184">
        <v>1</v>
      </c>
      <c r="K37" s="162"/>
      <c r="L37" s="210" t="s">
        <v>997</v>
      </c>
      <c r="M37" s="215"/>
      <c r="N37" s="162"/>
      <c r="O37" s="199" t="s">
        <v>973</v>
      </c>
      <c r="P37" s="162"/>
      <c r="Q37" s="176">
        <v>1</v>
      </c>
      <c r="R37" s="169" t="str">
        <f>CONCATENATE($R$35,".",TEXT(Q37,"0000"))</f>
        <v>II-0003.0001</v>
      </c>
      <c r="S37" s="162" t="str">
        <f>CONCATENATE($K$36," - TIPO ",L37)</f>
        <v>H-2840-I - TIPO A</v>
      </c>
    </row>
    <row r="38" spans="1:19" x14ac:dyDescent="0.2">
      <c r="A38" s="168">
        <v>2</v>
      </c>
      <c r="B38" s="169" t="s">
        <v>1054</v>
      </c>
      <c r="C38" s="75" t="s">
        <v>1055</v>
      </c>
      <c r="D38" s="167" t="s">
        <v>973</v>
      </c>
      <c r="G38" s="162"/>
      <c r="H38" s="178"/>
      <c r="I38" s="167"/>
      <c r="J38" s="184">
        <v>2</v>
      </c>
      <c r="K38" s="162"/>
      <c r="L38" s="210" t="s">
        <v>1024</v>
      </c>
      <c r="M38" s="215"/>
      <c r="N38" s="162"/>
      <c r="O38" s="199" t="s">
        <v>973</v>
      </c>
      <c r="P38" s="162"/>
      <c r="Q38" s="176">
        <v>2</v>
      </c>
      <c r="R38" s="169" t="str">
        <f t="shared" ref="R38:R42" si="4">CONCATENATE($R$35,".",TEXT(Q38,"0000"))</f>
        <v>II-0003.0002</v>
      </c>
      <c r="S38" s="162" t="str">
        <f t="shared" ref="S38:S40" si="5">CONCATENATE($K$36," - TIPO ",L38)</f>
        <v>H-2840-I - TIPO B</v>
      </c>
    </row>
    <row r="39" spans="1:19" x14ac:dyDescent="0.2">
      <c r="A39" s="168">
        <v>3</v>
      </c>
      <c r="B39" s="169" t="s">
        <v>1056</v>
      </c>
      <c r="C39" s="75" t="s">
        <v>1057</v>
      </c>
      <c r="D39" s="167" t="s">
        <v>973</v>
      </c>
      <c r="G39" s="162"/>
      <c r="H39" s="178"/>
      <c r="I39" s="167"/>
      <c r="J39" s="184">
        <v>3</v>
      </c>
      <c r="K39" s="162"/>
      <c r="L39" s="210" t="s">
        <v>1034</v>
      </c>
      <c r="M39" s="215"/>
      <c r="N39" s="162"/>
      <c r="O39" s="199" t="s">
        <v>973</v>
      </c>
      <c r="P39" s="162"/>
      <c r="Q39" s="176">
        <v>3</v>
      </c>
      <c r="R39" s="169" t="str">
        <f t="shared" si="4"/>
        <v>II-0003.0003</v>
      </c>
      <c r="S39" s="162" t="str">
        <f t="shared" si="5"/>
        <v>H-2840-I - TIPO C</v>
      </c>
    </row>
    <row r="40" spans="1:19" x14ac:dyDescent="0.2">
      <c r="A40" s="168">
        <v>4</v>
      </c>
      <c r="B40" s="161" t="s">
        <v>1058</v>
      </c>
      <c r="C40" s="75" t="s">
        <v>1059</v>
      </c>
      <c r="D40" s="167" t="s">
        <v>973</v>
      </c>
      <c r="G40" s="162"/>
      <c r="H40" s="178"/>
      <c r="I40" s="192"/>
      <c r="J40" s="187">
        <v>4</v>
      </c>
      <c r="K40" s="188"/>
      <c r="L40" s="216" t="s">
        <v>1060</v>
      </c>
      <c r="M40" s="217"/>
      <c r="N40" s="188"/>
      <c r="O40" s="218" t="s">
        <v>973</v>
      </c>
      <c r="P40" s="162"/>
      <c r="Q40" s="176">
        <v>4</v>
      </c>
      <c r="R40" s="169" t="str">
        <f t="shared" si="4"/>
        <v>II-0003.0004</v>
      </c>
      <c r="S40" s="162" t="str">
        <f t="shared" si="5"/>
        <v>H-2840-I - TIPO D</v>
      </c>
    </row>
    <row r="41" spans="1:19" x14ac:dyDescent="0.2">
      <c r="A41" s="168">
        <v>5</v>
      </c>
      <c r="B41" s="169" t="s">
        <v>1061</v>
      </c>
      <c r="C41" s="75" t="s">
        <v>1062</v>
      </c>
      <c r="D41" s="167" t="s">
        <v>973</v>
      </c>
      <c r="G41" s="162"/>
      <c r="H41" s="178"/>
      <c r="I41" s="187" t="s">
        <v>1024</v>
      </c>
      <c r="J41" s="192"/>
      <c r="K41" s="219" t="s">
        <v>1062</v>
      </c>
      <c r="L41" s="220"/>
      <c r="M41" s="220"/>
      <c r="N41" s="220"/>
      <c r="O41" s="221" t="s">
        <v>973</v>
      </c>
      <c r="P41" s="162"/>
      <c r="Q41" s="176">
        <v>5</v>
      </c>
      <c r="R41" s="169" t="str">
        <f t="shared" si="4"/>
        <v>II-0003.0005</v>
      </c>
      <c r="S41" s="162" t="str">
        <f>CONCATENATE($E$36,K41)</f>
        <v>OLIMPICO H-9830</v>
      </c>
    </row>
    <row r="42" spans="1:19" ht="15.75" thickBot="1" x14ac:dyDescent="0.25">
      <c r="A42" s="168">
        <v>6</v>
      </c>
      <c r="B42" s="169" t="s">
        <v>1063</v>
      </c>
      <c r="C42" s="75" t="s">
        <v>1064</v>
      </c>
      <c r="D42" s="167" t="s">
        <v>973</v>
      </c>
      <c r="G42" s="162"/>
      <c r="H42" s="193"/>
      <c r="I42" s="195" t="s">
        <v>1034</v>
      </c>
      <c r="J42" s="206"/>
      <c r="K42" s="207" t="s">
        <v>1064</v>
      </c>
      <c r="L42" s="208"/>
      <c r="M42" s="208"/>
      <c r="N42" s="208"/>
      <c r="O42" s="209" t="s">
        <v>973</v>
      </c>
      <c r="P42" s="162"/>
      <c r="Q42" s="176">
        <v>6</v>
      </c>
      <c r="R42" s="169" t="str">
        <f t="shared" si="4"/>
        <v>II-0003.0006</v>
      </c>
      <c r="S42" s="162" t="str">
        <f>CONCATENATE($E$36,K42)</f>
        <v>TRAZADO C/ REPOSICION  (%)</v>
      </c>
    </row>
    <row r="43" spans="1:19" ht="15.75" thickTop="1" x14ac:dyDescent="0.2">
      <c r="A43" s="168">
        <v>7</v>
      </c>
      <c r="B43" s="169" t="s">
        <v>1065</v>
      </c>
      <c r="C43" s="75" t="s">
        <v>1066</v>
      </c>
      <c r="D43" s="167" t="s">
        <v>973</v>
      </c>
      <c r="G43" s="162"/>
      <c r="H43" s="178"/>
      <c r="I43" s="167"/>
      <c r="J43" s="167"/>
      <c r="K43" s="210"/>
      <c r="L43" s="162"/>
      <c r="M43" s="162"/>
      <c r="N43" s="162"/>
      <c r="O43" s="199"/>
      <c r="P43" s="162"/>
      <c r="Q43" s="176"/>
      <c r="R43" s="169"/>
      <c r="S43" s="162"/>
    </row>
    <row r="44" spans="1:19" x14ac:dyDescent="0.2">
      <c r="A44" s="168"/>
      <c r="B44" s="169"/>
      <c r="C44" s="75"/>
      <c r="D44" s="167"/>
      <c r="G44" s="162"/>
      <c r="H44" s="178"/>
      <c r="I44" s="167"/>
      <c r="J44" s="167"/>
      <c r="K44" s="210"/>
      <c r="L44" s="162"/>
      <c r="M44" s="162"/>
      <c r="N44" s="162"/>
      <c r="O44" s="199"/>
      <c r="P44" s="162"/>
      <c r="Q44" s="176"/>
      <c r="R44" s="169"/>
      <c r="S44" s="162"/>
    </row>
    <row r="45" spans="1:19" x14ac:dyDescent="0.2">
      <c r="A45" s="168">
        <v>4</v>
      </c>
      <c r="B45" s="161" t="s">
        <v>1067</v>
      </c>
      <c r="C45" s="75" t="s">
        <v>1068</v>
      </c>
      <c r="D45" s="167"/>
      <c r="G45" s="162"/>
      <c r="H45" s="200">
        <v>4</v>
      </c>
      <c r="I45" s="202"/>
      <c r="J45" s="202"/>
      <c r="K45" s="747" t="s">
        <v>1068</v>
      </c>
      <c r="L45" s="747"/>
      <c r="M45" s="747"/>
      <c r="N45" s="747"/>
      <c r="O45" s="222"/>
      <c r="P45" s="162"/>
      <c r="Q45" s="176">
        <f>H45</f>
        <v>4</v>
      </c>
      <c r="R45" s="167" t="str">
        <f>CONCATENATE("II-",TEXT(Q45,"0000"))</f>
        <v>II-0004</v>
      </c>
      <c r="S45" s="177" t="str">
        <f>K45</f>
        <v>ALCANTARILLAS METALICAS ACERO CORRUGADO</v>
      </c>
    </row>
    <row r="46" spans="1:19" x14ac:dyDescent="0.2">
      <c r="A46" s="168"/>
      <c r="B46" s="169"/>
      <c r="C46" s="75"/>
      <c r="D46" s="167"/>
      <c r="G46" s="162"/>
      <c r="H46" s="213"/>
      <c r="I46" s="179" t="s">
        <v>997</v>
      </c>
      <c r="J46" s="180"/>
      <c r="K46" s="181" t="s">
        <v>1069</v>
      </c>
      <c r="L46" s="182"/>
      <c r="M46" s="182"/>
      <c r="N46" s="182"/>
      <c r="O46" s="223"/>
      <c r="P46" s="162"/>
      <c r="Q46" s="162"/>
      <c r="R46" s="162"/>
      <c r="S46" s="162"/>
    </row>
    <row r="47" spans="1:19" x14ac:dyDescent="0.2">
      <c r="A47" s="168">
        <v>1</v>
      </c>
      <c r="B47" s="169" t="s">
        <v>1070</v>
      </c>
      <c r="C47" s="75" t="s">
        <v>1071</v>
      </c>
      <c r="D47" s="167" t="s">
        <v>973</v>
      </c>
      <c r="G47" s="162"/>
      <c r="H47" s="178"/>
      <c r="I47" s="167"/>
      <c r="J47" s="184">
        <v>1</v>
      </c>
      <c r="K47" s="162"/>
      <c r="L47" s="177" t="s">
        <v>1072</v>
      </c>
      <c r="M47" s="162"/>
      <c r="N47" s="162"/>
      <c r="O47" s="199" t="s">
        <v>973</v>
      </c>
      <c r="P47" s="162"/>
      <c r="Q47" s="176">
        <v>1</v>
      </c>
      <c r="R47" s="169" t="str">
        <f>CONCATENATE($R$45,".",TEXT(Q47,"0000"))</f>
        <v>II-0004.0001</v>
      </c>
      <c r="S47" s="162" t="str">
        <f>CONCATENATE($K$46," - TIPO ",L47)</f>
        <v>H-10209 - TIPO H-9987</v>
      </c>
    </row>
    <row r="48" spans="1:19" x14ac:dyDescent="0.2">
      <c r="A48" s="168">
        <v>2</v>
      </c>
      <c r="B48" s="161" t="s">
        <v>1073</v>
      </c>
      <c r="C48" s="75" t="s">
        <v>1074</v>
      </c>
      <c r="D48" s="167" t="s">
        <v>973</v>
      </c>
      <c r="G48" s="162"/>
      <c r="H48" s="178"/>
      <c r="I48" s="167"/>
      <c r="J48" s="187">
        <v>2</v>
      </c>
      <c r="K48" s="162"/>
      <c r="L48" s="177" t="s">
        <v>1075</v>
      </c>
      <c r="M48" s="162"/>
      <c r="N48" s="162"/>
      <c r="O48" s="199" t="s">
        <v>973</v>
      </c>
      <c r="P48" s="162"/>
      <c r="Q48" s="176">
        <v>2</v>
      </c>
      <c r="R48" s="169" t="str">
        <f>CONCATENATE($R$45,".",TEXT(Q48,"0000"))</f>
        <v>II-0004.0002</v>
      </c>
      <c r="S48" s="162" t="str">
        <f>CONCATENATE($K$46," - TIPO ",L48)</f>
        <v>H-10209 - TIPO H-2993</v>
      </c>
    </row>
    <row r="49" spans="1:19" x14ac:dyDescent="0.2">
      <c r="A49" s="168"/>
      <c r="B49" s="161"/>
      <c r="C49" s="75"/>
      <c r="D49" s="167"/>
      <c r="G49" s="162"/>
      <c r="H49" s="178"/>
      <c r="I49" s="179" t="s">
        <v>1024</v>
      </c>
      <c r="J49" s="180"/>
      <c r="K49" s="181" t="s">
        <v>1076</v>
      </c>
      <c r="L49" s="182"/>
      <c r="M49" s="182"/>
      <c r="N49" s="182"/>
      <c r="O49" s="223"/>
      <c r="P49" s="162"/>
      <c r="Q49" s="162"/>
      <c r="R49" s="162"/>
      <c r="S49" s="162"/>
    </row>
    <row r="50" spans="1:19" x14ac:dyDescent="0.2">
      <c r="A50" s="168">
        <v>3</v>
      </c>
      <c r="B50" s="161" t="s">
        <v>1077</v>
      </c>
      <c r="C50" s="186" t="s">
        <v>1078</v>
      </c>
      <c r="D50" s="167" t="s">
        <v>973</v>
      </c>
      <c r="G50" s="162"/>
      <c r="H50" s="178"/>
      <c r="I50" s="167"/>
      <c r="J50" s="184">
        <v>1</v>
      </c>
      <c r="K50" s="162"/>
      <c r="L50" s="177" t="s">
        <v>1072</v>
      </c>
      <c r="M50" s="162"/>
      <c r="N50" s="162"/>
      <c r="O50" s="199" t="s">
        <v>973</v>
      </c>
      <c r="P50" s="162"/>
      <c r="Q50" s="176">
        <v>3</v>
      </c>
      <c r="R50" s="169" t="str">
        <f>CONCATENATE($R$45,".",TEXT(Q50,"0000"))</f>
        <v>II-0004.0003</v>
      </c>
      <c r="S50" s="162" t="str">
        <f>CONCATENATE($K$49," - TIPO ",L50)</f>
        <v>H-10235 - TIPO H-9987</v>
      </c>
    </row>
    <row r="51" spans="1:19" x14ac:dyDescent="0.2">
      <c r="A51" s="168">
        <v>4</v>
      </c>
      <c r="B51" s="169" t="s">
        <v>1079</v>
      </c>
      <c r="C51" s="75" t="s">
        <v>1080</v>
      </c>
      <c r="D51" s="167" t="s">
        <v>973</v>
      </c>
      <c r="G51" s="162"/>
      <c r="H51" s="178"/>
      <c r="I51" s="167"/>
      <c r="J51" s="187">
        <v>2</v>
      </c>
      <c r="K51" s="162"/>
      <c r="L51" s="177" t="s">
        <v>1075</v>
      </c>
      <c r="M51" s="162"/>
      <c r="N51" s="162"/>
      <c r="O51" s="199" t="s">
        <v>973</v>
      </c>
      <c r="P51" s="162"/>
      <c r="Q51" s="176">
        <v>4</v>
      </c>
      <c r="R51" s="169" t="str">
        <f>CONCATENATE($R$45,".",TEXT(Q51,"0000"))</f>
        <v>II-0004.0004</v>
      </c>
      <c r="S51" s="162" t="str">
        <f>CONCATENATE($K$49," - TIPO ",L51)</f>
        <v>H-10235 - TIPO H-2993</v>
      </c>
    </row>
    <row r="52" spans="1:19" x14ac:dyDescent="0.2">
      <c r="A52" s="168"/>
      <c r="B52" s="169"/>
      <c r="C52" s="75"/>
      <c r="D52" s="167"/>
      <c r="G52" s="162"/>
      <c r="H52" s="178"/>
      <c r="I52" s="179" t="s">
        <v>1034</v>
      </c>
      <c r="J52" s="180"/>
      <c r="K52" s="181" t="s">
        <v>1081</v>
      </c>
      <c r="L52" s="182"/>
      <c r="M52" s="182"/>
      <c r="N52" s="182"/>
      <c r="O52" s="223"/>
      <c r="P52" s="162"/>
      <c r="Q52" s="162"/>
      <c r="R52" s="162"/>
      <c r="S52" s="162"/>
    </row>
    <row r="53" spans="1:19" ht="15.75" thickBot="1" x14ac:dyDescent="0.25">
      <c r="A53" s="168">
        <v>5</v>
      </c>
      <c r="B53" s="169" t="s">
        <v>1082</v>
      </c>
      <c r="C53" s="75" t="s">
        <v>1083</v>
      </c>
      <c r="D53" s="167" t="s">
        <v>973</v>
      </c>
      <c r="G53" s="162"/>
      <c r="H53" s="224"/>
      <c r="I53" s="225"/>
      <c r="J53" s="226">
        <v>1</v>
      </c>
      <c r="K53" s="227"/>
      <c r="L53" s="228" t="s">
        <v>1084</v>
      </c>
      <c r="M53" s="227"/>
      <c r="N53" s="227"/>
      <c r="O53" s="229" t="s">
        <v>973</v>
      </c>
      <c r="P53" s="162"/>
      <c r="Q53" s="176">
        <v>5</v>
      </c>
      <c r="R53" s="169" t="str">
        <f>CONCATENATE($R$45,".",TEXT(Q53,"0000"))</f>
        <v>II-0004.0005</v>
      </c>
      <c r="S53" s="162" t="str">
        <f>CONCATENATE($K$52," - TIPO ",L53)</f>
        <v>H-10236 - TIPO H-2553</v>
      </c>
    </row>
    <row r="54" spans="1:19" x14ac:dyDescent="0.2">
      <c r="A54" s="168"/>
      <c r="B54" s="169"/>
      <c r="C54" s="75"/>
      <c r="D54" s="167"/>
      <c r="G54" s="162"/>
      <c r="H54" s="230"/>
      <c r="I54" s="167"/>
      <c r="J54" s="167"/>
      <c r="K54" s="162"/>
      <c r="L54" s="177"/>
      <c r="M54" s="162"/>
      <c r="N54" s="162"/>
      <c r="O54" s="215"/>
      <c r="P54" s="162"/>
      <c r="Q54" s="162"/>
      <c r="R54" s="162"/>
      <c r="S54" s="162"/>
    </row>
    <row r="55" spans="1:19" x14ac:dyDescent="0.2">
      <c r="A55" s="168">
        <v>4</v>
      </c>
      <c r="B55" s="169" t="s">
        <v>1067</v>
      </c>
      <c r="C55" s="75" t="s">
        <v>1068</v>
      </c>
      <c r="D55" s="167"/>
      <c r="G55" s="162"/>
      <c r="H55" s="200">
        <v>4</v>
      </c>
      <c r="I55" s="202"/>
      <c r="J55" s="202"/>
      <c r="K55" s="747" t="s">
        <v>1068</v>
      </c>
      <c r="L55" s="747"/>
      <c r="M55" s="747"/>
      <c r="N55" s="747"/>
      <c r="O55" s="222"/>
      <c r="P55" s="162"/>
      <c r="Q55" s="176">
        <f>H55</f>
        <v>4</v>
      </c>
      <c r="R55" s="167" t="str">
        <f>CONCATENATE("II-",TEXT(Q55,"0000"))</f>
        <v>II-0004</v>
      </c>
      <c r="S55" s="177" t="str">
        <f>K55</f>
        <v>ALCANTARILLAS METALICAS ACERO CORRUGADO</v>
      </c>
    </row>
    <row r="56" spans="1:19" x14ac:dyDescent="0.2">
      <c r="A56" s="168"/>
      <c r="B56" s="169"/>
      <c r="C56" s="75"/>
      <c r="D56" s="167"/>
      <c r="G56" s="162"/>
      <c r="H56" s="178"/>
      <c r="I56" s="179" t="s">
        <v>1060</v>
      </c>
      <c r="J56" s="180"/>
      <c r="K56" s="177" t="s">
        <v>1025</v>
      </c>
      <c r="L56" s="162"/>
      <c r="M56" s="162"/>
      <c r="N56" s="162"/>
      <c r="O56" s="214"/>
      <c r="P56" s="162"/>
      <c r="Q56" s="162"/>
      <c r="R56" s="162"/>
      <c r="S56" s="162"/>
    </row>
    <row r="57" spans="1:19" x14ac:dyDescent="0.2">
      <c r="A57" s="168">
        <v>10</v>
      </c>
      <c r="B57" s="169" t="s">
        <v>1085</v>
      </c>
      <c r="C57" s="75" t="s">
        <v>1086</v>
      </c>
      <c r="D57" s="167" t="s">
        <v>973</v>
      </c>
      <c r="G57" s="162"/>
      <c r="H57" s="178"/>
      <c r="I57" s="167"/>
      <c r="J57" s="184">
        <v>1</v>
      </c>
      <c r="K57" s="162"/>
      <c r="L57" s="177" t="s">
        <v>1087</v>
      </c>
      <c r="M57" s="162"/>
      <c r="N57" s="162"/>
      <c r="O57" s="214" t="s">
        <v>973</v>
      </c>
      <c r="P57" s="162"/>
      <c r="Q57" s="176">
        <v>10</v>
      </c>
      <c r="R57" s="169" t="str">
        <f>CONCATENATE($R$45,".",TEXT(Q57,"0000"))</f>
        <v>II-0004.0010</v>
      </c>
      <c r="S57" s="162" t="str">
        <f>CONCATENATE($K$56," - TIPO ",L57)</f>
        <v>ESPECIAL - TIPO BOVEDA PERFIL ALTO Z-6584</v>
      </c>
    </row>
    <row r="58" spans="1:19" x14ac:dyDescent="0.2">
      <c r="A58" s="168">
        <v>11</v>
      </c>
      <c r="B58" s="169" t="s">
        <v>1088</v>
      </c>
      <c r="C58" s="75" t="s">
        <v>1089</v>
      </c>
      <c r="D58" s="167" t="s">
        <v>973</v>
      </c>
      <c r="G58" s="162"/>
      <c r="H58" s="178"/>
      <c r="I58" s="167"/>
      <c r="J58" s="184">
        <v>2</v>
      </c>
      <c r="K58" s="162"/>
      <c r="L58" s="177" t="s">
        <v>1090</v>
      </c>
      <c r="M58" s="162"/>
      <c r="N58" s="162"/>
      <c r="O58" s="214" t="s">
        <v>973</v>
      </c>
      <c r="P58" s="162"/>
      <c r="Q58" s="176">
        <v>11</v>
      </c>
      <c r="R58" s="169" t="str">
        <f t="shared" ref="R58:R67" si="6">CONCATENATE($R$45,".",TEXT(Q58,"0000"))</f>
        <v>II-0004.0011</v>
      </c>
      <c r="S58" s="162" t="str">
        <f t="shared" ref="S58:S61" si="7">CONCATENATE($K$56," - TIPO ",L58)</f>
        <v>ESPECIAL - TIPO BOVEDA PERFIL BAJO Z-6584</v>
      </c>
    </row>
    <row r="59" spans="1:19" x14ac:dyDescent="0.2">
      <c r="A59" s="168">
        <v>12</v>
      </c>
      <c r="B59" s="161" t="s">
        <v>1091</v>
      </c>
      <c r="C59" s="75" t="s">
        <v>1092</v>
      </c>
      <c r="D59" s="167" t="s">
        <v>973</v>
      </c>
      <c r="G59" s="162"/>
      <c r="H59" s="178"/>
      <c r="I59" s="167"/>
      <c r="J59" s="184">
        <v>3</v>
      </c>
      <c r="K59" s="162"/>
      <c r="L59" s="177" t="s">
        <v>1093</v>
      </c>
      <c r="M59" s="162"/>
      <c r="N59" s="162"/>
      <c r="O59" s="214" t="s">
        <v>973</v>
      </c>
      <c r="P59" s="162"/>
      <c r="Q59" s="176">
        <v>12</v>
      </c>
      <c r="R59" s="169" t="str">
        <f t="shared" si="6"/>
        <v>II-0004.0012</v>
      </c>
      <c r="S59" s="162" t="str">
        <f t="shared" si="7"/>
        <v>ESPECIAL - TIPO CIRCULAR</v>
      </c>
    </row>
    <row r="60" spans="1:19" x14ac:dyDescent="0.2">
      <c r="A60" s="168">
        <v>13</v>
      </c>
      <c r="B60" s="161" t="s">
        <v>1094</v>
      </c>
      <c r="C60" s="75" t="s">
        <v>1095</v>
      </c>
      <c r="D60" s="167" t="s">
        <v>973</v>
      </c>
      <c r="G60" s="162"/>
      <c r="H60" s="178"/>
      <c r="I60" s="167"/>
      <c r="J60" s="184">
        <v>4</v>
      </c>
      <c r="K60" s="162"/>
      <c r="L60" s="177" t="s">
        <v>1096</v>
      </c>
      <c r="M60" s="162"/>
      <c r="N60" s="162"/>
      <c r="O60" s="214" t="s">
        <v>973</v>
      </c>
      <c r="P60" s="162"/>
      <c r="Q60" s="176">
        <v>13</v>
      </c>
      <c r="R60" s="169" t="str">
        <f t="shared" si="6"/>
        <v>II-0004.0013</v>
      </c>
      <c r="S60" s="162" t="str">
        <f t="shared" si="7"/>
        <v>ESPECIAL - TIPO ELIPTICA</v>
      </c>
    </row>
    <row r="61" spans="1:19" x14ac:dyDescent="0.2">
      <c r="A61" s="168">
        <v>14</v>
      </c>
      <c r="B61" s="169" t="s">
        <v>1097</v>
      </c>
      <c r="C61" s="75" t="s">
        <v>1098</v>
      </c>
      <c r="D61" s="167" t="s">
        <v>973</v>
      </c>
      <c r="G61" s="162"/>
      <c r="H61" s="178"/>
      <c r="I61" s="231"/>
      <c r="J61" s="187">
        <v>5</v>
      </c>
      <c r="K61" s="188"/>
      <c r="L61" s="189" t="s">
        <v>1099</v>
      </c>
      <c r="M61" s="188"/>
      <c r="N61" s="188"/>
      <c r="O61" s="232" t="s">
        <v>973</v>
      </c>
      <c r="P61" s="162"/>
      <c r="Q61" s="176">
        <v>14</v>
      </c>
      <c r="R61" s="169" t="str">
        <f t="shared" si="6"/>
        <v>II-0004.0014</v>
      </c>
      <c r="S61" s="162" t="str">
        <f t="shared" si="7"/>
        <v>ESPECIAL - TIPO ELIPTICA P/ FERROCARRIL Z-6584</v>
      </c>
    </row>
    <row r="62" spans="1:19" x14ac:dyDescent="0.2">
      <c r="A62" s="168">
        <v>20</v>
      </c>
      <c r="B62" s="169" t="s">
        <v>1100</v>
      </c>
      <c r="C62" s="75" t="s">
        <v>1101</v>
      </c>
      <c r="D62" s="167" t="s">
        <v>973</v>
      </c>
      <c r="G62" s="162"/>
      <c r="H62" s="233"/>
      <c r="I62" s="192" t="s">
        <v>1102</v>
      </c>
      <c r="J62" s="192"/>
      <c r="K62" s="234" t="s">
        <v>1101</v>
      </c>
      <c r="L62" s="235"/>
      <c r="M62" s="235"/>
      <c r="N62" s="235"/>
      <c r="O62" s="232" t="s">
        <v>973</v>
      </c>
      <c r="P62" s="162"/>
      <c r="Q62" s="176">
        <v>20</v>
      </c>
      <c r="R62" s="169" t="str">
        <f t="shared" si="6"/>
        <v>II-0004.0020</v>
      </c>
      <c r="S62" s="162" t="str">
        <f>CONCATENATE(K62)</f>
        <v>PINTURA</v>
      </c>
    </row>
    <row r="63" spans="1:19" x14ac:dyDescent="0.2">
      <c r="A63" s="168">
        <v>21</v>
      </c>
      <c r="B63" s="161" t="s">
        <v>1103</v>
      </c>
      <c r="C63" s="75" t="s">
        <v>1104</v>
      </c>
      <c r="D63" s="167" t="s">
        <v>973</v>
      </c>
      <c r="G63" s="162"/>
      <c r="H63" s="233"/>
      <c r="I63" s="192" t="s">
        <v>1105</v>
      </c>
      <c r="J63" s="192"/>
      <c r="K63" s="748" t="s">
        <v>1104</v>
      </c>
      <c r="L63" s="748"/>
      <c r="M63" s="235"/>
      <c r="N63" s="235"/>
      <c r="O63" s="236" t="s">
        <v>973</v>
      </c>
      <c r="P63" s="162"/>
      <c r="Q63" s="176">
        <v>21</v>
      </c>
      <c r="R63" s="169" t="str">
        <f t="shared" si="6"/>
        <v>II-0004.0021</v>
      </c>
      <c r="S63" s="162" t="str">
        <f t="shared" ref="S63:S67" si="8">CONCATENATE(K63)</f>
        <v>COLOCACION</v>
      </c>
    </row>
    <row r="64" spans="1:19" x14ac:dyDescent="0.2">
      <c r="A64" s="168">
        <v>22</v>
      </c>
      <c r="B64" s="169" t="s">
        <v>1106</v>
      </c>
      <c r="C64" s="75" t="s">
        <v>1107</v>
      </c>
      <c r="D64" s="167" t="s">
        <v>1108</v>
      </c>
      <c r="G64" s="162"/>
      <c r="H64" s="233"/>
      <c r="I64" s="192" t="s">
        <v>1109</v>
      </c>
      <c r="J64" s="192"/>
      <c r="K64" s="748" t="s">
        <v>1107</v>
      </c>
      <c r="L64" s="748"/>
      <c r="M64" s="235"/>
      <c r="N64" s="235"/>
      <c r="O64" s="236" t="s">
        <v>1108</v>
      </c>
      <c r="P64" s="162"/>
      <c r="Q64" s="176">
        <v>22</v>
      </c>
      <c r="R64" s="169" t="str">
        <f t="shared" si="6"/>
        <v>II-0004.0022</v>
      </c>
      <c r="S64" s="162" t="str">
        <f t="shared" si="8"/>
        <v>RELLENO DE SOCAVACION</v>
      </c>
    </row>
    <row r="65" spans="1:19" x14ac:dyDescent="0.2">
      <c r="A65" s="168">
        <v>23</v>
      </c>
      <c r="B65" s="169" t="s">
        <v>1110</v>
      </c>
      <c r="C65" s="75" t="s">
        <v>1111</v>
      </c>
      <c r="D65" s="167" t="s">
        <v>973</v>
      </c>
      <c r="G65" s="162"/>
      <c r="H65" s="233"/>
      <c r="I65" s="179" t="s">
        <v>1112</v>
      </c>
      <c r="J65" s="220"/>
      <c r="K65" s="237" t="s">
        <v>1111</v>
      </c>
      <c r="L65" s="220"/>
      <c r="M65" s="220"/>
      <c r="N65" s="220"/>
      <c r="O65" s="236" t="s">
        <v>973</v>
      </c>
      <c r="P65" s="162"/>
      <c r="Q65" s="176">
        <v>23</v>
      </c>
      <c r="R65" s="169" t="str">
        <f t="shared" si="6"/>
        <v>II-0004.0023</v>
      </c>
      <c r="S65" s="162" t="str">
        <f t="shared" si="8"/>
        <v>REPARACION</v>
      </c>
    </row>
    <row r="66" spans="1:19" x14ac:dyDescent="0.2">
      <c r="A66" s="168">
        <v>24</v>
      </c>
      <c r="B66" s="161" t="s">
        <v>1113</v>
      </c>
      <c r="C66" s="75" t="s">
        <v>1114</v>
      </c>
      <c r="D66" s="167" t="s">
        <v>973</v>
      </c>
      <c r="G66" s="162"/>
      <c r="H66" s="233"/>
      <c r="I66" s="179" t="s">
        <v>889</v>
      </c>
      <c r="J66" s="220"/>
      <c r="K66" s="237" t="s">
        <v>1114</v>
      </c>
      <c r="L66" s="220"/>
      <c r="M66" s="220"/>
      <c r="N66" s="220"/>
      <c r="O66" s="236" t="s">
        <v>973</v>
      </c>
      <c r="P66" s="162"/>
      <c r="Q66" s="176">
        <v>24</v>
      </c>
      <c r="R66" s="169" t="str">
        <f t="shared" si="6"/>
        <v>II-0004.0024</v>
      </c>
      <c r="S66" s="162" t="str">
        <f t="shared" si="8"/>
        <v>RETIRO Y RECOLOCACION</v>
      </c>
    </row>
    <row r="67" spans="1:19" ht="15.75" thickBot="1" x14ac:dyDescent="0.25">
      <c r="A67" s="168">
        <v>25</v>
      </c>
      <c r="B67" s="161" t="s">
        <v>1115</v>
      </c>
      <c r="C67" s="75" t="s">
        <v>1116</v>
      </c>
      <c r="D67" s="167" t="s">
        <v>973</v>
      </c>
      <c r="G67" s="162"/>
      <c r="H67" s="238"/>
      <c r="I67" s="205" t="s">
        <v>1117</v>
      </c>
      <c r="J67" s="208"/>
      <c r="K67" s="239" t="s">
        <v>1116</v>
      </c>
      <c r="L67" s="208"/>
      <c r="M67" s="208"/>
      <c r="N67" s="208"/>
      <c r="O67" s="240" t="s">
        <v>973</v>
      </c>
      <c r="P67" s="162"/>
      <c r="Q67" s="176">
        <v>25</v>
      </c>
      <c r="R67" s="169" t="str">
        <f t="shared" si="6"/>
        <v>II-0004.0025</v>
      </c>
      <c r="S67" s="162" t="str">
        <f t="shared" si="8"/>
        <v xml:space="preserve">RETIRO </v>
      </c>
    </row>
    <row r="68" spans="1:19" ht="16.5" thickTop="1" thickBot="1" x14ac:dyDescent="0.25">
      <c r="A68" s="168"/>
      <c r="B68" s="161"/>
      <c r="C68" s="186"/>
      <c r="D68" s="167"/>
      <c r="G68" s="162"/>
      <c r="H68" s="178"/>
      <c r="I68" s="167"/>
      <c r="J68" s="162"/>
      <c r="K68" s="177"/>
      <c r="L68" s="162"/>
      <c r="M68" s="162"/>
      <c r="N68" s="162"/>
      <c r="O68" s="214"/>
      <c r="P68" s="162"/>
      <c r="Q68" s="176"/>
      <c r="R68" s="169"/>
      <c r="S68" s="162"/>
    </row>
    <row r="69" spans="1:19" ht="15.75" thickTop="1" x14ac:dyDescent="0.2">
      <c r="A69" s="168">
        <v>5</v>
      </c>
      <c r="B69" s="169" t="s">
        <v>1118</v>
      </c>
      <c r="C69" s="75" t="s">
        <v>1119</v>
      </c>
      <c r="D69" s="167"/>
      <c r="G69" s="162"/>
      <c r="H69" s="200">
        <v>5</v>
      </c>
      <c r="I69" s="202"/>
      <c r="J69" s="212"/>
      <c r="K69" s="241" t="s">
        <v>1119</v>
      </c>
      <c r="L69" s="212"/>
      <c r="M69" s="212"/>
      <c r="N69" s="212"/>
      <c r="O69" s="222"/>
      <c r="P69" s="162"/>
      <c r="Q69" s="176">
        <f>H69</f>
        <v>5</v>
      </c>
      <c r="R69" s="167" t="str">
        <f>CONCATENATE("II-",TEXT(Q69,"0000"))</f>
        <v>II-0005</v>
      </c>
      <c r="S69" s="177" t="str">
        <f>K69</f>
        <v>ALCANTARILLAS HORMIGON</v>
      </c>
    </row>
    <row r="70" spans="1:19" x14ac:dyDescent="0.2">
      <c r="A70" s="168"/>
      <c r="B70" s="169"/>
      <c r="C70" s="75"/>
      <c r="D70" s="167"/>
      <c r="G70" s="162"/>
      <c r="H70" s="178"/>
      <c r="I70" s="179" t="s">
        <v>997</v>
      </c>
      <c r="J70" s="182"/>
      <c r="K70" s="177" t="s">
        <v>1093</v>
      </c>
      <c r="L70" s="162"/>
      <c r="M70" s="162"/>
      <c r="N70" s="162"/>
      <c r="O70" s="214"/>
      <c r="P70" s="162"/>
      <c r="Q70" s="162"/>
      <c r="R70" s="162"/>
      <c r="S70" s="162"/>
    </row>
    <row r="71" spans="1:19" x14ac:dyDescent="0.2">
      <c r="A71" s="168">
        <v>1</v>
      </c>
      <c r="B71" s="169" t="s">
        <v>1120</v>
      </c>
      <c r="C71" s="75" t="s">
        <v>1121</v>
      </c>
      <c r="D71" s="167" t="s">
        <v>973</v>
      </c>
      <c r="G71" s="162"/>
      <c r="H71" s="178"/>
      <c r="I71" s="167"/>
      <c r="J71" s="184">
        <v>1</v>
      </c>
      <c r="K71" s="162"/>
      <c r="L71" s="177" t="s">
        <v>1122</v>
      </c>
      <c r="M71" s="162"/>
      <c r="N71" s="162"/>
      <c r="O71" s="214" t="s">
        <v>973</v>
      </c>
      <c r="P71" s="162"/>
      <c r="Q71" s="176">
        <v>1</v>
      </c>
      <c r="R71" s="169" t="str">
        <f>CONCATENATE($R$69,".",TEXT(Q71,"0000"))</f>
        <v>II-0005.0001</v>
      </c>
      <c r="S71" s="162" t="str">
        <f>CONCATENATE($K$70," - TIPO ",L71)</f>
        <v>CIRCULAR - TIPO A-82</v>
      </c>
    </row>
    <row r="72" spans="1:19" x14ac:dyDescent="0.2">
      <c r="A72" s="168">
        <v>2</v>
      </c>
      <c r="B72" s="169" t="s">
        <v>1123</v>
      </c>
      <c r="C72" s="75" t="s">
        <v>1124</v>
      </c>
      <c r="D72" s="167" t="s">
        <v>973</v>
      </c>
      <c r="G72" s="162"/>
      <c r="H72" s="178"/>
      <c r="I72" s="192"/>
      <c r="J72" s="187">
        <v>2</v>
      </c>
      <c r="K72" s="188"/>
      <c r="L72" s="189" t="s">
        <v>1075</v>
      </c>
      <c r="M72" s="188"/>
      <c r="N72" s="188"/>
      <c r="O72" s="232" t="s">
        <v>973</v>
      </c>
      <c r="P72" s="162"/>
      <c r="Q72" s="176">
        <v>2</v>
      </c>
      <c r="R72" s="169" t="str">
        <f>CONCATENATE($R$69,".",TEXT(Q72,"0000"))</f>
        <v>II-0005.0002</v>
      </c>
      <c r="S72" s="162" t="str">
        <f>CONCATENATE($K$70," - TIPO ",L72)</f>
        <v>CIRCULAR - TIPO H-2993</v>
      </c>
    </row>
    <row r="73" spans="1:19" x14ac:dyDescent="0.2">
      <c r="A73" s="168"/>
      <c r="B73" s="161"/>
      <c r="C73" s="75"/>
      <c r="D73" s="167" t="s">
        <v>973</v>
      </c>
      <c r="G73" s="162"/>
      <c r="H73" s="178"/>
      <c r="I73" s="187" t="s">
        <v>1024</v>
      </c>
      <c r="J73" s="167"/>
      <c r="K73" s="177" t="s">
        <v>1125</v>
      </c>
      <c r="L73" s="177"/>
      <c r="M73" s="162"/>
      <c r="N73" s="162"/>
      <c r="O73" s="214" t="s">
        <v>973</v>
      </c>
      <c r="P73" s="162"/>
      <c r="Q73" s="162"/>
      <c r="R73" s="162"/>
      <c r="S73" s="162"/>
    </row>
    <row r="74" spans="1:19" x14ac:dyDescent="0.2">
      <c r="A74" s="168">
        <v>10</v>
      </c>
      <c r="B74" s="161" t="s">
        <v>1126</v>
      </c>
      <c r="C74" s="75" t="s">
        <v>1127</v>
      </c>
      <c r="D74" s="167" t="s">
        <v>973</v>
      </c>
      <c r="G74" s="162"/>
      <c r="H74" s="178"/>
      <c r="I74" s="167"/>
      <c r="J74" s="184">
        <v>1</v>
      </c>
      <c r="K74" s="162"/>
      <c r="L74" s="177" t="s">
        <v>1128</v>
      </c>
      <c r="M74" s="162"/>
      <c r="N74" s="162"/>
      <c r="O74" s="199" t="s">
        <v>973</v>
      </c>
      <c r="P74" s="162"/>
      <c r="Q74" s="176">
        <v>10</v>
      </c>
      <c r="R74" s="169" t="str">
        <f>CONCATENATE($R$69,".",TEXT(Q74,"0000"))</f>
        <v>II-0005.0010</v>
      </c>
      <c r="S74" s="162" t="str">
        <f>CONCATENATE($K$73," - TIPO ",L74)</f>
        <v>RECTANGULAR - TIPO H-1900-BIS-1</v>
      </c>
    </row>
    <row r="75" spans="1:19" x14ac:dyDescent="0.2">
      <c r="A75" s="168">
        <v>11</v>
      </c>
      <c r="B75" s="161" t="s">
        <v>1129</v>
      </c>
      <c r="C75" s="186" t="s">
        <v>1130</v>
      </c>
      <c r="D75" s="167" t="s">
        <v>973</v>
      </c>
      <c r="G75" s="162"/>
      <c r="H75" s="178"/>
      <c r="I75" s="167"/>
      <c r="J75" s="184">
        <v>2</v>
      </c>
      <c r="K75" s="162"/>
      <c r="L75" s="177" t="s">
        <v>1131</v>
      </c>
      <c r="M75" s="162"/>
      <c r="N75" s="162"/>
      <c r="O75" s="199" t="s">
        <v>973</v>
      </c>
      <c r="P75" s="162"/>
      <c r="Q75" s="176">
        <v>11</v>
      </c>
      <c r="R75" s="169" t="str">
        <f t="shared" ref="R75:R90" si="9">CONCATENATE($R$69,".",TEXT(Q75,"0000"))</f>
        <v>II-0005.0011</v>
      </c>
      <c r="S75" s="162" t="str">
        <f t="shared" ref="S75:S85" si="10">CONCATENATE($K$73," - TIPO ",L75)</f>
        <v>RECTANGULAR - TIPO O-41211-I</v>
      </c>
    </row>
    <row r="76" spans="1:19" x14ac:dyDescent="0.2">
      <c r="A76" s="168">
        <v>12</v>
      </c>
      <c r="B76" s="169" t="s">
        <v>1132</v>
      </c>
      <c r="C76" s="75" t="s">
        <v>1133</v>
      </c>
      <c r="D76" s="167" t="s">
        <v>973</v>
      </c>
      <c r="G76" s="162"/>
      <c r="H76" s="178"/>
      <c r="I76" s="167"/>
      <c r="J76" s="184">
        <v>3</v>
      </c>
      <c r="K76" s="162"/>
      <c r="L76" s="177" t="s">
        <v>1134</v>
      </c>
      <c r="M76" s="162"/>
      <c r="N76" s="162"/>
      <c r="O76" s="199" t="s">
        <v>973</v>
      </c>
      <c r="P76" s="162"/>
      <c r="Q76" s="176">
        <v>12</v>
      </c>
      <c r="R76" s="169" t="str">
        <f t="shared" si="9"/>
        <v>II-0005.0012</v>
      </c>
      <c r="S76" s="162" t="str">
        <f t="shared" si="10"/>
        <v>RECTANGULAR - TIPO Z-959</v>
      </c>
    </row>
    <row r="77" spans="1:19" x14ac:dyDescent="0.2">
      <c r="A77" s="168">
        <v>13</v>
      </c>
      <c r="B77" s="169" t="s">
        <v>1135</v>
      </c>
      <c r="C77" s="75" t="s">
        <v>1136</v>
      </c>
      <c r="D77" s="167" t="s">
        <v>973</v>
      </c>
      <c r="G77" s="162"/>
      <c r="H77" s="178"/>
      <c r="I77" s="167"/>
      <c r="J77" s="184">
        <v>4</v>
      </c>
      <c r="K77" s="162"/>
      <c r="L77" s="177" t="s">
        <v>1137</v>
      </c>
      <c r="M77" s="162"/>
      <c r="N77" s="162"/>
      <c r="O77" s="199" t="s">
        <v>973</v>
      </c>
      <c r="P77" s="162"/>
      <c r="Q77" s="176">
        <v>13</v>
      </c>
      <c r="R77" s="169" t="str">
        <f t="shared" si="9"/>
        <v>II-0005.0013</v>
      </c>
      <c r="S77" s="162" t="str">
        <f t="shared" si="10"/>
        <v>RECTANGULAR - TIPO Z-2915-I</v>
      </c>
    </row>
    <row r="78" spans="1:19" x14ac:dyDescent="0.2">
      <c r="A78" s="168">
        <v>14</v>
      </c>
      <c r="B78" s="169" t="s">
        <v>1138</v>
      </c>
      <c r="C78" s="75" t="s">
        <v>1139</v>
      </c>
      <c r="D78" s="167" t="s">
        <v>973</v>
      </c>
      <c r="G78" s="162"/>
      <c r="H78" s="178"/>
      <c r="I78" s="167"/>
      <c r="J78" s="184">
        <v>5</v>
      </c>
      <c r="K78" s="162"/>
      <c r="L78" s="177" t="s">
        <v>1140</v>
      </c>
      <c r="M78" s="162"/>
      <c r="N78" s="162"/>
      <c r="O78" s="199" t="s">
        <v>973</v>
      </c>
      <c r="P78" s="162"/>
      <c r="Q78" s="176">
        <v>14</v>
      </c>
      <c r="R78" s="169" t="str">
        <f t="shared" si="9"/>
        <v>II-0005.0014</v>
      </c>
      <c r="S78" s="162" t="str">
        <f t="shared" si="10"/>
        <v>RECTANGULAR - TIPO Z-2916-I</v>
      </c>
    </row>
    <row r="79" spans="1:19" x14ac:dyDescent="0.2">
      <c r="A79" s="168">
        <v>15</v>
      </c>
      <c r="B79" s="169" t="s">
        <v>1141</v>
      </c>
      <c r="C79" s="75" t="s">
        <v>1142</v>
      </c>
      <c r="D79" s="167" t="s">
        <v>973</v>
      </c>
      <c r="G79" s="162"/>
      <c r="H79" s="178"/>
      <c r="I79" s="167"/>
      <c r="J79" s="184">
        <v>6</v>
      </c>
      <c r="K79" s="162"/>
      <c r="L79" s="177" t="s">
        <v>1143</v>
      </c>
      <c r="M79" s="162"/>
      <c r="N79" s="162"/>
      <c r="O79" s="199" t="s">
        <v>973</v>
      </c>
      <c r="P79" s="162"/>
      <c r="Q79" s="176">
        <v>15</v>
      </c>
      <c r="R79" s="169" t="str">
        <f t="shared" si="9"/>
        <v>II-0005.0015</v>
      </c>
      <c r="S79" s="162" t="str">
        <f t="shared" si="10"/>
        <v>RECTANGULAR - TIPO A-505</v>
      </c>
    </row>
    <row r="80" spans="1:19" x14ac:dyDescent="0.2">
      <c r="A80" s="168">
        <v>16</v>
      </c>
      <c r="B80" s="161" t="s">
        <v>1144</v>
      </c>
      <c r="C80" s="75" t="s">
        <v>1145</v>
      </c>
      <c r="D80" s="167" t="s">
        <v>973</v>
      </c>
      <c r="G80" s="162"/>
      <c r="H80" s="178"/>
      <c r="I80" s="167"/>
      <c r="J80" s="184">
        <v>7</v>
      </c>
      <c r="K80" s="162"/>
      <c r="L80" s="177" t="s">
        <v>1146</v>
      </c>
      <c r="M80" s="162"/>
      <c r="N80" s="162"/>
      <c r="O80" s="199" t="s">
        <v>973</v>
      </c>
      <c r="P80" s="162"/>
      <c r="Q80" s="176">
        <v>16</v>
      </c>
      <c r="R80" s="169" t="str">
        <f t="shared" si="9"/>
        <v>II-0005.0016</v>
      </c>
      <c r="S80" s="162" t="str">
        <f t="shared" si="10"/>
        <v>RECTANGULAR - TIPO A-660</v>
      </c>
    </row>
    <row r="81" spans="1:19" x14ac:dyDescent="0.2">
      <c r="A81" s="168">
        <v>17</v>
      </c>
      <c r="B81" s="161" t="s">
        <v>1147</v>
      </c>
      <c r="C81" s="75" t="s">
        <v>1148</v>
      </c>
      <c r="D81" s="167" t="s">
        <v>973</v>
      </c>
      <c r="G81" s="162"/>
      <c r="H81" s="178"/>
      <c r="I81" s="167"/>
      <c r="J81" s="184">
        <v>8</v>
      </c>
      <c r="K81" s="162"/>
      <c r="L81" s="177" t="s">
        <v>1149</v>
      </c>
      <c r="M81" s="162"/>
      <c r="N81" s="162"/>
      <c r="O81" s="199" t="s">
        <v>973</v>
      </c>
      <c r="P81" s="162"/>
      <c r="Q81" s="176">
        <v>17</v>
      </c>
      <c r="R81" s="169" t="str">
        <f t="shared" si="9"/>
        <v>II-0005.0017</v>
      </c>
      <c r="S81" s="162" t="str">
        <f t="shared" si="10"/>
        <v>RECTANGULAR - TIPO O-41211-MODIFICADA</v>
      </c>
    </row>
    <row r="82" spans="1:19" x14ac:dyDescent="0.2">
      <c r="A82" s="168">
        <v>18</v>
      </c>
      <c r="B82" s="161" t="s">
        <v>1150</v>
      </c>
      <c r="C82" s="186" t="s">
        <v>1151</v>
      </c>
      <c r="D82" s="167" t="s">
        <v>973</v>
      </c>
      <c r="G82" s="162"/>
      <c r="H82" s="178"/>
      <c r="I82" s="167"/>
      <c r="J82" s="184">
        <v>9</v>
      </c>
      <c r="K82" s="162"/>
      <c r="L82" s="177" t="s">
        <v>1152</v>
      </c>
      <c r="M82" s="162"/>
      <c r="N82" s="162"/>
      <c r="O82" s="199" t="s">
        <v>973</v>
      </c>
      <c r="P82" s="162"/>
      <c r="Q82" s="176">
        <v>18</v>
      </c>
      <c r="R82" s="169" t="str">
        <f t="shared" si="9"/>
        <v>II-0005.0018</v>
      </c>
      <c r="S82" s="162" t="str">
        <f t="shared" si="10"/>
        <v>RECTANGULAR - TIPO X-1113</v>
      </c>
    </row>
    <row r="83" spans="1:19" x14ac:dyDescent="0.2">
      <c r="A83" s="168">
        <v>19</v>
      </c>
      <c r="B83" s="169" t="s">
        <v>1153</v>
      </c>
      <c r="C83" s="75" t="s">
        <v>1154</v>
      </c>
      <c r="D83" s="167" t="s">
        <v>973</v>
      </c>
      <c r="G83" s="162"/>
      <c r="H83" s="178"/>
      <c r="I83" s="167"/>
      <c r="J83" s="184">
        <v>10</v>
      </c>
      <c r="K83" s="162"/>
      <c r="L83" s="177" t="s">
        <v>1155</v>
      </c>
      <c r="M83" s="162"/>
      <c r="N83" s="162"/>
      <c r="O83" s="199" t="s">
        <v>973</v>
      </c>
      <c r="P83" s="162"/>
      <c r="Q83" s="176">
        <v>19</v>
      </c>
      <c r="R83" s="169" t="str">
        <f t="shared" si="9"/>
        <v>II-0005.0019</v>
      </c>
      <c r="S83" s="162" t="str">
        <f t="shared" si="10"/>
        <v>RECTANGULAR - TIPO 0-52229</v>
      </c>
    </row>
    <row r="84" spans="1:19" x14ac:dyDescent="0.2">
      <c r="A84" s="168">
        <v>20</v>
      </c>
      <c r="B84" s="169" t="s">
        <v>1156</v>
      </c>
      <c r="C84" s="75" t="s">
        <v>1157</v>
      </c>
      <c r="D84" s="167" t="s">
        <v>973</v>
      </c>
      <c r="G84" s="162"/>
      <c r="H84" s="178"/>
      <c r="I84" s="167"/>
      <c r="J84" s="184">
        <v>11</v>
      </c>
      <c r="K84" s="162"/>
      <c r="L84" s="177" t="s">
        <v>1158</v>
      </c>
      <c r="M84" s="162"/>
      <c r="N84" s="162"/>
      <c r="O84" s="199" t="s">
        <v>973</v>
      </c>
      <c r="P84" s="162"/>
      <c r="Q84" s="176">
        <v>20</v>
      </c>
      <c r="R84" s="169" t="str">
        <f t="shared" si="9"/>
        <v>II-0005.0020</v>
      </c>
      <c r="S84" s="162" t="str">
        <f t="shared" si="10"/>
        <v>RECTANGULAR - TIPO 0-52233</v>
      </c>
    </row>
    <row r="85" spans="1:19" x14ac:dyDescent="0.2">
      <c r="A85" s="168">
        <v>21</v>
      </c>
      <c r="B85" s="161" t="s">
        <v>1159</v>
      </c>
      <c r="C85" s="75" t="s">
        <v>1160</v>
      </c>
      <c r="D85" s="167" t="s">
        <v>973</v>
      </c>
      <c r="G85" s="162"/>
      <c r="H85" s="178"/>
      <c r="I85" s="192"/>
      <c r="J85" s="187">
        <v>12</v>
      </c>
      <c r="K85" s="162"/>
      <c r="L85" s="189" t="s">
        <v>1161</v>
      </c>
      <c r="M85" s="188"/>
      <c r="N85" s="188"/>
      <c r="O85" s="218" t="s">
        <v>973</v>
      </c>
      <c r="P85" s="162"/>
      <c r="Q85" s="176">
        <v>21</v>
      </c>
      <c r="R85" s="169" t="str">
        <f t="shared" si="9"/>
        <v>II-0005.0021</v>
      </c>
      <c r="S85" s="162" t="str">
        <f t="shared" si="10"/>
        <v>RECTANGULAR - TIPO 0-52241</v>
      </c>
    </row>
    <row r="86" spans="1:19" x14ac:dyDescent="0.2">
      <c r="A86" s="168">
        <v>30</v>
      </c>
      <c r="B86" s="161" t="s">
        <v>1162</v>
      </c>
      <c r="C86" s="75" t="s">
        <v>1104</v>
      </c>
      <c r="D86" s="167" t="s">
        <v>973</v>
      </c>
      <c r="G86" s="162"/>
      <c r="H86" s="178"/>
      <c r="I86" s="179" t="s">
        <v>1034</v>
      </c>
      <c r="J86" s="192"/>
      <c r="K86" s="237" t="s">
        <v>1104</v>
      </c>
      <c r="L86" s="189"/>
      <c r="M86" s="188"/>
      <c r="N86" s="188"/>
      <c r="O86" s="218" t="s">
        <v>973</v>
      </c>
      <c r="P86" s="162"/>
      <c r="Q86" s="176">
        <v>30</v>
      </c>
      <c r="R86" s="169" t="str">
        <f t="shared" si="9"/>
        <v>II-0005.0030</v>
      </c>
      <c r="S86" s="162" t="str">
        <f>CONCATENATE(K86)</f>
        <v>COLOCACION</v>
      </c>
    </row>
    <row r="87" spans="1:19" x14ac:dyDescent="0.2">
      <c r="A87" s="168">
        <v>31</v>
      </c>
      <c r="B87" s="161" t="s">
        <v>1163</v>
      </c>
      <c r="C87" s="186" t="s">
        <v>1101</v>
      </c>
      <c r="D87" s="167" t="s">
        <v>973</v>
      </c>
      <c r="G87" s="162"/>
      <c r="H87" s="178"/>
      <c r="I87" s="187" t="s">
        <v>1060</v>
      </c>
      <c r="J87" s="192"/>
      <c r="K87" s="177" t="s">
        <v>1101</v>
      </c>
      <c r="L87" s="189"/>
      <c r="M87" s="188"/>
      <c r="N87" s="188"/>
      <c r="O87" s="218" t="s">
        <v>973</v>
      </c>
      <c r="P87" s="162"/>
      <c r="Q87" s="176">
        <v>31</v>
      </c>
      <c r="R87" s="169" t="str">
        <f t="shared" si="9"/>
        <v>II-0005.0031</v>
      </c>
      <c r="S87" s="162" t="str">
        <f t="shared" ref="S87:S90" si="11">CONCATENATE(K87)</f>
        <v>PINTURA</v>
      </c>
    </row>
    <row r="88" spans="1:19" x14ac:dyDescent="0.2">
      <c r="A88" s="168">
        <v>32</v>
      </c>
      <c r="B88" s="169" t="s">
        <v>1164</v>
      </c>
      <c r="C88" s="75" t="s">
        <v>1165</v>
      </c>
      <c r="D88" s="242" t="s">
        <v>1108</v>
      </c>
      <c r="G88" s="162"/>
      <c r="H88" s="178"/>
      <c r="I88" s="187" t="s">
        <v>1102</v>
      </c>
      <c r="J88" s="192"/>
      <c r="K88" s="237" t="s">
        <v>1165</v>
      </c>
      <c r="L88" s="189"/>
      <c r="M88" s="188"/>
      <c r="N88" s="188"/>
      <c r="O88" s="243" t="s">
        <v>1108</v>
      </c>
      <c r="P88" s="162"/>
      <c r="Q88" s="176">
        <v>32</v>
      </c>
      <c r="R88" s="169" t="str">
        <f t="shared" si="9"/>
        <v>II-0005.0032</v>
      </c>
      <c r="S88" s="162" t="str">
        <f t="shared" si="11"/>
        <v>RELLENO SOCAVACION</v>
      </c>
    </row>
    <row r="89" spans="1:19" x14ac:dyDescent="0.2">
      <c r="A89" s="168">
        <v>33</v>
      </c>
      <c r="B89" s="169" t="s">
        <v>1166</v>
      </c>
      <c r="C89" s="75" t="s">
        <v>1111</v>
      </c>
      <c r="D89" s="167" t="s">
        <v>973</v>
      </c>
      <c r="G89" s="162"/>
      <c r="H89" s="178"/>
      <c r="I89" s="179" t="s">
        <v>1105</v>
      </c>
      <c r="J89" s="220"/>
      <c r="K89" s="237" t="s">
        <v>1111</v>
      </c>
      <c r="L89" s="220"/>
      <c r="M89" s="220"/>
      <c r="N89" s="220"/>
      <c r="O89" s="221" t="s">
        <v>973</v>
      </c>
      <c r="P89" s="162"/>
      <c r="Q89" s="176">
        <v>33</v>
      </c>
      <c r="R89" s="169" t="str">
        <f t="shared" si="9"/>
        <v>II-0005.0033</v>
      </c>
      <c r="S89" s="162" t="str">
        <f t="shared" si="11"/>
        <v>REPARACION</v>
      </c>
    </row>
    <row r="90" spans="1:19" ht="15.75" thickBot="1" x14ac:dyDescent="0.25">
      <c r="A90" s="168">
        <v>34</v>
      </c>
      <c r="B90" s="169" t="s">
        <v>1167</v>
      </c>
      <c r="C90" s="75" t="s">
        <v>1116</v>
      </c>
      <c r="D90" s="167" t="s">
        <v>973</v>
      </c>
      <c r="G90" s="162"/>
      <c r="H90" s="193"/>
      <c r="I90" s="205" t="s">
        <v>1109</v>
      </c>
      <c r="J90" s="196"/>
      <c r="K90" s="197" t="s">
        <v>1116</v>
      </c>
      <c r="L90" s="196"/>
      <c r="M90" s="196"/>
      <c r="N90" s="196"/>
      <c r="O90" s="244" t="s">
        <v>973</v>
      </c>
      <c r="P90" s="162"/>
      <c r="Q90" s="176">
        <v>34</v>
      </c>
      <c r="R90" s="169" t="str">
        <f t="shared" si="9"/>
        <v>II-0005.0034</v>
      </c>
      <c r="S90" s="162" t="str">
        <f t="shared" si="11"/>
        <v xml:space="preserve">RETIRO </v>
      </c>
    </row>
    <row r="91" spans="1:19" ht="16.5" thickTop="1" thickBot="1" x14ac:dyDescent="0.25">
      <c r="A91" s="168"/>
      <c r="B91" s="169"/>
      <c r="C91" s="75"/>
      <c r="D91" s="167"/>
      <c r="G91" s="162"/>
      <c r="H91" s="178"/>
      <c r="I91" s="167"/>
      <c r="J91" s="162"/>
      <c r="K91" s="177"/>
      <c r="L91" s="162"/>
      <c r="M91" s="162"/>
      <c r="N91" s="162"/>
      <c r="O91" s="199"/>
      <c r="P91" s="162"/>
      <c r="Q91" s="176"/>
      <c r="R91" s="169"/>
      <c r="S91" s="162"/>
    </row>
    <row r="92" spans="1:19" ht="15.75" thickTop="1" x14ac:dyDescent="0.2">
      <c r="A92" s="168">
        <v>6</v>
      </c>
      <c r="B92" s="169" t="s">
        <v>1168</v>
      </c>
      <c r="C92" s="75" t="s">
        <v>1169</v>
      </c>
      <c r="D92" s="167"/>
      <c r="G92" s="162"/>
      <c r="H92" s="245">
        <v>6</v>
      </c>
      <c r="I92" s="246"/>
      <c r="J92" s="247"/>
      <c r="K92" s="248" t="s">
        <v>1169</v>
      </c>
      <c r="L92" s="247"/>
      <c r="M92" s="247"/>
      <c r="N92" s="247"/>
      <c r="O92" s="249"/>
      <c r="P92" s="162"/>
      <c r="Q92" s="176">
        <f>H92</f>
        <v>6</v>
      </c>
      <c r="R92" s="167" t="str">
        <f>CONCATENATE("II-",TEXT(Q92,"0000"))</f>
        <v>II-0006</v>
      </c>
      <c r="S92" s="177" t="str">
        <f>K92</f>
        <v>APERTURA DE CAJA P/ ENSANCHE</v>
      </c>
    </row>
    <row r="93" spans="1:19" x14ac:dyDescent="0.2">
      <c r="A93" s="168">
        <v>1</v>
      </c>
      <c r="B93" s="169" t="s">
        <v>1170</v>
      </c>
      <c r="C93" s="75" t="s">
        <v>1066</v>
      </c>
      <c r="D93" s="167" t="s">
        <v>1108</v>
      </c>
      <c r="G93" s="162"/>
      <c r="H93" s="178"/>
      <c r="I93" s="179" t="s">
        <v>997</v>
      </c>
      <c r="J93" s="220"/>
      <c r="K93" s="237" t="s">
        <v>1066</v>
      </c>
      <c r="L93" s="220"/>
      <c r="M93" s="220"/>
      <c r="N93" s="220"/>
      <c r="O93" s="236" t="s">
        <v>1108</v>
      </c>
      <c r="P93" s="162"/>
      <c r="Q93" s="176">
        <v>1</v>
      </c>
      <c r="R93" s="169" t="str">
        <f>CONCATENATE($R$92,".",TEXT(Q93,"0000"))</f>
        <v>II-0006.0001</v>
      </c>
      <c r="S93" s="162" t="str">
        <f>CONCATENATE(K93)</f>
        <v>RETIRO</v>
      </c>
    </row>
    <row r="94" spans="1:19" ht="15.75" thickBot="1" x14ac:dyDescent="0.25">
      <c r="A94" s="168">
        <v>2</v>
      </c>
      <c r="B94" s="169" t="s">
        <v>1171</v>
      </c>
      <c r="C94" s="75" t="s">
        <v>1172</v>
      </c>
      <c r="D94" s="167" t="s">
        <v>1108</v>
      </c>
      <c r="G94" s="162"/>
      <c r="H94" s="178"/>
      <c r="I94" s="205" t="s">
        <v>1024</v>
      </c>
      <c r="J94" s="162"/>
      <c r="K94" s="177" t="s">
        <v>1172</v>
      </c>
      <c r="L94" s="162"/>
      <c r="M94" s="162"/>
      <c r="N94" s="162"/>
      <c r="O94" s="214" t="s">
        <v>1108</v>
      </c>
      <c r="P94" s="162"/>
      <c r="Q94" s="176">
        <v>2</v>
      </c>
      <c r="R94" s="169" t="str">
        <f>CONCATENATE($R$92,".",TEXT(Q94,"0000"))</f>
        <v>II-0006.0002</v>
      </c>
      <c r="S94" s="162" t="str">
        <f>CONCATENATE(K94)</f>
        <v>RETIRO Y COLOCACION</v>
      </c>
    </row>
    <row r="95" spans="1:19" ht="16.5" thickTop="1" thickBot="1" x14ac:dyDescent="0.25">
      <c r="A95" s="168"/>
      <c r="B95" s="161"/>
      <c r="C95" s="75"/>
      <c r="D95" s="167"/>
      <c r="G95" s="162"/>
      <c r="H95" s="178"/>
      <c r="I95" s="167"/>
      <c r="J95" s="162"/>
      <c r="K95" s="177"/>
      <c r="L95" s="162"/>
      <c r="M95" s="162"/>
      <c r="N95" s="162"/>
      <c r="O95" s="214"/>
      <c r="P95" s="162"/>
      <c r="Q95" s="176"/>
      <c r="R95" s="169"/>
      <c r="S95" s="162"/>
    </row>
    <row r="96" spans="1:19" ht="15.75" thickTop="1" x14ac:dyDescent="0.2">
      <c r="A96" s="168">
        <v>7</v>
      </c>
      <c r="B96" s="161" t="s">
        <v>1173</v>
      </c>
      <c r="C96" s="75" t="s">
        <v>1174</v>
      </c>
      <c r="D96" s="167"/>
      <c r="G96" s="162"/>
      <c r="H96" s="245">
        <v>7</v>
      </c>
      <c r="I96" s="201"/>
      <c r="J96" s="250"/>
      <c r="K96" s="251" t="s">
        <v>1174</v>
      </c>
      <c r="L96" s="250"/>
      <c r="M96" s="250"/>
      <c r="N96" s="250"/>
      <c r="O96" s="203"/>
      <c r="P96" s="162"/>
      <c r="Q96" s="176">
        <f>H96</f>
        <v>7</v>
      </c>
      <c r="R96" s="167" t="str">
        <f>CONCATENATE("II-",TEXT(Q96,"0000"))</f>
        <v>II-0007</v>
      </c>
      <c r="S96" s="177" t="str">
        <f>K96</f>
        <v>APOYO DE POLICLOROPENO SHARE 60</v>
      </c>
    </row>
    <row r="97" spans="1:19" x14ac:dyDescent="0.2">
      <c r="A97" s="168">
        <v>1</v>
      </c>
      <c r="B97" s="161" t="s">
        <v>1175</v>
      </c>
      <c r="C97" s="186" t="s">
        <v>1114</v>
      </c>
      <c r="D97" s="167" t="s">
        <v>1176</v>
      </c>
      <c r="G97" s="162"/>
      <c r="H97" s="178"/>
      <c r="I97" s="179" t="s">
        <v>997</v>
      </c>
      <c r="J97" s="220"/>
      <c r="K97" s="237" t="s">
        <v>1114</v>
      </c>
      <c r="L97" s="220"/>
      <c r="M97" s="220"/>
      <c r="N97" s="220"/>
      <c r="O97" s="221" t="s">
        <v>1176</v>
      </c>
      <c r="P97" s="162"/>
      <c r="Q97" s="176">
        <v>1</v>
      </c>
      <c r="R97" s="169" t="str">
        <f>CONCATENATE($R$96,".",TEXT(Q97,"0000"))</f>
        <v>II-0007.0001</v>
      </c>
      <c r="S97" s="162" t="str">
        <f>CONCATENATE(K97)</f>
        <v>RETIRO Y RECOLOCACION</v>
      </c>
    </row>
    <row r="98" spans="1:19" ht="15.75" thickBot="1" x14ac:dyDescent="0.25">
      <c r="A98" s="168">
        <v>2</v>
      </c>
      <c r="B98" s="169" t="s">
        <v>1177</v>
      </c>
      <c r="C98" s="75" t="s">
        <v>1111</v>
      </c>
      <c r="D98" s="167" t="s">
        <v>1176</v>
      </c>
      <c r="G98" s="162"/>
      <c r="H98" s="178"/>
      <c r="I98" s="195" t="s">
        <v>1024</v>
      </c>
      <c r="J98" s="162"/>
      <c r="K98" s="177" t="s">
        <v>1111</v>
      </c>
      <c r="L98" s="162"/>
      <c r="M98" s="162"/>
      <c r="N98" s="162"/>
      <c r="O98" s="244" t="s">
        <v>1176</v>
      </c>
      <c r="P98" s="162"/>
      <c r="Q98" s="176">
        <v>2</v>
      </c>
      <c r="R98" s="169" t="str">
        <f>CONCATENATE($R$96,".",TEXT(Q98,"0000"))</f>
        <v>II-0007.0002</v>
      </c>
      <c r="S98" s="162" t="str">
        <f>CONCATENATE(K98)</f>
        <v>REPARACION</v>
      </c>
    </row>
    <row r="99" spans="1:19" ht="16.5" thickTop="1" thickBot="1" x14ac:dyDescent="0.25">
      <c r="A99" s="168"/>
      <c r="B99" s="169"/>
      <c r="C99" s="75"/>
      <c r="D99" s="167"/>
      <c r="G99" s="162"/>
      <c r="H99" s="178"/>
      <c r="I99" s="167"/>
      <c r="J99" s="162"/>
      <c r="K99" s="177"/>
      <c r="L99" s="162"/>
      <c r="M99" s="162"/>
      <c r="N99" s="162"/>
      <c r="O99" s="199"/>
      <c r="P99" s="162"/>
      <c r="Q99" s="176"/>
      <c r="R99" s="169"/>
      <c r="S99" s="162"/>
    </row>
    <row r="100" spans="1:19" ht="16.5" thickTop="1" thickBot="1" x14ac:dyDescent="0.25">
      <c r="A100" s="168">
        <v>8</v>
      </c>
      <c r="B100" s="169" t="s">
        <v>1178</v>
      </c>
      <c r="C100" s="75" t="s">
        <v>1179</v>
      </c>
      <c r="D100" s="167" t="s">
        <v>1108</v>
      </c>
      <c r="G100" s="162"/>
      <c r="H100" s="252">
        <v>8</v>
      </c>
      <c r="I100" s="253"/>
      <c r="J100" s="254"/>
      <c r="K100" s="255" t="s">
        <v>1179</v>
      </c>
      <c r="L100" s="254"/>
      <c r="M100" s="254"/>
      <c r="N100" s="254"/>
      <c r="O100" s="256" t="s">
        <v>1108</v>
      </c>
      <c r="P100" s="162"/>
      <c r="Q100" s="176">
        <f>H100</f>
        <v>8</v>
      </c>
      <c r="R100" s="167" t="str">
        <f>CONCATENATE("II-",TEXT(Q100,"0000"))</f>
        <v>II-0008</v>
      </c>
      <c r="S100" s="177" t="str">
        <f>K100</f>
        <v>ARIDOS</v>
      </c>
    </row>
    <row r="101" spans="1:19" x14ac:dyDescent="0.2">
      <c r="A101" s="168"/>
      <c r="B101" s="169"/>
      <c r="C101" s="75"/>
      <c r="D101" s="167"/>
      <c r="G101" s="162"/>
      <c r="H101" s="230"/>
      <c r="I101" s="167"/>
      <c r="J101" s="162"/>
      <c r="K101" s="177"/>
      <c r="L101" s="162"/>
      <c r="M101" s="162"/>
      <c r="N101" s="162"/>
      <c r="O101" s="165"/>
      <c r="P101" s="162"/>
      <c r="Q101" s="162"/>
      <c r="R101" s="162"/>
      <c r="S101" s="162"/>
    </row>
    <row r="102" spans="1:19" x14ac:dyDescent="0.2">
      <c r="A102" s="168"/>
      <c r="B102" s="169"/>
      <c r="C102" s="75"/>
      <c r="D102" s="167"/>
      <c r="G102" s="162"/>
      <c r="H102" s="230"/>
      <c r="I102" s="167"/>
      <c r="J102" s="162"/>
      <c r="K102" s="177"/>
      <c r="L102" s="162"/>
      <c r="M102" s="162"/>
      <c r="N102" s="162"/>
      <c r="O102" s="165"/>
      <c r="P102" s="162"/>
      <c r="Q102" s="162"/>
      <c r="R102" s="162"/>
      <c r="S102" s="162"/>
    </row>
    <row r="103" spans="1:19" x14ac:dyDescent="0.2">
      <c r="A103" s="168"/>
      <c r="B103" s="161"/>
      <c r="C103" s="75"/>
      <c r="D103" s="167"/>
      <c r="G103" s="162"/>
      <c r="H103" s="230"/>
      <c r="I103" s="167"/>
      <c r="J103" s="162"/>
      <c r="K103" s="177"/>
      <c r="L103" s="162"/>
      <c r="M103" s="162"/>
      <c r="N103" s="162"/>
      <c r="O103" s="165"/>
      <c r="P103" s="162"/>
      <c r="Q103" s="162"/>
      <c r="R103" s="162"/>
      <c r="S103" s="162"/>
    </row>
    <row r="104" spans="1:19" x14ac:dyDescent="0.2">
      <c r="A104" s="168">
        <v>9</v>
      </c>
      <c r="B104" s="161" t="s">
        <v>1180</v>
      </c>
      <c r="C104" s="75" t="s">
        <v>1181</v>
      </c>
      <c r="D104" s="167"/>
      <c r="G104" s="162"/>
      <c r="H104" s="200">
        <v>9</v>
      </c>
      <c r="I104" s="202"/>
      <c r="J104" s="212"/>
      <c r="K104" s="257" t="s">
        <v>1181</v>
      </c>
      <c r="L104" s="212"/>
      <c r="M104" s="212"/>
      <c r="N104" s="212"/>
      <c r="O104" s="222"/>
      <c r="P104" s="162"/>
      <c r="Q104" s="176">
        <f>H104</f>
        <v>9</v>
      </c>
      <c r="R104" s="167" t="str">
        <f>CONCATENATE("II-",TEXT(Q104,"0000"))</f>
        <v>II-0009</v>
      </c>
      <c r="S104" s="177" t="str">
        <f>K104</f>
        <v>BACHEO DE PAVIMENTO ASFALTICO</v>
      </c>
    </row>
    <row r="105" spans="1:19" x14ac:dyDescent="0.2">
      <c r="A105" s="168"/>
      <c r="B105" s="161"/>
      <c r="C105" s="186"/>
      <c r="D105" s="167"/>
      <c r="G105" s="162"/>
      <c r="H105" s="178"/>
      <c r="I105" s="179" t="s">
        <v>997</v>
      </c>
      <c r="J105" s="162"/>
      <c r="K105" s="177" t="s">
        <v>1182</v>
      </c>
      <c r="L105" s="162"/>
      <c r="M105" s="162"/>
      <c r="N105" s="162"/>
      <c r="O105" s="214"/>
      <c r="P105" s="162"/>
      <c r="Q105" s="162"/>
      <c r="R105" s="162"/>
      <c r="S105" s="162"/>
    </row>
    <row r="106" spans="1:19" x14ac:dyDescent="0.2">
      <c r="A106" s="168">
        <v>1</v>
      </c>
      <c r="B106" s="169" t="s">
        <v>1183</v>
      </c>
      <c r="C106" s="75" t="s">
        <v>1184</v>
      </c>
      <c r="D106" s="167" t="s">
        <v>1108</v>
      </c>
      <c r="G106" s="162"/>
      <c r="H106" s="178"/>
      <c r="I106" s="167"/>
      <c r="J106" s="184">
        <v>1</v>
      </c>
      <c r="K106" s="177"/>
      <c r="L106" s="177" t="s">
        <v>1185</v>
      </c>
      <c r="M106" s="162"/>
      <c r="N106" s="162"/>
      <c r="O106" s="214" t="s">
        <v>1108</v>
      </c>
      <c r="P106" s="162"/>
      <c r="Q106" s="176">
        <v>1</v>
      </c>
      <c r="R106" s="169" t="str">
        <f>CONCATENATE($R$104,".",TEXT(Q106,"0000"))</f>
        <v>II-0009.0001</v>
      </c>
      <c r="S106" s="162" t="str">
        <f>CONCATENATE($K$105," CON ",L106)</f>
        <v>PROFUNDO CON MATERIAL PETREO Y SUELO</v>
      </c>
    </row>
    <row r="107" spans="1:19" x14ac:dyDescent="0.2">
      <c r="A107" s="168">
        <v>2</v>
      </c>
      <c r="B107" s="169" t="s">
        <v>1186</v>
      </c>
      <c r="C107" s="75" t="s">
        <v>1187</v>
      </c>
      <c r="D107" s="167" t="s">
        <v>1108</v>
      </c>
      <c r="G107" s="162"/>
      <c r="H107" s="178"/>
      <c r="I107" s="167"/>
      <c r="J107" s="184">
        <v>2</v>
      </c>
      <c r="K107" s="177"/>
      <c r="L107" s="177" t="s">
        <v>1188</v>
      </c>
      <c r="M107" s="162"/>
      <c r="N107" s="162"/>
      <c r="O107" s="214" t="s">
        <v>1108</v>
      </c>
      <c r="P107" s="162"/>
      <c r="Q107" s="176">
        <v>2</v>
      </c>
      <c r="R107" s="169" t="str">
        <f t="shared" ref="R107:R111" si="12">CONCATENATE($R$104,".",TEXT(Q107,"0000"))</f>
        <v>II-0009.0002</v>
      </c>
      <c r="S107" s="162" t="str">
        <f t="shared" ref="S107:S111" si="13">CONCATENATE($K$105," CON ",L107)</f>
        <v>PROFUNDO CON MEZCLA ASFALTICA</v>
      </c>
    </row>
    <row r="108" spans="1:19" x14ac:dyDescent="0.2">
      <c r="A108" s="168">
        <v>3</v>
      </c>
      <c r="B108" s="169" t="s">
        <v>1189</v>
      </c>
      <c r="C108" s="75" t="s">
        <v>1190</v>
      </c>
      <c r="D108" s="167" t="s">
        <v>1191</v>
      </c>
      <c r="G108" s="162"/>
      <c r="H108" s="178"/>
      <c r="I108" s="167"/>
      <c r="J108" s="184">
        <v>3</v>
      </c>
      <c r="K108" s="177"/>
      <c r="L108" s="177" t="s">
        <v>1192</v>
      </c>
      <c r="M108" s="162"/>
      <c r="N108" s="162"/>
      <c r="O108" s="214" t="s">
        <v>1191</v>
      </c>
      <c r="P108" s="162"/>
      <c r="Q108" s="176">
        <v>3</v>
      </c>
      <c r="R108" s="169" t="str">
        <f t="shared" si="12"/>
        <v>II-0009.0003</v>
      </c>
      <c r="S108" s="162" t="str">
        <f t="shared" si="13"/>
        <v>PROFUNDO CON SUELO CAL</v>
      </c>
    </row>
    <row r="109" spans="1:19" x14ac:dyDescent="0.2">
      <c r="A109" s="168">
        <v>4</v>
      </c>
      <c r="B109" s="169" t="s">
        <v>1193</v>
      </c>
      <c r="C109" s="75" t="s">
        <v>1194</v>
      </c>
      <c r="D109" s="167" t="s">
        <v>1191</v>
      </c>
      <c r="G109" s="162"/>
      <c r="H109" s="178"/>
      <c r="I109" s="167"/>
      <c r="J109" s="184">
        <v>4</v>
      </c>
      <c r="K109" s="177"/>
      <c r="L109" s="177" t="s">
        <v>1195</v>
      </c>
      <c r="M109" s="162"/>
      <c r="N109" s="162"/>
      <c r="O109" s="214" t="s">
        <v>1191</v>
      </c>
      <c r="P109" s="162"/>
      <c r="Q109" s="176">
        <v>4</v>
      </c>
      <c r="R109" s="169" t="str">
        <f t="shared" si="12"/>
        <v>II-0009.0004</v>
      </c>
      <c r="S109" s="162" t="str">
        <f t="shared" si="13"/>
        <v>PROFUNDO CON SUELO CEMENTO</v>
      </c>
    </row>
    <row r="110" spans="1:19" x14ac:dyDescent="0.2">
      <c r="A110" s="168">
        <v>5</v>
      </c>
      <c r="B110" s="169" t="s">
        <v>1196</v>
      </c>
      <c r="C110" s="75" t="s">
        <v>1197</v>
      </c>
      <c r="D110" s="167" t="s">
        <v>1191</v>
      </c>
      <c r="G110" s="162"/>
      <c r="H110" s="178"/>
      <c r="I110" s="167"/>
      <c r="J110" s="184">
        <v>5</v>
      </c>
      <c r="K110" s="177"/>
      <c r="L110" s="177" t="s">
        <v>1198</v>
      </c>
      <c r="M110" s="162"/>
      <c r="N110" s="162"/>
      <c r="O110" s="214" t="s">
        <v>1191</v>
      </c>
      <c r="P110" s="162"/>
      <c r="Q110" s="176">
        <v>5</v>
      </c>
      <c r="R110" s="169" t="str">
        <f t="shared" si="12"/>
        <v>II-0009.0005</v>
      </c>
      <c r="S110" s="162" t="str">
        <f t="shared" si="13"/>
        <v>PROFUNDO CON SUELO SELECCIONADO</v>
      </c>
    </row>
    <row r="111" spans="1:19" x14ac:dyDescent="0.2">
      <c r="A111" s="168">
        <v>6</v>
      </c>
      <c r="B111" s="169" t="s">
        <v>1199</v>
      </c>
      <c r="C111" s="75" t="s">
        <v>1200</v>
      </c>
      <c r="D111" s="167" t="s">
        <v>1191</v>
      </c>
      <c r="G111" s="162"/>
      <c r="H111" s="178"/>
      <c r="I111" s="192"/>
      <c r="J111" s="187">
        <v>6</v>
      </c>
      <c r="K111" s="189"/>
      <c r="L111" s="189" t="s">
        <v>1201</v>
      </c>
      <c r="M111" s="188"/>
      <c r="N111" s="188"/>
      <c r="O111" s="232" t="s">
        <v>1191</v>
      </c>
      <c r="P111" s="162"/>
      <c r="Q111" s="176">
        <v>6</v>
      </c>
      <c r="R111" s="169" t="str">
        <f t="shared" si="12"/>
        <v>II-0009.0006</v>
      </c>
      <c r="S111" s="162" t="str">
        <f t="shared" si="13"/>
        <v>PROFUNDO CON SUELO TRATADO C / CAL</v>
      </c>
    </row>
    <row r="112" spans="1:19" x14ac:dyDescent="0.2">
      <c r="A112" s="168"/>
      <c r="B112" s="75"/>
      <c r="C112" s="75"/>
      <c r="D112" s="167"/>
      <c r="G112" s="162"/>
      <c r="H112" s="178"/>
      <c r="I112" s="179" t="s">
        <v>1024</v>
      </c>
      <c r="J112" s="162"/>
      <c r="K112" s="177" t="s">
        <v>1202</v>
      </c>
      <c r="L112" s="162"/>
      <c r="M112" s="162"/>
      <c r="N112" s="162"/>
      <c r="O112" s="214"/>
      <c r="P112" s="162"/>
      <c r="Q112" s="162"/>
      <c r="R112" s="162"/>
      <c r="S112" s="162"/>
    </row>
    <row r="113" spans="1:19" ht="15.75" thickBot="1" x14ac:dyDescent="0.25">
      <c r="A113" s="168">
        <v>10</v>
      </c>
      <c r="B113" s="161" t="s">
        <v>1203</v>
      </c>
      <c r="C113" s="75" t="s">
        <v>1204</v>
      </c>
      <c r="D113" s="167" t="s">
        <v>1108</v>
      </c>
      <c r="G113" s="162"/>
      <c r="H113" s="193"/>
      <c r="I113" s="194"/>
      <c r="J113" s="195">
        <v>2</v>
      </c>
      <c r="K113" s="197"/>
      <c r="L113" s="197" t="s">
        <v>1188</v>
      </c>
      <c r="M113" s="196"/>
      <c r="N113" s="196"/>
      <c r="O113" s="258" t="s">
        <v>1108</v>
      </c>
      <c r="P113" s="162"/>
      <c r="Q113" s="176">
        <v>10</v>
      </c>
      <c r="R113" s="169" t="str">
        <f>CONCATENATE($R$104,".",TEXT(Q113,"0000"))</f>
        <v>II-0009.0010</v>
      </c>
      <c r="S113" s="162" t="str">
        <f>CONCATENATE($K$112," CON ",L113)</f>
        <v>SUPERFICIAL CON MEZCLA ASFALTICA</v>
      </c>
    </row>
    <row r="114" spans="1:19" ht="15.75" thickTop="1" x14ac:dyDescent="0.2">
      <c r="A114" s="168"/>
      <c r="B114" s="161"/>
      <c r="C114" s="186"/>
      <c r="D114" s="167"/>
      <c r="G114" s="162"/>
      <c r="H114" s="178"/>
      <c r="I114" s="167"/>
      <c r="J114" s="167"/>
      <c r="K114" s="177"/>
      <c r="L114" s="177"/>
      <c r="M114" s="162"/>
      <c r="N114" s="162"/>
      <c r="O114" s="214"/>
      <c r="P114" s="162"/>
      <c r="Q114" s="176"/>
      <c r="R114" s="169"/>
      <c r="S114" s="162"/>
    </row>
    <row r="115" spans="1:19" x14ac:dyDescent="0.2">
      <c r="A115" s="168">
        <v>10</v>
      </c>
      <c r="B115" s="169" t="s">
        <v>1205</v>
      </c>
      <c r="C115" s="75" t="s">
        <v>1206</v>
      </c>
      <c r="D115" s="167"/>
      <c r="G115" s="162"/>
      <c r="H115" s="200">
        <v>10</v>
      </c>
      <c r="I115" s="202"/>
      <c r="J115" s="212"/>
      <c r="K115" s="257" t="s">
        <v>1206</v>
      </c>
      <c r="L115" s="212"/>
      <c r="M115" s="212"/>
      <c r="N115" s="212"/>
      <c r="O115" s="222"/>
      <c r="P115" s="162"/>
      <c r="Q115" s="176">
        <f>H115</f>
        <v>10</v>
      </c>
      <c r="R115" s="167" t="str">
        <f>CONCATENATE("II-",TEXT(Q115,"0000"))</f>
        <v>II-0010</v>
      </c>
      <c r="S115" s="177" t="str">
        <f>K115</f>
        <v>BADEN</v>
      </c>
    </row>
    <row r="116" spans="1:19" x14ac:dyDescent="0.2">
      <c r="A116" s="168"/>
      <c r="B116" s="169"/>
      <c r="C116" s="75"/>
      <c r="D116" s="167"/>
      <c r="G116" s="162"/>
      <c r="H116" s="178"/>
      <c r="I116" s="179" t="s">
        <v>997</v>
      </c>
      <c r="J116" s="162"/>
      <c r="K116" s="177" t="s">
        <v>1207</v>
      </c>
      <c r="L116" s="162"/>
      <c r="M116" s="162"/>
      <c r="N116" s="162"/>
      <c r="O116" s="214"/>
      <c r="P116" s="162"/>
      <c r="Q116" s="162"/>
      <c r="R116" s="162"/>
      <c r="S116" s="162"/>
    </row>
    <row r="117" spans="1:19" x14ac:dyDescent="0.2">
      <c r="A117" s="168">
        <v>1</v>
      </c>
      <c r="B117" s="169" t="s">
        <v>1208</v>
      </c>
      <c r="C117" s="75" t="s">
        <v>1209</v>
      </c>
      <c r="D117" s="167" t="s">
        <v>1108</v>
      </c>
      <c r="G117" s="162"/>
      <c r="H117" s="178"/>
      <c r="I117" s="167"/>
      <c r="J117" s="184">
        <v>1</v>
      </c>
      <c r="K117" s="162"/>
      <c r="L117" s="177" t="s">
        <v>1210</v>
      </c>
      <c r="M117" s="162"/>
      <c r="N117" s="162"/>
      <c r="O117" s="214" t="s">
        <v>1108</v>
      </c>
      <c r="P117" s="162"/>
      <c r="Q117" s="176">
        <v>1</v>
      </c>
      <c r="R117" s="169" t="str">
        <f>CONCATENATE($R$115,".",TEXT(Q117,"0000"))</f>
        <v>II-0010.0001</v>
      </c>
      <c r="S117" s="162" t="str">
        <f>CONCATENATE($K$116," - TIPO ",L117)</f>
        <v>Hº  SIMPLE - TIPO A-2862</v>
      </c>
    </row>
    <row r="118" spans="1:19" x14ac:dyDescent="0.2">
      <c r="A118" s="168">
        <v>2</v>
      </c>
      <c r="B118" s="169" t="s">
        <v>1211</v>
      </c>
      <c r="C118" s="75" t="s">
        <v>1212</v>
      </c>
      <c r="D118" s="167" t="s">
        <v>1108</v>
      </c>
      <c r="G118" s="162"/>
      <c r="H118" s="178"/>
      <c r="I118" s="167"/>
      <c r="J118" s="187">
        <v>2</v>
      </c>
      <c r="K118" s="188"/>
      <c r="L118" s="189" t="s">
        <v>1213</v>
      </c>
      <c r="M118" s="188"/>
      <c r="N118" s="188"/>
      <c r="O118" s="232" t="s">
        <v>1108</v>
      </c>
      <c r="P118" s="162"/>
      <c r="Q118" s="176">
        <v>2</v>
      </c>
      <c r="R118" s="169" t="str">
        <f>CONCATENATE($R$115,".",TEXT(Q118,"0000"))</f>
        <v>II-0010.0002</v>
      </c>
      <c r="S118" s="162" t="str">
        <f>CONCATENATE($K$116," - TIPO ",L118)</f>
        <v>Hº  SIMPLE - TIPO H-8621</v>
      </c>
    </row>
    <row r="119" spans="1:19" x14ac:dyDescent="0.2">
      <c r="A119" s="168"/>
      <c r="B119" s="169"/>
      <c r="C119" s="75"/>
      <c r="D119" s="167"/>
      <c r="G119" s="162"/>
      <c r="H119" s="178"/>
      <c r="I119" s="179" t="s">
        <v>1024</v>
      </c>
      <c r="J119" s="162"/>
      <c r="K119" s="177" t="s">
        <v>1214</v>
      </c>
      <c r="L119" s="162"/>
      <c r="M119" s="162"/>
      <c r="N119" s="162"/>
      <c r="O119" s="214"/>
      <c r="P119" s="162"/>
      <c r="Q119" s="162"/>
      <c r="R119" s="162"/>
      <c r="S119" s="162"/>
    </row>
    <row r="120" spans="1:19" x14ac:dyDescent="0.2">
      <c r="A120" s="168">
        <v>10</v>
      </c>
      <c r="B120" s="169" t="s">
        <v>1215</v>
      </c>
      <c r="C120" s="75" t="s">
        <v>1216</v>
      </c>
      <c r="D120" s="167" t="s">
        <v>1108</v>
      </c>
      <c r="G120" s="162"/>
      <c r="H120" s="178"/>
      <c r="I120" s="192"/>
      <c r="J120" s="187">
        <v>1</v>
      </c>
      <c r="K120" s="188"/>
      <c r="L120" s="189" t="s">
        <v>1217</v>
      </c>
      <c r="M120" s="188"/>
      <c r="N120" s="188"/>
      <c r="O120" s="232" t="s">
        <v>1108</v>
      </c>
      <c r="P120" s="162"/>
      <c r="Q120" s="176">
        <v>10</v>
      </c>
      <c r="R120" s="169" t="str">
        <f>CONCATENATE($R$115,".",TEXT(Q120,"0000"))</f>
        <v>II-0010.0010</v>
      </c>
      <c r="S120" s="162" t="str">
        <f>CONCATENATE($K$119," - TIPO ",L120)</f>
        <v>Hº ARMADO - TIPO V-331</v>
      </c>
    </row>
    <row r="121" spans="1:19" ht="15.75" thickBot="1" x14ac:dyDescent="0.25">
      <c r="A121" s="168"/>
      <c r="B121" s="169"/>
      <c r="C121" s="75"/>
      <c r="D121" s="167" t="s">
        <v>1108</v>
      </c>
      <c r="G121" s="162"/>
      <c r="H121" s="193"/>
      <c r="I121" s="195" t="s">
        <v>1034</v>
      </c>
      <c r="J121" s="196"/>
      <c r="K121" s="197" t="s">
        <v>1025</v>
      </c>
      <c r="L121" s="196"/>
      <c r="M121" s="196"/>
      <c r="N121" s="196"/>
      <c r="O121" s="258" t="s">
        <v>1108</v>
      </c>
      <c r="P121" s="162"/>
      <c r="Q121" s="162"/>
      <c r="R121" s="162"/>
      <c r="S121" s="162"/>
    </row>
    <row r="122" spans="1:19" ht="15.75" thickTop="1" x14ac:dyDescent="0.2">
      <c r="A122" s="168">
        <v>11</v>
      </c>
      <c r="B122" s="169" t="s">
        <v>1218</v>
      </c>
      <c r="C122" s="75" t="s">
        <v>1219</v>
      </c>
      <c r="D122" s="167"/>
      <c r="G122" s="162"/>
      <c r="H122" s="200">
        <v>11</v>
      </c>
      <c r="I122" s="202"/>
      <c r="J122" s="212"/>
      <c r="K122" s="257" t="s">
        <v>1219</v>
      </c>
      <c r="L122" s="212"/>
      <c r="M122" s="212"/>
      <c r="N122" s="212"/>
      <c r="O122" s="222"/>
      <c r="P122" s="162"/>
      <c r="Q122" s="176">
        <f>H122</f>
        <v>11</v>
      </c>
      <c r="R122" s="167" t="str">
        <f>CONCATENATE("II-",TEXT(Q122,"0000"))</f>
        <v>II-0011</v>
      </c>
      <c r="S122" s="177" t="str">
        <f>K122</f>
        <v>BAJADA DE AGUA</v>
      </c>
    </row>
    <row r="123" spans="1:19" x14ac:dyDescent="0.2">
      <c r="A123" s="168">
        <v>1</v>
      </c>
      <c r="B123" s="169" t="s">
        <v>1220</v>
      </c>
      <c r="C123" s="75" t="s">
        <v>1221</v>
      </c>
      <c r="D123" s="167" t="s">
        <v>973</v>
      </c>
      <c r="G123" s="162"/>
      <c r="H123" s="213"/>
      <c r="I123" s="179" t="s">
        <v>997</v>
      </c>
      <c r="J123" s="220"/>
      <c r="K123" s="237" t="s">
        <v>1221</v>
      </c>
      <c r="L123" s="220"/>
      <c r="M123" s="220"/>
      <c r="N123" s="220"/>
      <c r="O123" s="236" t="s">
        <v>973</v>
      </c>
      <c r="P123" s="162"/>
      <c r="Q123" s="176">
        <v>1</v>
      </c>
      <c r="R123" s="169" t="str">
        <f>CONCATENATE($R$122,".",TEXT(Q123,"0000"))</f>
        <v>II-0011.0001</v>
      </c>
      <c r="S123" s="162" t="str">
        <f>CONCATENATE($K$123)</f>
        <v>METALICA</v>
      </c>
    </row>
    <row r="124" spans="1:19" x14ac:dyDescent="0.2">
      <c r="A124" s="168"/>
      <c r="B124" s="169"/>
      <c r="C124" s="75"/>
      <c r="D124" s="167"/>
      <c r="G124" s="162"/>
      <c r="H124" s="178"/>
      <c r="I124" s="179" t="s">
        <v>1024</v>
      </c>
      <c r="J124" s="162"/>
      <c r="K124" s="177" t="s">
        <v>1222</v>
      </c>
      <c r="L124" s="162"/>
      <c r="M124" s="162"/>
      <c r="N124" s="162"/>
      <c r="O124" s="214"/>
      <c r="P124" s="162"/>
      <c r="Q124" s="162"/>
      <c r="R124" s="162"/>
      <c r="S124" s="162"/>
    </row>
    <row r="125" spans="1:19" x14ac:dyDescent="0.2">
      <c r="A125" s="168">
        <v>10</v>
      </c>
      <c r="B125" s="169" t="s">
        <v>1223</v>
      </c>
      <c r="C125" s="75" t="s">
        <v>1224</v>
      </c>
      <c r="D125" s="167" t="s">
        <v>1225</v>
      </c>
      <c r="G125" s="162"/>
      <c r="H125" s="178"/>
      <c r="I125" s="167"/>
      <c r="J125" s="184">
        <v>1</v>
      </c>
      <c r="K125" s="162"/>
      <c r="L125" s="177" t="s">
        <v>1226</v>
      </c>
      <c r="M125" s="162"/>
      <c r="N125" s="162"/>
      <c r="O125" s="214" t="s">
        <v>1225</v>
      </c>
      <c r="P125" s="162"/>
      <c r="Q125" s="176">
        <v>10</v>
      </c>
      <c r="R125" s="169" t="str">
        <f>CONCATENATE($R$122,".",TEXT(Q125,"0000"))</f>
        <v>II-0011.0010</v>
      </c>
      <c r="S125" s="162" t="str">
        <f>CONCATENATE($K$124," - TIPO ",L125)</f>
        <v>HORMIGON - TIPO H-8558</v>
      </c>
    </row>
    <row r="126" spans="1:19" x14ac:dyDescent="0.2">
      <c r="A126" s="168">
        <v>11</v>
      </c>
      <c r="B126" s="169" t="s">
        <v>1227</v>
      </c>
      <c r="C126" s="75" t="s">
        <v>1228</v>
      </c>
      <c r="D126" s="167" t="s">
        <v>1225</v>
      </c>
      <c r="G126" s="162"/>
      <c r="H126" s="178"/>
      <c r="I126" s="167"/>
      <c r="J126" s="184">
        <v>2</v>
      </c>
      <c r="K126" s="162"/>
      <c r="L126" s="177" t="s">
        <v>1229</v>
      </c>
      <c r="M126" s="162"/>
      <c r="N126" s="162"/>
      <c r="O126" s="214" t="s">
        <v>1225</v>
      </c>
      <c r="P126" s="162"/>
      <c r="Q126" s="176">
        <v>11</v>
      </c>
      <c r="R126" s="169" t="str">
        <f>CONCATENATE($R$122,".",TEXT(Q126,"0000"))</f>
        <v>II-0011.0011</v>
      </c>
      <c r="S126" s="162" t="str">
        <f t="shared" ref="S126:S127" si="14">CONCATENATE($K$124," - TIPO ",L126)</f>
        <v>HORMIGON - TIPO H-2350</v>
      </c>
    </row>
    <row r="127" spans="1:19" x14ac:dyDescent="0.2">
      <c r="A127" s="168">
        <v>12</v>
      </c>
      <c r="B127" s="169" t="s">
        <v>1230</v>
      </c>
      <c r="C127" s="75" t="s">
        <v>1231</v>
      </c>
      <c r="D127" s="167" t="s">
        <v>1225</v>
      </c>
      <c r="G127" s="162"/>
      <c r="H127" s="178"/>
      <c r="I127" s="167"/>
      <c r="J127" s="187">
        <v>3</v>
      </c>
      <c r="K127" s="162"/>
      <c r="L127" s="177" t="s">
        <v>1232</v>
      </c>
      <c r="M127" s="162"/>
      <c r="N127" s="162"/>
      <c r="O127" s="214" t="s">
        <v>1225</v>
      </c>
      <c r="P127" s="162"/>
      <c r="Q127" s="176">
        <v>12</v>
      </c>
      <c r="R127" s="169" t="str">
        <f>CONCATENATE($R$122,".",TEXT(Q127,"0000"))</f>
        <v>II-0011.0012</v>
      </c>
      <c r="S127" s="162" t="str">
        <f t="shared" si="14"/>
        <v>HORMIGON - TIPO H-7691</v>
      </c>
    </row>
    <row r="128" spans="1:19" x14ac:dyDescent="0.2">
      <c r="A128" s="168">
        <v>12</v>
      </c>
      <c r="B128" s="161" t="s">
        <v>1230</v>
      </c>
      <c r="C128" s="75" t="s">
        <v>1066</v>
      </c>
      <c r="D128" s="167" t="s">
        <v>1233</v>
      </c>
      <c r="G128" s="162"/>
      <c r="H128" s="178"/>
      <c r="I128" s="179" t="s">
        <v>1034</v>
      </c>
      <c r="J128" s="220"/>
      <c r="K128" s="237" t="s">
        <v>1066</v>
      </c>
      <c r="L128" s="220"/>
      <c r="M128" s="220"/>
      <c r="N128" s="220"/>
      <c r="O128" s="236" t="s">
        <v>1233</v>
      </c>
      <c r="P128" s="162"/>
      <c r="Q128" s="176">
        <v>12</v>
      </c>
      <c r="R128" s="169" t="str">
        <f>CONCATENATE($R$122,".",TEXT(Q128,"0000"))</f>
        <v>II-0011.0012</v>
      </c>
      <c r="S128" s="162" t="str">
        <f>CONCATENATE($K$128)</f>
        <v>RETIRO</v>
      </c>
    </row>
    <row r="129" spans="1:19" ht="15.75" thickBot="1" x14ac:dyDescent="0.25">
      <c r="A129" s="168">
        <v>12</v>
      </c>
      <c r="B129" s="161" t="s">
        <v>1230</v>
      </c>
      <c r="C129" s="75" t="s">
        <v>1234</v>
      </c>
      <c r="D129" s="167" t="s">
        <v>1233</v>
      </c>
      <c r="G129" s="162"/>
      <c r="H129" s="193"/>
      <c r="I129" s="205" t="s">
        <v>1060</v>
      </c>
      <c r="J129" s="208"/>
      <c r="K129" s="239" t="s">
        <v>1234</v>
      </c>
      <c r="L129" s="208"/>
      <c r="M129" s="208"/>
      <c r="N129" s="208"/>
      <c r="O129" s="240" t="s">
        <v>1233</v>
      </c>
      <c r="P129" s="162"/>
      <c r="Q129" s="176">
        <v>12</v>
      </c>
      <c r="R129" s="169" t="str">
        <f>CONCATENATE($R$122,".",TEXT(Q129,"0000"))</f>
        <v>II-0011.0012</v>
      </c>
      <c r="S129" s="162" t="str">
        <f>CONCATENATE($K$129)</f>
        <v>RETIRO,REPARACION, RECOLOCACION</v>
      </c>
    </row>
    <row r="130" spans="1:19" ht="15.75" thickTop="1" x14ac:dyDescent="0.2">
      <c r="A130" s="168"/>
      <c r="B130" s="161"/>
      <c r="C130" s="186"/>
      <c r="D130" s="167"/>
      <c r="G130" s="162"/>
      <c r="H130" s="178"/>
      <c r="I130" s="167"/>
      <c r="J130" s="162"/>
      <c r="K130" s="177"/>
      <c r="L130" s="162"/>
      <c r="M130" s="162"/>
      <c r="N130" s="162"/>
      <c r="O130" s="214"/>
      <c r="P130" s="162"/>
      <c r="Q130" s="162"/>
      <c r="R130" s="162"/>
      <c r="S130" s="162"/>
    </row>
    <row r="131" spans="1:19" x14ac:dyDescent="0.2">
      <c r="A131" s="168">
        <v>12</v>
      </c>
      <c r="B131" s="169" t="s">
        <v>1235</v>
      </c>
      <c r="C131" s="75" t="s">
        <v>1236</v>
      </c>
      <c r="D131" s="167"/>
      <c r="G131" s="162"/>
      <c r="H131" s="200">
        <v>12</v>
      </c>
      <c r="I131" s="202"/>
      <c r="J131" s="212"/>
      <c r="K131" s="257" t="s">
        <v>1236</v>
      </c>
      <c r="L131" s="212"/>
      <c r="M131" s="212"/>
      <c r="N131" s="212"/>
      <c r="O131" s="222"/>
      <c r="P131" s="162"/>
      <c r="Q131" s="176">
        <f>H131</f>
        <v>12</v>
      </c>
      <c r="R131" s="167" t="str">
        <f>CONCATENATE("II-",TEXT(Q131,"0000"))</f>
        <v>II-0012</v>
      </c>
      <c r="S131" s="177" t="str">
        <f>K131</f>
        <v>BANQUINA</v>
      </c>
    </row>
    <row r="132" spans="1:19" x14ac:dyDescent="0.2">
      <c r="A132" s="168">
        <v>1</v>
      </c>
      <c r="B132" s="169" t="str">
        <f>CONCATENATE($B$131,".",TEXT(A132,"0000"))</f>
        <v>II-0012.0001</v>
      </c>
      <c r="C132" s="162" t="str">
        <f>CONCATENATE($K$132)</f>
        <v xml:space="preserve">SUELO </v>
      </c>
      <c r="D132" s="167" t="s">
        <v>1108</v>
      </c>
      <c r="G132" s="162"/>
      <c r="H132" s="178"/>
      <c r="I132" s="179" t="s">
        <v>997</v>
      </c>
      <c r="J132" s="220"/>
      <c r="K132" s="237" t="s">
        <v>1237</v>
      </c>
      <c r="L132" s="220"/>
      <c r="M132" s="220"/>
      <c r="N132" s="220"/>
      <c r="O132" s="236" t="s">
        <v>1108</v>
      </c>
      <c r="P132" s="162"/>
      <c r="Q132" s="176">
        <v>1</v>
      </c>
      <c r="R132" s="169" t="str">
        <f>CONCATENATE($L$131,".",TEXT(Q132,"0000"))</f>
        <v>.0001</v>
      </c>
      <c r="S132" s="162" t="str">
        <f>CONCATENATE($E$132)</f>
        <v/>
      </c>
    </row>
    <row r="133" spans="1:19" x14ac:dyDescent="0.2">
      <c r="A133" s="168">
        <v>2</v>
      </c>
      <c r="B133" s="169" t="str">
        <f>CONCATENATE($B$131,".",TEXT(A133,"0000"))</f>
        <v>II-0012.0002</v>
      </c>
      <c r="C133" s="162" t="str">
        <f>CONCATENATE($K$132)</f>
        <v xml:space="preserve">SUELO </v>
      </c>
      <c r="D133" s="167" t="s">
        <v>1108</v>
      </c>
      <c r="G133" s="162"/>
      <c r="H133" s="178"/>
      <c r="I133" s="179" t="s">
        <v>1024</v>
      </c>
      <c r="J133" s="220"/>
      <c r="K133" s="237" t="s">
        <v>1238</v>
      </c>
      <c r="L133" s="220"/>
      <c r="M133" s="220"/>
      <c r="N133" s="220"/>
      <c r="O133" s="236" t="s">
        <v>1108</v>
      </c>
      <c r="P133" s="162"/>
      <c r="Q133" s="176">
        <v>2</v>
      </c>
      <c r="R133" s="169" t="str">
        <f>CONCATENATE($L$131,".",TEXT(Q133,"0000"))</f>
        <v>.0002</v>
      </c>
      <c r="S133" s="162" t="str">
        <f>CONCATENATE($E$133)</f>
        <v/>
      </c>
    </row>
    <row r="134" spans="1:19" x14ac:dyDescent="0.2">
      <c r="A134" s="168"/>
      <c r="B134" s="75"/>
      <c r="C134" s="75"/>
      <c r="D134" s="167"/>
      <c r="G134" s="162"/>
      <c r="H134" s="178"/>
      <c r="I134" s="179" t="s">
        <v>1034</v>
      </c>
      <c r="J134" s="162"/>
      <c r="K134" s="177" t="s">
        <v>1239</v>
      </c>
      <c r="L134" s="162"/>
      <c r="M134" s="162"/>
      <c r="N134" s="162"/>
      <c r="O134" s="214"/>
      <c r="P134" s="162"/>
      <c r="Q134" s="162"/>
      <c r="R134" s="162"/>
      <c r="S134" s="162"/>
    </row>
    <row r="135" spans="1:19" x14ac:dyDescent="0.2">
      <c r="A135" s="168">
        <v>3</v>
      </c>
      <c r="B135" s="169" t="str">
        <f t="shared" ref="B135:B136" si="15">CONCATENATE($B$131,".",TEXT(A135,"0000"))</f>
        <v>II-0012.0003</v>
      </c>
      <c r="C135" s="162" t="str">
        <f>CONCATENATE($K$134," - TIPO ",L135)</f>
        <v xml:space="preserve">PAVIMENTO - TIPO CARPETA </v>
      </c>
      <c r="D135" s="167" t="s">
        <v>1191</v>
      </c>
      <c r="G135" s="162"/>
      <c r="H135" s="178"/>
      <c r="I135" s="167"/>
      <c r="J135" s="184">
        <v>1</v>
      </c>
      <c r="K135" s="162"/>
      <c r="L135" s="177" t="s">
        <v>1240</v>
      </c>
      <c r="M135" s="162"/>
      <c r="N135" s="162"/>
      <c r="O135" s="214" t="s">
        <v>1191</v>
      </c>
      <c r="P135" s="162"/>
      <c r="Q135" s="176">
        <v>3</v>
      </c>
      <c r="R135" s="169" t="str">
        <f t="shared" ref="R135:R136" si="16">CONCATENATE($L$131,".",TEXT(Q135,"0000"))</f>
        <v>.0003</v>
      </c>
      <c r="S135" s="162" t="str">
        <f>CONCATENATE($E$134," TIPO ",L135)</f>
        <v xml:space="preserve"> TIPO CARPETA </v>
      </c>
    </row>
    <row r="136" spans="1:19" ht="15.75" thickBot="1" x14ac:dyDescent="0.25">
      <c r="A136" s="168">
        <v>4</v>
      </c>
      <c r="B136" s="169" t="str">
        <f t="shared" si="15"/>
        <v>II-0012.0004</v>
      </c>
      <c r="C136" s="162" t="str">
        <f>CONCATENATE($K$134," - TIPO ",L136)</f>
        <v>PAVIMENTO - TIPO TRATAMIENTO</v>
      </c>
      <c r="D136" s="167" t="s">
        <v>1191</v>
      </c>
      <c r="G136" s="162"/>
      <c r="H136" s="193"/>
      <c r="I136" s="194"/>
      <c r="J136" s="195">
        <v>2</v>
      </c>
      <c r="K136" s="196"/>
      <c r="L136" s="197" t="s">
        <v>1241</v>
      </c>
      <c r="M136" s="196"/>
      <c r="N136" s="196"/>
      <c r="O136" s="258" t="s">
        <v>1191</v>
      </c>
      <c r="P136" s="162"/>
      <c r="Q136" s="176">
        <v>4</v>
      </c>
      <c r="R136" s="169" t="str">
        <f t="shared" si="16"/>
        <v>.0004</v>
      </c>
      <c r="S136" s="162" t="str">
        <f>CONCATENATE($E$134," TIPO ",L136)</f>
        <v xml:space="preserve"> TIPO TRATAMIENTO</v>
      </c>
    </row>
    <row r="137" spans="1:19" ht="15.75" thickTop="1" x14ac:dyDescent="0.2">
      <c r="A137" s="168"/>
      <c r="B137" s="169"/>
      <c r="C137" s="75"/>
      <c r="D137" s="167"/>
      <c r="G137" s="162"/>
      <c r="H137" s="178"/>
      <c r="I137" s="167"/>
      <c r="J137" s="167"/>
      <c r="K137" s="162"/>
      <c r="L137" s="177"/>
      <c r="M137" s="162"/>
      <c r="N137" s="162"/>
      <c r="O137" s="214"/>
      <c r="P137" s="162"/>
      <c r="Q137" s="176"/>
      <c r="R137" s="162"/>
      <c r="S137" s="162"/>
    </row>
    <row r="138" spans="1:19" x14ac:dyDescent="0.2">
      <c r="A138" s="168">
        <v>13</v>
      </c>
      <c r="B138" s="169" t="s">
        <v>1242</v>
      </c>
      <c r="C138" s="75" t="s">
        <v>1243</v>
      </c>
      <c r="D138" s="167"/>
      <c r="G138" s="162"/>
      <c r="H138" s="200">
        <v>13</v>
      </c>
      <c r="I138" s="202"/>
      <c r="J138" s="212"/>
      <c r="K138" s="257" t="s">
        <v>1243</v>
      </c>
      <c r="L138" s="212"/>
      <c r="M138" s="212"/>
      <c r="N138" s="212"/>
      <c r="O138" s="222"/>
      <c r="P138" s="162"/>
      <c r="Q138" s="176">
        <f>H138</f>
        <v>13</v>
      </c>
      <c r="R138" s="167" t="str">
        <f>CONCATENATE("II-",TEXT(Q138,"0000"))</f>
        <v>II-0013</v>
      </c>
      <c r="S138" s="177" t="str">
        <f>K138</f>
        <v>BARANDA METALICA DE DEFENSA</v>
      </c>
    </row>
    <row r="139" spans="1:19" x14ac:dyDescent="0.2">
      <c r="A139" s="168"/>
      <c r="B139" s="169"/>
      <c r="C139" s="75"/>
      <c r="D139" s="167"/>
      <c r="G139" s="162"/>
      <c r="H139" s="213"/>
      <c r="I139" s="179" t="s">
        <v>997</v>
      </c>
      <c r="J139" s="162"/>
      <c r="K139" s="177" t="s">
        <v>1244</v>
      </c>
      <c r="L139" s="182"/>
      <c r="M139" s="182"/>
      <c r="N139" s="182"/>
      <c r="O139" s="223"/>
      <c r="P139" s="162"/>
      <c r="Q139" s="162"/>
      <c r="R139" s="162"/>
      <c r="S139" s="162"/>
    </row>
    <row r="140" spans="1:19" x14ac:dyDescent="0.2">
      <c r="A140" s="168">
        <v>1</v>
      </c>
      <c r="B140" s="169" t="str">
        <f>CONCATENATE($B$138,".",TEXT(A140,"0000"))</f>
        <v>II-0013.0001</v>
      </c>
      <c r="C140" s="162" t="str">
        <f>CONCATENATE($K$139," - TIPO ",L140)</f>
        <v>VEHICULAR  H-10237 - TIPO LIVIANA  ( A )</v>
      </c>
      <c r="D140" s="167" t="s">
        <v>973</v>
      </c>
      <c r="G140" s="162"/>
      <c r="H140" s="178"/>
      <c r="I140" s="167"/>
      <c r="J140" s="184">
        <v>1</v>
      </c>
      <c r="K140" s="162"/>
      <c r="L140" s="177" t="s">
        <v>1245</v>
      </c>
      <c r="M140" s="162"/>
      <c r="N140" s="162"/>
      <c r="O140" s="214" t="s">
        <v>973</v>
      </c>
      <c r="P140" s="162"/>
      <c r="Q140" s="176">
        <v>1</v>
      </c>
      <c r="R140" s="169" t="str">
        <f>CONCATENATE($L$138,".",TEXT(Q140,"0000"))</f>
        <v>.0001</v>
      </c>
      <c r="S140" s="162" t="str">
        <f>CONCATENATE($E$139," TIPO ",L140)</f>
        <v xml:space="preserve"> TIPO LIVIANA  ( A )</v>
      </c>
    </row>
    <row r="141" spans="1:19" x14ac:dyDescent="0.2">
      <c r="A141" s="168">
        <v>2</v>
      </c>
      <c r="B141" s="169" t="str">
        <f>CONCATENATE($B$138,".",TEXT(A141,"0000"))</f>
        <v>II-0013.0002</v>
      </c>
      <c r="C141" s="162" t="str">
        <f>CONCATENATE($K$139," - TIPO ",L141)</f>
        <v>VEHICULAR  H-10237 - TIPO PESADA ( B )</v>
      </c>
      <c r="D141" s="167" t="s">
        <v>973</v>
      </c>
      <c r="G141" s="162"/>
      <c r="H141" s="178"/>
      <c r="I141" s="167"/>
      <c r="J141" s="187">
        <v>2</v>
      </c>
      <c r="K141" s="188"/>
      <c r="L141" s="189" t="s">
        <v>1246</v>
      </c>
      <c r="M141" s="188"/>
      <c r="N141" s="188"/>
      <c r="O141" s="232" t="s">
        <v>973</v>
      </c>
      <c r="P141" s="162"/>
      <c r="Q141" s="176">
        <v>2</v>
      </c>
      <c r="R141" s="169" t="str">
        <f>CONCATENATE($L$138,".",TEXT(Q141,"0000"))</f>
        <v>.0002</v>
      </c>
      <c r="S141" s="162" t="str">
        <f>CONCATENATE($E$139," TIPO ",L141)</f>
        <v xml:space="preserve"> TIPO PESADA ( B )</v>
      </c>
    </row>
    <row r="142" spans="1:19" x14ac:dyDescent="0.2">
      <c r="A142" s="168"/>
      <c r="B142" s="169"/>
      <c r="C142" s="75"/>
      <c r="D142" s="167" t="s">
        <v>973</v>
      </c>
      <c r="G142" s="162"/>
      <c r="H142" s="178"/>
      <c r="I142" s="179" t="s">
        <v>1024</v>
      </c>
      <c r="J142" s="162"/>
      <c r="K142" s="177" t="s">
        <v>1247</v>
      </c>
      <c r="L142" s="162"/>
      <c r="M142" s="162"/>
      <c r="N142" s="162"/>
      <c r="O142" s="214" t="s">
        <v>973</v>
      </c>
      <c r="P142" s="162"/>
      <c r="Q142" s="162"/>
      <c r="R142" s="162"/>
      <c r="S142" s="162"/>
    </row>
    <row r="143" spans="1:19" x14ac:dyDescent="0.2">
      <c r="A143" s="168">
        <v>3</v>
      </c>
      <c r="B143" s="169" t="str">
        <f t="shared" ref="B143:B146" si="17">CONCATENATE($B$138,".",TEXT(A143,"0000"))</f>
        <v>II-0013.0003</v>
      </c>
      <c r="C143" s="162" t="str">
        <f>CONCATENATE($K$142," - TIPO ",L143)</f>
        <v>PEATONAL  H-10237 - TIPO LIVIANA  ( A )</v>
      </c>
      <c r="D143" s="167" t="s">
        <v>973</v>
      </c>
      <c r="G143" s="162"/>
      <c r="H143" s="178"/>
      <c r="I143" s="167"/>
      <c r="J143" s="184">
        <v>1</v>
      </c>
      <c r="K143" s="162"/>
      <c r="L143" s="177" t="s">
        <v>1245</v>
      </c>
      <c r="M143" s="162"/>
      <c r="N143" s="162"/>
      <c r="O143" s="214" t="s">
        <v>973</v>
      </c>
      <c r="P143" s="162"/>
      <c r="Q143" s="176">
        <v>3</v>
      </c>
      <c r="R143" s="169" t="str">
        <f>CONCATENATE($L$138,".",TEXT(Q143,"0000"))</f>
        <v>.0003</v>
      </c>
      <c r="S143" s="162" t="str">
        <f>CONCATENATE($E$142," TIPO ",L143)</f>
        <v xml:space="preserve"> TIPO LIVIANA  ( A )</v>
      </c>
    </row>
    <row r="144" spans="1:19" x14ac:dyDescent="0.2">
      <c r="A144" s="168">
        <v>4</v>
      </c>
      <c r="B144" s="169" t="str">
        <f t="shared" si="17"/>
        <v>II-0013.0004</v>
      </c>
      <c r="C144" s="162" t="str">
        <f>CONCATENATE($K$142," - TIPO ",L144)</f>
        <v>PEATONAL  H-10237 - TIPO PESADA ( B )</v>
      </c>
      <c r="D144" s="167" t="s">
        <v>973</v>
      </c>
      <c r="G144" s="162"/>
      <c r="H144" s="178"/>
      <c r="I144" s="167"/>
      <c r="J144" s="187">
        <v>2</v>
      </c>
      <c r="K144" s="162"/>
      <c r="L144" s="177" t="s">
        <v>1246</v>
      </c>
      <c r="M144" s="162"/>
      <c r="N144" s="162"/>
      <c r="O144" s="214" t="s">
        <v>973</v>
      </c>
      <c r="P144" s="162"/>
      <c r="Q144" s="176">
        <v>4</v>
      </c>
      <c r="R144" s="169" t="str">
        <f>CONCATENATE($L$138,".",TEXT(Q144,"0000"))</f>
        <v>.0004</v>
      </c>
      <c r="S144" s="162" t="str">
        <f>CONCATENATE($E$142," TIPO ",L144)</f>
        <v xml:space="preserve"> TIPO PESADA ( B )</v>
      </c>
    </row>
    <row r="145" spans="1:19" x14ac:dyDescent="0.2">
      <c r="A145" s="168">
        <v>10</v>
      </c>
      <c r="B145" s="169" t="str">
        <f t="shared" si="17"/>
        <v>II-0013.0010</v>
      </c>
      <c r="C145" s="162" t="str">
        <f>CONCATENATE($K$145)</f>
        <v xml:space="preserve">RETIRO </v>
      </c>
      <c r="D145" s="167" t="s">
        <v>973</v>
      </c>
      <c r="G145" s="162"/>
      <c r="H145" s="178"/>
      <c r="I145" s="179" t="s">
        <v>1034</v>
      </c>
      <c r="J145" s="220"/>
      <c r="K145" s="237" t="s">
        <v>1116</v>
      </c>
      <c r="L145" s="220"/>
      <c r="M145" s="220"/>
      <c r="N145" s="220"/>
      <c r="O145" s="236" t="s">
        <v>973</v>
      </c>
      <c r="P145" s="162"/>
      <c r="Q145" s="176">
        <v>10</v>
      </c>
      <c r="R145" s="169" t="str">
        <f t="shared" ref="R145:R146" si="18">CONCATENATE($L$138,".",TEXT(Q145,"0000"))</f>
        <v>.0010</v>
      </c>
      <c r="S145" s="162" t="str">
        <f>CONCATENATE($E$145)</f>
        <v/>
      </c>
    </row>
    <row r="146" spans="1:19" ht="15.75" thickBot="1" x14ac:dyDescent="0.25">
      <c r="A146" s="168">
        <v>11</v>
      </c>
      <c r="B146" s="169" t="str">
        <f t="shared" si="17"/>
        <v>II-0013.0011</v>
      </c>
      <c r="C146" s="162" t="str">
        <f>CONCATENATE(K146)</f>
        <v>RETIRO Y REPARACION</v>
      </c>
      <c r="D146" s="167" t="s">
        <v>973</v>
      </c>
      <c r="G146" s="162"/>
      <c r="H146" s="224"/>
      <c r="I146" s="259" t="s">
        <v>1060</v>
      </c>
      <c r="J146" s="227"/>
      <c r="K146" s="228" t="s">
        <v>1248</v>
      </c>
      <c r="L146" s="227"/>
      <c r="M146" s="227"/>
      <c r="N146" s="227"/>
      <c r="O146" s="260" t="s">
        <v>973</v>
      </c>
      <c r="P146" s="162"/>
      <c r="Q146" s="176">
        <v>11</v>
      </c>
      <c r="R146" s="169" t="str">
        <f t="shared" si="18"/>
        <v>.0011</v>
      </c>
      <c r="S146" s="162" t="str">
        <f>CONCATENATE($E$146)</f>
        <v/>
      </c>
    </row>
    <row r="147" spans="1:19" x14ac:dyDescent="0.2">
      <c r="A147" s="168"/>
      <c r="B147" s="169"/>
      <c r="C147" s="75"/>
      <c r="D147" s="167"/>
      <c r="G147" s="162"/>
      <c r="H147" s="178"/>
      <c r="I147" s="167"/>
      <c r="J147" s="162"/>
      <c r="K147" s="177"/>
      <c r="L147" s="162"/>
      <c r="M147" s="162"/>
      <c r="N147" s="162"/>
      <c r="O147" s="214"/>
      <c r="P147" s="162"/>
      <c r="Q147" s="176"/>
      <c r="R147" s="169"/>
      <c r="S147" s="162"/>
    </row>
    <row r="148" spans="1:19" x14ac:dyDescent="0.2">
      <c r="A148" s="168">
        <v>14</v>
      </c>
      <c r="B148" s="161" t="s">
        <v>1249</v>
      </c>
      <c r="C148" s="75" t="s">
        <v>1250</v>
      </c>
      <c r="D148" s="167"/>
      <c r="G148" s="162"/>
      <c r="H148" s="200">
        <v>14</v>
      </c>
      <c r="I148" s="261"/>
      <c r="J148" s="262"/>
      <c r="K148" s="248" t="s">
        <v>1250</v>
      </c>
      <c r="L148" s="262"/>
      <c r="M148" s="262"/>
      <c r="N148" s="262"/>
      <c r="O148" s="263"/>
      <c r="P148" s="162"/>
      <c r="Q148" s="176">
        <f>H148</f>
        <v>14</v>
      </c>
      <c r="R148" s="167" t="str">
        <f>CONCATENATE("II-",TEXT(Q148,"0000"))</f>
        <v>II-0014</v>
      </c>
      <c r="S148" s="177" t="str">
        <f>K148</f>
        <v>BASE</v>
      </c>
    </row>
    <row r="149" spans="1:19" x14ac:dyDescent="0.2">
      <c r="A149" s="168">
        <v>1</v>
      </c>
      <c r="B149" s="169" t="str">
        <f>CONCATENATE($B$148,".",TEXT(A149,"0000"))</f>
        <v>II-0014.0001</v>
      </c>
      <c r="C149" s="75" t="s">
        <v>1251</v>
      </c>
      <c r="D149" s="167" t="s">
        <v>1108</v>
      </c>
      <c r="G149" s="162"/>
      <c r="H149" s="178"/>
      <c r="I149" s="179" t="s">
        <v>997</v>
      </c>
      <c r="J149" s="220"/>
      <c r="K149" s="237" t="s">
        <v>1251</v>
      </c>
      <c r="L149" s="220"/>
      <c r="M149" s="220"/>
      <c r="N149" s="220"/>
      <c r="O149" s="236" t="s">
        <v>1108</v>
      </c>
      <c r="P149" s="162"/>
      <c r="Q149" s="176">
        <v>1</v>
      </c>
      <c r="R149" s="169" t="str">
        <f>CONCATENATE($L$148,".",TEXT(Q149,"0000"))</f>
        <v>.0001</v>
      </c>
      <c r="S149" s="162" t="str">
        <f>CONCATENATE(K149)</f>
        <v>ARENA ASFALTO</v>
      </c>
    </row>
    <row r="150" spans="1:19" x14ac:dyDescent="0.2">
      <c r="A150" s="168">
        <v>2</v>
      </c>
      <c r="B150" s="169" t="str">
        <f>CONCATENATE($B$148,".",TEXT(A150,"0000"))</f>
        <v>II-0014.0002</v>
      </c>
      <c r="C150" s="186" t="s">
        <v>1252</v>
      </c>
      <c r="D150" s="167" t="s">
        <v>1108</v>
      </c>
      <c r="G150" s="162"/>
      <c r="H150" s="178"/>
      <c r="I150" s="179" t="s">
        <v>1024</v>
      </c>
      <c r="J150" s="220"/>
      <c r="K150" s="237" t="s">
        <v>1252</v>
      </c>
      <c r="L150" s="220"/>
      <c r="M150" s="220"/>
      <c r="N150" s="220"/>
      <c r="O150" s="236" t="s">
        <v>1108</v>
      </c>
      <c r="P150" s="162"/>
      <c r="Q150" s="176">
        <v>2</v>
      </c>
      <c r="R150" s="169" t="str">
        <f>CONCATENATE($L$148,".",TEXT(Q150,"0000"))</f>
        <v>.0002</v>
      </c>
      <c r="S150" s="162" t="str">
        <f>CONCATENATE(K150)</f>
        <v>CONCRETO ASFALTICO BITUMINOSO</v>
      </c>
    </row>
    <row r="151" spans="1:19" x14ac:dyDescent="0.2">
      <c r="A151" s="168"/>
      <c r="B151" s="169"/>
      <c r="C151" s="75"/>
      <c r="D151" s="167"/>
      <c r="G151" s="162"/>
      <c r="H151" s="178"/>
      <c r="I151" s="187" t="s">
        <v>1034</v>
      </c>
      <c r="J151" s="162"/>
      <c r="K151" s="177" t="s">
        <v>1253</v>
      </c>
      <c r="L151" s="162"/>
      <c r="M151" s="162"/>
      <c r="N151" s="162"/>
      <c r="O151" s="214"/>
      <c r="P151" s="162"/>
      <c r="Q151" s="162"/>
      <c r="R151" s="162"/>
      <c r="S151" s="162"/>
    </row>
    <row r="152" spans="1:19" x14ac:dyDescent="0.2">
      <c r="A152" s="168">
        <v>3</v>
      </c>
      <c r="B152" s="169" t="str">
        <f t="shared" ref="B152:B154" si="19">CONCATENATE($B$148,".",TEXT(A152,"0000"))</f>
        <v>II-0014.0003</v>
      </c>
      <c r="C152" s="162" t="str">
        <f>CONCATENATE($K$151," - TIPO ",L152)</f>
        <v>GRANULAR - TIPO ANTICOGELANTES</v>
      </c>
      <c r="D152" s="167" t="s">
        <v>1108</v>
      </c>
      <c r="G152" s="162"/>
      <c r="H152" s="178"/>
      <c r="I152" s="167"/>
      <c r="J152" s="184">
        <v>1</v>
      </c>
      <c r="K152" s="162"/>
      <c r="L152" s="177" t="s">
        <v>1254</v>
      </c>
      <c r="M152" s="162"/>
      <c r="N152" s="162"/>
      <c r="O152" s="214" t="s">
        <v>1108</v>
      </c>
      <c r="P152" s="162"/>
      <c r="Q152" s="176">
        <v>3</v>
      </c>
      <c r="R152" s="169" t="str">
        <f>CONCATENATE($L$148,".",TEXT(Q152,"0000"))</f>
        <v>.0003</v>
      </c>
      <c r="S152" s="162" t="str">
        <f>CONCATENATE($E$151," ",L152)</f>
        <v xml:space="preserve"> ANTICOGELANTES</v>
      </c>
    </row>
    <row r="153" spans="1:19" x14ac:dyDescent="0.2">
      <c r="A153" s="168">
        <v>4</v>
      </c>
      <c r="B153" s="169" t="str">
        <f t="shared" si="19"/>
        <v>II-0014.0004</v>
      </c>
      <c r="C153" s="162" t="str">
        <f t="shared" ref="C153:C154" si="20">CONCATENATE($K$151," - TIPO ",L153)</f>
        <v>GRANULAR - TIPO DRENANTES</v>
      </c>
      <c r="D153" s="167" t="s">
        <v>1108</v>
      </c>
      <c r="G153" s="162"/>
      <c r="H153" s="178"/>
      <c r="I153" s="167"/>
      <c r="J153" s="184">
        <v>2</v>
      </c>
      <c r="K153" s="177"/>
      <c r="L153" s="177" t="s">
        <v>1255</v>
      </c>
      <c r="M153" s="162"/>
      <c r="N153" s="162"/>
      <c r="O153" s="214" t="s">
        <v>1108</v>
      </c>
      <c r="P153" s="162"/>
      <c r="Q153" s="176">
        <v>4</v>
      </c>
      <c r="R153" s="169" t="str">
        <f t="shared" ref="R153:R154" si="21">CONCATENATE($L$148,".",TEXT(Q153,"0000"))</f>
        <v>.0004</v>
      </c>
      <c r="S153" s="162" t="str">
        <f t="shared" ref="S153" si="22">CONCATENATE($E$151," ",L153)</f>
        <v xml:space="preserve"> DRENANTES</v>
      </c>
    </row>
    <row r="154" spans="1:19" ht="15.75" thickBot="1" x14ac:dyDescent="0.25">
      <c r="A154" s="168">
        <v>5</v>
      </c>
      <c r="B154" s="169" t="str">
        <f t="shared" si="19"/>
        <v>II-0014.0005</v>
      </c>
      <c r="C154" s="162" t="str">
        <f t="shared" si="20"/>
        <v>GRANULAR - TIPO GRANULAR</v>
      </c>
      <c r="D154" s="167" t="s">
        <v>1108</v>
      </c>
      <c r="G154" s="162"/>
      <c r="H154" s="224"/>
      <c r="I154" s="264"/>
      <c r="J154" s="226">
        <v>3</v>
      </c>
      <c r="K154" s="228"/>
      <c r="L154" s="228" t="s">
        <v>1253</v>
      </c>
      <c r="M154" s="227"/>
      <c r="N154" s="227"/>
      <c r="O154" s="260" t="s">
        <v>1108</v>
      </c>
      <c r="P154" s="162"/>
      <c r="Q154" s="176">
        <v>5</v>
      </c>
      <c r="R154" s="169" t="str">
        <f t="shared" si="21"/>
        <v>.0005</v>
      </c>
      <c r="S154" s="162" t="str">
        <f>CONCATENATE($E$151)</f>
        <v/>
      </c>
    </row>
    <row r="155" spans="1:19" x14ac:dyDescent="0.2">
      <c r="A155" s="168"/>
      <c r="B155" s="169"/>
      <c r="C155" s="75"/>
      <c r="D155" s="167"/>
      <c r="G155" s="162"/>
      <c r="H155" s="230"/>
      <c r="I155" s="167"/>
      <c r="J155" s="167"/>
      <c r="K155" s="177"/>
      <c r="L155" s="177"/>
      <c r="M155" s="162"/>
      <c r="N155" s="162"/>
      <c r="O155" s="165"/>
      <c r="P155" s="162"/>
      <c r="Q155" s="176"/>
      <c r="R155" s="162"/>
      <c r="S155" s="162"/>
    </row>
    <row r="156" spans="1:19" x14ac:dyDescent="0.2">
      <c r="A156" s="168"/>
      <c r="B156" s="169"/>
      <c r="C156" s="75"/>
      <c r="D156" s="167"/>
      <c r="G156" s="162"/>
      <c r="H156" s="200">
        <v>14</v>
      </c>
      <c r="I156" s="202"/>
      <c r="J156" s="212"/>
      <c r="K156" s="257" t="s">
        <v>1250</v>
      </c>
      <c r="L156" s="212"/>
      <c r="M156" s="212"/>
      <c r="N156" s="212"/>
      <c r="O156" s="222"/>
      <c r="P156" s="162"/>
      <c r="Q156" s="176"/>
      <c r="R156" s="162"/>
      <c r="S156" s="162"/>
    </row>
    <row r="157" spans="1:19" x14ac:dyDescent="0.2">
      <c r="A157" s="168">
        <v>6</v>
      </c>
      <c r="B157" s="169" t="str">
        <f t="shared" ref="B157" si="23">CONCATENATE($B$148,".",TEXT(A157,"0000"))</f>
        <v>II-0014.0006</v>
      </c>
      <c r="C157" s="162" t="str">
        <f>CONCATENATE(K157)</f>
        <v>AGREGADO PETREO Y SUELO</v>
      </c>
      <c r="D157" s="167" t="s">
        <v>1108</v>
      </c>
      <c r="G157" s="162"/>
      <c r="H157" s="178"/>
      <c r="I157" s="179" t="s">
        <v>1060</v>
      </c>
      <c r="J157" s="220"/>
      <c r="K157" s="237" t="s">
        <v>1256</v>
      </c>
      <c r="L157" s="220"/>
      <c r="M157" s="220"/>
      <c r="N157" s="220"/>
      <c r="O157" s="236" t="s">
        <v>1108</v>
      </c>
      <c r="P157" s="162"/>
      <c r="Q157" s="176">
        <v>6</v>
      </c>
      <c r="R157" s="169" t="str">
        <f t="shared" ref="R157" si="24">CONCATENATE($L$148,".",TEXT(Q157,"0000"))</f>
        <v>.0006</v>
      </c>
      <c r="S157" s="162" t="str">
        <f>CONCATENATE($E$157)</f>
        <v/>
      </c>
    </row>
    <row r="158" spans="1:19" x14ac:dyDescent="0.2">
      <c r="A158" s="168"/>
      <c r="B158" s="169"/>
      <c r="C158" s="75"/>
      <c r="D158" s="167"/>
      <c r="G158" s="162"/>
      <c r="H158" s="178"/>
      <c r="I158" s="179" t="s">
        <v>1102</v>
      </c>
      <c r="J158" s="162"/>
      <c r="K158" s="177" t="s">
        <v>1111</v>
      </c>
      <c r="L158" s="162"/>
      <c r="M158" s="162"/>
      <c r="N158" s="162"/>
      <c r="O158" s="214"/>
      <c r="P158" s="162"/>
      <c r="Q158" s="162"/>
      <c r="R158" s="162"/>
      <c r="S158" s="162"/>
    </row>
    <row r="159" spans="1:19" x14ac:dyDescent="0.2">
      <c r="A159" s="168">
        <v>10</v>
      </c>
      <c r="B159" s="169" t="str">
        <f t="shared" ref="B159:B167" si="25">CONCATENATE($B$148,".",TEXT(A159,"0000"))</f>
        <v>II-0014.0010</v>
      </c>
      <c r="C159" s="162" t="str">
        <f>CONCATENATE($K$158," ",L159)</f>
        <v>REPARACION AGREGADO PETREO Y SUELO</v>
      </c>
      <c r="D159" s="167" t="s">
        <v>1108</v>
      </c>
      <c r="G159" s="162"/>
      <c r="H159" s="178"/>
      <c r="I159" s="167"/>
      <c r="J159" s="184">
        <v>1</v>
      </c>
      <c r="K159" s="177"/>
      <c r="L159" s="177" t="s">
        <v>1256</v>
      </c>
      <c r="M159" s="162"/>
      <c r="N159" s="162"/>
      <c r="O159" s="214" t="s">
        <v>1108</v>
      </c>
      <c r="P159" s="162"/>
      <c r="Q159" s="176">
        <v>10</v>
      </c>
      <c r="R159" s="169" t="str">
        <f>CONCATENATE($L$148,".",TEXT(Q159,"0000"))</f>
        <v>.0010</v>
      </c>
      <c r="S159" s="162" t="str">
        <f>CONCATENATE($E$158," ",L159)</f>
        <v xml:space="preserve"> AGREGADO PETREO Y SUELO</v>
      </c>
    </row>
    <row r="160" spans="1:19" x14ac:dyDescent="0.2">
      <c r="A160" s="168">
        <v>11</v>
      </c>
      <c r="B160" s="169" t="str">
        <f t="shared" si="25"/>
        <v>II-0014.0011</v>
      </c>
      <c r="C160" s="162" t="str">
        <f t="shared" ref="C160:C163" si="26">CONCATENATE($K$158," ",L160)</f>
        <v>REPARACION SUELO CAL</v>
      </c>
      <c r="D160" s="167" t="s">
        <v>1108</v>
      </c>
      <c r="G160" s="162"/>
      <c r="H160" s="178"/>
      <c r="I160" s="167"/>
      <c r="J160" s="184">
        <v>2</v>
      </c>
      <c r="K160" s="177"/>
      <c r="L160" s="177" t="s">
        <v>1192</v>
      </c>
      <c r="M160" s="162"/>
      <c r="N160" s="162"/>
      <c r="O160" s="214" t="s">
        <v>1108</v>
      </c>
      <c r="P160" s="162"/>
      <c r="Q160" s="176">
        <v>11</v>
      </c>
      <c r="R160" s="169" t="str">
        <f t="shared" ref="R160:R167" si="27">CONCATENATE($L$148,".",TEXT(Q160,"0000"))</f>
        <v>.0011</v>
      </c>
      <c r="S160" s="162" t="str">
        <f t="shared" ref="S160:S163" si="28">CONCATENATE($E$158," ",L160)</f>
        <v xml:space="preserve"> SUELO CAL</v>
      </c>
    </row>
    <row r="161" spans="1:19" x14ac:dyDescent="0.2">
      <c r="A161" s="168">
        <v>12</v>
      </c>
      <c r="B161" s="169" t="str">
        <f t="shared" si="25"/>
        <v>II-0014.0012</v>
      </c>
      <c r="C161" s="162" t="str">
        <f t="shared" si="26"/>
        <v>REPARACION SUELO CEMENTO</v>
      </c>
      <c r="D161" s="167" t="s">
        <v>1108</v>
      </c>
      <c r="G161" s="162"/>
      <c r="H161" s="178"/>
      <c r="I161" s="167"/>
      <c r="J161" s="184">
        <v>3</v>
      </c>
      <c r="K161" s="177"/>
      <c r="L161" s="177" t="s">
        <v>1195</v>
      </c>
      <c r="M161" s="162"/>
      <c r="N161" s="162"/>
      <c r="O161" s="214" t="s">
        <v>1108</v>
      </c>
      <c r="P161" s="162"/>
      <c r="Q161" s="176">
        <v>12</v>
      </c>
      <c r="R161" s="169" t="str">
        <f t="shared" si="27"/>
        <v>.0012</v>
      </c>
      <c r="S161" s="162" t="str">
        <f t="shared" si="28"/>
        <v xml:space="preserve"> SUELO CEMENTO</v>
      </c>
    </row>
    <row r="162" spans="1:19" x14ac:dyDescent="0.2">
      <c r="A162" s="168">
        <v>13</v>
      </c>
      <c r="B162" s="169" t="str">
        <f t="shared" si="25"/>
        <v>II-0014.0013</v>
      </c>
      <c r="C162" s="162" t="str">
        <f t="shared" si="26"/>
        <v>REPARACION SUELO ESCORIA</v>
      </c>
      <c r="D162" s="167" t="s">
        <v>1108</v>
      </c>
      <c r="G162" s="162"/>
      <c r="H162" s="178"/>
      <c r="I162" s="167"/>
      <c r="J162" s="184">
        <v>4</v>
      </c>
      <c r="K162" s="177"/>
      <c r="L162" s="177" t="s">
        <v>1257</v>
      </c>
      <c r="M162" s="162"/>
      <c r="N162" s="162"/>
      <c r="O162" s="214" t="s">
        <v>1108</v>
      </c>
      <c r="P162" s="162"/>
      <c r="Q162" s="176">
        <v>13</v>
      </c>
      <c r="R162" s="169" t="str">
        <f t="shared" si="27"/>
        <v>.0013</v>
      </c>
      <c r="S162" s="162" t="str">
        <f t="shared" si="28"/>
        <v xml:space="preserve"> SUELO ESCORIA</v>
      </c>
    </row>
    <row r="163" spans="1:19" x14ac:dyDescent="0.2">
      <c r="A163" s="168">
        <v>14</v>
      </c>
      <c r="B163" s="169" t="str">
        <f t="shared" si="25"/>
        <v>II-0014.0014</v>
      </c>
      <c r="C163" s="162" t="str">
        <f t="shared" si="26"/>
        <v>REPARACION SUELO SELECCIONADO</v>
      </c>
      <c r="D163" s="167" t="s">
        <v>1108</v>
      </c>
      <c r="G163" s="162"/>
      <c r="H163" s="178"/>
      <c r="I163" s="192"/>
      <c r="J163" s="187">
        <v>5</v>
      </c>
      <c r="K163" s="177"/>
      <c r="L163" s="177" t="s">
        <v>1198</v>
      </c>
      <c r="M163" s="162"/>
      <c r="N163" s="162"/>
      <c r="O163" s="214" t="s">
        <v>1108</v>
      </c>
      <c r="P163" s="162"/>
      <c r="Q163" s="176">
        <v>14</v>
      </c>
      <c r="R163" s="169" t="str">
        <f t="shared" si="27"/>
        <v>.0014</v>
      </c>
      <c r="S163" s="162" t="str">
        <f t="shared" si="28"/>
        <v xml:space="preserve"> SUELO SELECCIONADO</v>
      </c>
    </row>
    <row r="164" spans="1:19" x14ac:dyDescent="0.2">
      <c r="A164" s="168">
        <v>20</v>
      </c>
      <c r="B164" s="169" t="str">
        <f t="shared" si="25"/>
        <v>II-0014.0020</v>
      </c>
      <c r="C164" s="162" t="str">
        <f t="shared" ref="C164:C167" si="29">CONCATENATE(K164)</f>
        <v>SUELO CAL</v>
      </c>
      <c r="D164" s="167" t="s">
        <v>1108</v>
      </c>
      <c r="G164" s="162"/>
      <c r="H164" s="178"/>
      <c r="I164" s="187" t="s">
        <v>1105</v>
      </c>
      <c r="J164" s="220"/>
      <c r="K164" s="237" t="s">
        <v>1192</v>
      </c>
      <c r="L164" s="220"/>
      <c r="M164" s="220"/>
      <c r="N164" s="220"/>
      <c r="O164" s="236" t="s">
        <v>1108</v>
      </c>
      <c r="P164" s="162"/>
      <c r="Q164" s="176">
        <v>20</v>
      </c>
      <c r="R164" s="169" t="str">
        <f t="shared" si="27"/>
        <v>.0020</v>
      </c>
      <c r="S164" s="162" t="str">
        <f>CONCATENATE(K164)</f>
        <v>SUELO CAL</v>
      </c>
    </row>
    <row r="165" spans="1:19" x14ac:dyDescent="0.2">
      <c r="A165" s="168">
        <v>21</v>
      </c>
      <c r="B165" s="169" t="str">
        <f t="shared" si="25"/>
        <v>II-0014.0021</v>
      </c>
      <c r="C165" s="162" t="str">
        <f t="shared" si="29"/>
        <v>SUELO CEMENTO</v>
      </c>
      <c r="D165" s="167" t="s">
        <v>1108</v>
      </c>
      <c r="G165" s="162"/>
      <c r="H165" s="178"/>
      <c r="I165" s="184" t="s">
        <v>1109</v>
      </c>
      <c r="J165" s="162"/>
      <c r="K165" s="177" t="s">
        <v>1195</v>
      </c>
      <c r="L165" s="162"/>
      <c r="M165" s="162"/>
      <c r="N165" s="162"/>
      <c r="O165" s="214" t="s">
        <v>1108</v>
      </c>
      <c r="P165" s="162"/>
      <c r="Q165" s="176">
        <v>21</v>
      </c>
      <c r="R165" s="169" t="str">
        <f t="shared" si="27"/>
        <v>.0021</v>
      </c>
      <c r="S165" s="162" t="str">
        <f t="shared" ref="S165:S167" si="30">CONCATENATE(K165)</f>
        <v>SUELO CEMENTO</v>
      </c>
    </row>
    <row r="166" spans="1:19" x14ac:dyDescent="0.2">
      <c r="A166" s="168">
        <v>22</v>
      </c>
      <c r="B166" s="169" t="str">
        <f t="shared" si="25"/>
        <v>II-0014.0022</v>
      </c>
      <c r="C166" s="162" t="str">
        <f t="shared" si="29"/>
        <v>SUELO ESCORIA</v>
      </c>
      <c r="D166" s="167" t="s">
        <v>1108</v>
      </c>
      <c r="G166" s="162"/>
      <c r="H166" s="178"/>
      <c r="I166" s="179" t="s">
        <v>1112</v>
      </c>
      <c r="J166" s="220"/>
      <c r="K166" s="237" t="s">
        <v>1257</v>
      </c>
      <c r="L166" s="220"/>
      <c r="M166" s="220"/>
      <c r="N166" s="220"/>
      <c r="O166" s="236" t="s">
        <v>1108</v>
      </c>
      <c r="P166" s="162"/>
      <c r="Q166" s="176">
        <v>22</v>
      </c>
      <c r="R166" s="169" t="str">
        <f t="shared" si="27"/>
        <v>.0022</v>
      </c>
      <c r="S166" s="162" t="str">
        <f t="shared" si="30"/>
        <v>SUELO ESCORIA</v>
      </c>
    </row>
    <row r="167" spans="1:19" x14ac:dyDescent="0.2">
      <c r="A167" s="168">
        <v>23</v>
      </c>
      <c r="B167" s="169" t="str">
        <f t="shared" si="25"/>
        <v>II-0014.0023</v>
      </c>
      <c r="C167" s="162" t="str">
        <f t="shared" si="29"/>
        <v>SUELO SELECCIONADO</v>
      </c>
      <c r="D167" s="167" t="s">
        <v>1108</v>
      </c>
      <c r="G167" s="162"/>
      <c r="H167" s="178"/>
      <c r="I167" s="184" t="s">
        <v>889</v>
      </c>
      <c r="J167" s="162"/>
      <c r="K167" s="177" t="s">
        <v>1198</v>
      </c>
      <c r="L167" s="162"/>
      <c r="M167" s="162"/>
      <c r="N167" s="162"/>
      <c r="O167" s="214" t="s">
        <v>1108</v>
      </c>
      <c r="P167" s="162"/>
      <c r="Q167" s="176">
        <v>23</v>
      </c>
      <c r="R167" s="169" t="str">
        <f t="shared" si="27"/>
        <v>.0023</v>
      </c>
      <c r="S167" s="162" t="str">
        <f t="shared" si="30"/>
        <v>SUELO SELECCIONADO</v>
      </c>
    </row>
    <row r="168" spans="1:19" ht="15.75" thickBot="1" x14ac:dyDescent="0.25">
      <c r="A168" s="168"/>
      <c r="B168" s="169"/>
      <c r="C168" s="75"/>
      <c r="D168" s="167"/>
      <c r="G168" s="162"/>
      <c r="H168" s="178"/>
      <c r="I168" s="167"/>
      <c r="J168" s="162"/>
      <c r="K168" s="177"/>
      <c r="L168" s="162"/>
      <c r="M168" s="162"/>
      <c r="N168" s="162"/>
      <c r="O168" s="214"/>
      <c r="P168" s="162"/>
      <c r="Q168" s="176"/>
      <c r="R168" s="169"/>
      <c r="S168" s="162"/>
    </row>
    <row r="169" spans="1:19" ht="15.75" thickTop="1" x14ac:dyDescent="0.2">
      <c r="A169" s="168">
        <v>15</v>
      </c>
      <c r="B169" s="169" t="s">
        <v>1258</v>
      </c>
      <c r="C169" s="75" t="s">
        <v>1259</v>
      </c>
      <c r="D169" s="167"/>
      <c r="G169" s="162"/>
      <c r="H169" s="245">
        <v>15</v>
      </c>
      <c r="I169" s="201"/>
      <c r="J169" s="250"/>
      <c r="K169" s="251" t="s">
        <v>1259</v>
      </c>
      <c r="L169" s="250"/>
      <c r="M169" s="250"/>
      <c r="N169" s="250"/>
      <c r="O169" s="203"/>
      <c r="P169" s="162"/>
      <c r="Q169" s="176">
        <f>H169</f>
        <v>15</v>
      </c>
      <c r="R169" s="167" t="str">
        <f>CONCATENATE("II-",TEXT(Q169,"0000"))</f>
        <v>II-0015</v>
      </c>
      <c r="S169" s="177" t="str">
        <f>K169</f>
        <v>CALZADA</v>
      </c>
    </row>
    <row r="170" spans="1:19" x14ac:dyDescent="0.2">
      <c r="A170" s="168"/>
      <c r="B170" s="169"/>
      <c r="C170" s="75"/>
      <c r="D170" s="167"/>
      <c r="G170" s="162"/>
      <c r="H170" s="178"/>
      <c r="I170" s="179" t="s">
        <v>997</v>
      </c>
      <c r="J170" s="162"/>
      <c r="K170" s="177" t="s">
        <v>1260</v>
      </c>
      <c r="L170" s="182"/>
      <c r="M170" s="182"/>
      <c r="N170" s="182"/>
      <c r="O170" s="223"/>
      <c r="P170" s="162"/>
      <c r="Q170" s="176"/>
      <c r="R170" s="162"/>
      <c r="S170" s="162"/>
    </row>
    <row r="171" spans="1:19" x14ac:dyDescent="0.2">
      <c r="A171" s="168">
        <v>1</v>
      </c>
      <c r="B171" s="169" t="str">
        <f>CONCATENATE($B$169,".",TEXT(A171,"0000"))</f>
        <v>II-0015.0001</v>
      </c>
      <c r="C171" s="162" t="str">
        <f>CONCATENATE($K$170," ",L171)</f>
        <v>CORRECCION DE AHUELLAMIENTO AGREGADO PETREO Y SUELO</v>
      </c>
      <c r="D171" s="167" t="s">
        <v>1191</v>
      </c>
      <c r="G171" s="162"/>
      <c r="H171" s="178"/>
      <c r="I171" s="167"/>
      <c r="J171" s="184">
        <v>1</v>
      </c>
      <c r="K171" s="162"/>
      <c r="L171" s="177" t="s">
        <v>1256</v>
      </c>
      <c r="M171" s="162"/>
      <c r="N171" s="162"/>
      <c r="O171" s="214" t="s">
        <v>1191</v>
      </c>
      <c r="P171" s="162"/>
      <c r="Q171" s="176"/>
      <c r="R171" s="162"/>
      <c r="S171" s="162"/>
    </row>
    <row r="172" spans="1:19" x14ac:dyDescent="0.2">
      <c r="A172" s="168">
        <v>2</v>
      </c>
      <c r="B172" s="169" t="str">
        <f t="shared" ref="B172:B181" si="31">CONCATENATE($B$169,".",TEXT(A172,"0000"))</f>
        <v>II-0015.0002</v>
      </c>
      <c r="C172" s="162" t="str">
        <f t="shared" ref="C172:C175" si="32">CONCATENATE($K$170," ",L172)</f>
        <v>CORRECCION DE AHUELLAMIENTO FRESADO</v>
      </c>
      <c r="D172" s="167" t="s">
        <v>1191</v>
      </c>
      <c r="G172" s="162"/>
      <c r="H172" s="178"/>
      <c r="I172" s="167"/>
      <c r="J172" s="184">
        <v>2</v>
      </c>
      <c r="K172" s="177"/>
      <c r="L172" s="177" t="s">
        <v>1261</v>
      </c>
      <c r="M172" s="162"/>
      <c r="N172" s="162"/>
      <c r="O172" s="214" t="s">
        <v>1191</v>
      </c>
      <c r="P172" s="162"/>
      <c r="Q172" s="176"/>
      <c r="R172" s="162"/>
      <c r="S172" s="162"/>
    </row>
    <row r="173" spans="1:19" x14ac:dyDescent="0.2">
      <c r="A173" s="168">
        <v>3</v>
      </c>
      <c r="B173" s="169" t="str">
        <f t="shared" si="31"/>
        <v>II-0015.0003</v>
      </c>
      <c r="C173" s="162" t="str">
        <f t="shared" si="32"/>
        <v>CORRECCION DE AHUELLAMIENTO MEZCLA ASFALTICA</v>
      </c>
      <c r="D173" s="167" t="s">
        <v>1191</v>
      </c>
      <c r="G173" s="162"/>
      <c r="H173" s="178"/>
      <c r="I173" s="167"/>
      <c r="J173" s="184">
        <v>3</v>
      </c>
      <c r="K173" s="177"/>
      <c r="L173" s="177" t="s">
        <v>1188</v>
      </c>
      <c r="M173" s="162"/>
      <c r="N173" s="162"/>
      <c r="O173" s="214" t="s">
        <v>1191</v>
      </c>
      <c r="P173" s="162"/>
      <c r="Q173" s="162"/>
      <c r="R173" s="162"/>
      <c r="S173" s="162"/>
    </row>
    <row r="174" spans="1:19" x14ac:dyDescent="0.2">
      <c r="A174" s="168">
        <v>4</v>
      </c>
      <c r="B174" s="169" t="str">
        <f t="shared" si="31"/>
        <v>II-0015.0004</v>
      </c>
      <c r="C174" s="162" t="str">
        <f t="shared" si="32"/>
        <v>CORRECCION DE AHUELLAMIENTO MICROAGLOMERADO</v>
      </c>
      <c r="D174" s="167" t="s">
        <v>1191</v>
      </c>
      <c r="G174" s="162"/>
      <c r="H174" s="178"/>
      <c r="I174" s="167"/>
      <c r="J174" s="184">
        <v>4</v>
      </c>
      <c r="K174" s="177"/>
      <c r="L174" s="177" t="s">
        <v>1262</v>
      </c>
      <c r="M174" s="162"/>
      <c r="N174" s="162"/>
      <c r="O174" s="214" t="s">
        <v>1191</v>
      </c>
      <c r="P174" s="162"/>
      <c r="Q174" s="162"/>
      <c r="R174" s="162"/>
      <c r="S174" s="162"/>
    </row>
    <row r="175" spans="1:19" x14ac:dyDescent="0.2">
      <c r="A175" s="168">
        <v>5</v>
      </c>
      <c r="B175" s="169" t="str">
        <f t="shared" si="31"/>
        <v>II-0015.0005</v>
      </c>
      <c r="C175" s="162" t="str">
        <f t="shared" si="32"/>
        <v>CORRECCION DE AHUELLAMIENTO SUELO CEMENTO</v>
      </c>
      <c r="D175" s="167" t="s">
        <v>1191</v>
      </c>
      <c r="G175" s="162"/>
      <c r="H175" s="178"/>
      <c r="I175" s="192"/>
      <c r="J175" s="187">
        <v>5</v>
      </c>
      <c r="K175" s="189"/>
      <c r="L175" s="189" t="s">
        <v>1195</v>
      </c>
      <c r="M175" s="188"/>
      <c r="N175" s="188"/>
      <c r="O175" s="232" t="s">
        <v>1191</v>
      </c>
      <c r="P175" s="162"/>
      <c r="Q175" s="162"/>
      <c r="R175" s="162"/>
      <c r="S175" s="162"/>
    </row>
    <row r="176" spans="1:19" x14ac:dyDescent="0.2">
      <c r="A176" s="168"/>
      <c r="B176" s="169"/>
      <c r="C176" s="75"/>
      <c r="D176" s="167"/>
      <c r="G176" s="162"/>
      <c r="H176" s="178"/>
      <c r="I176" s="179" t="s">
        <v>1024</v>
      </c>
      <c r="J176" s="167"/>
      <c r="K176" s="177" t="s">
        <v>1263</v>
      </c>
      <c r="L176" s="177"/>
      <c r="M176" s="162"/>
      <c r="N176" s="162"/>
      <c r="O176" s="214"/>
      <c r="P176" s="162"/>
      <c r="Q176" s="162"/>
      <c r="R176" s="162"/>
      <c r="S176" s="162"/>
    </row>
    <row r="177" spans="1:19" x14ac:dyDescent="0.2">
      <c r="A177" s="168">
        <v>11</v>
      </c>
      <c r="B177" s="169" t="str">
        <f t="shared" si="31"/>
        <v>II-0015.0011</v>
      </c>
      <c r="C177" s="162" t="str">
        <f>CONCATENATE($K$176," ",L177)</f>
        <v>CORRECCION DE DEPRESIONES Y DEFORMACIONES AGREGADO PETREO Y SUELO</v>
      </c>
      <c r="D177" s="167" t="s">
        <v>1108</v>
      </c>
      <c r="G177" s="162"/>
      <c r="H177" s="178"/>
      <c r="I177" s="167"/>
      <c r="J177" s="184">
        <v>1</v>
      </c>
      <c r="K177" s="177"/>
      <c r="L177" s="177" t="s">
        <v>1256</v>
      </c>
      <c r="M177" s="162"/>
      <c r="N177" s="162"/>
      <c r="O177" s="214" t="s">
        <v>1108</v>
      </c>
      <c r="P177" s="162"/>
      <c r="Q177" s="162"/>
      <c r="R177" s="162"/>
      <c r="S177" s="162"/>
    </row>
    <row r="178" spans="1:19" x14ac:dyDescent="0.2">
      <c r="A178" s="168">
        <v>12</v>
      </c>
      <c r="B178" s="169" t="str">
        <f t="shared" si="31"/>
        <v>II-0015.0012</v>
      </c>
      <c r="C178" s="162" t="str">
        <f t="shared" ref="C178:C181" si="33">CONCATENATE($K$176," ",L178)</f>
        <v>CORRECCION DE DEPRESIONES Y DEFORMACIONES SUELO CAL</v>
      </c>
      <c r="D178" s="167" t="s">
        <v>1108</v>
      </c>
      <c r="G178" s="162"/>
      <c r="H178" s="178"/>
      <c r="I178" s="167"/>
      <c r="J178" s="184">
        <v>2</v>
      </c>
      <c r="K178" s="177"/>
      <c r="L178" s="177" t="s">
        <v>1192</v>
      </c>
      <c r="M178" s="162"/>
      <c r="N178" s="162"/>
      <c r="O178" s="214" t="s">
        <v>1108</v>
      </c>
      <c r="P178" s="162"/>
      <c r="Q178" s="162"/>
      <c r="R178" s="162"/>
      <c r="S178" s="162"/>
    </row>
    <row r="179" spans="1:19" x14ac:dyDescent="0.2">
      <c r="A179" s="168">
        <v>13</v>
      </c>
      <c r="B179" s="169" t="str">
        <f t="shared" si="31"/>
        <v>II-0015.0013</v>
      </c>
      <c r="C179" s="162" t="str">
        <f t="shared" si="33"/>
        <v>CORRECCION DE DEPRESIONES Y DEFORMACIONES SUELO CEMENTO</v>
      </c>
      <c r="D179" s="167" t="s">
        <v>1108</v>
      </c>
      <c r="G179" s="162"/>
      <c r="H179" s="178"/>
      <c r="I179" s="167"/>
      <c r="J179" s="184">
        <v>3</v>
      </c>
      <c r="K179" s="177"/>
      <c r="L179" s="177" t="s">
        <v>1195</v>
      </c>
      <c r="M179" s="162"/>
      <c r="N179" s="162"/>
      <c r="O179" s="214" t="s">
        <v>1108</v>
      </c>
      <c r="P179" s="162"/>
      <c r="Q179" s="162"/>
      <c r="R179" s="162"/>
      <c r="S179" s="162"/>
    </row>
    <row r="180" spans="1:19" x14ac:dyDescent="0.2">
      <c r="A180" s="168">
        <v>14</v>
      </c>
      <c r="B180" s="169" t="str">
        <f t="shared" si="31"/>
        <v>II-0015.0014</v>
      </c>
      <c r="C180" s="162" t="str">
        <f t="shared" si="33"/>
        <v>CORRECCION DE DEPRESIONES Y DEFORMACIONES SUELO ESCORIA</v>
      </c>
      <c r="D180" s="167" t="s">
        <v>1108</v>
      </c>
      <c r="G180" s="162"/>
      <c r="H180" s="178"/>
      <c r="I180" s="167"/>
      <c r="J180" s="184">
        <v>4</v>
      </c>
      <c r="K180" s="177"/>
      <c r="L180" s="177" t="s">
        <v>1257</v>
      </c>
      <c r="M180" s="162"/>
      <c r="N180" s="162"/>
      <c r="O180" s="214" t="s">
        <v>1108</v>
      </c>
      <c r="P180" s="162"/>
      <c r="Q180" s="162"/>
      <c r="R180" s="162"/>
      <c r="S180" s="162"/>
    </row>
    <row r="181" spans="1:19" x14ac:dyDescent="0.2">
      <c r="A181" s="168">
        <v>15</v>
      </c>
      <c r="B181" s="169" t="str">
        <f t="shared" si="31"/>
        <v>II-0015.0015</v>
      </c>
      <c r="C181" s="162" t="str">
        <f t="shared" si="33"/>
        <v>CORRECCION DE DEPRESIONES Y DEFORMACIONES SUELO SELECCIONADO</v>
      </c>
      <c r="D181" s="167" t="s">
        <v>1108</v>
      </c>
      <c r="G181" s="162"/>
      <c r="H181" s="178"/>
      <c r="I181" s="192"/>
      <c r="J181" s="187">
        <v>5</v>
      </c>
      <c r="K181" s="189"/>
      <c r="L181" s="189" t="s">
        <v>1198</v>
      </c>
      <c r="M181" s="188"/>
      <c r="N181" s="188"/>
      <c r="O181" s="232" t="s">
        <v>1108</v>
      </c>
      <c r="P181" s="162"/>
      <c r="Q181" s="162"/>
      <c r="R181" s="162"/>
      <c r="S181" s="162"/>
    </row>
    <row r="182" spans="1:19" ht="15.75" thickBot="1" x14ac:dyDescent="0.25">
      <c r="A182" s="168"/>
      <c r="B182" s="161"/>
      <c r="C182" s="186"/>
      <c r="D182" s="167" t="s">
        <v>973</v>
      </c>
      <c r="G182" s="162"/>
      <c r="H182" s="193"/>
      <c r="I182" s="205" t="s">
        <v>1060</v>
      </c>
      <c r="J182" s="194"/>
      <c r="K182" s="197" t="s">
        <v>1264</v>
      </c>
      <c r="L182" s="197"/>
      <c r="M182" s="196"/>
      <c r="N182" s="196"/>
      <c r="O182" s="258" t="s">
        <v>973</v>
      </c>
      <c r="P182" s="162"/>
      <c r="Q182" s="162"/>
      <c r="R182" s="162"/>
      <c r="S182" s="162"/>
    </row>
    <row r="183" spans="1:19" ht="15.75" thickTop="1" x14ac:dyDescent="0.2">
      <c r="A183" s="168">
        <v>16</v>
      </c>
      <c r="B183" s="169" t="s">
        <v>1265</v>
      </c>
      <c r="C183" s="75" t="s">
        <v>1266</v>
      </c>
      <c r="D183" s="167"/>
      <c r="G183" s="162"/>
      <c r="H183" s="200">
        <v>16</v>
      </c>
      <c r="I183" s="202"/>
      <c r="J183" s="212"/>
      <c r="K183" s="257" t="s">
        <v>1266</v>
      </c>
      <c r="L183" s="212"/>
      <c r="M183" s="212"/>
      <c r="N183" s="212"/>
      <c r="O183" s="222"/>
      <c r="P183" s="162"/>
      <c r="Q183" s="176">
        <f>H183</f>
        <v>16</v>
      </c>
      <c r="R183" s="167" t="str">
        <f>CONCATENATE("II-",TEXT(Q183,"0000"))</f>
        <v>II-0016</v>
      </c>
      <c r="S183" s="177" t="str">
        <f>K183</f>
        <v>CAMARA DE INSPECCION</v>
      </c>
    </row>
    <row r="184" spans="1:19" ht="15.75" thickBot="1" x14ac:dyDescent="0.25">
      <c r="A184" s="168">
        <v>1</v>
      </c>
      <c r="B184" s="169" t="str">
        <f>CONCATENATE($B$183,".",TEXT(A184,"0000"))</f>
        <v>II-0016.0001</v>
      </c>
      <c r="C184" s="162" t="str">
        <f>CONCATENATE("S/PLANO ",K184)</f>
        <v>S/PLANO H-2465</v>
      </c>
      <c r="D184" s="167" t="s">
        <v>5</v>
      </c>
      <c r="G184" s="162"/>
      <c r="H184" s="204"/>
      <c r="I184" s="205" t="s">
        <v>997</v>
      </c>
      <c r="J184" s="208"/>
      <c r="K184" s="239" t="s">
        <v>1267</v>
      </c>
      <c r="L184" s="208"/>
      <c r="M184" s="208"/>
      <c r="N184" s="208"/>
      <c r="O184" s="240" t="s">
        <v>5</v>
      </c>
      <c r="P184" s="162"/>
      <c r="Q184" s="162"/>
      <c r="R184" s="162"/>
      <c r="S184" s="162"/>
    </row>
    <row r="185" spans="1:19" ht="15.75" thickTop="1" x14ac:dyDescent="0.2">
      <c r="A185" s="168">
        <v>17</v>
      </c>
      <c r="B185" s="169" t="s">
        <v>1268</v>
      </c>
      <c r="C185" s="75" t="s">
        <v>1269</v>
      </c>
      <c r="D185" s="167"/>
      <c r="G185" s="162"/>
      <c r="H185" s="200">
        <v>17</v>
      </c>
      <c r="I185" s="202"/>
      <c r="J185" s="212"/>
      <c r="K185" s="257" t="s">
        <v>1269</v>
      </c>
      <c r="L185" s="212"/>
      <c r="M185" s="212"/>
      <c r="N185" s="212"/>
      <c r="O185" s="222"/>
      <c r="P185" s="162"/>
      <c r="Q185" s="176">
        <f>H185</f>
        <v>17</v>
      </c>
      <c r="R185" s="167" t="str">
        <f>CONCATENATE("II-",TEXT(Q185,"0000"))</f>
        <v>II-0017</v>
      </c>
      <c r="S185" s="177" t="str">
        <f>K185</f>
        <v>CARPETA</v>
      </c>
    </row>
    <row r="186" spans="1:19" x14ac:dyDescent="0.2">
      <c r="A186" s="168"/>
      <c r="B186" s="169"/>
      <c r="C186" s="75"/>
      <c r="D186" s="167"/>
      <c r="G186" s="162"/>
      <c r="H186" s="178"/>
      <c r="I186" s="179" t="s">
        <v>997</v>
      </c>
      <c r="J186" s="167"/>
      <c r="K186" s="177" t="s">
        <v>1270</v>
      </c>
      <c r="L186" s="177"/>
      <c r="M186" s="162"/>
      <c r="N186" s="162"/>
      <c r="O186" s="214"/>
      <c r="P186" s="162"/>
      <c r="Q186" s="162"/>
      <c r="R186" s="162"/>
      <c r="S186" s="162"/>
    </row>
    <row r="187" spans="1:19" x14ac:dyDescent="0.2">
      <c r="A187" s="168">
        <v>1</v>
      </c>
      <c r="B187" s="169" t="str">
        <f>CONCATENATE($B$185,".",TEXT(A187,"0000"))</f>
        <v>II-0017.0001</v>
      </c>
      <c r="C187" s="162" t="str">
        <f>CONCATENATE($K$186," ",L187)</f>
        <v>MEZCLA BITUMINOSA DE CONCRETO ASFALTICO MEZCLA EN CALIENTE</v>
      </c>
      <c r="D187" s="167" t="s">
        <v>1191</v>
      </c>
      <c r="G187" s="162"/>
      <c r="H187" s="178"/>
      <c r="I187" s="167"/>
      <c r="J187" s="184">
        <v>1</v>
      </c>
      <c r="K187" s="177"/>
      <c r="L187" s="177" t="s">
        <v>1271</v>
      </c>
      <c r="M187" s="162"/>
      <c r="N187" s="162"/>
      <c r="O187" s="214" t="s">
        <v>1191</v>
      </c>
      <c r="P187" s="162"/>
      <c r="Q187" s="162"/>
      <c r="R187" s="162"/>
      <c r="S187" s="162"/>
    </row>
    <row r="188" spans="1:19" x14ac:dyDescent="0.2">
      <c r="A188" s="168">
        <v>2</v>
      </c>
      <c r="B188" s="169" t="str">
        <f t="shared" ref="B188:B192" si="34">CONCATENATE($B$185,".",TEXT(A188,"0000"))</f>
        <v>II-0017.0002</v>
      </c>
      <c r="C188" s="162" t="str">
        <f>CONCATENATE($K$186," ",L188)</f>
        <v>MEZCLA BITUMINOSA DE CONCRETO ASFALTICO MEZCLA EN FRIO</v>
      </c>
      <c r="D188" s="167" t="s">
        <v>1191</v>
      </c>
      <c r="G188" s="162"/>
      <c r="H188" s="178"/>
      <c r="I188" s="167"/>
      <c r="J188" s="187">
        <v>2</v>
      </c>
      <c r="K188" s="189"/>
      <c r="L188" s="189" t="s">
        <v>1272</v>
      </c>
      <c r="M188" s="188"/>
      <c r="N188" s="188"/>
      <c r="O188" s="232" t="s">
        <v>1191</v>
      </c>
      <c r="P188" s="162"/>
      <c r="Q188" s="162"/>
      <c r="R188" s="162"/>
      <c r="S188" s="162"/>
    </row>
    <row r="189" spans="1:19" x14ac:dyDescent="0.2">
      <c r="A189" s="168"/>
      <c r="B189" s="169"/>
      <c r="C189" s="75"/>
      <c r="D189" s="167"/>
      <c r="G189" s="162"/>
      <c r="H189" s="178"/>
      <c r="I189" s="179" t="s">
        <v>1024</v>
      </c>
      <c r="J189" s="167"/>
      <c r="K189" s="177" t="s">
        <v>1273</v>
      </c>
      <c r="L189" s="177"/>
      <c r="M189" s="162"/>
      <c r="N189" s="162"/>
      <c r="O189" s="214"/>
      <c r="P189" s="162"/>
      <c r="Q189" s="162"/>
      <c r="R189" s="162"/>
      <c r="S189" s="162"/>
    </row>
    <row r="190" spans="1:19" x14ac:dyDescent="0.2">
      <c r="A190" s="168">
        <v>11</v>
      </c>
      <c r="B190" s="169" t="str">
        <f t="shared" si="34"/>
        <v>II-0017.0011</v>
      </c>
      <c r="C190" s="162" t="str">
        <f>CONCATENATE($K$189," ",L190)</f>
        <v>CARPETA DE BAJO ESPESOR MEZCLA EN CALIENTE</v>
      </c>
      <c r="D190" s="167" t="s">
        <v>1191</v>
      </c>
      <c r="G190" s="162"/>
      <c r="H190" s="178"/>
      <c r="I190" s="167"/>
      <c r="J190" s="184">
        <v>1</v>
      </c>
      <c r="K190" s="177"/>
      <c r="L190" s="177" t="s">
        <v>1271</v>
      </c>
      <c r="M190" s="162"/>
      <c r="N190" s="162"/>
      <c r="O190" s="214" t="s">
        <v>1191</v>
      </c>
      <c r="P190" s="162"/>
      <c r="Q190" s="162"/>
      <c r="R190" s="162"/>
      <c r="S190" s="162"/>
    </row>
    <row r="191" spans="1:19" x14ac:dyDescent="0.2">
      <c r="A191" s="168">
        <v>12</v>
      </c>
      <c r="B191" s="169" t="str">
        <f t="shared" si="34"/>
        <v>II-0017.0012</v>
      </c>
      <c r="C191" s="162" t="str">
        <f t="shared" ref="C191:C192" si="35">CONCATENATE($K$189," ",L191)</f>
        <v>CARPETA DE BAJO ESPESOR MEZCLA EN FRIO</v>
      </c>
      <c r="D191" s="167" t="s">
        <v>1191</v>
      </c>
      <c r="G191" s="162"/>
      <c r="H191" s="178"/>
      <c r="I191" s="167"/>
      <c r="J191" s="184">
        <v>2</v>
      </c>
      <c r="K191" s="177"/>
      <c r="L191" s="177" t="s">
        <v>1272</v>
      </c>
      <c r="M191" s="162"/>
      <c r="N191" s="162"/>
      <c r="O191" s="214" t="s">
        <v>1191</v>
      </c>
      <c r="P191" s="162"/>
      <c r="Q191" s="162"/>
      <c r="R191" s="162"/>
      <c r="S191" s="162"/>
    </row>
    <row r="192" spans="1:19" ht="15.75" thickBot="1" x14ac:dyDescent="0.25">
      <c r="A192" s="168">
        <v>13</v>
      </c>
      <c r="B192" s="169" t="str">
        <f t="shared" si="34"/>
        <v>II-0017.0013</v>
      </c>
      <c r="C192" s="162" t="str">
        <f t="shared" si="35"/>
        <v>CARPETA DE BAJO ESPESOR MICROAGLOMERADO</v>
      </c>
      <c r="D192" s="167" t="s">
        <v>1191</v>
      </c>
      <c r="G192" s="162"/>
      <c r="H192" s="178"/>
      <c r="I192" s="167"/>
      <c r="J192" s="184">
        <v>3</v>
      </c>
      <c r="K192" s="177"/>
      <c r="L192" s="177" t="s">
        <v>1262</v>
      </c>
      <c r="M192" s="162"/>
      <c r="N192" s="162"/>
      <c r="O192" s="214" t="s">
        <v>1191</v>
      </c>
      <c r="P192" s="162"/>
      <c r="Q192" s="162"/>
      <c r="R192" s="162"/>
      <c r="S192" s="162"/>
    </row>
    <row r="193" spans="1:19" ht="15.75" thickTop="1" x14ac:dyDescent="0.2">
      <c r="A193" s="168">
        <v>18</v>
      </c>
      <c r="B193" s="169" t="s">
        <v>1274</v>
      </c>
      <c r="C193" s="75" t="s">
        <v>1275</v>
      </c>
      <c r="D193" s="167"/>
      <c r="G193" s="162"/>
      <c r="H193" s="245">
        <v>18</v>
      </c>
      <c r="I193" s="201"/>
      <c r="J193" s="250"/>
      <c r="K193" s="251" t="s">
        <v>1275</v>
      </c>
      <c r="L193" s="250"/>
      <c r="M193" s="250"/>
      <c r="N193" s="250"/>
      <c r="O193" s="203"/>
      <c r="P193" s="162"/>
      <c r="Q193" s="176">
        <f>H193</f>
        <v>18</v>
      </c>
      <c r="R193" s="167" t="str">
        <f>CONCATENATE("II-",TEXT(Q193,"0000"))</f>
        <v>II-0018</v>
      </c>
      <c r="S193" s="177" t="str">
        <f>K193</f>
        <v>COLCHONETA ( PIEDRA EMBOLSADA)</v>
      </c>
    </row>
    <row r="194" spans="1:19" x14ac:dyDescent="0.2">
      <c r="A194" s="168">
        <v>1</v>
      </c>
      <c r="B194" s="169" t="str">
        <f>CONCATENATE($B$193,".",TEXT(A194,"0000"))</f>
        <v>II-0018.0001</v>
      </c>
      <c r="C194" s="162" t="str">
        <f>CONCATENATE(K194," ",L194)</f>
        <v xml:space="preserve">ELECTROSOLDADA </v>
      </c>
      <c r="D194" s="167" t="s">
        <v>1108</v>
      </c>
      <c r="G194" s="162"/>
      <c r="H194" s="265"/>
      <c r="I194" s="179" t="s">
        <v>997</v>
      </c>
      <c r="J194" s="220"/>
      <c r="K194" s="237" t="s">
        <v>1276</v>
      </c>
      <c r="L194" s="220"/>
      <c r="M194" s="220"/>
      <c r="N194" s="220"/>
      <c r="O194" s="236" t="s">
        <v>1108</v>
      </c>
      <c r="P194" s="162"/>
      <c r="Q194" s="162"/>
      <c r="R194" s="162"/>
      <c r="S194" s="162"/>
    </row>
    <row r="195" spans="1:19" x14ac:dyDescent="0.2">
      <c r="A195" s="168">
        <v>2</v>
      </c>
      <c r="B195" s="169" t="str">
        <f t="shared" ref="B195:B197" si="36">CONCATENATE($B$193,".",TEXT(A195,"0000"))</f>
        <v>II-0018.0002</v>
      </c>
      <c r="C195" s="162" t="str">
        <f t="shared" ref="C195:C197" si="37">CONCATENATE(K195," ",L195)</f>
        <v xml:space="preserve">MALLA HEXAGONAL </v>
      </c>
      <c r="D195" s="167" t="s">
        <v>1108</v>
      </c>
      <c r="G195" s="162"/>
      <c r="H195" s="233"/>
      <c r="I195" s="179" t="s">
        <v>1024</v>
      </c>
      <c r="J195" s="220"/>
      <c r="K195" s="237" t="s">
        <v>1277</v>
      </c>
      <c r="L195" s="220"/>
      <c r="M195" s="220"/>
      <c r="N195" s="220"/>
      <c r="O195" s="236" t="s">
        <v>1108</v>
      </c>
      <c r="P195" s="162"/>
      <c r="Q195" s="162"/>
      <c r="R195" s="162"/>
      <c r="S195" s="162"/>
    </row>
    <row r="196" spans="1:19" x14ac:dyDescent="0.2">
      <c r="A196" s="168">
        <v>3</v>
      </c>
      <c r="B196" s="169" t="str">
        <f t="shared" si="36"/>
        <v>II-0018.0003</v>
      </c>
      <c r="C196" s="162" t="str">
        <f t="shared" si="37"/>
        <v xml:space="preserve">REPARACION </v>
      </c>
      <c r="D196" s="167" t="s">
        <v>1108</v>
      </c>
      <c r="G196" s="162"/>
      <c r="H196" s="233"/>
      <c r="I196" s="179" t="s">
        <v>1034</v>
      </c>
      <c r="J196" s="220"/>
      <c r="K196" s="237" t="s">
        <v>1111</v>
      </c>
      <c r="L196" s="220"/>
      <c r="M196" s="220"/>
      <c r="N196" s="220"/>
      <c r="O196" s="236" t="s">
        <v>1108</v>
      </c>
      <c r="P196" s="162"/>
      <c r="Q196" s="162"/>
      <c r="R196" s="162"/>
      <c r="S196" s="162"/>
    </row>
    <row r="197" spans="1:19" x14ac:dyDescent="0.2">
      <c r="A197" s="168">
        <v>4</v>
      </c>
      <c r="B197" s="169" t="str">
        <f t="shared" si="36"/>
        <v>II-0018.0004</v>
      </c>
      <c r="C197" s="162" t="str">
        <f t="shared" si="37"/>
        <v xml:space="preserve">RETIRO  </v>
      </c>
      <c r="D197" s="167" t="s">
        <v>1108</v>
      </c>
      <c r="G197" s="162"/>
      <c r="H197" s="233"/>
      <c r="I197" s="179" t="s">
        <v>1060</v>
      </c>
      <c r="J197" s="220"/>
      <c r="K197" s="237" t="s">
        <v>1116</v>
      </c>
      <c r="L197" s="220"/>
      <c r="M197" s="220"/>
      <c r="N197" s="220"/>
      <c r="O197" s="236" t="s">
        <v>1108</v>
      </c>
      <c r="P197" s="162"/>
      <c r="Q197" s="162"/>
      <c r="R197" s="162"/>
      <c r="S197" s="162"/>
    </row>
    <row r="198" spans="1:19" ht="15.75" thickBot="1" x14ac:dyDescent="0.25">
      <c r="A198" s="168"/>
      <c r="B198" s="169"/>
      <c r="C198" s="75"/>
      <c r="D198" s="167" t="s">
        <v>1108</v>
      </c>
      <c r="G198" s="162"/>
      <c r="H198" s="238"/>
      <c r="I198" s="205" t="s">
        <v>1102</v>
      </c>
      <c r="J198" s="208"/>
      <c r="K198" s="239" t="s">
        <v>1234</v>
      </c>
      <c r="L198" s="208"/>
      <c r="M198" s="208"/>
      <c r="N198" s="208"/>
      <c r="O198" s="240" t="s">
        <v>1108</v>
      </c>
      <c r="P198" s="162"/>
      <c r="Q198" s="162"/>
      <c r="R198" s="162"/>
      <c r="S198" s="162"/>
    </row>
    <row r="199" spans="1:19" ht="15.75" thickTop="1" x14ac:dyDescent="0.2">
      <c r="A199" s="168">
        <v>19</v>
      </c>
      <c r="B199" s="169" t="s">
        <v>1278</v>
      </c>
      <c r="C199" s="75" t="s">
        <v>1279</v>
      </c>
      <c r="D199" s="167"/>
      <c r="G199" s="162"/>
      <c r="H199" s="200">
        <v>19</v>
      </c>
      <c r="I199" s="202"/>
      <c r="J199" s="212"/>
      <c r="K199" s="257" t="s">
        <v>1279</v>
      </c>
      <c r="L199" s="212"/>
      <c r="M199" s="212"/>
      <c r="N199" s="212"/>
      <c r="O199" s="222"/>
      <c r="P199" s="162"/>
      <c r="Q199" s="176">
        <f>H199</f>
        <v>19</v>
      </c>
      <c r="R199" s="167" t="str">
        <f>CONCATENATE("II-",TEXT(Q199,"0000"))</f>
        <v>II-0019</v>
      </c>
      <c r="S199" s="177" t="str">
        <f>K199</f>
        <v>CORDONES</v>
      </c>
    </row>
    <row r="200" spans="1:19" x14ac:dyDescent="0.2">
      <c r="A200" s="168"/>
      <c r="B200" s="169"/>
      <c r="C200" s="75"/>
      <c r="D200" s="167"/>
      <c r="G200" s="162"/>
      <c r="H200" s="213"/>
      <c r="I200" s="179" t="s">
        <v>997</v>
      </c>
      <c r="J200" s="167"/>
      <c r="K200" s="177" t="s">
        <v>1280</v>
      </c>
      <c r="L200" s="162"/>
      <c r="M200" s="162"/>
      <c r="N200" s="162"/>
      <c r="O200" s="214"/>
      <c r="P200" s="162"/>
      <c r="Q200" s="162"/>
      <c r="R200" s="162"/>
      <c r="S200" s="162"/>
    </row>
    <row r="201" spans="1:19" x14ac:dyDescent="0.2">
      <c r="A201" s="168">
        <v>1</v>
      </c>
      <c r="B201" s="75"/>
      <c r="C201" s="162" t="str">
        <f>CONCATENATE("S/PLANO ",$K$200," - TIPO ",L201 )</f>
        <v>S/PLANO H-8431 - TIPO A</v>
      </c>
      <c r="D201" s="167" t="s">
        <v>1233</v>
      </c>
      <c r="G201" s="162"/>
      <c r="H201" s="178"/>
      <c r="I201" s="167"/>
      <c r="J201" s="184">
        <v>1</v>
      </c>
      <c r="K201" s="162"/>
      <c r="L201" s="177" t="s">
        <v>997</v>
      </c>
      <c r="M201" s="162"/>
      <c r="N201" s="162"/>
      <c r="O201" s="214" t="s">
        <v>1233</v>
      </c>
      <c r="P201" s="162"/>
      <c r="Q201" s="162"/>
      <c r="R201" s="162"/>
      <c r="S201" s="162"/>
    </row>
    <row r="202" spans="1:19" x14ac:dyDescent="0.2">
      <c r="A202" s="168">
        <v>2</v>
      </c>
      <c r="B202" s="169"/>
      <c r="C202" s="162" t="str">
        <f t="shared" ref="C202:C203" si="38">CONCATENATE("S/PLANO ",$K$200," - TIPO ",L202 )</f>
        <v>S/PLANO H-8431 - TIPO B</v>
      </c>
      <c r="D202" s="167" t="s">
        <v>1233</v>
      </c>
      <c r="G202" s="162"/>
      <c r="H202" s="178"/>
      <c r="I202" s="167"/>
      <c r="J202" s="184">
        <v>2</v>
      </c>
      <c r="K202" s="162"/>
      <c r="L202" s="177" t="s">
        <v>1024</v>
      </c>
      <c r="M202" s="162"/>
      <c r="N202" s="162"/>
      <c r="O202" s="214" t="s">
        <v>1233</v>
      </c>
      <c r="P202" s="162"/>
      <c r="Q202" s="162"/>
      <c r="R202" s="162"/>
      <c r="S202" s="162"/>
    </row>
    <row r="203" spans="1:19" ht="15.75" thickBot="1" x14ac:dyDescent="0.25">
      <c r="A203" s="168">
        <v>3</v>
      </c>
      <c r="B203" s="75"/>
      <c r="C203" s="162" t="str">
        <f t="shared" si="38"/>
        <v>S/PLANO H-8431 - TIPO C</v>
      </c>
      <c r="D203" s="167" t="s">
        <v>1233</v>
      </c>
      <c r="G203" s="162"/>
      <c r="H203" s="224"/>
      <c r="I203" s="225"/>
      <c r="J203" s="226">
        <v>3</v>
      </c>
      <c r="K203" s="227"/>
      <c r="L203" s="228" t="s">
        <v>1034</v>
      </c>
      <c r="M203" s="227"/>
      <c r="N203" s="227"/>
      <c r="O203" s="260" t="s">
        <v>1233</v>
      </c>
      <c r="P203" s="162"/>
      <c r="Q203" s="162"/>
      <c r="R203" s="162"/>
      <c r="S203" s="162"/>
    </row>
    <row r="204" spans="1:19" x14ac:dyDescent="0.2">
      <c r="A204" s="168"/>
      <c r="B204" s="169"/>
      <c r="C204" s="75"/>
      <c r="D204" s="167"/>
      <c r="G204" s="162"/>
      <c r="H204" s="166"/>
      <c r="I204" s="167"/>
      <c r="J204" s="162"/>
      <c r="K204" s="162"/>
      <c r="L204" s="162"/>
      <c r="M204" s="162"/>
      <c r="N204" s="162"/>
      <c r="O204" s="165"/>
      <c r="P204" s="162"/>
      <c r="Q204" s="162"/>
      <c r="R204" s="162"/>
      <c r="S204" s="162"/>
    </row>
    <row r="205" spans="1:19" x14ac:dyDescent="0.2">
      <c r="A205" s="168"/>
      <c r="B205" s="161"/>
      <c r="C205" s="75"/>
      <c r="D205" s="167"/>
      <c r="G205" s="162"/>
      <c r="H205" s="200">
        <v>19</v>
      </c>
      <c r="I205" s="202"/>
      <c r="J205" s="212"/>
      <c r="K205" s="257" t="s">
        <v>1279</v>
      </c>
      <c r="L205" s="212"/>
      <c r="M205" s="212"/>
      <c r="N205" s="212"/>
      <c r="O205" s="222"/>
      <c r="P205" s="162"/>
      <c r="Q205" s="162"/>
      <c r="R205" s="162"/>
      <c r="S205" s="162"/>
    </row>
    <row r="206" spans="1:19" x14ac:dyDescent="0.2">
      <c r="A206" s="168"/>
      <c r="B206" s="169"/>
      <c r="C206" s="75"/>
      <c r="D206" s="167"/>
      <c r="G206" s="162"/>
      <c r="H206" s="178"/>
      <c r="I206" s="179" t="s">
        <v>997</v>
      </c>
      <c r="J206" s="167"/>
      <c r="K206" s="177" t="s">
        <v>1280</v>
      </c>
      <c r="L206" s="162"/>
      <c r="M206" s="162"/>
      <c r="N206" s="162"/>
      <c r="O206" s="214"/>
      <c r="P206" s="162"/>
      <c r="Q206" s="162"/>
      <c r="R206" s="162"/>
      <c r="S206" s="162"/>
    </row>
    <row r="207" spans="1:19" x14ac:dyDescent="0.2">
      <c r="A207" s="168"/>
      <c r="B207" s="161"/>
      <c r="C207" s="75"/>
      <c r="D207" s="167" t="s">
        <v>1233</v>
      </c>
      <c r="G207" s="162"/>
      <c r="H207" s="178"/>
      <c r="I207" s="167"/>
      <c r="J207" s="184">
        <v>4</v>
      </c>
      <c r="K207" s="162"/>
      <c r="L207" s="177" t="s">
        <v>1060</v>
      </c>
      <c r="M207" s="162"/>
      <c r="N207" s="162"/>
      <c r="O207" s="214" t="s">
        <v>1233</v>
      </c>
      <c r="P207" s="162"/>
      <c r="Q207" s="162"/>
      <c r="R207" s="162"/>
      <c r="S207" s="162"/>
    </row>
    <row r="208" spans="1:19" x14ac:dyDescent="0.2">
      <c r="A208" s="168"/>
      <c r="B208" s="169"/>
      <c r="C208" s="75"/>
      <c r="D208" s="167" t="s">
        <v>1233</v>
      </c>
      <c r="G208" s="162"/>
      <c r="H208" s="178"/>
      <c r="I208" s="167"/>
      <c r="J208" s="184">
        <v>5</v>
      </c>
      <c r="K208" s="162"/>
      <c r="L208" s="177" t="s">
        <v>1102</v>
      </c>
      <c r="M208" s="162"/>
      <c r="N208" s="162"/>
      <c r="O208" s="214" t="s">
        <v>1233</v>
      </c>
      <c r="P208" s="162"/>
      <c r="Q208" s="162"/>
      <c r="R208" s="162"/>
      <c r="S208" s="162"/>
    </row>
    <row r="209" spans="1:19" x14ac:dyDescent="0.2">
      <c r="A209" s="168"/>
      <c r="B209" s="161"/>
      <c r="C209" s="75"/>
      <c r="D209" s="167" t="s">
        <v>1233</v>
      </c>
      <c r="G209" s="162"/>
      <c r="H209" s="178"/>
      <c r="I209" s="167"/>
      <c r="J209" s="184">
        <v>6</v>
      </c>
      <c r="K209" s="162"/>
      <c r="L209" s="177" t="s">
        <v>1105</v>
      </c>
      <c r="M209" s="162"/>
      <c r="N209" s="162"/>
      <c r="O209" s="214" t="s">
        <v>1233</v>
      </c>
      <c r="P209" s="162"/>
      <c r="Q209" s="162"/>
      <c r="R209" s="162"/>
      <c r="S209" s="162"/>
    </row>
    <row r="210" spans="1:19" x14ac:dyDescent="0.2">
      <c r="A210" s="168"/>
      <c r="B210" s="161"/>
      <c r="C210" s="75"/>
      <c r="D210" s="167" t="s">
        <v>1233</v>
      </c>
      <c r="G210" s="162"/>
      <c r="H210" s="178"/>
      <c r="I210" s="167"/>
      <c r="J210" s="184">
        <v>7</v>
      </c>
      <c r="K210" s="162"/>
      <c r="L210" s="177" t="s">
        <v>1109</v>
      </c>
      <c r="M210" s="162"/>
      <c r="N210" s="162"/>
      <c r="O210" s="214" t="s">
        <v>1233</v>
      </c>
      <c r="P210" s="162"/>
      <c r="Q210" s="162"/>
      <c r="R210" s="162"/>
      <c r="S210" s="162"/>
    </row>
    <row r="211" spans="1:19" x14ac:dyDescent="0.2">
      <c r="A211" s="168"/>
      <c r="B211" s="161"/>
      <c r="C211" s="186"/>
      <c r="D211" s="167" t="s">
        <v>1233</v>
      </c>
      <c r="G211" s="162"/>
      <c r="H211" s="178"/>
      <c r="I211" s="167"/>
      <c r="J211" s="184">
        <v>8</v>
      </c>
      <c r="K211" s="162"/>
      <c r="L211" s="177" t="s">
        <v>1112</v>
      </c>
      <c r="M211" s="162"/>
      <c r="N211" s="162"/>
      <c r="O211" s="214" t="s">
        <v>1233</v>
      </c>
      <c r="P211" s="162"/>
      <c r="Q211" s="162"/>
      <c r="R211" s="162"/>
      <c r="S211" s="162"/>
    </row>
    <row r="212" spans="1:19" x14ac:dyDescent="0.2">
      <c r="A212" s="168"/>
      <c r="B212" s="169"/>
      <c r="C212" s="75"/>
      <c r="D212" s="167" t="s">
        <v>1233</v>
      </c>
      <c r="G212" s="162"/>
      <c r="H212" s="178"/>
      <c r="I212" s="167"/>
      <c r="J212" s="184">
        <v>9</v>
      </c>
      <c r="K212" s="162"/>
      <c r="L212" s="177" t="s">
        <v>889</v>
      </c>
      <c r="M212" s="162"/>
      <c r="N212" s="162"/>
      <c r="O212" s="214" t="s">
        <v>1233</v>
      </c>
      <c r="P212" s="162"/>
      <c r="Q212" s="162"/>
      <c r="R212" s="162"/>
      <c r="S212" s="162"/>
    </row>
    <row r="213" spans="1:19" x14ac:dyDescent="0.2">
      <c r="A213" s="168"/>
      <c r="B213" s="169"/>
      <c r="C213" s="75"/>
      <c r="D213" s="167" t="s">
        <v>1233</v>
      </c>
      <c r="G213" s="162"/>
      <c r="H213" s="178"/>
      <c r="I213" s="192"/>
      <c r="J213" s="187">
        <v>10</v>
      </c>
      <c r="K213" s="188"/>
      <c r="L213" s="189" t="s">
        <v>1117</v>
      </c>
      <c r="M213" s="188"/>
      <c r="N213" s="188"/>
      <c r="O213" s="232" t="s">
        <v>1233</v>
      </c>
      <c r="P213" s="162"/>
      <c r="Q213" s="162"/>
      <c r="R213" s="162"/>
      <c r="S213" s="162"/>
    </row>
    <row r="214" spans="1:19" x14ac:dyDescent="0.2">
      <c r="A214" s="168"/>
      <c r="B214" s="169"/>
      <c r="C214" s="75"/>
      <c r="D214" s="167" t="s">
        <v>1233</v>
      </c>
      <c r="G214" s="162"/>
      <c r="H214" s="178"/>
      <c r="I214" s="187" t="s">
        <v>1024</v>
      </c>
      <c r="J214" s="167"/>
      <c r="K214" s="177" t="s">
        <v>1281</v>
      </c>
      <c r="L214" s="162"/>
      <c r="M214" s="162"/>
      <c r="N214" s="162"/>
      <c r="O214" s="214" t="s">
        <v>1233</v>
      </c>
      <c r="P214" s="162"/>
      <c r="Q214" s="162"/>
      <c r="R214" s="162"/>
      <c r="S214" s="162"/>
    </row>
    <row r="215" spans="1:19" x14ac:dyDescent="0.2">
      <c r="A215" s="168"/>
      <c r="B215" s="169"/>
      <c r="C215" s="75"/>
      <c r="D215" s="167" t="s">
        <v>1233</v>
      </c>
      <c r="G215" s="162"/>
      <c r="H215" s="178"/>
      <c r="I215" s="167"/>
      <c r="J215" s="184">
        <v>1</v>
      </c>
      <c r="K215" s="162"/>
      <c r="L215" s="177" t="s">
        <v>997</v>
      </c>
      <c r="M215" s="162"/>
      <c r="N215" s="162"/>
      <c r="O215" s="214" t="s">
        <v>1233</v>
      </c>
      <c r="P215" s="162"/>
      <c r="Q215" s="162"/>
      <c r="R215" s="162"/>
      <c r="S215" s="162"/>
    </row>
    <row r="216" spans="1:19" x14ac:dyDescent="0.2">
      <c r="A216" s="168"/>
      <c r="B216" s="169"/>
      <c r="C216" s="75"/>
      <c r="D216" s="167" t="s">
        <v>1233</v>
      </c>
      <c r="G216" s="162"/>
      <c r="H216" s="178"/>
      <c r="I216" s="167"/>
      <c r="J216" s="184">
        <v>2</v>
      </c>
      <c r="K216" s="162"/>
      <c r="L216" s="177" t="s">
        <v>1024</v>
      </c>
      <c r="M216" s="162"/>
      <c r="N216" s="162"/>
      <c r="O216" s="214" t="s">
        <v>1233</v>
      </c>
      <c r="P216" s="162"/>
      <c r="Q216" s="162"/>
      <c r="R216" s="162"/>
      <c r="S216" s="162"/>
    </row>
    <row r="217" spans="1:19" x14ac:dyDescent="0.2">
      <c r="A217" s="168"/>
      <c r="B217" s="161"/>
      <c r="C217" s="75"/>
      <c r="D217" s="167" t="s">
        <v>1233</v>
      </c>
      <c r="G217" s="162"/>
      <c r="H217" s="178"/>
      <c r="I217" s="167"/>
      <c r="J217" s="184">
        <v>3</v>
      </c>
      <c r="K217" s="162"/>
      <c r="L217" s="177" t="s">
        <v>1034</v>
      </c>
      <c r="M217" s="162"/>
      <c r="N217" s="162"/>
      <c r="O217" s="214" t="s">
        <v>1233</v>
      </c>
      <c r="P217" s="162"/>
      <c r="Q217" s="162"/>
      <c r="R217" s="162"/>
      <c r="S217" s="162"/>
    </row>
    <row r="218" spans="1:19" x14ac:dyDescent="0.2">
      <c r="A218" s="168"/>
      <c r="B218" s="161"/>
      <c r="C218" s="186"/>
      <c r="D218" s="167" t="s">
        <v>1233</v>
      </c>
      <c r="G218" s="162"/>
      <c r="H218" s="178"/>
      <c r="I218" s="167"/>
      <c r="J218" s="184">
        <v>4</v>
      </c>
      <c r="K218" s="162"/>
      <c r="L218" s="177" t="s">
        <v>1060</v>
      </c>
      <c r="M218" s="162"/>
      <c r="N218" s="162"/>
      <c r="O218" s="214" t="s">
        <v>1233</v>
      </c>
      <c r="P218" s="162"/>
      <c r="Q218" s="162"/>
      <c r="R218" s="162"/>
      <c r="S218" s="162"/>
    </row>
    <row r="219" spans="1:19" x14ac:dyDescent="0.2">
      <c r="A219" s="168"/>
      <c r="B219" s="169"/>
      <c r="C219" s="75"/>
      <c r="D219" s="167" t="s">
        <v>1233</v>
      </c>
      <c r="G219" s="162"/>
      <c r="H219" s="178"/>
      <c r="I219" s="162"/>
      <c r="J219" s="184">
        <v>5</v>
      </c>
      <c r="K219" s="162"/>
      <c r="L219" s="177" t="s">
        <v>1102</v>
      </c>
      <c r="M219" s="162"/>
      <c r="N219" s="162"/>
      <c r="O219" s="214" t="s">
        <v>1233</v>
      </c>
      <c r="P219" s="162"/>
      <c r="Q219" s="162"/>
      <c r="R219" s="162"/>
      <c r="S219" s="162"/>
    </row>
    <row r="220" spans="1:19" x14ac:dyDescent="0.2">
      <c r="A220" s="168"/>
      <c r="B220" s="169"/>
      <c r="C220" s="75"/>
      <c r="D220" s="167" t="s">
        <v>1233</v>
      </c>
      <c r="G220" s="162"/>
      <c r="H220" s="178"/>
      <c r="I220" s="162"/>
      <c r="J220" s="184">
        <v>6</v>
      </c>
      <c r="K220" s="162"/>
      <c r="L220" s="177" t="s">
        <v>1105</v>
      </c>
      <c r="M220" s="162"/>
      <c r="N220" s="162"/>
      <c r="O220" s="214" t="s">
        <v>1233</v>
      </c>
      <c r="P220" s="162"/>
      <c r="Q220" s="162"/>
      <c r="R220" s="162"/>
      <c r="S220" s="162"/>
    </row>
    <row r="221" spans="1:19" x14ac:dyDescent="0.2">
      <c r="A221" s="168"/>
      <c r="B221" s="161"/>
      <c r="C221" s="75"/>
      <c r="D221" s="167" t="s">
        <v>1233</v>
      </c>
      <c r="G221" s="162"/>
      <c r="H221" s="178"/>
      <c r="I221" s="167"/>
      <c r="J221" s="184">
        <v>7</v>
      </c>
      <c r="K221" s="162"/>
      <c r="L221" s="177" t="s">
        <v>1109</v>
      </c>
      <c r="M221" s="162"/>
      <c r="N221" s="162"/>
      <c r="O221" s="214" t="s">
        <v>1233</v>
      </c>
      <c r="P221" s="162"/>
      <c r="Q221" s="162"/>
      <c r="R221" s="162"/>
      <c r="S221" s="162"/>
    </row>
    <row r="222" spans="1:19" x14ac:dyDescent="0.2">
      <c r="A222" s="168"/>
      <c r="B222" s="161"/>
      <c r="C222" s="75"/>
      <c r="D222" s="167" t="s">
        <v>1233</v>
      </c>
      <c r="G222" s="162"/>
      <c r="H222" s="178"/>
      <c r="I222" s="167"/>
      <c r="J222" s="184">
        <v>8</v>
      </c>
      <c r="K222" s="162"/>
      <c r="L222" s="177" t="s">
        <v>1112</v>
      </c>
      <c r="M222" s="162"/>
      <c r="N222" s="162"/>
      <c r="O222" s="214" t="s">
        <v>1233</v>
      </c>
      <c r="P222" s="162"/>
      <c r="Q222" s="162"/>
      <c r="R222" s="162"/>
      <c r="S222" s="162"/>
    </row>
    <row r="223" spans="1:19" x14ac:dyDescent="0.2">
      <c r="A223" s="168"/>
      <c r="B223" s="161"/>
      <c r="C223" s="75"/>
      <c r="D223" s="167" t="s">
        <v>1233</v>
      </c>
      <c r="G223" s="162"/>
      <c r="H223" s="178"/>
      <c r="I223" s="167"/>
      <c r="J223" s="184">
        <v>9</v>
      </c>
      <c r="K223" s="162"/>
      <c r="L223" s="177" t="s">
        <v>889</v>
      </c>
      <c r="M223" s="162"/>
      <c r="N223" s="162"/>
      <c r="O223" s="214" t="s">
        <v>1233</v>
      </c>
      <c r="P223" s="162"/>
      <c r="Q223" s="162"/>
      <c r="R223" s="162"/>
      <c r="S223" s="162"/>
    </row>
    <row r="224" spans="1:19" x14ac:dyDescent="0.2">
      <c r="A224" s="168"/>
      <c r="B224" s="161"/>
      <c r="C224" s="186"/>
      <c r="D224" s="167" t="s">
        <v>1233</v>
      </c>
      <c r="G224" s="162"/>
      <c r="H224" s="178"/>
      <c r="I224" s="167"/>
      <c r="J224" s="187">
        <v>10</v>
      </c>
      <c r="K224" s="188"/>
      <c r="L224" s="177" t="s">
        <v>1117</v>
      </c>
      <c r="M224" s="162"/>
      <c r="N224" s="162"/>
      <c r="O224" s="214" t="s">
        <v>1233</v>
      </c>
      <c r="P224" s="162"/>
      <c r="Q224" s="162"/>
      <c r="R224" s="162"/>
      <c r="S224" s="162"/>
    </row>
    <row r="225" spans="1:19" x14ac:dyDescent="0.2">
      <c r="A225" s="168"/>
      <c r="B225" s="169"/>
      <c r="C225" s="75"/>
      <c r="D225" s="167" t="s">
        <v>1233</v>
      </c>
      <c r="G225" s="162"/>
      <c r="H225" s="178"/>
      <c r="I225" s="179" t="s">
        <v>1034</v>
      </c>
      <c r="J225" s="220"/>
      <c r="K225" s="189" t="s">
        <v>1282</v>
      </c>
      <c r="L225" s="220"/>
      <c r="M225" s="220"/>
      <c r="N225" s="220"/>
      <c r="O225" s="236" t="s">
        <v>1233</v>
      </c>
      <c r="P225" s="162"/>
      <c r="Q225" s="162"/>
      <c r="R225" s="162"/>
      <c r="S225" s="162"/>
    </row>
    <row r="226" spans="1:19" x14ac:dyDescent="0.2">
      <c r="A226" s="168"/>
      <c r="B226" s="169"/>
      <c r="C226" s="75"/>
      <c r="D226" s="167" t="s">
        <v>1233</v>
      </c>
      <c r="G226" s="162"/>
      <c r="H226" s="178"/>
      <c r="I226" s="179" t="s">
        <v>1060</v>
      </c>
      <c r="J226" s="220"/>
      <c r="K226" s="237" t="s">
        <v>1116</v>
      </c>
      <c r="L226" s="220"/>
      <c r="M226" s="220"/>
      <c r="N226" s="220"/>
      <c r="O226" s="214" t="s">
        <v>1233</v>
      </c>
      <c r="P226" s="162"/>
      <c r="Q226" s="162"/>
      <c r="R226" s="162"/>
      <c r="S226" s="162"/>
    </row>
    <row r="227" spans="1:19" ht="15.75" thickBot="1" x14ac:dyDescent="0.25">
      <c r="A227" s="168"/>
      <c r="B227" s="169"/>
      <c r="C227" s="75"/>
      <c r="D227" s="167" t="s">
        <v>1233</v>
      </c>
      <c r="G227" s="162"/>
      <c r="H227" s="193"/>
      <c r="I227" s="195" t="s">
        <v>1102</v>
      </c>
      <c r="J227" s="196"/>
      <c r="K227" s="197" t="s">
        <v>1283</v>
      </c>
      <c r="L227" s="196"/>
      <c r="M227" s="196"/>
      <c r="N227" s="196"/>
      <c r="O227" s="240" t="s">
        <v>1233</v>
      </c>
      <c r="P227" s="162"/>
      <c r="Q227" s="162"/>
      <c r="R227" s="162"/>
      <c r="S227" s="162"/>
    </row>
    <row r="228" spans="1:19" ht="16.5" thickTop="1" thickBot="1" x14ac:dyDescent="0.25">
      <c r="A228" s="168">
        <v>20</v>
      </c>
      <c r="B228" s="169" t="s">
        <v>1284</v>
      </c>
      <c r="C228" s="75" t="s">
        <v>1285</v>
      </c>
      <c r="D228" s="167" t="s">
        <v>974</v>
      </c>
      <c r="G228" s="162"/>
      <c r="H228" s="266">
        <v>20</v>
      </c>
      <c r="I228" s="267"/>
      <c r="J228" s="268"/>
      <c r="K228" s="269" t="s">
        <v>1285</v>
      </c>
      <c r="L228" s="268"/>
      <c r="M228" s="268"/>
      <c r="N228" s="268"/>
      <c r="O228" s="270" t="s">
        <v>974</v>
      </c>
      <c r="P228" s="162"/>
      <c r="Q228" s="176">
        <f>H228</f>
        <v>20</v>
      </c>
      <c r="R228" s="167" t="str">
        <f>CONCATENATE("II-",TEXT(Q228,"0000"))</f>
        <v>II-0020</v>
      </c>
      <c r="S228" s="177" t="str">
        <f>K228</f>
        <v>CORTE DE PASTO</v>
      </c>
    </row>
    <row r="229" spans="1:19" ht="15.75" thickTop="1" x14ac:dyDescent="0.2">
      <c r="A229" s="168">
        <v>21</v>
      </c>
      <c r="B229" s="169" t="s">
        <v>1286</v>
      </c>
      <c r="C229" s="75" t="s">
        <v>1287</v>
      </c>
      <c r="D229" s="167"/>
      <c r="G229" s="162"/>
      <c r="H229" s="245">
        <v>21</v>
      </c>
      <c r="I229" s="202"/>
      <c r="J229" s="212"/>
      <c r="K229" s="257" t="s">
        <v>1287</v>
      </c>
      <c r="L229" s="212"/>
      <c r="M229" s="212"/>
      <c r="N229" s="212"/>
      <c r="O229" s="222"/>
      <c r="P229" s="162"/>
      <c r="Q229" s="176">
        <f>H229</f>
        <v>21</v>
      </c>
      <c r="R229" s="167" t="str">
        <f>CONCATENATE("II-",TEXT(Q229,"0000"))</f>
        <v>II-0021</v>
      </c>
      <c r="S229" s="177" t="str">
        <f>K229</f>
        <v xml:space="preserve">CUNETA </v>
      </c>
    </row>
    <row r="230" spans="1:19" x14ac:dyDescent="0.2">
      <c r="A230" s="168"/>
      <c r="B230" s="169"/>
      <c r="C230" s="75"/>
      <c r="D230" s="167" t="s">
        <v>1108</v>
      </c>
      <c r="G230" s="162"/>
      <c r="H230" s="233"/>
      <c r="I230" s="192" t="s">
        <v>997</v>
      </c>
      <c r="J230" s="188"/>
      <c r="K230" s="189" t="s">
        <v>1288</v>
      </c>
      <c r="L230" s="188"/>
      <c r="M230" s="188"/>
      <c r="N230" s="188"/>
      <c r="O230" s="232" t="s">
        <v>1108</v>
      </c>
      <c r="P230" s="162"/>
      <c r="Q230" s="162"/>
      <c r="R230" s="162"/>
      <c r="S230" s="162"/>
    </row>
    <row r="231" spans="1:19" x14ac:dyDescent="0.2">
      <c r="A231" s="168"/>
      <c r="B231" s="169"/>
      <c r="C231" s="75"/>
      <c r="D231" s="167" t="s">
        <v>1191</v>
      </c>
      <c r="G231" s="162"/>
      <c r="H231" s="233"/>
      <c r="I231" s="179" t="s">
        <v>1024</v>
      </c>
      <c r="J231" s="220"/>
      <c r="K231" s="237" t="s">
        <v>1111</v>
      </c>
      <c r="L231" s="220"/>
      <c r="M231" s="220"/>
      <c r="N231" s="220"/>
      <c r="O231" s="236" t="s">
        <v>1191</v>
      </c>
      <c r="P231" s="162"/>
      <c r="Q231" s="162"/>
      <c r="R231" s="162"/>
      <c r="S231" s="162"/>
    </row>
    <row r="232" spans="1:19" x14ac:dyDescent="0.2">
      <c r="A232" s="168"/>
      <c r="B232" s="169"/>
      <c r="C232" s="75"/>
      <c r="D232" s="167" t="s">
        <v>1233</v>
      </c>
      <c r="G232" s="162"/>
      <c r="H232" s="233"/>
      <c r="I232" s="179" t="s">
        <v>1034</v>
      </c>
      <c r="J232" s="220"/>
      <c r="K232" s="237" t="s">
        <v>1116</v>
      </c>
      <c r="L232" s="220"/>
      <c r="M232" s="220"/>
      <c r="N232" s="220"/>
      <c r="O232" s="236" t="s">
        <v>1233</v>
      </c>
      <c r="P232" s="162"/>
      <c r="Q232" s="162"/>
      <c r="R232" s="162"/>
      <c r="S232" s="162"/>
    </row>
    <row r="233" spans="1:19" x14ac:dyDescent="0.2">
      <c r="A233" s="168"/>
      <c r="B233" s="161"/>
      <c r="C233" s="75"/>
      <c r="D233" s="167" t="s">
        <v>973</v>
      </c>
      <c r="G233" s="162"/>
      <c r="H233" s="233"/>
      <c r="I233" s="179" t="s">
        <v>1060</v>
      </c>
      <c r="J233" s="220"/>
      <c r="K233" s="237" t="s">
        <v>1172</v>
      </c>
      <c r="L233" s="220"/>
      <c r="M233" s="220"/>
      <c r="N233" s="220"/>
      <c r="O233" s="236" t="s">
        <v>973</v>
      </c>
      <c r="P233" s="162"/>
      <c r="Q233" s="162"/>
      <c r="R233" s="162"/>
      <c r="S233" s="162"/>
    </row>
    <row r="234" spans="1:19" x14ac:dyDescent="0.2">
      <c r="A234" s="168"/>
      <c r="B234" s="161"/>
      <c r="C234" s="75"/>
      <c r="D234" s="167" t="s">
        <v>1108</v>
      </c>
      <c r="G234" s="162"/>
      <c r="H234" s="233"/>
      <c r="I234" s="179" t="s">
        <v>1102</v>
      </c>
      <c r="J234" s="220"/>
      <c r="K234" s="237" t="s">
        <v>1289</v>
      </c>
      <c r="L234" s="220"/>
      <c r="M234" s="220"/>
      <c r="N234" s="220"/>
      <c r="O234" s="236" t="s">
        <v>1108</v>
      </c>
      <c r="P234" s="162"/>
      <c r="Q234" s="162"/>
      <c r="R234" s="162"/>
      <c r="S234" s="162"/>
    </row>
    <row r="235" spans="1:19" ht="15.75" thickBot="1" x14ac:dyDescent="0.25">
      <c r="A235" s="168"/>
      <c r="B235" s="161"/>
      <c r="C235" s="186"/>
      <c r="D235" s="167" t="s">
        <v>973</v>
      </c>
      <c r="G235" s="162"/>
      <c r="H235" s="238"/>
      <c r="I235" s="205" t="s">
        <v>1105</v>
      </c>
      <c r="J235" s="208"/>
      <c r="K235" s="239" t="s">
        <v>1290</v>
      </c>
      <c r="L235" s="208"/>
      <c r="M235" s="208"/>
      <c r="N235" s="208"/>
      <c r="O235" s="240" t="s">
        <v>973</v>
      </c>
      <c r="P235" s="162"/>
      <c r="Q235" s="162"/>
      <c r="R235" s="162"/>
      <c r="S235" s="162"/>
    </row>
    <row r="236" spans="1:19" ht="16.5" thickTop="1" thickBot="1" x14ac:dyDescent="0.25">
      <c r="A236" s="168">
        <v>22</v>
      </c>
      <c r="B236" s="169" t="s">
        <v>1291</v>
      </c>
      <c r="C236" s="75" t="s">
        <v>1292</v>
      </c>
      <c r="D236" s="167" t="s">
        <v>5</v>
      </c>
      <c r="G236" s="162"/>
      <c r="H236" s="271">
        <v>22</v>
      </c>
      <c r="I236" s="272"/>
      <c r="J236" s="273"/>
      <c r="K236" s="274" t="s">
        <v>1292</v>
      </c>
      <c r="L236" s="273"/>
      <c r="M236" s="273"/>
      <c r="N236" s="273"/>
      <c r="O236" s="275" t="s">
        <v>5</v>
      </c>
      <c r="P236" s="162"/>
      <c r="Q236" s="176">
        <f>H236</f>
        <v>22</v>
      </c>
      <c r="R236" s="167" t="str">
        <f>CONCATENATE("II-",TEXT(Q236,"0000"))</f>
        <v>II-0022</v>
      </c>
      <c r="S236" s="177" t="str">
        <f>K236</f>
        <v>DARSENA DE DETENCION DE VEHICULOS</v>
      </c>
    </row>
    <row r="237" spans="1:19" ht="15.75" thickTop="1" x14ac:dyDescent="0.2">
      <c r="A237" s="168">
        <v>23</v>
      </c>
      <c r="B237" s="158" t="s">
        <v>1293</v>
      </c>
      <c r="C237" s="158" t="s">
        <v>1294</v>
      </c>
      <c r="D237" s="167"/>
      <c r="G237" s="162"/>
      <c r="H237" s="245">
        <v>23</v>
      </c>
      <c r="I237" s="201"/>
      <c r="J237" s="250"/>
      <c r="K237" s="251" t="s">
        <v>1294</v>
      </c>
      <c r="L237" s="250"/>
      <c r="M237" s="250"/>
      <c r="N237" s="250"/>
      <c r="O237" s="203"/>
      <c r="P237" s="162"/>
      <c r="Q237" s="176">
        <f>H237</f>
        <v>23</v>
      </c>
      <c r="R237" s="167" t="str">
        <f>CONCATENATE("II-",TEXT(Q237,"0000"))</f>
        <v>II-0023</v>
      </c>
      <c r="S237" s="177" t="str">
        <f>K237</f>
        <v>DEFENSA CAMINOS</v>
      </c>
    </row>
    <row r="238" spans="1:19" x14ac:dyDescent="0.2">
      <c r="A238" s="168"/>
      <c r="B238" s="158"/>
      <c r="C238" s="158"/>
      <c r="D238" s="167" t="s">
        <v>1191</v>
      </c>
      <c r="G238" s="162"/>
      <c r="H238" s="178"/>
      <c r="I238" s="179" t="s">
        <v>997</v>
      </c>
      <c r="J238" s="220"/>
      <c r="K238" s="237" t="s">
        <v>1295</v>
      </c>
      <c r="L238" s="220"/>
      <c r="M238" s="220"/>
      <c r="N238" s="220"/>
      <c r="O238" s="236" t="s">
        <v>1191</v>
      </c>
      <c r="P238" s="162"/>
      <c r="Q238" s="162"/>
      <c r="R238" s="162"/>
      <c r="S238" s="162"/>
    </row>
    <row r="239" spans="1:19" x14ac:dyDescent="0.2">
      <c r="A239" s="168"/>
      <c r="B239" s="158"/>
      <c r="C239" s="158"/>
      <c r="D239" s="167" t="s">
        <v>1191</v>
      </c>
      <c r="G239" s="162"/>
      <c r="H239" s="178"/>
      <c r="I239" s="179" t="s">
        <v>1024</v>
      </c>
      <c r="J239" s="220"/>
      <c r="K239" s="237" t="s">
        <v>1296</v>
      </c>
      <c r="L239" s="220"/>
      <c r="M239" s="220"/>
      <c r="N239" s="220"/>
      <c r="O239" s="236" t="s">
        <v>1191</v>
      </c>
      <c r="P239" s="162"/>
      <c r="Q239" s="162"/>
      <c r="R239" s="162"/>
      <c r="S239" s="162"/>
    </row>
    <row r="240" spans="1:19" x14ac:dyDescent="0.2">
      <c r="A240" s="168"/>
      <c r="B240" s="158"/>
      <c r="C240" s="158"/>
      <c r="D240" s="167" t="s">
        <v>1191</v>
      </c>
      <c r="G240" s="162"/>
      <c r="H240" s="178"/>
      <c r="I240" s="179" t="s">
        <v>1034</v>
      </c>
      <c r="J240" s="220"/>
      <c r="K240" s="237" t="s">
        <v>1297</v>
      </c>
      <c r="L240" s="220"/>
      <c r="M240" s="220"/>
      <c r="N240" s="220"/>
      <c r="O240" s="236" t="s">
        <v>1191</v>
      </c>
      <c r="P240" s="162"/>
      <c r="Q240" s="162"/>
      <c r="R240" s="162"/>
      <c r="S240" s="162"/>
    </row>
    <row r="241" spans="1:19" x14ac:dyDescent="0.2">
      <c r="A241" s="168"/>
      <c r="B241" s="161"/>
      <c r="C241" s="186"/>
      <c r="D241" s="167" t="s">
        <v>1108</v>
      </c>
      <c r="G241" s="162"/>
      <c r="H241" s="178"/>
      <c r="I241" s="179" t="s">
        <v>1060</v>
      </c>
      <c r="J241" s="220"/>
      <c r="K241" s="237" t="s">
        <v>1298</v>
      </c>
      <c r="L241" s="220"/>
      <c r="M241" s="220"/>
      <c r="N241" s="220"/>
      <c r="O241" s="236" t="s">
        <v>1108</v>
      </c>
      <c r="P241" s="162"/>
      <c r="Q241" s="162"/>
      <c r="R241" s="162"/>
      <c r="S241" s="162"/>
    </row>
    <row r="242" spans="1:19" x14ac:dyDescent="0.2">
      <c r="A242" s="168"/>
      <c r="B242" s="169"/>
      <c r="C242" s="75"/>
      <c r="D242" s="167" t="s">
        <v>1108</v>
      </c>
      <c r="G242" s="162"/>
      <c r="H242" s="178"/>
      <c r="I242" s="179" t="s">
        <v>1102</v>
      </c>
      <c r="J242" s="220"/>
      <c r="K242" s="237" t="s">
        <v>1111</v>
      </c>
      <c r="L242" s="220"/>
      <c r="M242" s="220"/>
      <c r="N242" s="220"/>
      <c r="O242" s="236" t="s">
        <v>1108</v>
      </c>
      <c r="P242" s="162"/>
      <c r="Q242" s="162"/>
      <c r="R242" s="162"/>
      <c r="S242" s="162"/>
    </row>
    <row r="243" spans="1:19" x14ac:dyDescent="0.2">
      <c r="A243" s="168"/>
      <c r="B243" s="169"/>
      <c r="C243" s="75"/>
      <c r="D243" s="167" t="s">
        <v>1108</v>
      </c>
      <c r="G243" s="162"/>
      <c r="H243" s="178"/>
      <c r="I243" s="179" t="s">
        <v>1105</v>
      </c>
      <c r="J243" s="220"/>
      <c r="K243" s="237" t="s">
        <v>1066</v>
      </c>
      <c r="L243" s="220"/>
      <c r="M243" s="220"/>
      <c r="N243" s="220"/>
      <c r="O243" s="236" t="s">
        <v>1108</v>
      </c>
      <c r="P243" s="162"/>
      <c r="Q243" s="162"/>
      <c r="R243" s="162"/>
      <c r="S243" s="162"/>
    </row>
    <row r="244" spans="1:19" x14ac:dyDescent="0.2">
      <c r="A244" s="168"/>
      <c r="B244" s="169"/>
      <c r="C244" s="75"/>
      <c r="D244" s="167" t="s">
        <v>1108</v>
      </c>
      <c r="G244" s="162"/>
      <c r="H244" s="178"/>
      <c r="I244" s="179" t="s">
        <v>1109</v>
      </c>
      <c r="J244" s="220"/>
      <c r="K244" s="237" t="s">
        <v>1114</v>
      </c>
      <c r="L244" s="220"/>
      <c r="M244" s="220"/>
      <c r="N244" s="220"/>
      <c r="O244" s="236" t="s">
        <v>1108</v>
      </c>
      <c r="P244" s="162"/>
      <c r="Q244" s="162"/>
      <c r="R244" s="162"/>
      <c r="S244" s="162"/>
    </row>
    <row r="245" spans="1:19" ht="15.75" thickBot="1" x14ac:dyDescent="0.25">
      <c r="A245" s="168"/>
      <c r="B245" s="169"/>
      <c r="C245" s="75"/>
      <c r="D245" s="167" t="s">
        <v>1108</v>
      </c>
      <c r="G245" s="162"/>
      <c r="H245" s="193"/>
      <c r="I245" s="205" t="s">
        <v>1112</v>
      </c>
      <c r="J245" s="208"/>
      <c r="K245" s="239" t="s">
        <v>1299</v>
      </c>
      <c r="L245" s="208"/>
      <c r="M245" s="208"/>
      <c r="N245" s="208"/>
      <c r="O245" s="240" t="s">
        <v>1108</v>
      </c>
      <c r="P245" s="162"/>
      <c r="Q245" s="162"/>
      <c r="R245" s="162"/>
      <c r="S245" s="162"/>
    </row>
    <row r="246" spans="1:19" ht="15.75" thickTop="1" x14ac:dyDescent="0.2">
      <c r="A246" s="168">
        <v>24</v>
      </c>
      <c r="B246" s="161" t="s">
        <v>1300</v>
      </c>
      <c r="C246" s="75" t="s">
        <v>1301</v>
      </c>
      <c r="D246" s="167"/>
      <c r="G246" s="162"/>
      <c r="H246" s="245">
        <v>24</v>
      </c>
      <c r="I246" s="201"/>
      <c r="J246" s="250"/>
      <c r="K246" s="251" t="s">
        <v>1301</v>
      </c>
      <c r="L246" s="250"/>
      <c r="M246" s="250"/>
      <c r="N246" s="250"/>
      <c r="O246" s="203"/>
      <c r="P246" s="162"/>
      <c r="Q246" s="176">
        <f>H246</f>
        <v>24</v>
      </c>
      <c r="R246" s="167" t="str">
        <f>CONCATENATE("II-",TEXT(Q246,"0000"))</f>
        <v>II-0024</v>
      </c>
      <c r="S246" s="177" t="str">
        <f>K246</f>
        <v>DEFENSA DE MARGENES</v>
      </c>
    </row>
    <row r="247" spans="1:19" x14ac:dyDescent="0.2">
      <c r="A247" s="168"/>
      <c r="B247" s="161"/>
      <c r="C247" s="75"/>
      <c r="D247" s="167" t="s">
        <v>1191</v>
      </c>
      <c r="G247" s="162"/>
      <c r="H247" s="178"/>
      <c r="I247" s="179" t="s">
        <v>997</v>
      </c>
      <c r="J247" s="220"/>
      <c r="K247" s="237" t="s">
        <v>1302</v>
      </c>
      <c r="L247" s="220"/>
      <c r="M247" s="220"/>
      <c r="N247" s="220"/>
      <c r="O247" s="236" t="s">
        <v>1191</v>
      </c>
      <c r="P247" s="162"/>
      <c r="Q247" s="162"/>
      <c r="R247" s="162"/>
      <c r="S247" s="162"/>
    </row>
    <row r="248" spans="1:19" x14ac:dyDescent="0.2">
      <c r="A248" s="168"/>
      <c r="B248" s="161"/>
      <c r="C248" s="186"/>
      <c r="D248" s="167" t="s">
        <v>1108</v>
      </c>
      <c r="G248" s="162"/>
      <c r="H248" s="178"/>
      <c r="I248" s="179" t="s">
        <v>1024</v>
      </c>
      <c r="J248" s="220"/>
      <c r="K248" s="237" t="s">
        <v>1303</v>
      </c>
      <c r="L248" s="220"/>
      <c r="M248" s="220"/>
      <c r="N248" s="220"/>
      <c r="O248" s="236" t="s">
        <v>1108</v>
      </c>
      <c r="P248" s="162"/>
      <c r="Q248" s="162"/>
      <c r="R248" s="162"/>
      <c r="S248" s="162"/>
    </row>
    <row r="249" spans="1:19" x14ac:dyDescent="0.2">
      <c r="A249" s="168"/>
      <c r="B249" s="169"/>
      <c r="C249" s="75"/>
      <c r="D249" s="167" t="s">
        <v>1108</v>
      </c>
      <c r="G249" s="162"/>
      <c r="H249" s="178"/>
      <c r="I249" s="187" t="s">
        <v>1034</v>
      </c>
      <c r="J249" s="188"/>
      <c r="K249" s="189" t="s">
        <v>1304</v>
      </c>
      <c r="L249" s="188"/>
      <c r="M249" s="188"/>
      <c r="N249" s="188"/>
      <c r="O249" s="232" t="s">
        <v>1108</v>
      </c>
      <c r="P249" s="162"/>
      <c r="Q249" s="162"/>
      <c r="R249" s="162"/>
      <c r="S249" s="162"/>
    </row>
    <row r="250" spans="1:19" x14ac:dyDescent="0.2">
      <c r="A250" s="168"/>
      <c r="B250" s="169"/>
      <c r="C250" s="75"/>
      <c r="D250" s="167" t="s">
        <v>1108</v>
      </c>
      <c r="G250" s="162"/>
      <c r="H250" s="178"/>
      <c r="I250" s="179" t="s">
        <v>1060</v>
      </c>
      <c r="J250" s="220"/>
      <c r="K250" s="237" t="s">
        <v>1305</v>
      </c>
      <c r="L250" s="220"/>
      <c r="M250" s="220"/>
      <c r="N250" s="220"/>
      <c r="O250" s="236" t="s">
        <v>1108</v>
      </c>
      <c r="P250" s="162"/>
      <c r="Q250" s="162"/>
      <c r="R250" s="162"/>
      <c r="S250" s="162"/>
    </row>
    <row r="251" spans="1:19" ht="15.75" thickBot="1" x14ac:dyDescent="0.25">
      <c r="A251" s="168"/>
      <c r="B251" s="169"/>
      <c r="C251" s="75"/>
      <c r="D251" s="167" t="s">
        <v>973</v>
      </c>
      <c r="G251" s="162"/>
      <c r="H251" s="224"/>
      <c r="I251" s="259" t="s">
        <v>1102</v>
      </c>
      <c r="J251" s="276"/>
      <c r="K251" s="277" t="s">
        <v>1306</v>
      </c>
      <c r="L251" s="276"/>
      <c r="M251" s="276"/>
      <c r="N251" s="276"/>
      <c r="O251" s="278" t="s">
        <v>973</v>
      </c>
      <c r="P251" s="162"/>
      <c r="Q251" s="162"/>
      <c r="R251" s="162"/>
      <c r="S251" s="162"/>
    </row>
    <row r="252" spans="1:19" x14ac:dyDescent="0.2">
      <c r="A252" s="168"/>
      <c r="B252" s="169"/>
      <c r="C252" s="75"/>
      <c r="D252" s="167"/>
      <c r="G252" s="162"/>
      <c r="H252" s="230"/>
      <c r="I252" s="167"/>
      <c r="J252" s="162"/>
      <c r="K252" s="177"/>
      <c r="L252" s="162"/>
      <c r="M252" s="162"/>
      <c r="N252" s="162"/>
      <c r="O252" s="165"/>
      <c r="P252" s="162"/>
      <c r="Q252" s="162"/>
      <c r="R252" s="162"/>
      <c r="S252" s="162"/>
    </row>
    <row r="253" spans="1:19" s="36" customFormat="1" x14ac:dyDescent="0.2">
      <c r="A253" s="168">
        <v>25</v>
      </c>
      <c r="B253" s="158" t="s">
        <v>1307</v>
      </c>
      <c r="C253" s="158" t="s">
        <v>1308</v>
      </c>
      <c r="D253" s="167"/>
      <c r="G253" s="162"/>
      <c r="H253" s="200">
        <v>25</v>
      </c>
      <c r="I253" s="202"/>
      <c r="J253" s="212"/>
      <c r="K253" s="257" t="s">
        <v>1308</v>
      </c>
      <c r="L253" s="212"/>
      <c r="M253" s="212"/>
      <c r="N253" s="212"/>
      <c r="O253" s="222"/>
      <c r="P253" s="162"/>
      <c r="Q253" s="176">
        <f>H253</f>
        <v>25</v>
      </c>
      <c r="R253" s="167" t="str">
        <f>CONCATENATE("II-",TEXT(Q253,"0000"))</f>
        <v>II-0025</v>
      </c>
      <c r="S253" s="177" t="str">
        <f>K253</f>
        <v>DEFENSA VEHICULAR</v>
      </c>
    </row>
    <row r="254" spans="1:19" x14ac:dyDescent="0.2">
      <c r="A254" s="168"/>
      <c r="B254" s="158"/>
      <c r="C254" s="158"/>
      <c r="D254" s="167"/>
      <c r="G254" s="162"/>
      <c r="H254" s="213"/>
      <c r="I254" s="179" t="s">
        <v>997</v>
      </c>
      <c r="J254" s="182"/>
      <c r="K254" s="191" t="s">
        <v>1221</v>
      </c>
      <c r="L254" s="182"/>
      <c r="M254" s="182"/>
      <c r="N254" s="182"/>
      <c r="O254" s="223"/>
      <c r="P254" s="162"/>
      <c r="Q254" s="162"/>
      <c r="R254" s="162"/>
      <c r="S254" s="162"/>
    </row>
    <row r="255" spans="1:19" x14ac:dyDescent="0.2">
      <c r="A255" s="168"/>
      <c r="B255" s="158"/>
      <c r="C255" s="158"/>
      <c r="D255" s="167" t="s">
        <v>1233</v>
      </c>
      <c r="G255" s="162"/>
      <c r="H255" s="178"/>
      <c r="I255" s="167"/>
      <c r="J255" s="184">
        <v>1</v>
      </c>
      <c r="K255" s="162"/>
      <c r="L255" s="177" t="s">
        <v>1309</v>
      </c>
      <c r="M255" s="162"/>
      <c r="N255" s="162"/>
      <c r="O255" s="214" t="s">
        <v>1233</v>
      </c>
      <c r="P255" s="162"/>
      <c r="Q255" s="162"/>
      <c r="R255" s="162"/>
      <c r="S255" s="162"/>
    </row>
    <row r="256" spans="1:19" x14ac:dyDescent="0.2">
      <c r="A256" s="168"/>
      <c r="B256" s="158"/>
      <c r="C256" s="158"/>
      <c r="D256" s="167" t="s">
        <v>1233</v>
      </c>
      <c r="G256" s="162"/>
      <c r="H256" s="178"/>
      <c r="I256" s="167"/>
      <c r="J256" s="187">
        <v>2</v>
      </c>
      <c r="K256" s="188"/>
      <c r="L256" s="189" t="s">
        <v>1310</v>
      </c>
      <c r="M256" s="188"/>
      <c r="N256" s="188"/>
      <c r="O256" s="232" t="s">
        <v>1233</v>
      </c>
      <c r="P256" s="162"/>
      <c r="Q256" s="162"/>
      <c r="R256" s="162"/>
      <c r="S256" s="162"/>
    </row>
    <row r="257" spans="1:19" x14ac:dyDescent="0.2">
      <c r="A257" s="168"/>
      <c r="B257" s="158"/>
      <c r="C257" s="158"/>
      <c r="D257" s="167"/>
      <c r="G257" s="162"/>
      <c r="H257" s="178"/>
      <c r="I257" s="179" t="s">
        <v>1024</v>
      </c>
      <c r="J257" s="162"/>
      <c r="K257" s="177" t="s">
        <v>1222</v>
      </c>
      <c r="L257" s="162"/>
      <c r="M257" s="162"/>
      <c r="N257" s="162"/>
      <c r="O257" s="214"/>
      <c r="P257" s="162"/>
      <c r="Q257" s="162"/>
      <c r="R257" s="162"/>
      <c r="S257" s="162"/>
    </row>
    <row r="258" spans="1:19" x14ac:dyDescent="0.2">
      <c r="A258" s="168"/>
      <c r="B258" s="158"/>
      <c r="C258" s="158"/>
      <c r="D258" s="167" t="s">
        <v>1233</v>
      </c>
      <c r="G258" s="162"/>
      <c r="H258" s="178"/>
      <c r="I258" s="167"/>
      <c r="J258" s="184">
        <v>1</v>
      </c>
      <c r="K258" s="162"/>
      <c r="L258" s="177" t="s">
        <v>1311</v>
      </c>
      <c r="M258" s="162"/>
      <c r="N258" s="162"/>
      <c r="O258" s="214" t="s">
        <v>1233</v>
      </c>
      <c r="P258" s="162"/>
      <c r="Q258" s="162"/>
      <c r="R258" s="162"/>
      <c r="S258" s="162"/>
    </row>
    <row r="259" spans="1:19" x14ac:dyDescent="0.2">
      <c r="A259" s="168"/>
      <c r="B259" s="158"/>
      <c r="C259" s="158"/>
      <c r="D259" s="167" t="s">
        <v>1233</v>
      </c>
      <c r="G259" s="162"/>
      <c r="H259" s="178"/>
      <c r="I259" s="167"/>
      <c r="J259" s="184">
        <v>2</v>
      </c>
      <c r="K259" s="162"/>
      <c r="L259" s="177" t="s">
        <v>1312</v>
      </c>
      <c r="M259" s="162"/>
      <c r="N259" s="162"/>
      <c r="O259" s="214" t="s">
        <v>1233</v>
      </c>
      <c r="P259" s="162"/>
      <c r="Q259" s="162"/>
      <c r="R259" s="162"/>
      <c r="S259" s="162"/>
    </row>
    <row r="260" spans="1:19" x14ac:dyDescent="0.2">
      <c r="A260" s="168"/>
      <c r="B260" s="158"/>
      <c r="C260" s="158"/>
      <c r="D260" s="167" t="s">
        <v>973</v>
      </c>
      <c r="G260" s="162"/>
      <c r="H260" s="178"/>
      <c r="I260" s="179" t="s">
        <v>1034</v>
      </c>
      <c r="J260" s="220"/>
      <c r="K260" s="237" t="s">
        <v>1116</v>
      </c>
      <c r="L260" s="220"/>
      <c r="M260" s="220"/>
      <c r="N260" s="220"/>
      <c r="O260" s="236" t="s">
        <v>973</v>
      </c>
      <c r="P260" s="162"/>
      <c r="Q260" s="162"/>
      <c r="R260" s="162"/>
      <c r="S260" s="162"/>
    </row>
    <row r="261" spans="1:19" ht="15.75" thickBot="1" x14ac:dyDescent="0.25">
      <c r="A261" s="168"/>
      <c r="B261" s="158"/>
      <c r="C261" s="158"/>
      <c r="D261" s="167" t="s">
        <v>973</v>
      </c>
      <c r="G261" s="162"/>
      <c r="H261" s="193"/>
      <c r="I261" s="205" t="s">
        <v>1060</v>
      </c>
      <c r="J261" s="208"/>
      <c r="K261" s="239" t="s">
        <v>1114</v>
      </c>
      <c r="L261" s="208"/>
      <c r="M261" s="208"/>
      <c r="N261" s="208"/>
      <c r="O261" s="240" t="s">
        <v>973</v>
      </c>
      <c r="P261" s="162"/>
      <c r="Q261" s="162"/>
      <c r="R261" s="162"/>
      <c r="S261" s="162"/>
    </row>
    <row r="262" spans="1:19" ht="15.75" thickTop="1" x14ac:dyDescent="0.2">
      <c r="A262" s="168">
        <v>26</v>
      </c>
      <c r="B262" s="158" t="s">
        <v>1313</v>
      </c>
      <c r="C262" s="158" t="s">
        <v>1314</v>
      </c>
      <c r="D262" s="167"/>
      <c r="G262" s="162"/>
      <c r="H262" s="245">
        <v>26</v>
      </c>
      <c r="I262" s="201"/>
      <c r="J262" s="250"/>
      <c r="K262" s="251" t="s">
        <v>1314</v>
      </c>
      <c r="L262" s="250"/>
      <c r="M262" s="250"/>
      <c r="N262" s="250"/>
      <c r="O262" s="203"/>
      <c r="P262" s="162"/>
      <c r="Q262" s="176">
        <f>H262</f>
        <v>26</v>
      </c>
      <c r="R262" s="167" t="str">
        <f>CONCATENATE("II-",TEXT(Q262,"0000"))</f>
        <v>II-0026</v>
      </c>
      <c r="S262" s="177" t="str">
        <f>K262</f>
        <v xml:space="preserve">DEMOLICION </v>
      </c>
    </row>
    <row r="263" spans="1:19" x14ac:dyDescent="0.2">
      <c r="A263" s="168"/>
      <c r="B263" s="158"/>
      <c r="C263" s="158"/>
      <c r="D263" s="167" t="s">
        <v>1191</v>
      </c>
      <c r="G263" s="162"/>
      <c r="H263" s="178"/>
      <c r="I263" s="179" t="s">
        <v>997</v>
      </c>
      <c r="J263" s="220"/>
      <c r="K263" s="237" t="s">
        <v>1239</v>
      </c>
      <c r="L263" s="220"/>
      <c r="M263" s="220"/>
      <c r="N263" s="220"/>
      <c r="O263" s="236" t="s">
        <v>1191</v>
      </c>
      <c r="P263" s="162"/>
      <c r="Q263" s="162"/>
      <c r="R263" s="162"/>
      <c r="S263" s="162"/>
    </row>
    <row r="264" spans="1:19" ht="15.75" thickBot="1" x14ac:dyDescent="0.25">
      <c r="A264" s="168"/>
      <c r="B264" s="158"/>
      <c r="C264" s="158"/>
      <c r="D264" s="167" t="s">
        <v>5</v>
      </c>
      <c r="G264" s="162"/>
      <c r="H264" s="193"/>
      <c r="I264" s="205" t="s">
        <v>1024</v>
      </c>
      <c r="J264" s="208"/>
      <c r="K264" s="239" t="s">
        <v>1315</v>
      </c>
      <c r="L264" s="208"/>
      <c r="M264" s="208"/>
      <c r="N264" s="208"/>
      <c r="O264" s="240" t="s">
        <v>5</v>
      </c>
      <c r="P264" s="162"/>
      <c r="Q264" s="162"/>
      <c r="R264" s="162"/>
      <c r="S264" s="162"/>
    </row>
    <row r="265" spans="1:19" ht="15.75" thickTop="1" x14ac:dyDescent="0.2">
      <c r="A265" s="168">
        <v>27</v>
      </c>
      <c r="B265" s="158" t="s">
        <v>1316</v>
      </c>
      <c r="C265" s="158" t="s">
        <v>1317</v>
      </c>
      <c r="D265" s="167"/>
      <c r="G265" s="162"/>
      <c r="H265" s="200">
        <v>27</v>
      </c>
      <c r="I265" s="202"/>
      <c r="J265" s="212"/>
      <c r="K265" s="257" t="s">
        <v>1317</v>
      </c>
      <c r="L265" s="212"/>
      <c r="M265" s="212"/>
      <c r="N265" s="212"/>
      <c r="O265" s="222"/>
      <c r="P265" s="162"/>
      <c r="Q265" s="176">
        <f>H265</f>
        <v>27</v>
      </c>
      <c r="R265" s="167" t="str">
        <f>CONCATENATE("II-",TEXT(Q265,"0000"))</f>
        <v>II-0027</v>
      </c>
      <c r="S265" s="177" t="str">
        <f>K265</f>
        <v>DESAGUES</v>
      </c>
    </row>
    <row r="266" spans="1:19" x14ac:dyDescent="0.2">
      <c r="A266" s="168"/>
      <c r="B266" s="158"/>
      <c r="C266" s="158"/>
      <c r="D266" s="167" t="s">
        <v>1225</v>
      </c>
      <c r="G266" s="162"/>
      <c r="H266" s="178"/>
      <c r="I266" s="179" t="s">
        <v>997</v>
      </c>
      <c r="J266" s="220"/>
      <c r="K266" s="237" t="s">
        <v>1318</v>
      </c>
      <c r="L266" s="220"/>
      <c r="M266" s="220"/>
      <c r="N266" s="220"/>
      <c r="O266" s="236" t="s">
        <v>1225</v>
      </c>
      <c r="P266" s="162"/>
      <c r="Q266" s="162"/>
      <c r="R266" s="162"/>
      <c r="S266" s="162"/>
    </row>
    <row r="267" spans="1:19" x14ac:dyDescent="0.2">
      <c r="A267" s="168"/>
      <c r="B267" s="158"/>
      <c r="C267" s="158"/>
      <c r="D267" s="167" t="s">
        <v>1225</v>
      </c>
      <c r="G267" s="162"/>
      <c r="H267" s="178"/>
      <c r="I267" s="179" t="s">
        <v>1024</v>
      </c>
      <c r="J267" s="220"/>
      <c r="K267" s="237" t="s">
        <v>1319</v>
      </c>
      <c r="L267" s="220"/>
      <c r="M267" s="220"/>
      <c r="N267" s="220"/>
      <c r="O267" s="236" t="s">
        <v>1225</v>
      </c>
      <c r="P267" s="162"/>
      <c r="Q267" s="162"/>
      <c r="R267" s="162"/>
      <c r="S267" s="162"/>
    </row>
    <row r="268" spans="1:19" x14ac:dyDescent="0.2">
      <c r="A268" s="168"/>
      <c r="B268" s="158"/>
      <c r="C268" s="158"/>
      <c r="D268" s="167"/>
      <c r="G268" s="162"/>
      <c r="H268" s="178"/>
      <c r="I268" s="179" t="s">
        <v>1034</v>
      </c>
      <c r="J268" s="162"/>
      <c r="K268" s="177" t="s">
        <v>1320</v>
      </c>
      <c r="L268" s="162"/>
      <c r="M268" s="162"/>
      <c r="N268" s="162"/>
      <c r="O268" s="214"/>
      <c r="P268" s="162"/>
      <c r="Q268" s="162"/>
      <c r="R268" s="162"/>
      <c r="S268" s="162"/>
    </row>
    <row r="269" spans="1:19" x14ac:dyDescent="0.2">
      <c r="A269" s="168"/>
      <c r="B269" s="158"/>
      <c r="C269" s="158"/>
      <c r="D269" s="167" t="s">
        <v>1225</v>
      </c>
      <c r="G269" s="162"/>
      <c r="H269" s="178"/>
      <c r="I269" s="167"/>
      <c r="J269" s="184">
        <v>1</v>
      </c>
      <c r="K269" s="162"/>
      <c r="L269" s="177" t="s">
        <v>1226</v>
      </c>
      <c r="M269" s="162"/>
      <c r="N269" s="162"/>
      <c r="O269" s="214" t="s">
        <v>1225</v>
      </c>
      <c r="P269" s="162"/>
      <c r="Q269" s="162"/>
      <c r="R269" s="162"/>
      <c r="S269" s="162"/>
    </row>
    <row r="270" spans="1:19" x14ac:dyDescent="0.2">
      <c r="A270" s="168"/>
      <c r="B270" s="158"/>
      <c r="C270" s="158"/>
      <c r="D270" s="167" t="s">
        <v>1225</v>
      </c>
      <c r="G270" s="162"/>
      <c r="H270" s="178"/>
      <c r="I270" s="167"/>
      <c r="J270" s="187">
        <v>2</v>
      </c>
      <c r="K270" s="162"/>
      <c r="L270" s="177" t="s">
        <v>1229</v>
      </c>
      <c r="M270" s="162"/>
      <c r="N270" s="162"/>
      <c r="O270" s="214" t="s">
        <v>1225</v>
      </c>
      <c r="P270" s="162"/>
      <c r="Q270" s="162"/>
      <c r="R270" s="162"/>
      <c r="S270" s="162"/>
    </row>
    <row r="271" spans="1:19" x14ac:dyDescent="0.2">
      <c r="A271" s="168"/>
      <c r="B271" s="158"/>
      <c r="C271" s="158"/>
      <c r="D271" s="167" t="s">
        <v>1225</v>
      </c>
      <c r="G271" s="162"/>
      <c r="H271" s="178"/>
      <c r="I271" s="179" t="s">
        <v>1060</v>
      </c>
      <c r="J271" s="220"/>
      <c r="K271" s="237" t="s">
        <v>1116</v>
      </c>
      <c r="L271" s="220"/>
      <c r="M271" s="220"/>
      <c r="N271" s="220"/>
      <c r="O271" s="236" t="s">
        <v>1225</v>
      </c>
      <c r="P271" s="162"/>
      <c r="Q271" s="162"/>
      <c r="R271" s="162"/>
      <c r="S271" s="162"/>
    </row>
    <row r="272" spans="1:19" x14ac:dyDescent="0.2">
      <c r="A272" s="168"/>
      <c r="B272" s="158"/>
      <c r="C272" s="158"/>
      <c r="D272" s="167" t="s">
        <v>1225</v>
      </c>
      <c r="G272" s="162"/>
      <c r="H272" s="178"/>
      <c r="I272" s="187" t="s">
        <v>1102</v>
      </c>
      <c r="J272" s="188"/>
      <c r="K272" s="189" t="s">
        <v>1114</v>
      </c>
      <c r="L272" s="188"/>
      <c r="M272" s="188"/>
      <c r="N272" s="188"/>
      <c r="O272" s="232" t="s">
        <v>1225</v>
      </c>
      <c r="P272" s="162"/>
      <c r="Q272" s="162"/>
      <c r="R272" s="162"/>
      <c r="S272" s="162"/>
    </row>
    <row r="273" spans="1:19" ht="15.75" thickBot="1" x14ac:dyDescent="0.25">
      <c r="A273" s="168"/>
      <c r="B273" s="158"/>
      <c r="C273" s="158"/>
      <c r="D273" s="167" t="s">
        <v>1225</v>
      </c>
      <c r="G273" s="162"/>
      <c r="H273" s="178"/>
      <c r="I273" s="179" t="s">
        <v>1105</v>
      </c>
      <c r="J273" s="220"/>
      <c r="K273" s="237" t="s">
        <v>1111</v>
      </c>
      <c r="L273" s="220"/>
      <c r="M273" s="220"/>
      <c r="N273" s="220"/>
      <c r="O273" s="236" t="s">
        <v>1225</v>
      </c>
      <c r="P273" s="162"/>
      <c r="Q273" s="162"/>
      <c r="R273" s="162"/>
      <c r="S273" s="162"/>
    </row>
    <row r="274" spans="1:19" ht="16.5" thickTop="1" thickBot="1" x14ac:dyDescent="0.25">
      <c r="A274" s="168">
        <v>28</v>
      </c>
      <c r="B274" s="158" t="s">
        <v>1321</v>
      </c>
      <c r="C274" s="158" t="s">
        <v>1322</v>
      </c>
      <c r="D274" s="167" t="s">
        <v>974</v>
      </c>
      <c r="G274" s="162"/>
      <c r="H274" s="245">
        <v>28</v>
      </c>
      <c r="I274" s="201"/>
      <c r="J274" s="250"/>
      <c r="K274" s="251" t="s">
        <v>1322</v>
      </c>
      <c r="L274" s="250"/>
      <c r="M274" s="250"/>
      <c r="N274" s="250"/>
      <c r="O274" s="203" t="s">
        <v>974</v>
      </c>
      <c r="P274" s="162"/>
      <c r="Q274" s="176">
        <f t="shared" ref="Q274:Q279" si="39">H274</f>
        <v>28</v>
      </c>
      <c r="R274" s="167" t="str">
        <f t="shared" ref="R274:R279" si="40">CONCATENATE("II-",TEXT(Q274,"0000"))</f>
        <v>II-0028</v>
      </c>
      <c r="S274" s="177" t="str">
        <f t="shared" ref="S274:S279" si="41">K274</f>
        <v>DESBOSQUE / DESTRONQUE LIMPIEZA</v>
      </c>
    </row>
    <row r="275" spans="1:19" ht="16.5" thickTop="1" thickBot="1" x14ac:dyDescent="0.25">
      <c r="A275" s="168">
        <v>29</v>
      </c>
      <c r="B275" s="158" t="s">
        <v>1323</v>
      </c>
      <c r="C275" s="158" t="s">
        <v>1324</v>
      </c>
      <c r="D275" s="167" t="s">
        <v>1108</v>
      </c>
      <c r="G275" s="162"/>
      <c r="H275" s="245">
        <v>29</v>
      </c>
      <c r="I275" s="201"/>
      <c r="J275" s="250"/>
      <c r="K275" s="251" t="s">
        <v>1324</v>
      </c>
      <c r="L275" s="250"/>
      <c r="M275" s="250"/>
      <c r="N275" s="250"/>
      <c r="O275" s="203" t="s">
        <v>1108</v>
      </c>
      <c r="P275" s="162"/>
      <c r="Q275" s="176">
        <f t="shared" si="39"/>
        <v>29</v>
      </c>
      <c r="R275" s="167" t="str">
        <f t="shared" si="40"/>
        <v>II-0029</v>
      </c>
      <c r="S275" s="177" t="str">
        <f t="shared" si="41"/>
        <v>DESCARGA</v>
      </c>
    </row>
    <row r="276" spans="1:19" ht="16.5" thickTop="1" thickBot="1" x14ac:dyDescent="0.25">
      <c r="A276" s="168">
        <v>30</v>
      </c>
      <c r="B276" s="158" t="s">
        <v>1325</v>
      </c>
      <c r="C276" s="158" t="s">
        <v>1326</v>
      </c>
      <c r="D276" s="167" t="s">
        <v>1108</v>
      </c>
      <c r="G276" s="162"/>
      <c r="H276" s="271">
        <v>30</v>
      </c>
      <c r="I276" s="272"/>
      <c r="J276" s="273"/>
      <c r="K276" s="274" t="s">
        <v>1326</v>
      </c>
      <c r="L276" s="273"/>
      <c r="M276" s="273"/>
      <c r="N276" s="273"/>
      <c r="O276" s="275" t="s">
        <v>1108</v>
      </c>
      <c r="P276" s="162"/>
      <c r="Q276" s="176">
        <f t="shared" si="39"/>
        <v>30</v>
      </c>
      <c r="R276" s="167" t="str">
        <f t="shared" si="40"/>
        <v>II-0030</v>
      </c>
      <c r="S276" s="177" t="str">
        <f t="shared" si="41"/>
        <v>DESEMBARRO P/ SANEAMIENTO</v>
      </c>
    </row>
    <row r="277" spans="1:19" ht="16.5" thickTop="1" thickBot="1" x14ac:dyDescent="0.25">
      <c r="A277" s="168">
        <v>31</v>
      </c>
      <c r="B277" s="158" t="s">
        <v>1327</v>
      </c>
      <c r="C277" s="158" t="s">
        <v>1328</v>
      </c>
      <c r="D277" s="167" t="s">
        <v>974</v>
      </c>
      <c r="G277" s="162"/>
      <c r="H277" s="271">
        <v>31</v>
      </c>
      <c r="I277" s="272"/>
      <c r="J277" s="273"/>
      <c r="K277" s="274" t="s">
        <v>1328</v>
      </c>
      <c r="L277" s="273"/>
      <c r="M277" s="273"/>
      <c r="N277" s="273"/>
      <c r="O277" s="275" t="s">
        <v>974</v>
      </c>
      <c r="P277" s="162"/>
      <c r="Q277" s="176">
        <f t="shared" si="39"/>
        <v>31</v>
      </c>
      <c r="R277" s="167" t="str">
        <f t="shared" si="40"/>
        <v>II-0031</v>
      </c>
      <c r="S277" s="177" t="str">
        <f t="shared" si="41"/>
        <v>DESPEDRADO DE LADERAS</v>
      </c>
    </row>
    <row r="278" spans="1:19" ht="16.5" thickTop="1" thickBot="1" x14ac:dyDescent="0.25">
      <c r="A278" s="168">
        <v>32</v>
      </c>
      <c r="B278" s="158" t="s">
        <v>1329</v>
      </c>
      <c r="C278" s="158" t="s">
        <v>1330</v>
      </c>
      <c r="D278" s="167" t="s">
        <v>5</v>
      </c>
      <c r="G278" s="162"/>
      <c r="H278" s="271">
        <v>32</v>
      </c>
      <c r="I278" s="272"/>
      <c r="J278" s="273"/>
      <c r="K278" s="274" t="s">
        <v>1330</v>
      </c>
      <c r="L278" s="273"/>
      <c r="M278" s="273"/>
      <c r="N278" s="273"/>
      <c r="O278" s="275" t="s">
        <v>5</v>
      </c>
      <c r="P278" s="162"/>
      <c r="Q278" s="176">
        <f t="shared" si="39"/>
        <v>32</v>
      </c>
      <c r="R278" s="167" t="str">
        <f t="shared" si="40"/>
        <v>II-0032</v>
      </c>
      <c r="S278" s="177" t="str">
        <f t="shared" si="41"/>
        <v>DESVIO</v>
      </c>
    </row>
    <row r="279" spans="1:19" ht="15.75" thickTop="1" x14ac:dyDescent="0.2">
      <c r="A279" s="168">
        <v>33</v>
      </c>
      <c r="B279" s="158" t="s">
        <v>1331</v>
      </c>
      <c r="C279" s="158" t="s">
        <v>1332</v>
      </c>
      <c r="D279" s="167"/>
      <c r="G279" s="162"/>
      <c r="H279" s="200">
        <v>33</v>
      </c>
      <c r="I279" s="202"/>
      <c r="J279" s="212"/>
      <c r="K279" s="257" t="s">
        <v>1332</v>
      </c>
      <c r="L279" s="212"/>
      <c r="M279" s="212"/>
      <c r="N279" s="212"/>
      <c r="O279" s="222"/>
      <c r="P279" s="162"/>
      <c r="Q279" s="176">
        <f t="shared" si="39"/>
        <v>33</v>
      </c>
      <c r="R279" s="167" t="str">
        <f t="shared" si="40"/>
        <v>II-0033</v>
      </c>
      <c r="S279" s="177" t="str">
        <f t="shared" si="41"/>
        <v>DRENES</v>
      </c>
    </row>
    <row r="280" spans="1:19" x14ac:dyDescent="0.2">
      <c r="A280" s="168"/>
      <c r="B280" s="158"/>
      <c r="C280" s="158"/>
      <c r="D280" s="167"/>
      <c r="G280" s="162"/>
      <c r="H280" s="178"/>
      <c r="I280" s="179" t="s">
        <v>997</v>
      </c>
      <c r="J280" s="167"/>
      <c r="K280" s="177" t="s">
        <v>1333</v>
      </c>
      <c r="L280" s="162"/>
      <c r="M280" s="162"/>
      <c r="N280" s="162"/>
      <c r="O280" s="214"/>
      <c r="P280" s="162"/>
      <c r="Q280" s="162"/>
      <c r="R280" s="162"/>
      <c r="S280" s="162"/>
    </row>
    <row r="281" spans="1:19" x14ac:dyDescent="0.2">
      <c r="A281" s="168"/>
      <c r="B281" s="158"/>
      <c r="C281" s="158"/>
      <c r="D281" s="167" t="s">
        <v>1191</v>
      </c>
      <c r="G281" s="162"/>
      <c r="H281" s="178"/>
      <c r="I281" s="167"/>
      <c r="J281" s="184">
        <v>1</v>
      </c>
      <c r="K281" s="162"/>
      <c r="L281" s="177" t="s">
        <v>1334</v>
      </c>
      <c r="M281" s="162"/>
      <c r="N281" s="162"/>
      <c r="O281" s="214" t="s">
        <v>1191</v>
      </c>
      <c r="P281" s="162"/>
      <c r="Q281" s="162"/>
      <c r="R281" s="162"/>
      <c r="S281" s="162"/>
    </row>
    <row r="282" spans="1:19" x14ac:dyDescent="0.2">
      <c r="A282" s="168"/>
      <c r="B282" s="158"/>
      <c r="C282" s="158"/>
      <c r="D282" s="167" t="s">
        <v>1108</v>
      </c>
      <c r="G282" s="162"/>
      <c r="H282" s="178"/>
      <c r="I282" s="167"/>
      <c r="J282" s="184">
        <v>2</v>
      </c>
      <c r="K282" s="162"/>
      <c r="L282" s="177" t="s">
        <v>1335</v>
      </c>
      <c r="M282" s="162"/>
      <c r="N282" s="162"/>
      <c r="O282" s="214" t="s">
        <v>1108</v>
      </c>
      <c r="P282" s="162"/>
      <c r="Q282" s="162"/>
      <c r="R282" s="162"/>
      <c r="S282" s="162"/>
    </row>
    <row r="283" spans="1:19" x14ac:dyDescent="0.2">
      <c r="A283" s="168"/>
      <c r="B283" s="158"/>
      <c r="C283" s="158"/>
      <c r="D283" s="167" t="s">
        <v>973</v>
      </c>
      <c r="G283" s="162"/>
      <c r="H283" s="178"/>
      <c r="I283" s="192"/>
      <c r="J283" s="187">
        <v>3</v>
      </c>
      <c r="K283" s="188"/>
      <c r="L283" s="189" t="s">
        <v>1336</v>
      </c>
      <c r="M283" s="188"/>
      <c r="N283" s="188"/>
      <c r="O283" s="232" t="s">
        <v>973</v>
      </c>
      <c r="P283" s="162"/>
      <c r="Q283" s="162"/>
      <c r="R283" s="162"/>
      <c r="S283" s="162"/>
    </row>
    <row r="284" spans="1:19" x14ac:dyDescent="0.2">
      <c r="A284" s="168"/>
      <c r="B284" s="158"/>
      <c r="C284" s="158"/>
      <c r="D284" s="167"/>
      <c r="G284" s="162"/>
      <c r="H284" s="178"/>
      <c r="I284" s="187" t="s">
        <v>1024</v>
      </c>
      <c r="J284" s="167"/>
      <c r="K284" s="177" t="s">
        <v>1337</v>
      </c>
      <c r="L284" s="162"/>
      <c r="M284" s="162"/>
      <c r="N284" s="162"/>
      <c r="O284" s="214"/>
      <c r="P284" s="162"/>
      <c r="Q284" s="162"/>
      <c r="R284" s="162"/>
      <c r="S284" s="162"/>
    </row>
    <row r="285" spans="1:19" x14ac:dyDescent="0.2">
      <c r="A285" s="168"/>
      <c r="B285" s="158"/>
      <c r="C285" s="158"/>
      <c r="D285" s="167" t="s">
        <v>1191</v>
      </c>
      <c r="G285" s="162"/>
      <c r="H285" s="178"/>
      <c r="I285" s="167"/>
      <c r="J285" s="184">
        <v>1</v>
      </c>
      <c r="K285" s="162"/>
      <c r="L285" s="177" t="s">
        <v>1334</v>
      </c>
      <c r="M285" s="162"/>
      <c r="N285" s="162"/>
      <c r="O285" s="214" t="s">
        <v>1191</v>
      </c>
      <c r="P285" s="162"/>
      <c r="Q285" s="162"/>
      <c r="R285" s="162"/>
      <c r="S285" s="162"/>
    </row>
    <row r="286" spans="1:19" x14ac:dyDescent="0.2">
      <c r="A286" s="168"/>
      <c r="B286" s="158"/>
      <c r="C286" s="158"/>
      <c r="D286" s="167" t="s">
        <v>1108</v>
      </c>
      <c r="G286" s="162"/>
      <c r="H286" s="178"/>
      <c r="I286" s="167"/>
      <c r="J286" s="184">
        <v>2</v>
      </c>
      <c r="K286" s="162"/>
      <c r="L286" s="177" t="s">
        <v>1335</v>
      </c>
      <c r="M286" s="162"/>
      <c r="N286" s="162"/>
      <c r="O286" s="214" t="s">
        <v>1108</v>
      </c>
      <c r="P286" s="162"/>
      <c r="Q286" s="162"/>
      <c r="R286" s="162"/>
      <c r="S286" s="162"/>
    </row>
    <row r="287" spans="1:19" x14ac:dyDescent="0.2">
      <c r="A287" s="168"/>
      <c r="B287" s="158"/>
      <c r="C287" s="158"/>
      <c r="D287" s="167" t="s">
        <v>973</v>
      </c>
      <c r="G287" s="162"/>
      <c r="H287" s="178"/>
      <c r="I287" s="192"/>
      <c r="J287" s="187">
        <v>3</v>
      </c>
      <c r="K287" s="188"/>
      <c r="L287" s="189" t="s">
        <v>1336</v>
      </c>
      <c r="M287" s="188"/>
      <c r="N287" s="188"/>
      <c r="O287" s="232" t="s">
        <v>973</v>
      </c>
      <c r="P287" s="162"/>
      <c r="Q287" s="162"/>
      <c r="R287" s="162"/>
      <c r="S287" s="162"/>
    </row>
    <row r="288" spans="1:19" x14ac:dyDescent="0.2">
      <c r="A288" s="168"/>
      <c r="B288" s="158"/>
      <c r="C288" s="158"/>
      <c r="D288" s="167"/>
      <c r="G288" s="162"/>
      <c r="H288" s="178"/>
      <c r="I288" s="187" t="s">
        <v>1034</v>
      </c>
      <c r="J288" s="167"/>
      <c r="K288" s="177" t="s">
        <v>1338</v>
      </c>
      <c r="L288" s="162"/>
      <c r="M288" s="162"/>
      <c r="N288" s="162"/>
      <c r="O288" s="214"/>
      <c r="P288" s="162"/>
      <c r="Q288" s="162"/>
      <c r="R288" s="162"/>
      <c r="S288" s="162"/>
    </row>
    <row r="289" spans="1:19" x14ac:dyDescent="0.2">
      <c r="A289" s="168"/>
      <c r="B289" s="158"/>
      <c r="C289" s="158"/>
      <c r="D289" s="167" t="s">
        <v>1233</v>
      </c>
      <c r="G289" s="162"/>
      <c r="H289" s="178"/>
      <c r="I289" s="167"/>
      <c r="J289" s="184">
        <v>1</v>
      </c>
      <c r="K289" s="162"/>
      <c r="L289" s="177" t="s">
        <v>1339</v>
      </c>
      <c r="M289" s="162"/>
      <c r="N289" s="162"/>
      <c r="O289" s="214" t="s">
        <v>1233</v>
      </c>
      <c r="P289" s="162"/>
      <c r="Q289" s="162"/>
      <c r="R289" s="162"/>
      <c r="S289" s="162"/>
    </row>
    <row r="290" spans="1:19" x14ac:dyDescent="0.2">
      <c r="A290" s="168"/>
      <c r="B290" s="158"/>
      <c r="C290" s="158"/>
      <c r="D290" s="167" t="s">
        <v>1233</v>
      </c>
      <c r="G290" s="162"/>
      <c r="H290" s="178"/>
      <c r="I290" s="179" t="s">
        <v>1060</v>
      </c>
      <c r="J290" s="220"/>
      <c r="K290" s="237" t="s">
        <v>1066</v>
      </c>
      <c r="L290" s="220"/>
      <c r="M290" s="220"/>
      <c r="N290" s="220"/>
      <c r="O290" s="236" t="s">
        <v>1233</v>
      </c>
      <c r="P290" s="162"/>
      <c r="Q290" s="162"/>
      <c r="R290" s="162"/>
      <c r="S290" s="162"/>
    </row>
    <row r="291" spans="1:19" ht="15.75" thickBot="1" x14ac:dyDescent="0.25">
      <c r="A291" s="168"/>
      <c r="B291" s="158"/>
      <c r="C291" s="158"/>
      <c r="D291" s="167" t="s">
        <v>1233</v>
      </c>
      <c r="G291" s="162"/>
      <c r="H291" s="178"/>
      <c r="I291" s="205" t="s">
        <v>1102</v>
      </c>
      <c r="J291" s="162"/>
      <c r="K291" s="177" t="s">
        <v>1114</v>
      </c>
      <c r="L291" s="162"/>
      <c r="M291" s="162"/>
      <c r="N291" s="162"/>
      <c r="O291" s="214" t="s">
        <v>1233</v>
      </c>
      <c r="P291" s="162"/>
      <c r="Q291" s="162"/>
      <c r="R291" s="162"/>
      <c r="S291" s="162"/>
    </row>
    <row r="292" spans="1:19" ht="15.75" thickTop="1" x14ac:dyDescent="0.2">
      <c r="A292" s="168">
        <v>34</v>
      </c>
      <c r="B292" s="158" t="s">
        <v>1340</v>
      </c>
      <c r="C292" s="158" t="s">
        <v>1341</v>
      </c>
      <c r="D292" s="167"/>
      <c r="G292" s="162"/>
      <c r="H292" s="245">
        <v>34</v>
      </c>
      <c r="I292" s="201"/>
      <c r="J292" s="250"/>
      <c r="K292" s="251" t="s">
        <v>1341</v>
      </c>
      <c r="L292" s="250"/>
      <c r="M292" s="250"/>
      <c r="N292" s="250"/>
      <c r="O292" s="203"/>
      <c r="P292" s="162"/>
      <c r="Q292" s="176">
        <f>H292</f>
        <v>34</v>
      </c>
      <c r="R292" s="167" t="str">
        <f>CONCATENATE("II-",TEXT(Q292,"0000"))</f>
        <v>II-0034</v>
      </c>
      <c r="S292" s="177" t="str">
        <f>K292</f>
        <v>ELEVACION DE GUARDARUEDAS</v>
      </c>
    </row>
    <row r="293" spans="1:19" ht="15.75" thickBot="1" x14ac:dyDescent="0.25">
      <c r="A293" s="168"/>
      <c r="B293" s="158"/>
      <c r="C293" s="158"/>
      <c r="D293" s="167" t="s">
        <v>1191</v>
      </c>
      <c r="G293" s="162"/>
      <c r="H293" s="279"/>
      <c r="I293" s="259" t="s">
        <v>997</v>
      </c>
      <c r="J293" s="276"/>
      <c r="K293" s="277" t="s">
        <v>1342</v>
      </c>
      <c r="L293" s="276"/>
      <c r="M293" s="276"/>
      <c r="N293" s="276"/>
      <c r="O293" s="278" t="s">
        <v>1191</v>
      </c>
      <c r="P293" s="162"/>
      <c r="Q293" s="162"/>
      <c r="R293" s="162"/>
      <c r="S293" s="162"/>
    </row>
    <row r="294" spans="1:19" x14ac:dyDescent="0.2">
      <c r="A294" s="168">
        <v>35</v>
      </c>
      <c r="B294" s="158" t="s">
        <v>1343</v>
      </c>
      <c r="C294" s="158" t="s">
        <v>1344</v>
      </c>
      <c r="D294" s="167"/>
      <c r="G294" s="162"/>
      <c r="H294" s="200">
        <v>35</v>
      </c>
      <c r="I294" s="202"/>
      <c r="J294" s="212"/>
      <c r="K294" s="257" t="s">
        <v>1344</v>
      </c>
      <c r="L294" s="212"/>
      <c r="M294" s="212"/>
      <c r="N294" s="212"/>
      <c r="O294" s="222"/>
      <c r="P294" s="162"/>
      <c r="Q294" s="176">
        <f>H294</f>
        <v>35</v>
      </c>
      <c r="R294" s="167" t="str">
        <f>CONCATENATE("II-",TEXT(Q294,"0000"))</f>
        <v>II-0035</v>
      </c>
      <c r="S294" s="177" t="str">
        <f>K294</f>
        <v>ENCAUZAMIENTO</v>
      </c>
    </row>
    <row r="295" spans="1:19" x14ac:dyDescent="0.2">
      <c r="A295" s="168"/>
      <c r="B295" s="158"/>
      <c r="C295" s="158"/>
      <c r="D295" s="167" t="s">
        <v>1108</v>
      </c>
      <c r="G295" s="162"/>
      <c r="H295" s="178"/>
      <c r="I295" s="179" t="s">
        <v>997</v>
      </c>
      <c r="J295" s="220"/>
      <c r="K295" s="237" t="s">
        <v>1290</v>
      </c>
      <c r="L295" s="220"/>
      <c r="M295" s="220"/>
      <c r="N295" s="220"/>
      <c r="O295" s="236" t="s">
        <v>1108</v>
      </c>
      <c r="P295" s="162"/>
      <c r="Q295" s="162"/>
      <c r="R295" s="162"/>
      <c r="S295" s="162"/>
    </row>
    <row r="296" spans="1:19" x14ac:dyDescent="0.2">
      <c r="A296" s="168"/>
      <c r="B296" s="158"/>
      <c r="C296" s="158"/>
      <c r="D296" s="167"/>
      <c r="G296" s="162"/>
      <c r="H296" s="178"/>
      <c r="I296" s="179" t="s">
        <v>1024</v>
      </c>
      <c r="J296" s="167"/>
      <c r="K296" s="177" t="s">
        <v>1345</v>
      </c>
      <c r="L296" s="162"/>
      <c r="M296" s="162"/>
      <c r="N296" s="162"/>
      <c r="O296" s="214"/>
      <c r="P296" s="162"/>
      <c r="Q296" s="162"/>
      <c r="R296" s="162"/>
      <c r="S296" s="162"/>
    </row>
    <row r="297" spans="1:19" x14ac:dyDescent="0.2">
      <c r="A297" s="168"/>
      <c r="B297" s="158"/>
      <c r="C297" s="158"/>
      <c r="D297" s="167" t="s">
        <v>1108</v>
      </c>
      <c r="G297" s="162"/>
      <c r="H297" s="178"/>
      <c r="I297" s="167"/>
      <c r="J297" s="184">
        <v>1</v>
      </c>
      <c r="K297" s="162"/>
      <c r="L297" s="177" t="s">
        <v>1346</v>
      </c>
      <c r="M297" s="162"/>
      <c r="N297" s="162"/>
      <c r="O297" s="214" t="s">
        <v>1108</v>
      </c>
      <c r="P297" s="162"/>
      <c r="Q297" s="162"/>
      <c r="R297" s="162"/>
      <c r="S297" s="162"/>
    </row>
    <row r="298" spans="1:19" ht="15.75" thickBot="1" x14ac:dyDescent="0.25">
      <c r="A298" s="168"/>
      <c r="B298" s="158"/>
      <c r="C298" s="158"/>
      <c r="D298" s="167" t="s">
        <v>1108</v>
      </c>
      <c r="G298" s="162"/>
      <c r="H298" s="224"/>
      <c r="I298" s="225"/>
      <c r="J298" s="226">
        <v>2</v>
      </c>
      <c r="K298" s="227"/>
      <c r="L298" s="228" t="s">
        <v>1222</v>
      </c>
      <c r="M298" s="227"/>
      <c r="N298" s="227"/>
      <c r="O298" s="260" t="s">
        <v>1108</v>
      </c>
      <c r="P298" s="162"/>
      <c r="Q298" s="162"/>
      <c r="R298" s="162"/>
      <c r="S298" s="162"/>
    </row>
    <row r="299" spans="1:19" x14ac:dyDescent="0.2">
      <c r="A299" s="168"/>
      <c r="B299" s="158"/>
      <c r="C299" s="158"/>
      <c r="D299" s="167"/>
      <c r="G299" s="162"/>
      <c r="H299" s="230"/>
      <c r="I299" s="167"/>
      <c r="J299" s="167"/>
      <c r="K299" s="162"/>
      <c r="L299" s="177"/>
      <c r="M299" s="162"/>
      <c r="N299" s="162"/>
      <c r="O299" s="165"/>
      <c r="P299" s="162"/>
      <c r="Q299" s="162"/>
      <c r="R299" s="162"/>
      <c r="S299" s="162"/>
    </row>
    <row r="300" spans="1:19" ht="15.75" thickBot="1" x14ac:dyDescent="0.25">
      <c r="A300" s="168">
        <v>36</v>
      </c>
      <c r="B300" s="158" t="s">
        <v>1347</v>
      </c>
      <c r="C300" s="158" t="s">
        <v>1348</v>
      </c>
      <c r="D300" s="167" t="s">
        <v>1108</v>
      </c>
      <c r="G300" s="162"/>
      <c r="H300" s="200">
        <v>36</v>
      </c>
      <c r="I300" s="202"/>
      <c r="J300" s="212"/>
      <c r="K300" s="257" t="s">
        <v>1348</v>
      </c>
      <c r="L300" s="212"/>
      <c r="M300" s="212"/>
      <c r="N300" s="212"/>
      <c r="O300" s="222" t="s">
        <v>1108</v>
      </c>
      <c r="P300" s="162"/>
      <c r="Q300" s="176">
        <f t="shared" ref="Q300:Q303" si="42">H300</f>
        <v>36</v>
      </c>
      <c r="R300" s="167" t="str">
        <f t="shared" ref="R300:R303" si="43">CONCATENATE("II-",TEXT(Q300,"0000"))</f>
        <v>II-0036</v>
      </c>
      <c r="S300" s="177" t="str">
        <f t="shared" ref="S300:S303" si="44">K300</f>
        <v>ENROCADOS</v>
      </c>
    </row>
    <row r="301" spans="1:19" ht="16.5" thickTop="1" thickBot="1" x14ac:dyDescent="0.25">
      <c r="A301" s="168">
        <v>37</v>
      </c>
      <c r="B301" s="158" t="s">
        <v>1349</v>
      </c>
      <c r="C301" s="158" t="s">
        <v>1350</v>
      </c>
      <c r="D301" s="167" t="s">
        <v>1191</v>
      </c>
      <c r="G301" s="162"/>
      <c r="H301" s="245">
        <v>37</v>
      </c>
      <c r="I301" s="201"/>
      <c r="J301" s="250"/>
      <c r="K301" s="251" t="s">
        <v>1350</v>
      </c>
      <c r="L301" s="250"/>
      <c r="M301" s="250"/>
      <c r="N301" s="250"/>
      <c r="O301" s="203" t="s">
        <v>1191</v>
      </c>
      <c r="P301" s="162"/>
      <c r="Q301" s="176">
        <f t="shared" si="42"/>
        <v>37</v>
      </c>
      <c r="R301" s="167" t="str">
        <f t="shared" si="43"/>
        <v>II-0037</v>
      </c>
      <c r="S301" s="177" t="str">
        <f t="shared" si="44"/>
        <v>ENRIPIADO</v>
      </c>
    </row>
    <row r="302" spans="1:19" ht="16.5" thickTop="1" thickBot="1" x14ac:dyDescent="0.25">
      <c r="A302" s="168">
        <v>38</v>
      </c>
      <c r="B302" s="158" t="s">
        <v>1351</v>
      </c>
      <c r="C302" s="158" t="s">
        <v>1352</v>
      </c>
      <c r="D302" s="167" t="s">
        <v>1191</v>
      </c>
      <c r="G302" s="162"/>
      <c r="H302" s="245">
        <v>38</v>
      </c>
      <c r="I302" s="201"/>
      <c r="J302" s="250"/>
      <c r="K302" s="251" t="s">
        <v>1352</v>
      </c>
      <c r="L302" s="250"/>
      <c r="M302" s="250"/>
      <c r="N302" s="250"/>
      <c r="O302" s="203" t="s">
        <v>1191</v>
      </c>
      <c r="P302" s="162"/>
      <c r="Q302" s="176">
        <f t="shared" si="42"/>
        <v>38</v>
      </c>
      <c r="R302" s="167" t="str">
        <f t="shared" si="43"/>
        <v>II-0038</v>
      </c>
      <c r="S302" s="177" t="str">
        <f t="shared" si="44"/>
        <v>ESCARIFICADO</v>
      </c>
    </row>
    <row r="303" spans="1:19" ht="15.75" thickTop="1" x14ac:dyDescent="0.2">
      <c r="A303" s="168">
        <v>39</v>
      </c>
      <c r="B303" s="158" t="s">
        <v>1353</v>
      </c>
      <c r="C303" s="158" t="s">
        <v>1354</v>
      </c>
      <c r="D303" s="167"/>
      <c r="G303" s="162"/>
      <c r="H303" s="245">
        <v>39</v>
      </c>
      <c r="I303" s="201"/>
      <c r="J303" s="250"/>
      <c r="K303" s="251" t="s">
        <v>1354</v>
      </c>
      <c r="L303" s="250"/>
      <c r="M303" s="250"/>
      <c r="N303" s="250"/>
      <c r="O303" s="203"/>
      <c r="P303" s="162"/>
      <c r="Q303" s="176">
        <f t="shared" si="42"/>
        <v>39</v>
      </c>
      <c r="R303" s="167" t="str">
        <f t="shared" si="43"/>
        <v>II-0039</v>
      </c>
      <c r="S303" s="177" t="str">
        <f t="shared" si="44"/>
        <v>EXCAVACIONES</v>
      </c>
    </row>
    <row r="304" spans="1:19" x14ac:dyDescent="0.2">
      <c r="A304" s="168"/>
      <c r="B304" s="158"/>
      <c r="C304" s="158"/>
      <c r="D304" s="167" t="s">
        <v>1108</v>
      </c>
      <c r="G304" s="162"/>
      <c r="H304" s="178"/>
      <c r="I304" s="179" t="s">
        <v>997</v>
      </c>
      <c r="J304" s="220"/>
      <c r="K304" s="237" t="s">
        <v>1355</v>
      </c>
      <c r="L304" s="237"/>
      <c r="M304" s="237"/>
      <c r="N304" s="237"/>
      <c r="O304" s="236" t="s">
        <v>1108</v>
      </c>
      <c r="P304" s="162"/>
      <c r="Q304" s="162"/>
      <c r="R304" s="162"/>
      <c r="S304" s="162"/>
    </row>
    <row r="305" spans="1:19" x14ac:dyDescent="0.2">
      <c r="A305" s="168"/>
      <c r="B305" s="158"/>
      <c r="C305" s="158"/>
      <c r="D305" s="167" t="s">
        <v>1108</v>
      </c>
      <c r="G305" s="162"/>
      <c r="H305" s="178"/>
      <c r="I305" s="179" t="s">
        <v>1024</v>
      </c>
      <c r="J305" s="220"/>
      <c r="K305" s="237" t="s">
        <v>1356</v>
      </c>
      <c r="L305" s="237"/>
      <c r="M305" s="237"/>
      <c r="N305" s="237"/>
      <c r="O305" s="236" t="s">
        <v>1108</v>
      </c>
      <c r="P305" s="162"/>
      <c r="Q305" s="162"/>
      <c r="R305" s="162"/>
      <c r="S305" s="162"/>
    </row>
    <row r="306" spans="1:19" x14ac:dyDescent="0.2">
      <c r="A306" s="168"/>
      <c r="B306" s="158"/>
      <c r="C306" s="158"/>
      <c r="D306" s="167" t="s">
        <v>1108</v>
      </c>
      <c r="G306" s="162"/>
      <c r="H306" s="178"/>
      <c r="I306" s="179" t="s">
        <v>1034</v>
      </c>
      <c r="J306" s="220"/>
      <c r="K306" s="237" t="s">
        <v>1357</v>
      </c>
      <c r="L306" s="237"/>
      <c r="M306" s="237"/>
      <c r="N306" s="237"/>
      <c r="O306" s="236" t="s">
        <v>1108</v>
      </c>
      <c r="P306" s="162"/>
      <c r="Q306" s="162"/>
      <c r="R306" s="162"/>
      <c r="S306" s="162"/>
    </row>
    <row r="307" spans="1:19" x14ac:dyDescent="0.2">
      <c r="A307" s="168"/>
      <c r="B307" s="158"/>
      <c r="C307" s="158"/>
      <c r="D307" s="167" t="s">
        <v>1108</v>
      </c>
      <c r="G307" s="162"/>
      <c r="H307" s="178"/>
      <c r="I307" s="179" t="s">
        <v>1060</v>
      </c>
      <c r="J307" s="220"/>
      <c r="K307" s="237" t="s">
        <v>1358</v>
      </c>
      <c r="L307" s="237"/>
      <c r="M307" s="237"/>
      <c r="N307" s="237"/>
      <c r="O307" s="236" t="s">
        <v>1108</v>
      </c>
      <c r="P307" s="162"/>
      <c r="Q307" s="162"/>
      <c r="R307" s="162"/>
      <c r="S307" s="162"/>
    </row>
    <row r="308" spans="1:19" x14ac:dyDescent="0.2">
      <c r="A308" s="168"/>
      <c r="B308" s="158"/>
      <c r="C308" s="158"/>
      <c r="D308" s="167" t="s">
        <v>1108</v>
      </c>
      <c r="G308" s="162"/>
      <c r="H308" s="178"/>
      <c r="I308" s="179" t="s">
        <v>1102</v>
      </c>
      <c r="J308" s="220"/>
      <c r="K308" s="237" t="s">
        <v>1359</v>
      </c>
      <c r="L308" s="237"/>
      <c r="M308" s="237"/>
      <c r="N308" s="237"/>
      <c r="O308" s="236" t="s">
        <v>1108</v>
      </c>
      <c r="P308" s="162"/>
      <c r="Q308" s="162"/>
      <c r="R308" s="162"/>
      <c r="S308" s="162"/>
    </row>
    <row r="309" spans="1:19" x14ac:dyDescent="0.2">
      <c r="A309" s="168"/>
      <c r="B309" s="158"/>
      <c r="C309" s="158"/>
      <c r="D309" s="167" t="s">
        <v>1108</v>
      </c>
      <c r="G309" s="162"/>
      <c r="H309" s="178"/>
      <c r="I309" s="179" t="s">
        <v>1105</v>
      </c>
      <c r="J309" s="220"/>
      <c r="K309" s="237" t="s">
        <v>1360</v>
      </c>
      <c r="L309" s="237"/>
      <c r="M309" s="237"/>
      <c r="N309" s="237"/>
      <c r="O309" s="236" t="s">
        <v>1108</v>
      </c>
      <c r="P309" s="162"/>
      <c r="Q309" s="162"/>
      <c r="R309" s="162"/>
      <c r="S309" s="162"/>
    </row>
    <row r="310" spans="1:19" x14ac:dyDescent="0.2">
      <c r="A310" s="168"/>
      <c r="B310" s="158"/>
      <c r="C310" s="158"/>
      <c r="D310" s="167" t="s">
        <v>1108</v>
      </c>
      <c r="G310" s="162"/>
      <c r="H310" s="178"/>
      <c r="I310" s="179" t="s">
        <v>1109</v>
      </c>
      <c r="J310" s="220"/>
      <c r="K310" s="237" t="s">
        <v>1361</v>
      </c>
      <c r="L310" s="237"/>
      <c r="M310" s="237"/>
      <c r="N310" s="237"/>
      <c r="O310" s="236" t="s">
        <v>1108</v>
      </c>
      <c r="P310" s="162"/>
      <c r="Q310" s="162"/>
      <c r="R310" s="162"/>
      <c r="S310" s="162"/>
    </row>
    <row r="311" spans="1:19" x14ac:dyDescent="0.2">
      <c r="A311" s="168"/>
      <c r="B311" s="158"/>
      <c r="C311" s="158"/>
      <c r="D311" s="167" t="s">
        <v>1108</v>
      </c>
      <c r="G311" s="162"/>
      <c r="H311" s="178"/>
      <c r="I311" s="179" t="s">
        <v>1112</v>
      </c>
      <c r="J311" s="220"/>
      <c r="K311" s="237" t="s">
        <v>1362</v>
      </c>
      <c r="L311" s="237"/>
      <c r="M311" s="237"/>
      <c r="N311" s="237"/>
      <c r="O311" s="236" t="s">
        <v>1108</v>
      </c>
      <c r="P311" s="162"/>
      <c r="Q311" s="162"/>
      <c r="R311" s="162"/>
      <c r="S311" s="162"/>
    </row>
    <row r="312" spans="1:19" x14ac:dyDescent="0.2">
      <c r="A312" s="168"/>
      <c r="B312" s="158"/>
      <c r="C312" s="158"/>
      <c r="D312" s="167" t="s">
        <v>1108</v>
      </c>
      <c r="G312" s="162"/>
      <c r="H312" s="178"/>
      <c r="I312" s="179" t="s">
        <v>889</v>
      </c>
      <c r="J312" s="220"/>
      <c r="K312" s="237" t="s">
        <v>1363</v>
      </c>
      <c r="L312" s="237"/>
      <c r="M312" s="237"/>
      <c r="N312" s="237"/>
      <c r="O312" s="236" t="s">
        <v>1108</v>
      </c>
      <c r="P312" s="162"/>
      <c r="Q312" s="162"/>
      <c r="R312" s="162"/>
      <c r="S312" s="162"/>
    </row>
    <row r="313" spans="1:19" ht="15.75" thickBot="1" x14ac:dyDescent="0.25">
      <c r="A313" s="168"/>
      <c r="B313" s="158"/>
      <c r="C313" s="158"/>
      <c r="D313" s="167" t="s">
        <v>1108</v>
      </c>
      <c r="G313" s="162"/>
      <c r="H313" s="193"/>
      <c r="I313" s="205" t="s">
        <v>1117</v>
      </c>
      <c r="J313" s="208"/>
      <c r="K313" s="239" t="s">
        <v>1364</v>
      </c>
      <c r="L313" s="239"/>
      <c r="M313" s="239"/>
      <c r="N313" s="239"/>
      <c r="O313" s="240" t="s">
        <v>1108</v>
      </c>
      <c r="P313" s="162"/>
      <c r="Q313" s="162"/>
      <c r="R313" s="162"/>
      <c r="S313" s="162"/>
    </row>
    <row r="314" spans="1:19" ht="15.75" thickTop="1" x14ac:dyDescent="0.2">
      <c r="A314" s="168">
        <v>40</v>
      </c>
      <c r="B314" s="158" t="s">
        <v>1365</v>
      </c>
      <c r="C314" s="158" t="s">
        <v>1261</v>
      </c>
      <c r="D314" s="167"/>
      <c r="G314" s="162"/>
      <c r="H314" s="200">
        <v>40</v>
      </c>
      <c r="I314" s="202"/>
      <c r="J314" s="212"/>
      <c r="K314" s="257" t="s">
        <v>1261</v>
      </c>
      <c r="L314" s="212"/>
      <c r="M314" s="212"/>
      <c r="N314" s="212"/>
      <c r="O314" s="222"/>
      <c r="P314" s="162"/>
      <c r="Q314" s="176">
        <f>H314</f>
        <v>40</v>
      </c>
      <c r="R314" s="167" t="str">
        <f>CONCATENATE("II-",TEXT(Q314,"0000"))</f>
        <v>II-0040</v>
      </c>
      <c r="S314" s="177" t="str">
        <f>K314</f>
        <v>FRESADO</v>
      </c>
    </row>
    <row r="315" spans="1:19" ht="15.75" thickBot="1" x14ac:dyDescent="0.25">
      <c r="A315" s="168"/>
      <c r="B315" s="158"/>
      <c r="C315" s="158"/>
      <c r="D315" s="167" t="s">
        <v>1191</v>
      </c>
      <c r="G315" s="162"/>
      <c r="H315" s="178"/>
      <c r="I315" s="205" t="s">
        <v>997</v>
      </c>
      <c r="J315" s="162"/>
      <c r="K315" s="177" t="s">
        <v>1366</v>
      </c>
      <c r="L315" s="162"/>
      <c r="M315" s="162"/>
      <c r="N315" s="162"/>
      <c r="O315" s="214" t="s">
        <v>1191</v>
      </c>
      <c r="P315" s="162"/>
      <c r="Q315" s="162"/>
      <c r="R315" s="162"/>
      <c r="S315" s="162"/>
    </row>
    <row r="316" spans="1:19" ht="15.75" thickTop="1" x14ac:dyDescent="0.2">
      <c r="A316" s="168">
        <v>41</v>
      </c>
      <c r="B316" s="158" t="s">
        <v>1367</v>
      </c>
      <c r="C316" s="158" t="s">
        <v>1368</v>
      </c>
      <c r="D316" s="167"/>
      <c r="G316" s="162"/>
      <c r="H316" s="245">
        <v>41</v>
      </c>
      <c r="I316" s="201"/>
      <c r="J316" s="250"/>
      <c r="K316" s="251" t="s">
        <v>1368</v>
      </c>
      <c r="L316" s="251"/>
      <c r="M316" s="250"/>
      <c r="N316" s="250"/>
      <c r="O316" s="203"/>
      <c r="P316" s="162"/>
      <c r="Q316" s="176">
        <f>H316</f>
        <v>41</v>
      </c>
      <c r="R316" s="167" t="str">
        <f>CONCATENATE("II-",TEXT(Q316,"0000"))</f>
        <v>II-0041</v>
      </c>
      <c r="S316" s="177" t="str">
        <f>K316</f>
        <v>GAVIONES (PIEDRA EMBOLSADA)</v>
      </c>
    </row>
    <row r="317" spans="1:19" x14ac:dyDescent="0.2">
      <c r="A317" s="168"/>
      <c r="B317" s="158"/>
      <c r="C317" s="158"/>
      <c r="D317" s="167"/>
      <c r="G317" s="162"/>
      <c r="H317" s="178"/>
      <c r="I317" s="179" t="s">
        <v>997</v>
      </c>
      <c r="J317" s="167"/>
      <c r="K317" s="177" t="s">
        <v>1277</v>
      </c>
      <c r="L317" s="162"/>
      <c r="M317" s="162"/>
      <c r="N317" s="162"/>
      <c r="O317" s="214"/>
      <c r="P317" s="162"/>
      <c r="Q317" s="162"/>
      <c r="R317" s="162"/>
      <c r="S317" s="162"/>
    </row>
    <row r="318" spans="1:19" x14ac:dyDescent="0.2">
      <c r="A318" s="168"/>
      <c r="B318" s="158"/>
      <c r="C318" s="158"/>
      <c r="D318" s="167" t="s">
        <v>1108</v>
      </c>
      <c r="G318" s="162"/>
      <c r="H318" s="178"/>
      <c r="I318" s="167"/>
      <c r="J318" s="184">
        <v>1</v>
      </c>
      <c r="K318" s="162"/>
      <c r="L318" s="177" t="s">
        <v>1369</v>
      </c>
      <c r="M318" s="162"/>
      <c r="N318" s="162"/>
      <c r="O318" s="214" t="s">
        <v>1108</v>
      </c>
      <c r="P318" s="162"/>
      <c r="Q318" s="162"/>
      <c r="R318" s="162"/>
      <c r="S318" s="162"/>
    </row>
    <row r="319" spans="1:19" x14ac:dyDescent="0.2">
      <c r="A319" s="168"/>
      <c r="B319" s="158"/>
      <c r="C319" s="158"/>
      <c r="D319" s="167" t="s">
        <v>1108</v>
      </c>
      <c r="G319" s="162"/>
      <c r="H319" s="178"/>
      <c r="I319" s="231"/>
      <c r="J319" s="187">
        <v>2</v>
      </c>
      <c r="K319" s="188"/>
      <c r="L319" s="189" t="s">
        <v>1370</v>
      </c>
      <c r="M319" s="188"/>
      <c r="N319" s="188"/>
      <c r="O319" s="232" t="s">
        <v>1108</v>
      </c>
      <c r="P319" s="162"/>
      <c r="Q319" s="162"/>
      <c r="R319" s="162"/>
      <c r="S319" s="162"/>
    </row>
    <row r="320" spans="1:19" x14ac:dyDescent="0.2">
      <c r="A320" s="168"/>
      <c r="B320" s="158"/>
      <c r="C320" s="158"/>
      <c r="D320" s="167"/>
      <c r="G320" s="162"/>
      <c r="H320" s="178"/>
      <c r="I320" s="187" t="s">
        <v>1024</v>
      </c>
      <c r="J320" s="167"/>
      <c r="K320" s="177" t="s">
        <v>1276</v>
      </c>
      <c r="L320" s="162"/>
      <c r="M320" s="162"/>
      <c r="N320" s="162"/>
      <c r="O320" s="214"/>
      <c r="P320" s="162"/>
      <c r="Q320" s="162"/>
      <c r="R320" s="162"/>
      <c r="S320" s="162"/>
    </row>
    <row r="321" spans="1:19" x14ac:dyDescent="0.2">
      <c r="A321" s="168"/>
      <c r="B321" s="158"/>
      <c r="C321" s="158"/>
      <c r="D321" s="167" t="s">
        <v>1108</v>
      </c>
      <c r="G321" s="162"/>
      <c r="H321" s="178"/>
      <c r="I321" s="167"/>
      <c r="J321" s="184">
        <v>1</v>
      </c>
      <c r="K321" s="162"/>
      <c r="L321" s="177" t="s">
        <v>1369</v>
      </c>
      <c r="M321" s="162"/>
      <c r="N321" s="162"/>
      <c r="O321" s="214" t="s">
        <v>1108</v>
      </c>
      <c r="P321" s="162"/>
      <c r="Q321" s="162"/>
      <c r="R321" s="162"/>
      <c r="S321" s="162"/>
    </row>
    <row r="322" spans="1:19" x14ac:dyDescent="0.2">
      <c r="A322" s="168"/>
      <c r="B322" s="158"/>
      <c r="C322" s="158"/>
      <c r="D322" s="167" t="s">
        <v>1108</v>
      </c>
      <c r="G322" s="162"/>
      <c r="H322" s="178"/>
      <c r="I322" s="192"/>
      <c r="J322" s="187">
        <v>2</v>
      </c>
      <c r="K322" s="188"/>
      <c r="L322" s="189" t="s">
        <v>1370</v>
      </c>
      <c r="M322" s="188"/>
      <c r="N322" s="188"/>
      <c r="O322" s="232" t="s">
        <v>1108</v>
      </c>
      <c r="P322" s="162"/>
      <c r="Q322" s="162"/>
      <c r="R322" s="162"/>
      <c r="S322" s="162"/>
    </row>
    <row r="323" spans="1:19" x14ac:dyDescent="0.2">
      <c r="A323" s="168"/>
      <c r="B323" s="158"/>
      <c r="C323" s="158"/>
      <c r="D323" s="167" t="s">
        <v>1108</v>
      </c>
      <c r="G323" s="162"/>
      <c r="H323" s="178"/>
      <c r="I323" s="179" t="s">
        <v>1034</v>
      </c>
      <c r="J323" s="220"/>
      <c r="K323" s="237" t="s">
        <v>1066</v>
      </c>
      <c r="L323" s="237"/>
      <c r="M323" s="220"/>
      <c r="N323" s="220"/>
      <c r="O323" s="236" t="s">
        <v>1108</v>
      </c>
      <c r="P323" s="162"/>
      <c r="Q323" s="162"/>
      <c r="R323" s="162"/>
      <c r="S323" s="162"/>
    </row>
    <row r="324" spans="1:19" ht="15.75" thickBot="1" x14ac:dyDescent="0.25">
      <c r="A324" s="168"/>
      <c r="B324" s="158"/>
      <c r="C324" s="158"/>
      <c r="D324" s="167" t="s">
        <v>1108</v>
      </c>
      <c r="G324" s="162"/>
      <c r="H324" s="178"/>
      <c r="I324" s="184" t="s">
        <v>1060</v>
      </c>
      <c r="J324" s="162"/>
      <c r="K324" s="177" t="s">
        <v>1114</v>
      </c>
      <c r="L324" s="177"/>
      <c r="M324" s="162"/>
      <c r="N324" s="162"/>
      <c r="O324" s="214" t="s">
        <v>1108</v>
      </c>
      <c r="P324" s="162"/>
      <c r="Q324" s="162"/>
      <c r="R324" s="162"/>
      <c r="S324" s="162"/>
    </row>
    <row r="325" spans="1:19" ht="16.5" thickTop="1" thickBot="1" x14ac:dyDescent="0.25">
      <c r="A325" s="168">
        <v>42</v>
      </c>
      <c r="B325" s="158" t="s">
        <v>1371</v>
      </c>
      <c r="C325" s="158" t="s">
        <v>1372</v>
      </c>
      <c r="D325" s="167" t="s">
        <v>5</v>
      </c>
      <c r="G325" s="162"/>
      <c r="H325" s="271">
        <v>42</v>
      </c>
      <c r="I325" s="272"/>
      <c r="J325" s="273"/>
      <c r="K325" s="274" t="s">
        <v>1372</v>
      </c>
      <c r="L325" s="274"/>
      <c r="M325" s="273"/>
      <c r="N325" s="273"/>
      <c r="O325" s="275" t="s">
        <v>5</v>
      </c>
      <c r="P325" s="162"/>
      <c r="Q325" s="176">
        <f t="shared" ref="Q325:Q326" si="45">H325</f>
        <v>42</v>
      </c>
      <c r="R325" s="167" t="str">
        <f t="shared" ref="R325:R326" si="46">CONCATENATE("II-",TEXT(Q325,"0000"))</f>
        <v>II-0042</v>
      </c>
      <c r="S325" s="177" t="str">
        <f t="shared" ref="S325:S326" si="47">K325</f>
        <v>GUARDAGANADO</v>
      </c>
    </row>
    <row r="326" spans="1:19" ht="15.75" thickTop="1" x14ac:dyDescent="0.2">
      <c r="A326" s="168">
        <v>43</v>
      </c>
      <c r="B326" s="158" t="s">
        <v>1373</v>
      </c>
      <c r="C326" s="158" t="s">
        <v>1374</v>
      </c>
      <c r="D326" s="167"/>
      <c r="G326" s="162"/>
      <c r="H326" s="200">
        <v>43</v>
      </c>
      <c r="I326" s="202"/>
      <c r="J326" s="212"/>
      <c r="K326" s="257" t="s">
        <v>1374</v>
      </c>
      <c r="L326" s="212"/>
      <c r="M326" s="212"/>
      <c r="N326" s="212"/>
      <c r="O326" s="222"/>
      <c r="P326" s="162"/>
      <c r="Q326" s="176">
        <f t="shared" si="45"/>
        <v>43</v>
      </c>
      <c r="R326" s="167" t="str">
        <f t="shared" si="46"/>
        <v>II-0043</v>
      </c>
      <c r="S326" s="177" t="str">
        <f t="shared" si="47"/>
        <v>HORMIGON CEMENTO PORTLAND EXCLUIDA LA ARAMDURA</v>
      </c>
    </row>
    <row r="327" spans="1:19" x14ac:dyDescent="0.2">
      <c r="A327" s="168"/>
      <c r="B327" s="158"/>
      <c r="C327" s="158"/>
      <c r="D327" s="167"/>
      <c r="G327" s="162"/>
      <c r="H327" s="178"/>
      <c r="I327" s="179" t="s">
        <v>997</v>
      </c>
      <c r="J327" s="167"/>
      <c r="K327" s="177" t="s">
        <v>1375</v>
      </c>
      <c r="L327" s="162"/>
      <c r="M327" s="162"/>
      <c r="N327" s="162"/>
      <c r="O327" s="214"/>
      <c r="P327" s="162"/>
      <c r="Q327" s="162"/>
      <c r="R327" s="162"/>
      <c r="S327" s="162"/>
    </row>
    <row r="328" spans="1:19" x14ac:dyDescent="0.2">
      <c r="A328" s="168"/>
      <c r="B328" s="158"/>
      <c r="C328" s="158"/>
      <c r="D328" s="167" t="s">
        <v>1108</v>
      </c>
      <c r="G328" s="162"/>
      <c r="H328" s="178"/>
      <c r="I328" s="167"/>
      <c r="J328" s="184">
        <v>1</v>
      </c>
      <c r="K328" s="162"/>
      <c r="L328" s="177" t="s">
        <v>1376</v>
      </c>
      <c r="M328" s="162"/>
      <c r="N328" s="162"/>
      <c r="O328" s="214" t="s">
        <v>1108</v>
      </c>
      <c r="P328" s="162"/>
      <c r="Q328" s="162"/>
      <c r="R328" s="162"/>
      <c r="S328" s="162"/>
    </row>
    <row r="329" spans="1:19" x14ac:dyDescent="0.2">
      <c r="A329" s="168"/>
      <c r="B329" s="158"/>
      <c r="C329" s="158"/>
      <c r="D329" s="167" t="s">
        <v>1108</v>
      </c>
      <c r="G329" s="162"/>
      <c r="H329" s="178"/>
      <c r="I329" s="167"/>
      <c r="J329" s="184">
        <v>2</v>
      </c>
      <c r="K329" s="162"/>
      <c r="L329" s="177" t="s">
        <v>1206</v>
      </c>
      <c r="M329" s="162"/>
      <c r="N329" s="162"/>
      <c r="O329" s="214" t="s">
        <v>1108</v>
      </c>
      <c r="P329" s="162"/>
      <c r="Q329" s="162"/>
      <c r="R329" s="162"/>
      <c r="S329" s="162"/>
    </row>
    <row r="330" spans="1:19" x14ac:dyDescent="0.2">
      <c r="A330" s="168"/>
      <c r="B330" s="158"/>
      <c r="C330" s="158"/>
      <c r="D330" s="167" t="s">
        <v>1108</v>
      </c>
      <c r="G330" s="162"/>
      <c r="H330" s="178"/>
      <c r="I330" s="167"/>
      <c r="J330" s="184">
        <v>3</v>
      </c>
      <c r="K330" s="162"/>
      <c r="L330" s="177" t="s">
        <v>1377</v>
      </c>
      <c r="M330" s="162"/>
      <c r="N330" s="162"/>
      <c r="O330" s="214" t="s">
        <v>1108</v>
      </c>
      <c r="P330" s="162"/>
      <c r="Q330" s="162"/>
      <c r="R330" s="162"/>
      <c r="S330" s="162"/>
    </row>
    <row r="331" spans="1:19" x14ac:dyDescent="0.2">
      <c r="A331" s="168"/>
      <c r="B331" s="158"/>
      <c r="C331" s="158"/>
      <c r="D331" s="167" t="s">
        <v>1108</v>
      </c>
      <c r="G331" s="162"/>
      <c r="H331" s="178"/>
      <c r="I331" s="167"/>
      <c r="J331" s="184">
        <v>4</v>
      </c>
      <c r="K331" s="162"/>
      <c r="L331" s="177" t="s">
        <v>1357</v>
      </c>
      <c r="M331" s="162"/>
      <c r="N331" s="162"/>
      <c r="O331" s="214" t="s">
        <v>1108</v>
      </c>
      <c r="P331" s="162"/>
      <c r="Q331" s="162"/>
      <c r="R331" s="162"/>
      <c r="S331" s="162"/>
    </row>
    <row r="332" spans="1:19" x14ac:dyDescent="0.2">
      <c r="A332" s="168"/>
      <c r="B332" s="158"/>
      <c r="C332" s="158"/>
      <c r="D332" s="167" t="s">
        <v>1108</v>
      </c>
      <c r="G332" s="162"/>
      <c r="H332" s="178"/>
      <c r="I332" s="192"/>
      <c r="J332" s="187">
        <v>5</v>
      </c>
      <c r="K332" s="188"/>
      <c r="L332" s="189" t="s">
        <v>1378</v>
      </c>
      <c r="M332" s="188"/>
      <c r="N332" s="188"/>
      <c r="O332" s="232" t="s">
        <v>1108</v>
      </c>
      <c r="P332" s="162"/>
      <c r="Q332" s="162"/>
      <c r="R332" s="162"/>
      <c r="S332" s="162"/>
    </row>
    <row r="333" spans="1:19" x14ac:dyDescent="0.2">
      <c r="A333" s="168"/>
      <c r="B333" s="158"/>
      <c r="C333" s="158"/>
      <c r="D333" s="167"/>
      <c r="G333" s="162"/>
      <c r="H333" s="178"/>
      <c r="I333" s="179" t="s">
        <v>1024</v>
      </c>
      <c r="J333" s="167"/>
      <c r="K333" s="177" t="s">
        <v>1379</v>
      </c>
      <c r="L333" s="162"/>
      <c r="M333" s="162"/>
      <c r="N333" s="162"/>
      <c r="O333" s="214"/>
      <c r="P333" s="162"/>
      <c r="Q333" s="162"/>
      <c r="R333" s="162"/>
      <c r="S333" s="162"/>
    </row>
    <row r="334" spans="1:19" x14ac:dyDescent="0.2">
      <c r="A334" s="168"/>
      <c r="B334" s="158"/>
      <c r="C334" s="158"/>
      <c r="D334" s="167" t="s">
        <v>1108</v>
      </c>
      <c r="G334" s="162"/>
      <c r="H334" s="178"/>
      <c r="I334" s="167"/>
      <c r="J334" s="184">
        <v>1</v>
      </c>
      <c r="K334" s="162"/>
      <c r="L334" s="177" t="s">
        <v>1206</v>
      </c>
      <c r="M334" s="162"/>
      <c r="N334" s="162"/>
      <c r="O334" s="214" t="s">
        <v>1108</v>
      </c>
      <c r="P334" s="162"/>
      <c r="Q334" s="162"/>
      <c r="R334" s="162"/>
      <c r="S334" s="162"/>
    </row>
    <row r="335" spans="1:19" x14ac:dyDescent="0.2">
      <c r="A335" s="168"/>
      <c r="B335" s="158"/>
      <c r="C335" s="158"/>
      <c r="D335" s="167" t="s">
        <v>1108</v>
      </c>
      <c r="G335" s="162"/>
      <c r="H335" s="178"/>
      <c r="I335" s="167"/>
      <c r="J335" s="184">
        <v>2</v>
      </c>
      <c r="K335" s="162"/>
      <c r="L335" s="177" t="s">
        <v>1380</v>
      </c>
      <c r="M335" s="162"/>
      <c r="N335" s="162"/>
      <c r="O335" s="214" t="s">
        <v>1108</v>
      </c>
      <c r="P335" s="162"/>
      <c r="Q335" s="162"/>
      <c r="R335" s="162"/>
      <c r="S335" s="162"/>
    </row>
    <row r="336" spans="1:19" x14ac:dyDescent="0.2">
      <c r="A336" s="168"/>
      <c r="B336" s="158"/>
      <c r="C336" s="158"/>
      <c r="D336" s="167" t="s">
        <v>1108</v>
      </c>
      <c r="G336" s="162"/>
      <c r="H336" s="178"/>
      <c r="I336" s="167"/>
      <c r="J336" s="184">
        <v>3</v>
      </c>
      <c r="K336" s="162"/>
      <c r="L336" s="177" t="s">
        <v>1381</v>
      </c>
      <c r="M336" s="162"/>
      <c r="N336" s="162"/>
      <c r="O336" s="214" t="s">
        <v>1108</v>
      </c>
      <c r="P336" s="162"/>
      <c r="Q336" s="162"/>
      <c r="R336" s="162"/>
      <c r="S336" s="162"/>
    </row>
    <row r="337" spans="1:19" x14ac:dyDescent="0.2">
      <c r="A337" s="168"/>
      <c r="B337" s="158"/>
      <c r="C337" s="158"/>
      <c r="D337" s="167" t="s">
        <v>1108</v>
      </c>
      <c r="G337" s="162"/>
      <c r="H337" s="178"/>
      <c r="I337" s="167"/>
      <c r="J337" s="184">
        <v>4</v>
      </c>
      <c r="K337" s="162"/>
      <c r="L337" s="177" t="s">
        <v>1382</v>
      </c>
      <c r="M337" s="162"/>
      <c r="N337" s="162"/>
      <c r="O337" s="214" t="s">
        <v>1108</v>
      </c>
      <c r="P337" s="162"/>
      <c r="Q337" s="162"/>
      <c r="R337" s="162"/>
      <c r="S337" s="162"/>
    </row>
    <row r="338" spans="1:19" x14ac:dyDescent="0.2">
      <c r="A338" s="168"/>
      <c r="B338" s="158"/>
      <c r="C338" s="158"/>
      <c r="D338" s="167" t="s">
        <v>1108</v>
      </c>
      <c r="G338" s="162"/>
      <c r="H338" s="178"/>
      <c r="I338" s="167"/>
      <c r="J338" s="184">
        <v>5</v>
      </c>
      <c r="K338" s="162"/>
      <c r="L338" s="177" t="s">
        <v>1383</v>
      </c>
      <c r="M338" s="162"/>
      <c r="N338" s="162"/>
      <c r="O338" s="214" t="s">
        <v>1108</v>
      </c>
      <c r="P338" s="162"/>
      <c r="Q338" s="162"/>
      <c r="R338" s="162"/>
      <c r="S338" s="162"/>
    </row>
    <row r="339" spans="1:19" x14ac:dyDescent="0.2">
      <c r="A339" s="168"/>
      <c r="B339" s="158"/>
      <c r="C339" s="158"/>
      <c r="D339" s="167" t="s">
        <v>1108</v>
      </c>
      <c r="G339" s="162"/>
      <c r="H339" s="178"/>
      <c r="I339" s="231"/>
      <c r="J339" s="167">
        <v>6</v>
      </c>
      <c r="K339" s="177"/>
      <c r="L339" s="162" t="s">
        <v>1378</v>
      </c>
      <c r="M339" s="162"/>
      <c r="N339" s="162"/>
      <c r="O339" s="214" t="s">
        <v>1108</v>
      </c>
      <c r="P339" s="162"/>
      <c r="Q339" s="162"/>
      <c r="R339" s="162"/>
      <c r="S339" s="162"/>
    </row>
    <row r="340" spans="1:19" x14ac:dyDescent="0.2">
      <c r="A340" s="168"/>
      <c r="B340" s="158"/>
      <c r="C340" s="158"/>
      <c r="D340" s="167"/>
      <c r="G340" s="162"/>
      <c r="H340" s="178"/>
      <c r="I340" s="187" t="s">
        <v>1034</v>
      </c>
      <c r="J340" s="167"/>
      <c r="K340" s="177" t="s">
        <v>1384</v>
      </c>
      <c r="L340" s="162"/>
      <c r="M340" s="162"/>
      <c r="N340" s="162"/>
      <c r="O340" s="214"/>
      <c r="P340" s="162"/>
      <c r="Q340" s="162"/>
      <c r="R340" s="162"/>
      <c r="S340" s="162"/>
    </row>
    <row r="341" spans="1:19" x14ac:dyDescent="0.2">
      <c r="A341" s="168"/>
      <c r="B341" s="158"/>
      <c r="C341" s="158"/>
      <c r="D341" s="167" t="s">
        <v>1108</v>
      </c>
      <c r="G341" s="162"/>
      <c r="H341" s="178"/>
      <c r="I341" s="167"/>
      <c r="J341" s="184">
        <v>1</v>
      </c>
      <c r="K341" s="162"/>
      <c r="L341" s="177" t="s">
        <v>1385</v>
      </c>
      <c r="M341" s="162"/>
      <c r="N341" s="162"/>
      <c r="O341" s="214" t="s">
        <v>1108</v>
      </c>
      <c r="P341" s="162"/>
      <c r="Q341" s="162"/>
      <c r="R341" s="162"/>
      <c r="S341" s="162"/>
    </row>
    <row r="342" spans="1:19" x14ac:dyDescent="0.2">
      <c r="A342" s="168"/>
      <c r="B342" s="158"/>
      <c r="C342" s="158"/>
      <c r="D342" s="167" t="s">
        <v>1108</v>
      </c>
      <c r="G342" s="162"/>
      <c r="H342" s="178"/>
      <c r="I342" s="167"/>
      <c r="J342" s="184">
        <v>2</v>
      </c>
      <c r="K342" s="162"/>
      <c r="L342" s="177" t="s">
        <v>1206</v>
      </c>
      <c r="M342" s="162"/>
      <c r="N342" s="162"/>
      <c r="O342" s="214" t="s">
        <v>1108</v>
      </c>
      <c r="P342" s="162"/>
      <c r="Q342" s="162"/>
      <c r="R342" s="162"/>
      <c r="S342" s="162"/>
    </row>
    <row r="343" spans="1:19" x14ac:dyDescent="0.2">
      <c r="A343" s="168"/>
      <c r="B343" s="158"/>
      <c r="C343" s="158"/>
      <c r="D343" s="167" t="s">
        <v>1108</v>
      </c>
      <c r="G343" s="162"/>
      <c r="H343" s="178"/>
      <c r="I343" s="167"/>
      <c r="J343" s="184">
        <v>3</v>
      </c>
      <c r="K343" s="162"/>
      <c r="L343" s="177" t="s">
        <v>1386</v>
      </c>
      <c r="M343" s="162"/>
      <c r="N343" s="162"/>
      <c r="O343" s="214" t="s">
        <v>1108</v>
      </c>
      <c r="P343" s="162"/>
      <c r="Q343" s="162"/>
      <c r="R343" s="162"/>
      <c r="S343" s="162"/>
    </row>
    <row r="344" spans="1:19" x14ac:dyDescent="0.2">
      <c r="A344" s="168"/>
      <c r="B344" s="158"/>
      <c r="C344" s="158"/>
      <c r="D344" s="167" t="s">
        <v>1108</v>
      </c>
      <c r="G344" s="162"/>
      <c r="H344" s="178"/>
      <c r="I344" s="167"/>
      <c r="J344" s="184">
        <v>4</v>
      </c>
      <c r="K344" s="162"/>
      <c r="L344" s="177" t="s">
        <v>1380</v>
      </c>
      <c r="M344" s="162"/>
      <c r="N344" s="162"/>
      <c r="O344" s="214" t="s">
        <v>1108</v>
      </c>
      <c r="P344" s="162"/>
      <c r="Q344" s="162"/>
      <c r="R344" s="162"/>
      <c r="S344" s="162"/>
    </row>
    <row r="345" spans="1:19" x14ac:dyDescent="0.2">
      <c r="A345" s="168"/>
      <c r="B345" s="158"/>
      <c r="C345" s="158"/>
      <c r="D345" s="167" t="s">
        <v>1108</v>
      </c>
      <c r="G345" s="162"/>
      <c r="H345" s="178"/>
      <c r="I345" s="167"/>
      <c r="J345" s="184">
        <v>5</v>
      </c>
      <c r="K345" s="162"/>
      <c r="L345" s="177" t="s">
        <v>1317</v>
      </c>
      <c r="M345" s="162"/>
      <c r="N345" s="162"/>
      <c r="O345" s="214" t="s">
        <v>1108</v>
      </c>
      <c r="P345" s="162"/>
      <c r="Q345" s="162"/>
      <c r="R345" s="162"/>
      <c r="S345" s="162"/>
    </row>
    <row r="346" spans="1:19" x14ac:dyDescent="0.2">
      <c r="A346" s="168"/>
      <c r="B346" s="158"/>
      <c r="C346" s="158"/>
      <c r="D346" s="167" t="s">
        <v>1108</v>
      </c>
      <c r="G346" s="162"/>
      <c r="H346" s="178"/>
      <c r="I346" s="167"/>
      <c r="J346" s="184">
        <v>6</v>
      </c>
      <c r="K346" s="162"/>
      <c r="L346" s="177" t="s">
        <v>1382</v>
      </c>
      <c r="M346" s="162"/>
      <c r="N346" s="162"/>
      <c r="O346" s="214" t="s">
        <v>1108</v>
      </c>
      <c r="P346" s="162"/>
      <c r="Q346" s="162"/>
      <c r="R346" s="162"/>
      <c r="S346" s="162"/>
    </row>
    <row r="347" spans="1:19" x14ac:dyDescent="0.2">
      <c r="A347" s="168"/>
      <c r="B347" s="158"/>
      <c r="C347" s="158"/>
      <c r="D347" s="167" t="s">
        <v>1108</v>
      </c>
      <c r="G347" s="162"/>
      <c r="H347" s="178"/>
      <c r="I347" s="167"/>
      <c r="J347" s="184">
        <v>7</v>
      </c>
      <c r="K347" s="162"/>
      <c r="L347" s="177" t="s">
        <v>1383</v>
      </c>
      <c r="M347" s="162"/>
      <c r="N347" s="162"/>
      <c r="O347" s="214" t="s">
        <v>1108</v>
      </c>
      <c r="P347" s="162"/>
      <c r="Q347" s="162"/>
      <c r="R347" s="162"/>
      <c r="S347" s="162"/>
    </row>
    <row r="348" spans="1:19" x14ac:dyDescent="0.2">
      <c r="A348" s="168"/>
      <c r="B348" s="158"/>
      <c r="C348" s="158"/>
      <c r="D348" s="167" t="s">
        <v>1108</v>
      </c>
      <c r="G348" s="162"/>
      <c r="H348" s="178"/>
      <c r="I348" s="231"/>
      <c r="J348" s="187">
        <v>8</v>
      </c>
      <c r="K348" s="188"/>
      <c r="L348" s="189" t="s">
        <v>1378</v>
      </c>
      <c r="M348" s="188"/>
      <c r="N348" s="188"/>
      <c r="O348" s="232" t="s">
        <v>1108</v>
      </c>
      <c r="P348" s="162"/>
      <c r="Q348" s="162"/>
      <c r="R348" s="162"/>
      <c r="S348" s="162"/>
    </row>
    <row r="349" spans="1:19" x14ac:dyDescent="0.2">
      <c r="A349" s="168"/>
      <c r="B349" s="158"/>
      <c r="C349" s="158"/>
      <c r="D349" s="167"/>
      <c r="G349" s="162"/>
      <c r="H349" s="178"/>
      <c r="I349" s="187" t="s">
        <v>1060</v>
      </c>
      <c r="J349" s="167"/>
      <c r="K349" s="177" t="s">
        <v>1387</v>
      </c>
      <c r="L349" s="162"/>
      <c r="M349" s="162"/>
      <c r="N349" s="162"/>
      <c r="O349" s="214"/>
      <c r="P349" s="162"/>
      <c r="Q349" s="162"/>
      <c r="R349" s="162"/>
      <c r="S349" s="162"/>
    </row>
    <row r="350" spans="1:19" x14ac:dyDescent="0.2">
      <c r="A350" s="168"/>
      <c r="B350" s="158"/>
      <c r="C350" s="158"/>
      <c r="D350" s="167" t="s">
        <v>1108</v>
      </c>
      <c r="G350" s="162"/>
      <c r="H350" s="178"/>
      <c r="I350" s="167"/>
      <c r="J350" s="184">
        <v>1</v>
      </c>
      <c r="K350" s="162"/>
      <c r="L350" s="177" t="s">
        <v>1385</v>
      </c>
      <c r="M350" s="162"/>
      <c r="N350" s="162"/>
      <c r="O350" s="214" t="s">
        <v>1108</v>
      </c>
      <c r="P350" s="162"/>
      <c r="Q350" s="162"/>
      <c r="R350" s="162"/>
      <c r="S350" s="162"/>
    </row>
    <row r="351" spans="1:19" x14ac:dyDescent="0.2">
      <c r="A351" s="168"/>
      <c r="B351" s="158"/>
      <c r="C351" s="158"/>
      <c r="D351" s="167" t="s">
        <v>1108</v>
      </c>
      <c r="G351" s="162"/>
      <c r="H351" s="178"/>
      <c r="I351" s="167"/>
      <c r="J351" s="184">
        <v>2</v>
      </c>
      <c r="K351" s="162"/>
      <c r="L351" s="177" t="s">
        <v>1206</v>
      </c>
      <c r="M351" s="162"/>
      <c r="N351" s="162"/>
      <c r="O351" s="214" t="s">
        <v>1108</v>
      </c>
      <c r="P351" s="162"/>
      <c r="Q351" s="162"/>
      <c r="R351" s="162"/>
      <c r="S351" s="162"/>
    </row>
    <row r="352" spans="1:19" x14ac:dyDescent="0.2">
      <c r="A352" s="168"/>
      <c r="B352" s="158"/>
      <c r="C352" s="158"/>
      <c r="D352" s="167" t="s">
        <v>1108</v>
      </c>
      <c r="G352" s="162"/>
      <c r="H352" s="178"/>
      <c r="I352" s="167"/>
      <c r="J352" s="184">
        <v>3</v>
      </c>
      <c r="K352" s="162"/>
      <c r="L352" s="177" t="s">
        <v>1388</v>
      </c>
      <c r="M352" s="162"/>
      <c r="N352" s="162"/>
      <c r="O352" s="214" t="s">
        <v>1108</v>
      </c>
      <c r="P352" s="162"/>
      <c r="Q352" s="162"/>
      <c r="R352" s="162"/>
      <c r="S352" s="162"/>
    </row>
    <row r="353" spans="1:19" x14ac:dyDescent="0.2">
      <c r="A353" s="168"/>
      <c r="B353" s="158"/>
      <c r="C353" s="158"/>
      <c r="D353" s="167" t="s">
        <v>1108</v>
      </c>
      <c r="G353" s="162"/>
      <c r="H353" s="178"/>
      <c r="I353" s="167"/>
      <c r="J353" s="184">
        <v>4</v>
      </c>
      <c r="K353" s="162"/>
      <c r="L353" s="177" t="s">
        <v>1386</v>
      </c>
      <c r="M353" s="162"/>
      <c r="N353" s="162"/>
      <c r="O353" s="214" t="s">
        <v>1108</v>
      </c>
      <c r="P353" s="162"/>
      <c r="Q353" s="162"/>
      <c r="R353" s="162"/>
      <c r="S353" s="162"/>
    </row>
    <row r="354" spans="1:19" x14ac:dyDescent="0.2">
      <c r="A354" s="168"/>
      <c r="B354" s="158"/>
      <c r="C354" s="158"/>
      <c r="D354" s="167" t="s">
        <v>1108</v>
      </c>
      <c r="G354" s="162"/>
      <c r="H354" s="178"/>
      <c r="I354" s="167"/>
      <c r="J354" s="184">
        <v>5</v>
      </c>
      <c r="K354" s="162"/>
      <c r="L354" s="177" t="s">
        <v>1317</v>
      </c>
      <c r="M354" s="162"/>
      <c r="N354" s="162"/>
      <c r="O354" s="214" t="s">
        <v>1108</v>
      </c>
      <c r="P354" s="162"/>
      <c r="Q354" s="162"/>
      <c r="R354" s="162"/>
      <c r="S354" s="162"/>
    </row>
    <row r="355" spans="1:19" x14ac:dyDescent="0.2">
      <c r="A355" s="168"/>
      <c r="B355" s="158"/>
      <c r="C355" s="158"/>
      <c r="D355" s="167" t="s">
        <v>1108</v>
      </c>
      <c r="G355" s="162"/>
      <c r="H355" s="178"/>
      <c r="I355" s="167"/>
      <c r="J355" s="184">
        <v>6</v>
      </c>
      <c r="K355" s="162"/>
      <c r="L355" s="177" t="s">
        <v>1389</v>
      </c>
      <c r="M355" s="162"/>
      <c r="N355" s="162"/>
      <c r="O355" s="214" t="s">
        <v>1108</v>
      </c>
      <c r="P355" s="162"/>
      <c r="Q355" s="162"/>
      <c r="R355" s="162"/>
      <c r="S355" s="162"/>
    </row>
    <row r="356" spans="1:19" x14ac:dyDescent="0.2">
      <c r="A356" s="168"/>
      <c r="B356" s="158"/>
      <c r="C356" s="158"/>
      <c r="D356" s="167" t="s">
        <v>1108</v>
      </c>
      <c r="G356" s="162"/>
      <c r="H356" s="178"/>
      <c r="I356" s="167"/>
      <c r="J356" s="184">
        <v>7</v>
      </c>
      <c r="K356" s="162"/>
      <c r="L356" s="177" t="s">
        <v>1390</v>
      </c>
      <c r="M356" s="162"/>
      <c r="N356" s="162"/>
      <c r="O356" s="214" t="s">
        <v>1108</v>
      </c>
      <c r="P356" s="162"/>
      <c r="Q356" s="162"/>
      <c r="R356" s="162"/>
      <c r="S356" s="162"/>
    </row>
    <row r="357" spans="1:19" x14ac:dyDescent="0.2">
      <c r="A357" s="168"/>
      <c r="B357" s="158"/>
      <c r="C357" s="158"/>
      <c r="D357" s="167" t="s">
        <v>1108</v>
      </c>
      <c r="G357" s="162"/>
      <c r="H357" s="178"/>
      <c r="I357" s="167"/>
      <c r="J357" s="184">
        <v>8</v>
      </c>
      <c r="K357" s="162"/>
      <c r="L357" s="177" t="s">
        <v>1391</v>
      </c>
      <c r="M357" s="162"/>
      <c r="N357" s="162"/>
      <c r="O357" s="214" t="s">
        <v>1108</v>
      </c>
      <c r="P357" s="162"/>
      <c r="Q357" s="162"/>
      <c r="R357" s="162"/>
      <c r="S357" s="162"/>
    </row>
    <row r="358" spans="1:19" x14ac:dyDescent="0.2">
      <c r="A358" s="168"/>
      <c r="B358" s="158"/>
      <c r="C358" s="158"/>
      <c r="D358" s="167" t="s">
        <v>1108</v>
      </c>
      <c r="G358" s="162"/>
      <c r="H358" s="178"/>
      <c r="I358" s="192"/>
      <c r="J358" s="187">
        <v>9</v>
      </c>
      <c r="K358" s="188"/>
      <c r="L358" s="189" t="s">
        <v>1378</v>
      </c>
      <c r="M358" s="188"/>
      <c r="N358" s="188"/>
      <c r="O358" s="232" t="s">
        <v>1108</v>
      </c>
      <c r="P358" s="162"/>
      <c r="Q358" s="162"/>
      <c r="R358" s="162"/>
      <c r="S358" s="162"/>
    </row>
    <row r="359" spans="1:19" x14ac:dyDescent="0.2">
      <c r="A359" s="168"/>
      <c r="B359" s="158"/>
      <c r="C359" s="158"/>
      <c r="D359" s="167"/>
      <c r="G359" s="162"/>
      <c r="H359" s="178"/>
      <c r="I359" s="187" t="s">
        <v>1102</v>
      </c>
      <c r="J359" s="167"/>
      <c r="K359" s="177" t="s">
        <v>1392</v>
      </c>
      <c r="L359" s="162"/>
      <c r="M359" s="162"/>
      <c r="N359" s="162"/>
      <c r="O359" s="214"/>
      <c r="P359" s="162"/>
      <c r="Q359" s="162"/>
      <c r="R359" s="162"/>
      <c r="S359" s="162"/>
    </row>
    <row r="360" spans="1:19" x14ac:dyDescent="0.2">
      <c r="A360" s="168"/>
      <c r="B360" s="158"/>
      <c r="C360" s="158"/>
      <c r="D360" s="167" t="s">
        <v>1108</v>
      </c>
      <c r="G360" s="162"/>
      <c r="H360" s="178"/>
      <c r="I360" s="167"/>
      <c r="J360" s="184">
        <v>1</v>
      </c>
      <c r="K360" s="162"/>
      <c r="L360" s="177" t="s">
        <v>1206</v>
      </c>
      <c r="M360" s="162"/>
      <c r="N360" s="162"/>
      <c r="O360" s="214" t="s">
        <v>1108</v>
      </c>
      <c r="P360" s="162"/>
      <c r="Q360" s="162"/>
      <c r="R360" s="162"/>
      <c r="S360" s="162"/>
    </row>
    <row r="361" spans="1:19" x14ac:dyDescent="0.2">
      <c r="A361" s="168"/>
      <c r="B361" s="158"/>
      <c r="C361" s="158"/>
      <c r="D361" s="167" t="s">
        <v>1108</v>
      </c>
      <c r="G361" s="162"/>
      <c r="H361" s="178"/>
      <c r="I361" s="167"/>
      <c r="J361" s="184">
        <v>2</v>
      </c>
      <c r="K361" s="162"/>
      <c r="L361" s="177" t="s">
        <v>1393</v>
      </c>
      <c r="M361" s="162"/>
      <c r="N361" s="162"/>
      <c r="O361" s="214" t="s">
        <v>1108</v>
      </c>
      <c r="P361" s="162"/>
      <c r="Q361" s="162"/>
      <c r="R361" s="162"/>
      <c r="S361" s="162"/>
    </row>
    <row r="362" spans="1:19" x14ac:dyDescent="0.2">
      <c r="A362" s="168"/>
      <c r="B362" s="158"/>
      <c r="C362" s="158"/>
      <c r="D362" s="167" t="s">
        <v>1108</v>
      </c>
      <c r="G362" s="162"/>
      <c r="H362" s="178"/>
      <c r="I362" s="167"/>
      <c r="J362" s="184">
        <v>3</v>
      </c>
      <c r="K362" s="162"/>
      <c r="L362" s="177" t="s">
        <v>1394</v>
      </c>
      <c r="M362" s="162"/>
      <c r="N362" s="162"/>
      <c r="O362" s="214" t="s">
        <v>1108</v>
      </c>
      <c r="P362" s="162"/>
      <c r="Q362" s="162"/>
      <c r="R362" s="162"/>
      <c r="S362" s="162"/>
    </row>
    <row r="363" spans="1:19" x14ac:dyDescent="0.2">
      <c r="A363" s="168"/>
      <c r="B363" s="158"/>
      <c r="C363" s="158"/>
      <c r="D363" s="167" t="s">
        <v>1108</v>
      </c>
      <c r="G363" s="162"/>
      <c r="H363" s="178"/>
      <c r="I363" s="167"/>
      <c r="J363" s="184">
        <v>4</v>
      </c>
      <c r="K363" s="162"/>
      <c r="L363" s="177" t="s">
        <v>1395</v>
      </c>
      <c r="M363" s="162"/>
      <c r="N363" s="162"/>
      <c r="O363" s="214" t="s">
        <v>1108</v>
      </c>
      <c r="P363" s="162"/>
      <c r="Q363" s="162"/>
      <c r="R363" s="162"/>
      <c r="S363" s="162"/>
    </row>
    <row r="364" spans="1:19" x14ac:dyDescent="0.2">
      <c r="A364" s="168"/>
      <c r="B364" s="158"/>
      <c r="C364" s="158"/>
      <c r="D364" s="167" t="s">
        <v>1108</v>
      </c>
      <c r="G364" s="162"/>
      <c r="H364" s="178"/>
      <c r="I364" s="167"/>
      <c r="J364" s="184">
        <v>5</v>
      </c>
      <c r="K364" s="162"/>
      <c r="L364" s="177" t="s">
        <v>1259</v>
      </c>
      <c r="M364" s="162"/>
      <c r="N364" s="162"/>
      <c r="O364" s="214" t="s">
        <v>1108</v>
      </c>
      <c r="P364" s="162"/>
      <c r="Q364" s="162"/>
      <c r="R364" s="162"/>
      <c r="S364" s="162"/>
    </row>
    <row r="365" spans="1:19" x14ac:dyDescent="0.2">
      <c r="A365" s="168"/>
      <c r="B365" s="158"/>
      <c r="C365" s="158"/>
      <c r="D365" s="167" t="s">
        <v>1108</v>
      </c>
      <c r="G365" s="162"/>
      <c r="H365" s="178"/>
      <c r="I365" s="167"/>
      <c r="J365" s="184">
        <v>6</v>
      </c>
      <c r="K365" s="162"/>
      <c r="L365" s="177" t="s">
        <v>1396</v>
      </c>
      <c r="M365" s="162"/>
      <c r="N365" s="162"/>
      <c r="O365" s="214" t="s">
        <v>1108</v>
      </c>
      <c r="P365" s="162"/>
      <c r="Q365" s="162"/>
      <c r="R365" s="162"/>
      <c r="S365" s="162"/>
    </row>
    <row r="366" spans="1:19" x14ac:dyDescent="0.2">
      <c r="A366" s="168"/>
      <c r="B366" s="158"/>
      <c r="C366" s="158"/>
      <c r="D366" s="167" t="s">
        <v>1108</v>
      </c>
      <c r="G366" s="162"/>
      <c r="H366" s="178"/>
      <c r="I366" s="167"/>
      <c r="J366" s="184">
        <v>7</v>
      </c>
      <c r="K366" s="162"/>
      <c r="L366" s="177" t="s">
        <v>1397</v>
      </c>
      <c r="M366" s="162"/>
      <c r="N366" s="162"/>
      <c r="O366" s="214" t="s">
        <v>1108</v>
      </c>
      <c r="P366" s="162"/>
      <c r="Q366" s="162"/>
      <c r="R366" s="162"/>
      <c r="S366" s="162"/>
    </row>
    <row r="367" spans="1:19" x14ac:dyDescent="0.2">
      <c r="A367" s="168"/>
      <c r="B367" s="158"/>
      <c r="C367" s="158"/>
      <c r="D367" s="167" t="s">
        <v>1108</v>
      </c>
      <c r="G367" s="162"/>
      <c r="H367" s="178"/>
      <c r="I367" s="192"/>
      <c r="J367" s="187">
        <v>8</v>
      </c>
      <c r="K367" s="188"/>
      <c r="L367" s="189" t="s">
        <v>1389</v>
      </c>
      <c r="M367" s="188"/>
      <c r="N367" s="188"/>
      <c r="O367" s="232" t="s">
        <v>1108</v>
      </c>
      <c r="P367" s="162"/>
      <c r="Q367" s="162"/>
      <c r="R367" s="162"/>
      <c r="S367" s="162"/>
    </row>
    <row r="368" spans="1:19" x14ac:dyDescent="0.2">
      <c r="A368" s="168"/>
      <c r="B368" s="158"/>
      <c r="C368" s="158"/>
      <c r="D368" s="167"/>
      <c r="G368" s="162"/>
      <c r="H368" s="178"/>
      <c r="I368" s="187" t="s">
        <v>1105</v>
      </c>
      <c r="J368" s="167"/>
      <c r="K368" s="177" t="s">
        <v>1392</v>
      </c>
      <c r="L368" s="162"/>
      <c r="M368" s="162"/>
      <c r="N368" s="162"/>
      <c r="O368" s="214"/>
      <c r="P368" s="162"/>
      <c r="Q368" s="162"/>
      <c r="R368" s="162"/>
      <c r="S368" s="162"/>
    </row>
    <row r="369" spans="1:19" x14ac:dyDescent="0.2">
      <c r="A369" s="168"/>
      <c r="B369" s="158"/>
      <c r="C369" s="158"/>
      <c r="D369" s="167" t="s">
        <v>1108</v>
      </c>
      <c r="G369" s="162"/>
      <c r="H369" s="178"/>
      <c r="I369" s="167"/>
      <c r="J369" s="184">
        <v>9</v>
      </c>
      <c r="K369" s="162"/>
      <c r="L369" s="177" t="s">
        <v>1381</v>
      </c>
      <c r="M369" s="162"/>
      <c r="N369" s="162"/>
      <c r="O369" s="214" t="s">
        <v>1108</v>
      </c>
      <c r="P369" s="162"/>
      <c r="Q369" s="162"/>
      <c r="R369" s="162"/>
      <c r="S369" s="162"/>
    </row>
    <row r="370" spans="1:19" x14ac:dyDescent="0.2">
      <c r="A370" s="168"/>
      <c r="B370" s="158"/>
      <c r="C370" s="158"/>
      <c r="D370" s="167" t="s">
        <v>1108</v>
      </c>
      <c r="G370" s="162"/>
      <c r="H370" s="178"/>
      <c r="I370" s="167"/>
      <c r="J370" s="184">
        <v>10</v>
      </c>
      <c r="K370" s="162"/>
      <c r="L370" s="177" t="s">
        <v>1398</v>
      </c>
      <c r="M370" s="162"/>
      <c r="N370" s="162"/>
      <c r="O370" s="214" t="s">
        <v>1108</v>
      </c>
      <c r="P370" s="162"/>
      <c r="Q370" s="162"/>
      <c r="R370" s="162"/>
      <c r="S370" s="162"/>
    </row>
    <row r="371" spans="1:19" x14ac:dyDescent="0.2">
      <c r="A371" s="168"/>
      <c r="B371" s="158"/>
      <c r="C371" s="158"/>
      <c r="D371" s="167" t="s">
        <v>1108</v>
      </c>
      <c r="G371" s="162"/>
      <c r="H371" s="178"/>
      <c r="I371" s="167"/>
      <c r="J371" s="184">
        <v>11</v>
      </c>
      <c r="K371" s="162"/>
      <c r="L371" s="177" t="s">
        <v>1390</v>
      </c>
      <c r="M371" s="162"/>
      <c r="N371" s="162"/>
      <c r="O371" s="214" t="s">
        <v>1108</v>
      </c>
      <c r="P371" s="162"/>
      <c r="Q371" s="162"/>
      <c r="R371" s="162"/>
      <c r="S371" s="162"/>
    </row>
    <row r="372" spans="1:19" x14ac:dyDescent="0.2">
      <c r="A372" s="168"/>
      <c r="B372" s="158"/>
      <c r="C372" s="158"/>
      <c r="D372" s="167" t="s">
        <v>1108</v>
      </c>
      <c r="G372" s="162"/>
      <c r="H372" s="178"/>
      <c r="I372" s="167"/>
      <c r="J372" s="184">
        <v>12</v>
      </c>
      <c r="K372" s="162"/>
      <c r="L372" s="177" t="s">
        <v>1399</v>
      </c>
      <c r="M372" s="162"/>
      <c r="N372" s="162"/>
      <c r="O372" s="214" t="s">
        <v>1108</v>
      </c>
      <c r="P372" s="162"/>
      <c r="Q372" s="162"/>
      <c r="R372" s="162"/>
      <c r="S372" s="162"/>
    </row>
    <row r="373" spans="1:19" x14ac:dyDescent="0.2">
      <c r="A373" s="168"/>
      <c r="B373" s="158"/>
      <c r="C373" s="158"/>
      <c r="D373" s="167" t="s">
        <v>1108</v>
      </c>
      <c r="G373" s="162"/>
      <c r="H373" s="178"/>
      <c r="I373" s="167"/>
      <c r="J373" s="184">
        <v>13</v>
      </c>
      <c r="K373" s="162"/>
      <c r="L373" s="177" t="s">
        <v>1391</v>
      </c>
      <c r="M373" s="162"/>
      <c r="N373" s="162"/>
      <c r="O373" s="214" t="s">
        <v>1108</v>
      </c>
      <c r="P373" s="162"/>
      <c r="Q373" s="162"/>
      <c r="R373" s="162"/>
      <c r="S373" s="162"/>
    </row>
    <row r="374" spans="1:19" x14ac:dyDescent="0.2">
      <c r="A374" s="168"/>
      <c r="B374" s="158"/>
      <c r="C374" s="158"/>
      <c r="D374" s="167" t="s">
        <v>1108</v>
      </c>
      <c r="G374" s="162"/>
      <c r="H374" s="178"/>
      <c r="I374" s="192"/>
      <c r="J374" s="187">
        <v>14</v>
      </c>
      <c r="K374" s="188"/>
      <c r="L374" s="189" t="s">
        <v>1400</v>
      </c>
      <c r="M374" s="188"/>
      <c r="N374" s="188"/>
      <c r="O374" s="232" t="s">
        <v>1108</v>
      </c>
      <c r="P374" s="162"/>
      <c r="Q374" s="162"/>
      <c r="R374" s="162"/>
      <c r="S374" s="162"/>
    </row>
    <row r="375" spans="1:19" x14ac:dyDescent="0.2">
      <c r="A375" s="168"/>
      <c r="B375" s="158"/>
      <c r="C375" s="158"/>
      <c r="D375" s="167"/>
      <c r="G375" s="162"/>
      <c r="H375" s="178"/>
      <c r="I375" s="187" t="s">
        <v>1109</v>
      </c>
      <c r="J375" s="167"/>
      <c r="K375" s="177" t="s">
        <v>1401</v>
      </c>
      <c r="L375" s="162"/>
      <c r="M375" s="162"/>
      <c r="N375" s="162"/>
      <c r="O375" s="214"/>
      <c r="P375" s="162"/>
      <c r="Q375" s="162"/>
      <c r="R375" s="162"/>
      <c r="S375" s="162"/>
    </row>
    <row r="376" spans="1:19" x14ac:dyDescent="0.2">
      <c r="A376" s="168"/>
      <c r="B376" s="158"/>
      <c r="C376" s="158"/>
      <c r="D376" s="167" t="s">
        <v>1108</v>
      </c>
      <c r="G376" s="162"/>
      <c r="H376" s="178"/>
      <c r="I376" s="167"/>
      <c r="J376" s="184">
        <v>1</v>
      </c>
      <c r="K376" s="162"/>
      <c r="L376" s="177" t="s">
        <v>1206</v>
      </c>
      <c r="M376" s="162"/>
      <c r="N376" s="162"/>
      <c r="O376" s="214" t="s">
        <v>1108</v>
      </c>
      <c r="P376" s="162"/>
      <c r="Q376" s="162"/>
      <c r="R376" s="162"/>
      <c r="S376" s="162"/>
    </row>
    <row r="377" spans="1:19" x14ac:dyDescent="0.2">
      <c r="A377" s="168"/>
      <c r="B377" s="158"/>
      <c r="C377" s="158"/>
      <c r="D377" s="167" t="s">
        <v>1108</v>
      </c>
      <c r="G377" s="162"/>
      <c r="H377" s="178"/>
      <c r="I377" s="167"/>
      <c r="J377" s="184">
        <v>2</v>
      </c>
      <c r="K377" s="162"/>
      <c r="L377" s="177" t="s">
        <v>1393</v>
      </c>
      <c r="M377" s="162"/>
      <c r="N377" s="162"/>
      <c r="O377" s="214" t="s">
        <v>1108</v>
      </c>
      <c r="P377" s="162"/>
      <c r="Q377" s="162"/>
      <c r="R377" s="162"/>
      <c r="S377" s="162"/>
    </row>
    <row r="378" spans="1:19" x14ac:dyDescent="0.2">
      <c r="A378" s="168"/>
      <c r="B378" s="158"/>
      <c r="C378" s="158"/>
      <c r="D378" s="167" t="s">
        <v>1108</v>
      </c>
      <c r="G378" s="162"/>
      <c r="H378" s="178"/>
      <c r="I378" s="167"/>
      <c r="J378" s="184">
        <v>3</v>
      </c>
      <c r="K378" s="162"/>
      <c r="L378" s="177" t="s">
        <v>1394</v>
      </c>
      <c r="M378" s="162"/>
      <c r="N378" s="162"/>
      <c r="O378" s="214" t="s">
        <v>1108</v>
      </c>
      <c r="P378" s="162"/>
      <c r="Q378" s="162"/>
      <c r="R378" s="162"/>
      <c r="S378" s="162"/>
    </row>
    <row r="379" spans="1:19" x14ac:dyDescent="0.2">
      <c r="A379" s="168"/>
      <c r="B379" s="158"/>
      <c r="C379" s="158"/>
      <c r="D379" s="167" t="s">
        <v>1108</v>
      </c>
      <c r="G379" s="162"/>
      <c r="H379" s="178"/>
      <c r="I379" s="167"/>
      <c r="J379" s="184">
        <v>4</v>
      </c>
      <c r="K379" s="162"/>
      <c r="L379" s="177" t="s">
        <v>1395</v>
      </c>
      <c r="M379" s="162"/>
      <c r="N379" s="162"/>
      <c r="O379" s="214" t="s">
        <v>1108</v>
      </c>
      <c r="P379" s="162"/>
      <c r="Q379" s="162"/>
      <c r="R379" s="162"/>
      <c r="S379" s="162"/>
    </row>
    <row r="380" spans="1:19" x14ac:dyDescent="0.2">
      <c r="A380" s="168"/>
      <c r="B380" s="158"/>
      <c r="C380" s="158"/>
      <c r="D380" s="167" t="s">
        <v>1108</v>
      </c>
      <c r="G380" s="162"/>
      <c r="H380" s="178"/>
      <c r="I380" s="167"/>
      <c r="J380" s="184">
        <v>5</v>
      </c>
      <c r="K380" s="162"/>
      <c r="L380" s="177" t="s">
        <v>1259</v>
      </c>
      <c r="M380" s="162"/>
      <c r="N380" s="162"/>
      <c r="O380" s="214" t="s">
        <v>1108</v>
      </c>
      <c r="P380" s="162"/>
      <c r="Q380" s="162"/>
      <c r="R380" s="162"/>
      <c r="S380" s="162"/>
    </row>
    <row r="381" spans="1:19" x14ac:dyDescent="0.2">
      <c r="A381" s="168"/>
      <c r="B381" s="158"/>
      <c r="C381" s="158"/>
      <c r="D381" s="167" t="s">
        <v>1108</v>
      </c>
      <c r="G381" s="162"/>
      <c r="H381" s="178"/>
      <c r="I381" s="167"/>
      <c r="J381" s="184">
        <v>6</v>
      </c>
      <c r="K381" s="162"/>
      <c r="L381" s="177" t="s">
        <v>1396</v>
      </c>
      <c r="M381" s="162"/>
      <c r="N381" s="162"/>
      <c r="O381" s="214" t="s">
        <v>1108</v>
      </c>
      <c r="P381" s="162"/>
      <c r="Q381" s="162"/>
      <c r="R381" s="162"/>
      <c r="S381" s="162"/>
    </row>
    <row r="382" spans="1:19" x14ac:dyDescent="0.2">
      <c r="A382" s="168"/>
      <c r="B382" s="158"/>
      <c r="C382" s="158"/>
      <c r="D382" s="167" t="s">
        <v>1108</v>
      </c>
      <c r="G382" s="162"/>
      <c r="H382" s="178"/>
      <c r="I382" s="167"/>
      <c r="J382" s="184">
        <v>7</v>
      </c>
      <c r="K382" s="162"/>
      <c r="L382" s="177" t="s">
        <v>1402</v>
      </c>
      <c r="M382" s="162"/>
      <c r="N382" s="162"/>
      <c r="O382" s="214" t="s">
        <v>1108</v>
      </c>
      <c r="P382" s="162"/>
      <c r="Q382" s="162"/>
      <c r="R382" s="162"/>
      <c r="S382" s="162"/>
    </row>
    <row r="383" spans="1:19" x14ac:dyDescent="0.2">
      <c r="A383" s="168"/>
      <c r="B383" s="158"/>
      <c r="C383" s="158"/>
      <c r="D383" s="167" t="s">
        <v>1108</v>
      </c>
      <c r="G383" s="162"/>
      <c r="H383" s="178"/>
      <c r="I383" s="167"/>
      <c r="J383" s="184">
        <v>8</v>
      </c>
      <c r="K383" s="162"/>
      <c r="L383" s="177" t="s">
        <v>1389</v>
      </c>
      <c r="M383" s="162"/>
      <c r="N383" s="162"/>
      <c r="O383" s="214" t="s">
        <v>1108</v>
      </c>
      <c r="P383" s="162"/>
      <c r="Q383" s="162"/>
      <c r="R383" s="162"/>
      <c r="S383" s="162"/>
    </row>
    <row r="384" spans="1:19" ht="15.75" thickBot="1" x14ac:dyDescent="0.25">
      <c r="A384" s="168"/>
      <c r="B384" s="158"/>
      <c r="C384" s="158"/>
      <c r="D384" s="167" t="s">
        <v>1108</v>
      </c>
      <c r="G384" s="162"/>
      <c r="H384" s="224"/>
      <c r="I384" s="225"/>
      <c r="J384" s="226">
        <v>9</v>
      </c>
      <c r="K384" s="227"/>
      <c r="L384" s="228" t="s">
        <v>1381</v>
      </c>
      <c r="M384" s="227"/>
      <c r="N384" s="227"/>
      <c r="O384" s="260" t="s">
        <v>1108</v>
      </c>
      <c r="P384" s="162"/>
      <c r="Q384" s="162"/>
      <c r="R384" s="162"/>
      <c r="S384" s="162"/>
    </row>
    <row r="385" spans="1:19" x14ac:dyDescent="0.2">
      <c r="A385" s="168"/>
      <c r="B385" s="158"/>
      <c r="C385" s="158"/>
      <c r="D385" s="167"/>
      <c r="G385" s="162"/>
      <c r="H385" s="230"/>
      <c r="I385" s="167"/>
      <c r="J385" s="167"/>
      <c r="K385" s="162"/>
      <c r="L385" s="177"/>
      <c r="M385" s="162"/>
      <c r="N385" s="162"/>
      <c r="O385" s="165"/>
      <c r="P385" s="162"/>
      <c r="Q385" s="162"/>
      <c r="R385" s="162"/>
      <c r="S385" s="162"/>
    </row>
    <row r="386" spans="1:19" x14ac:dyDescent="0.2">
      <c r="A386" s="168"/>
      <c r="B386" s="158"/>
      <c r="C386" s="158"/>
      <c r="D386" s="167"/>
      <c r="G386" s="162"/>
      <c r="H386" s="230"/>
      <c r="I386" s="167"/>
      <c r="J386" s="167"/>
      <c r="K386" s="162"/>
      <c r="L386" s="177"/>
      <c r="M386" s="162"/>
      <c r="N386" s="162"/>
      <c r="O386" s="165"/>
      <c r="P386" s="162"/>
      <c r="Q386" s="162"/>
      <c r="R386" s="162"/>
      <c r="S386" s="162"/>
    </row>
    <row r="387" spans="1:19" x14ac:dyDescent="0.2">
      <c r="A387" s="168">
        <v>43</v>
      </c>
      <c r="B387" s="158" t="s">
        <v>1373</v>
      </c>
      <c r="C387" s="158" t="s">
        <v>1374</v>
      </c>
      <c r="D387" s="167"/>
      <c r="G387" s="162"/>
      <c r="H387" s="200">
        <v>43</v>
      </c>
      <c r="I387" s="202"/>
      <c r="J387" s="212"/>
      <c r="K387" s="257" t="s">
        <v>1374</v>
      </c>
      <c r="L387" s="212"/>
      <c r="M387" s="212"/>
      <c r="N387" s="212"/>
      <c r="O387" s="222"/>
      <c r="P387" s="162"/>
      <c r="Q387" s="176">
        <f>H387</f>
        <v>43</v>
      </c>
      <c r="R387" s="167" t="str">
        <f>CONCATENATE("II-",TEXT(Q387,"0000"))</f>
        <v>II-0043</v>
      </c>
      <c r="S387" s="177" t="str">
        <f>K387</f>
        <v>HORMIGON CEMENTO PORTLAND EXCLUIDA LA ARAMDURA</v>
      </c>
    </row>
    <row r="388" spans="1:19" x14ac:dyDescent="0.2">
      <c r="A388" s="168"/>
      <c r="B388" s="158"/>
      <c r="C388" s="158"/>
      <c r="D388" s="167"/>
      <c r="G388" s="162"/>
      <c r="H388" s="178"/>
      <c r="I388" s="187" t="s">
        <v>1109</v>
      </c>
      <c r="J388" s="167"/>
      <c r="K388" s="177" t="s">
        <v>1401</v>
      </c>
      <c r="L388" s="162"/>
      <c r="M388" s="162"/>
      <c r="N388" s="162"/>
      <c r="O388" s="214"/>
      <c r="P388" s="162"/>
      <c r="Q388" s="162"/>
      <c r="R388" s="162"/>
      <c r="S388" s="162"/>
    </row>
    <row r="389" spans="1:19" x14ac:dyDescent="0.2">
      <c r="A389" s="168"/>
      <c r="B389" s="158"/>
      <c r="C389" s="158"/>
      <c r="D389" s="167" t="s">
        <v>1108</v>
      </c>
      <c r="G389" s="162"/>
      <c r="H389" s="178"/>
      <c r="I389" s="167"/>
      <c r="J389" s="184">
        <v>10</v>
      </c>
      <c r="K389" s="162"/>
      <c r="L389" s="177" t="s">
        <v>1398</v>
      </c>
      <c r="M389" s="162"/>
      <c r="N389" s="162"/>
      <c r="O389" s="214" t="s">
        <v>1108</v>
      </c>
      <c r="P389" s="162"/>
      <c r="Q389" s="162"/>
      <c r="R389" s="162"/>
      <c r="S389" s="162"/>
    </row>
    <row r="390" spans="1:19" x14ac:dyDescent="0.2">
      <c r="A390" s="168"/>
      <c r="B390" s="158"/>
      <c r="C390" s="158"/>
      <c r="D390" s="167" t="s">
        <v>1108</v>
      </c>
      <c r="G390" s="162"/>
      <c r="H390" s="178"/>
      <c r="I390" s="167"/>
      <c r="J390" s="184">
        <v>11</v>
      </c>
      <c r="K390" s="162"/>
      <c r="L390" s="177" t="s">
        <v>1390</v>
      </c>
      <c r="M390" s="162"/>
      <c r="N390" s="162"/>
      <c r="O390" s="214" t="s">
        <v>1108</v>
      </c>
      <c r="P390" s="162"/>
      <c r="Q390" s="162"/>
      <c r="R390" s="162"/>
      <c r="S390" s="162"/>
    </row>
    <row r="391" spans="1:19" x14ac:dyDescent="0.2">
      <c r="A391" s="168"/>
      <c r="B391" s="158"/>
      <c r="C391" s="158"/>
      <c r="D391" s="167" t="s">
        <v>1108</v>
      </c>
      <c r="G391" s="162"/>
      <c r="H391" s="178"/>
      <c r="I391" s="167"/>
      <c r="J391" s="184">
        <v>12</v>
      </c>
      <c r="K391" s="162"/>
      <c r="L391" s="177" t="s">
        <v>1399</v>
      </c>
      <c r="M391" s="162"/>
      <c r="N391" s="162"/>
      <c r="O391" s="214" t="s">
        <v>1108</v>
      </c>
      <c r="P391" s="162"/>
      <c r="Q391" s="162"/>
      <c r="R391" s="162"/>
      <c r="S391" s="162"/>
    </row>
    <row r="392" spans="1:19" x14ac:dyDescent="0.2">
      <c r="A392" s="168"/>
      <c r="B392" s="158"/>
      <c r="C392" s="158"/>
      <c r="D392" s="167" t="s">
        <v>1108</v>
      </c>
      <c r="G392" s="162"/>
      <c r="H392" s="178"/>
      <c r="I392" s="167"/>
      <c r="J392" s="184">
        <v>13</v>
      </c>
      <c r="K392" s="162"/>
      <c r="L392" s="177" t="s">
        <v>1391</v>
      </c>
      <c r="M392" s="162"/>
      <c r="N392" s="162"/>
      <c r="O392" s="214" t="s">
        <v>1108</v>
      </c>
      <c r="P392" s="162"/>
      <c r="Q392" s="162"/>
      <c r="R392" s="162"/>
      <c r="S392" s="162"/>
    </row>
    <row r="393" spans="1:19" x14ac:dyDescent="0.2">
      <c r="A393" s="168"/>
      <c r="B393" s="158"/>
      <c r="C393" s="158"/>
      <c r="D393" s="167" t="s">
        <v>1108</v>
      </c>
      <c r="G393" s="162"/>
      <c r="H393" s="178"/>
      <c r="I393" s="192"/>
      <c r="J393" s="187">
        <v>14</v>
      </c>
      <c r="K393" s="188"/>
      <c r="L393" s="189" t="s">
        <v>1400</v>
      </c>
      <c r="M393" s="188"/>
      <c r="N393" s="188"/>
      <c r="O393" s="232" t="s">
        <v>1108</v>
      </c>
      <c r="P393" s="162"/>
      <c r="Q393" s="162"/>
      <c r="R393" s="162"/>
      <c r="S393" s="162"/>
    </row>
    <row r="394" spans="1:19" x14ac:dyDescent="0.2">
      <c r="A394" s="168"/>
      <c r="B394" s="158"/>
      <c r="C394" s="158"/>
      <c r="D394" s="167"/>
      <c r="G394" s="162"/>
      <c r="H394" s="178"/>
      <c r="I394" s="187" t="s">
        <v>1112</v>
      </c>
      <c r="J394" s="167"/>
      <c r="K394" s="177" t="s">
        <v>1403</v>
      </c>
      <c r="L394" s="162"/>
      <c r="M394" s="162"/>
      <c r="N394" s="162"/>
      <c r="O394" s="214"/>
      <c r="P394" s="162"/>
      <c r="Q394" s="162"/>
      <c r="R394" s="162"/>
      <c r="S394" s="162"/>
    </row>
    <row r="395" spans="1:19" x14ac:dyDescent="0.2">
      <c r="A395" s="168"/>
      <c r="B395" s="158"/>
      <c r="C395" s="158"/>
      <c r="D395" s="167" t="s">
        <v>1108</v>
      </c>
      <c r="G395" s="162"/>
      <c r="H395" s="178"/>
      <c r="I395" s="167"/>
      <c r="J395" s="184">
        <v>1</v>
      </c>
      <c r="K395" s="162"/>
      <c r="L395" s="177" t="s">
        <v>1394</v>
      </c>
      <c r="M395" s="162"/>
      <c r="N395" s="162"/>
      <c r="O395" s="214" t="s">
        <v>1108</v>
      </c>
      <c r="P395" s="162"/>
      <c r="Q395" s="162"/>
      <c r="R395" s="162"/>
      <c r="S395" s="162"/>
    </row>
    <row r="396" spans="1:19" x14ac:dyDescent="0.2">
      <c r="A396" s="168"/>
      <c r="B396" s="158"/>
      <c r="C396" s="158"/>
      <c r="D396" s="167" t="s">
        <v>1108</v>
      </c>
      <c r="G396" s="162"/>
      <c r="H396" s="178"/>
      <c r="I396" s="167"/>
      <c r="J396" s="184">
        <v>2</v>
      </c>
      <c r="K396" s="162"/>
      <c r="L396" s="177" t="s">
        <v>1395</v>
      </c>
      <c r="M396" s="162"/>
      <c r="N396" s="162"/>
      <c r="O396" s="214" t="s">
        <v>1108</v>
      </c>
      <c r="P396" s="162"/>
      <c r="Q396" s="162"/>
      <c r="R396" s="162"/>
      <c r="S396" s="162"/>
    </row>
    <row r="397" spans="1:19" x14ac:dyDescent="0.2">
      <c r="A397" s="168"/>
      <c r="B397" s="158"/>
      <c r="C397" s="158"/>
      <c r="D397" s="167" t="s">
        <v>1108</v>
      </c>
      <c r="G397" s="162"/>
      <c r="H397" s="178"/>
      <c r="I397" s="167"/>
      <c r="J397" s="184">
        <v>3</v>
      </c>
      <c r="K397" s="162"/>
      <c r="L397" s="177" t="s">
        <v>1259</v>
      </c>
      <c r="M397" s="162"/>
      <c r="N397" s="162"/>
      <c r="O397" s="214" t="s">
        <v>1108</v>
      </c>
      <c r="P397" s="162"/>
      <c r="Q397" s="162"/>
      <c r="R397" s="162"/>
      <c r="S397" s="162"/>
    </row>
    <row r="398" spans="1:19" x14ac:dyDescent="0.2">
      <c r="A398" s="168"/>
      <c r="B398" s="158"/>
      <c r="C398" s="158"/>
      <c r="D398" s="167" t="s">
        <v>1108</v>
      </c>
      <c r="G398" s="162"/>
      <c r="H398" s="178"/>
      <c r="I398" s="167"/>
      <c r="J398" s="184">
        <v>4</v>
      </c>
      <c r="K398" s="162"/>
      <c r="L398" s="177" t="s">
        <v>1396</v>
      </c>
      <c r="M398" s="162"/>
      <c r="N398" s="162"/>
      <c r="O398" s="214" t="s">
        <v>1108</v>
      </c>
      <c r="P398" s="162"/>
      <c r="Q398" s="162"/>
      <c r="R398" s="162"/>
      <c r="S398" s="162"/>
    </row>
    <row r="399" spans="1:19" x14ac:dyDescent="0.2">
      <c r="A399" s="168"/>
      <c r="B399" s="158"/>
      <c r="C399" s="158"/>
      <c r="D399" s="167" t="s">
        <v>1108</v>
      </c>
      <c r="G399" s="162"/>
      <c r="H399" s="178"/>
      <c r="I399" s="167"/>
      <c r="J399" s="184">
        <v>5</v>
      </c>
      <c r="K399" s="162"/>
      <c r="L399" s="177" t="s">
        <v>1402</v>
      </c>
      <c r="M399" s="162"/>
      <c r="N399" s="162"/>
      <c r="O399" s="214" t="s">
        <v>1108</v>
      </c>
      <c r="P399" s="162"/>
      <c r="Q399" s="162"/>
      <c r="R399" s="162"/>
      <c r="S399" s="162"/>
    </row>
    <row r="400" spans="1:19" x14ac:dyDescent="0.2">
      <c r="A400" s="168"/>
      <c r="B400" s="158"/>
      <c r="C400" s="158"/>
      <c r="D400" s="167" t="s">
        <v>1108</v>
      </c>
      <c r="G400" s="162"/>
      <c r="H400" s="178"/>
      <c r="I400" s="167"/>
      <c r="J400" s="184">
        <v>6</v>
      </c>
      <c r="K400" s="162"/>
      <c r="L400" s="177" t="s">
        <v>1381</v>
      </c>
      <c r="M400" s="162"/>
      <c r="N400" s="162"/>
      <c r="O400" s="214" t="s">
        <v>1108</v>
      </c>
      <c r="P400" s="162"/>
      <c r="Q400" s="162"/>
      <c r="R400" s="162"/>
      <c r="S400" s="162"/>
    </row>
    <row r="401" spans="1:19" x14ac:dyDescent="0.2">
      <c r="A401" s="168"/>
      <c r="B401" s="158"/>
      <c r="C401" s="158"/>
      <c r="D401" s="167" t="s">
        <v>1108</v>
      </c>
      <c r="G401" s="162"/>
      <c r="H401" s="178"/>
      <c r="I401" s="167"/>
      <c r="J401" s="184">
        <v>7</v>
      </c>
      <c r="K401" s="162"/>
      <c r="L401" s="177" t="s">
        <v>1398</v>
      </c>
      <c r="M401" s="162"/>
      <c r="N401" s="162"/>
      <c r="O401" s="214" t="s">
        <v>1108</v>
      </c>
      <c r="P401" s="162"/>
      <c r="Q401" s="162"/>
      <c r="R401" s="162"/>
      <c r="S401" s="162"/>
    </row>
    <row r="402" spans="1:19" x14ac:dyDescent="0.2">
      <c r="A402" s="168"/>
      <c r="B402" s="158"/>
      <c r="C402" s="158"/>
      <c r="D402" s="167" t="s">
        <v>1108</v>
      </c>
      <c r="G402" s="162"/>
      <c r="H402" s="178"/>
      <c r="I402" s="167"/>
      <c r="J402" s="184">
        <v>8</v>
      </c>
      <c r="K402" s="162"/>
      <c r="L402" s="177" t="s">
        <v>1390</v>
      </c>
      <c r="M402" s="162"/>
      <c r="N402" s="162"/>
      <c r="O402" s="214" t="s">
        <v>1108</v>
      </c>
      <c r="P402" s="162"/>
      <c r="Q402" s="162"/>
      <c r="R402" s="162"/>
      <c r="S402" s="162"/>
    </row>
    <row r="403" spans="1:19" x14ac:dyDescent="0.2">
      <c r="A403" s="168"/>
      <c r="B403" s="158"/>
      <c r="C403" s="158"/>
      <c r="D403" s="167" t="s">
        <v>1108</v>
      </c>
      <c r="G403" s="162"/>
      <c r="H403" s="178"/>
      <c r="I403" s="167"/>
      <c r="J403" s="184">
        <v>9</v>
      </c>
      <c r="K403" s="162"/>
      <c r="L403" s="177" t="s">
        <v>1399</v>
      </c>
      <c r="M403" s="162"/>
      <c r="N403" s="162"/>
      <c r="O403" s="214" t="s">
        <v>1108</v>
      </c>
      <c r="P403" s="162"/>
      <c r="Q403" s="162"/>
      <c r="R403" s="162"/>
      <c r="S403" s="162"/>
    </row>
    <row r="404" spans="1:19" ht="15.75" thickBot="1" x14ac:dyDescent="0.25">
      <c r="A404" s="168"/>
      <c r="B404" s="158"/>
      <c r="C404" s="158"/>
      <c r="D404" s="167" t="s">
        <v>1108</v>
      </c>
      <c r="G404" s="162"/>
      <c r="H404" s="193"/>
      <c r="I404" s="194"/>
      <c r="J404" s="195">
        <v>10</v>
      </c>
      <c r="K404" s="196"/>
      <c r="L404" s="197" t="s">
        <v>1400</v>
      </c>
      <c r="M404" s="196"/>
      <c r="N404" s="196"/>
      <c r="O404" s="258" t="s">
        <v>1108</v>
      </c>
      <c r="P404" s="162"/>
      <c r="Q404" s="162"/>
      <c r="R404" s="162"/>
      <c r="S404" s="162"/>
    </row>
    <row r="405" spans="1:19" ht="15.75" thickTop="1" x14ac:dyDescent="0.2">
      <c r="A405" s="168">
        <v>44</v>
      </c>
      <c r="B405" s="158" t="s">
        <v>1404</v>
      </c>
      <c r="C405" s="158" t="s">
        <v>1405</v>
      </c>
      <c r="D405" s="167"/>
      <c r="G405" s="162"/>
      <c r="H405" s="200">
        <v>44</v>
      </c>
      <c r="I405" s="202"/>
      <c r="J405" s="212"/>
      <c r="K405" s="257" t="s">
        <v>1405</v>
      </c>
      <c r="L405" s="212"/>
      <c r="M405" s="212"/>
      <c r="N405" s="212"/>
      <c r="O405" s="222"/>
      <c r="P405" s="162"/>
      <c r="Q405" s="176">
        <f>H405</f>
        <v>44</v>
      </c>
      <c r="R405" s="167" t="str">
        <f>CONCATENATE("II-",TEXT(Q405,"0000"))</f>
        <v>II-0044</v>
      </c>
      <c r="S405" s="177" t="str">
        <f>K405</f>
        <v>HORMIGON  ARS EXCLUIDA LA ARAMDURA</v>
      </c>
    </row>
    <row r="406" spans="1:19" x14ac:dyDescent="0.2">
      <c r="A406" s="168"/>
      <c r="B406" s="158"/>
      <c r="C406" s="158"/>
      <c r="D406" s="167"/>
      <c r="G406" s="162"/>
      <c r="H406" s="178"/>
      <c r="I406" s="187" t="s">
        <v>997</v>
      </c>
      <c r="J406" s="167"/>
      <c r="K406" s="177" t="s">
        <v>1375</v>
      </c>
      <c r="L406" s="162"/>
      <c r="M406" s="162"/>
      <c r="N406" s="162"/>
      <c r="O406" s="214"/>
      <c r="P406" s="162"/>
      <c r="Q406" s="162"/>
      <c r="R406" s="162"/>
      <c r="S406" s="162"/>
    </row>
    <row r="407" spans="1:19" x14ac:dyDescent="0.2">
      <c r="A407" s="168"/>
      <c r="B407" s="158"/>
      <c r="C407" s="158"/>
      <c r="D407" s="167" t="s">
        <v>1108</v>
      </c>
      <c r="G407" s="162"/>
      <c r="H407" s="178"/>
      <c r="I407" s="167"/>
      <c r="J407" s="184">
        <v>1</v>
      </c>
      <c r="K407" s="162"/>
      <c r="L407" s="177" t="s">
        <v>1206</v>
      </c>
      <c r="M407" s="162"/>
      <c r="N407" s="162"/>
      <c r="O407" s="214" t="s">
        <v>1108</v>
      </c>
      <c r="P407" s="162"/>
      <c r="Q407" s="162"/>
      <c r="R407" s="162"/>
      <c r="S407" s="162"/>
    </row>
    <row r="408" spans="1:19" x14ac:dyDescent="0.2">
      <c r="A408" s="168"/>
      <c r="B408" s="158"/>
      <c r="C408" s="158"/>
      <c r="D408" s="167" t="s">
        <v>1108</v>
      </c>
      <c r="G408" s="162"/>
      <c r="H408" s="178"/>
      <c r="I408" s="167"/>
      <c r="J408" s="184">
        <v>2</v>
      </c>
      <c r="K408" s="162"/>
      <c r="L408" s="177" t="s">
        <v>1377</v>
      </c>
      <c r="M408" s="162"/>
      <c r="N408" s="162"/>
      <c r="O408" s="214" t="s">
        <v>1108</v>
      </c>
      <c r="P408" s="162"/>
      <c r="Q408" s="162"/>
      <c r="R408" s="162"/>
      <c r="S408" s="162"/>
    </row>
    <row r="409" spans="1:19" x14ac:dyDescent="0.2">
      <c r="A409" s="168"/>
      <c r="B409" s="158"/>
      <c r="C409" s="158"/>
      <c r="D409" s="167" t="s">
        <v>1108</v>
      </c>
      <c r="G409" s="162"/>
      <c r="H409" s="178"/>
      <c r="I409" s="167"/>
      <c r="J409" s="184">
        <v>3</v>
      </c>
      <c r="K409" s="162"/>
      <c r="L409" s="177" t="s">
        <v>1406</v>
      </c>
      <c r="M409" s="162"/>
      <c r="N409" s="162"/>
      <c r="O409" s="214" t="s">
        <v>1108</v>
      </c>
      <c r="P409" s="162"/>
      <c r="Q409" s="162"/>
      <c r="R409" s="162"/>
      <c r="S409" s="162"/>
    </row>
    <row r="410" spans="1:19" x14ac:dyDescent="0.2">
      <c r="A410" s="168"/>
      <c r="B410" s="158"/>
      <c r="C410" s="158"/>
      <c r="D410" s="167" t="s">
        <v>1108</v>
      </c>
      <c r="G410" s="162"/>
      <c r="H410" s="178"/>
      <c r="I410" s="167"/>
      <c r="J410" s="184">
        <v>4</v>
      </c>
      <c r="K410" s="162"/>
      <c r="L410" s="177" t="s">
        <v>1357</v>
      </c>
      <c r="M410" s="162"/>
      <c r="N410" s="162"/>
      <c r="O410" s="214" t="s">
        <v>1108</v>
      </c>
      <c r="P410" s="162"/>
      <c r="Q410" s="162"/>
      <c r="R410" s="162"/>
      <c r="S410" s="162"/>
    </row>
    <row r="411" spans="1:19" x14ac:dyDescent="0.2">
      <c r="A411" s="168"/>
      <c r="B411" s="158"/>
      <c r="C411" s="158"/>
      <c r="D411" s="167" t="s">
        <v>1108</v>
      </c>
      <c r="G411" s="162"/>
      <c r="H411" s="178"/>
      <c r="I411" s="192"/>
      <c r="J411" s="187">
        <v>5</v>
      </c>
      <c r="K411" s="188"/>
      <c r="L411" s="189" t="s">
        <v>1378</v>
      </c>
      <c r="M411" s="188"/>
      <c r="N411" s="188"/>
      <c r="O411" s="232" t="s">
        <v>1108</v>
      </c>
      <c r="P411" s="162"/>
      <c r="Q411" s="162"/>
      <c r="R411" s="162"/>
      <c r="S411" s="162"/>
    </row>
    <row r="412" spans="1:19" x14ac:dyDescent="0.2">
      <c r="A412" s="168"/>
      <c r="B412" s="158"/>
      <c r="C412" s="158"/>
      <c r="D412" s="167"/>
      <c r="G412" s="162"/>
      <c r="H412" s="178"/>
      <c r="I412" s="187" t="s">
        <v>1024</v>
      </c>
      <c r="J412" s="167"/>
      <c r="K412" s="177" t="s">
        <v>1379</v>
      </c>
      <c r="L412" s="162"/>
      <c r="M412" s="162"/>
      <c r="N412" s="162"/>
      <c r="O412" s="214"/>
      <c r="P412" s="162"/>
      <c r="Q412" s="162"/>
      <c r="R412" s="162"/>
      <c r="S412" s="162"/>
    </row>
    <row r="413" spans="1:19" x14ac:dyDescent="0.2">
      <c r="A413" s="168"/>
      <c r="B413" s="158"/>
      <c r="C413" s="158"/>
      <c r="D413" s="167" t="s">
        <v>1108</v>
      </c>
      <c r="G413" s="162"/>
      <c r="H413" s="178"/>
      <c r="I413" s="167"/>
      <c r="J413" s="184">
        <v>1</v>
      </c>
      <c r="K413" s="162"/>
      <c r="L413" s="177" t="s">
        <v>1206</v>
      </c>
      <c r="M413" s="162"/>
      <c r="N413" s="162"/>
      <c r="O413" s="214" t="s">
        <v>1108</v>
      </c>
      <c r="P413" s="162"/>
      <c r="Q413" s="162"/>
      <c r="R413" s="162"/>
      <c r="S413" s="162"/>
    </row>
    <row r="414" spans="1:19" x14ac:dyDescent="0.2">
      <c r="A414" s="168"/>
      <c r="B414" s="158"/>
      <c r="C414" s="158"/>
      <c r="D414" s="167" t="s">
        <v>1108</v>
      </c>
      <c r="G414" s="162"/>
      <c r="H414" s="178"/>
      <c r="I414" s="167"/>
      <c r="J414" s="184">
        <v>2</v>
      </c>
      <c r="K414" s="162"/>
      <c r="L414" s="177" t="s">
        <v>1380</v>
      </c>
      <c r="M414" s="162"/>
      <c r="N414" s="162"/>
      <c r="O414" s="214" t="s">
        <v>1108</v>
      </c>
      <c r="P414" s="162"/>
      <c r="Q414" s="162"/>
      <c r="R414" s="162"/>
      <c r="S414" s="162"/>
    </row>
    <row r="415" spans="1:19" x14ac:dyDescent="0.2">
      <c r="A415" s="168"/>
      <c r="B415" s="158"/>
      <c r="C415" s="158"/>
      <c r="D415" s="167" t="s">
        <v>1108</v>
      </c>
      <c r="G415" s="162"/>
      <c r="H415" s="178"/>
      <c r="I415" s="167"/>
      <c r="J415" s="184">
        <v>3</v>
      </c>
      <c r="K415" s="162"/>
      <c r="L415" s="177" t="s">
        <v>1381</v>
      </c>
      <c r="M415" s="162"/>
      <c r="N415" s="162"/>
      <c r="O415" s="214" t="s">
        <v>1108</v>
      </c>
      <c r="P415" s="162"/>
      <c r="Q415" s="162"/>
      <c r="R415" s="162"/>
      <c r="S415" s="162"/>
    </row>
    <row r="416" spans="1:19" x14ac:dyDescent="0.2">
      <c r="A416" s="168"/>
      <c r="B416" s="158"/>
      <c r="C416" s="158"/>
      <c r="D416" s="167" t="s">
        <v>1108</v>
      </c>
      <c r="G416" s="162"/>
      <c r="H416" s="178"/>
      <c r="I416" s="280"/>
      <c r="J416" s="184">
        <v>4</v>
      </c>
      <c r="K416" s="162"/>
      <c r="L416" s="177" t="s">
        <v>1382</v>
      </c>
      <c r="M416" s="162"/>
      <c r="N416" s="162"/>
      <c r="O416" s="214" t="s">
        <v>1108</v>
      </c>
      <c r="P416" s="162"/>
      <c r="Q416" s="162"/>
      <c r="R416" s="162"/>
      <c r="S416" s="162"/>
    </row>
    <row r="417" spans="1:19" x14ac:dyDescent="0.2">
      <c r="A417" s="168"/>
      <c r="B417" s="158"/>
      <c r="C417" s="158"/>
      <c r="D417" s="167" t="s">
        <v>1108</v>
      </c>
      <c r="G417" s="162"/>
      <c r="H417" s="178"/>
      <c r="I417" s="167"/>
      <c r="J417" s="184">
        <v>5</v>
      </c>
      <c r="K417" s="162"/>
      <c r="L417" s="177" t="s">
        <v>1383</v>
      </c>
      <c r="M417" s="162"/>
      <c r="N417" s="162"/>
      <c r="O417" s="214" t="s">
        <v>1108</v>
      </c>
      <c r="P417" s="162"/>
      <c r="Q417" s="162"/>
      <c r="R417" s="162"/>
      <c r="S417" s="162"/>
    </row>
    <row r="418" spans="1:19" x14ac:dyDescent="0.2">
      <c r="A418" s="168"/>
      <c r="B418" s="158"/>
      <c r="C418" s="158"/>
      <c r="D418" s="167" t="s">
        <v>1108</v>
      </c>
      <c r="G418" s="162"/>
      <c r="H418" s="178"/>
      <c r="I418" s="192"/>
      <c r="J418" s="187">
        <v>6</v>
      </c>
      <c r="K418" s="188"/>
      <c r="L418" s="189" t="s">
        <v>1378</v>
      </c>
      <c r="M418" s="188"/>
      <c r="N418" s="188"/>
      <c r="O418" s="232" t="s">
        <v>1108</v>
      </c>
      <c r="P418" s="162"/>
      <c r="Q418" s="162"/>
      <c r="R418" s="162"/>
      <c r="S418" s="162"/>
    </row>
    <row r="419" spans="1:19" x14ac:dyDescent="0.2">
      <c r="A419" s="168"/>
      <c r="B419" s="158"/>
      <c r="C419" s="158"/>
      <c r="D419" s="167"/>
      <c r="G419" s="162"/>
      <c r="H419" s="178"/>
      <c r="I419" s="187" t="s">
        <v>1034</v>
      </c>
      <c r="J419" s="167"/>
      <c r="K419" s="177" t="s">
        <v>1384</v>
      </c>
      <c r="L419" s="162"/>
      <c r="M419" s="162"/>
      <c r="N419" s="162"/>
      <c r="O419" s="214"/>
      <c r="P419" s="162"/>
      <c r="Q419" s="162"/>
      <c r="R419" s="162"/>
      <c r="S419" s="162"/>
    </row>
    <row r="420" spans="1:19" x14ac:dyDescent="0.2">
      <c r="A420" s="168"/>
      <c r="B420" s="158"/>
      <c r="C420" s="158"/>
      <c r="D420" s="167" t="s">
        <v>1108</v>
      </c>
      <c r="G420" s="162"/>
      <c r="H420" s="178"/>
      <c r="I420" s="167"/>
      <c r="J420" s="184">
        <v>1</v>
      </c>
      <c r="K420" s="162"/>
      <c r="L420" s="177" t="s">
        <v>1385</v>
      </c>
      <c r="M420" s="162"/>
      <c r="N420" s="162"/>
      <c r="O420" s="214" t="s">
        <v>1108</v>
      </c>
      <c r="P420" s="162"/>
      <c r="Q420" s="162"/>
      <c r="R420" s="162"/>
      <c r="S420" s="162"/>
    </row>
    <row r="421" spans="1:19" x14ac:dyDescent="0.2">
      <c r="A421" s="168"/>
      <c r="B421" s="158"/>
      <c r="C421" s="158"/>
      <c r="D421" s="167" t="s">
        <v>1108</v>
      </c>
      <c r="G421" s="162"/>
      <c r="H421" s="178"/>
      <c r="I421" s="167"/>
      <c r="J421" s="184">
        <v>2</v>
      </c>
      <c r="K421" s="162"/>
      <c r="L421" s="177" t="s">
        <v>1206</v>
      </c>
      <c r="M421" s="162"/>
      <c r="N421" s="162"/>
      <c r="O421" s="214" t="s">
        <v>1108</v>
      </c>
      <c r="P421" s="162"/>
      <c r="Q421" s="162"/>
      <c r="R421" s="162"/>
      <c r="S421" s="162"/>
    </row>
    <row r="422" spans="1:19" x14ac:dyDescent="0.2">
      <c r="A422" s="168"/>
      <c r="B422" s="158"/>
      <c r="C422" s="158"/>
      <c r="D422" s="167" t="s">
        <v>1108</v>
      </c>
      <c r="G422" s="162"/>
      <c r="H422" s="178"/>
      <c r="I422" s="167"/>
      <c r="J422" s="184">
        <v>3</v>
      </c>
      <c r="K422" s="162"/>
      <c r="L422" s="177" t="s">
        <v>1386</v>
      </c>
      <c r="M422" s="162"/>
      <c r="N422" s="162"/>
      <c r="O422" s="214" t="s">
        <v>1108</v>
      </c>
      <c r="P422" s="162"/>
      <c r="Q422" s="162"/>
      <c r="R422" s="162"/>
      <c r="S422" s="162"/>
    </row>
    <row r="423" spans="1:19" x14ac:dyDescent="0.2">
      <c r="A423" s="168"/>
      <c r="B423" s="158"/>
      <c r="C423" s="158"/>
      <c r="D423" s="167" t="s">
        <v>1108</v>
      </c>
      <c r="G423" s="162"/>
      <c r="H423" s="178"/>
      <c r="I423" s="167"/>
      <c r="J423" s="184">
        <v>4</v>
      </c>
      <c r="K423" s="162"/>
      <c r="L423" s="177" t="s">
        <v>1317</v>
      </c>
      <c r="M423" s="162"/>
      <c r="N423" s="162"/>
      <c r="O423" s="214" t="s">
        <v>1108</v>
      </c>
      <c r="P423" s="162"/>
      <c r="Q423" s="162"/>
      <c r="R423" s="162"/>
      <c r="S423" s="162"/>
    </row>
    <row r="424" spans="1:19" x14ac:dyDescent="0.2">
      <c r="A424" s="168"/>
      <c r="B424" s="158"/>
      <c r="C424" s="158"/>
      <c r="D424" s="167" t="s">
        <v>1108</v>
      </c>
      <c r="G424" s="162"/>
      <c r="H424" s="178"/>
      <c r="I424" s="192"/>
      <c r="J424" s="187">
        <v>5</v>
      </c>
      <c r="K424" s="188"/>
      <c r="L424" s="189" t="s">
        <v>1378</v>
      </c>
      <c r="M424" s="188"/>
      <c r="N424" s="188"/>
      <c r="O424" s="232" t="s">
        <v>1108</v>
      </c>
      <c r="P424" s="162"/>
      <c r="Q424" s="162"/>
      <c r="R424" s="162"/>
      <c r="S424" s="162"/>
    </row>
    <row r="425" spans="1:19" x14ac:dyDescent="0.2">
      <c r="A425" s="168"/>
      <c r="B425" s="158"/>
      <c r="C425" s="158"/>
      <c r="D425" s="167"/>
      <c r="G425" s="162"/>
      <c r="H425" s="178"/>
      <c r="I425" s="187" t="s">
        <v>1060</v>
      </c>
      <c r="J425" s="167"/>
      <c r="K425" s="177" t="s">
        <v>1387</v>
      </c>
      <c r="L425" s="162"/>
      <c r="M425" s="162"/>
      <c r="N425" s="162"/>
      <c r="O425" s="214"/>
      <c r="P425" s="162"/>
      <c r="Q425" s="162"/>
      <c r="R425" s="162"/>
      <c r="S425" s="162"/>
    </row>
    <row r="426" spans="1:19" x14ac:dyDescent="0.2">
      <c r="A426" s="168"/>
      <c r="B426" s="158"/>
      <c r="C426" s="158"/>
      <c r="D426" s="167" t="s">
        <v>1108</v>
      </c>
      <c r="G426" s="162"/>
      <c r="H426" s="178"/>
      <c r="I426" s="167"/>
      <c r="J426" s="184">
        <v>1</v>
      </c>
      <c r="K426" s="162"/>
      <c r="L426" s="177" t="s">
        <v>1385</v>
      </c>
      <c r="M426" s="162"/>
      <c r="N426" s="162"/>
      <c r="O426" s="214" t="s">
        <v>1108</v>
      </c>
      <c r="P426" s="162"/>
      <c r="Q426" s="162"/>
      <c r="R426" s="162"/>
      <c r="S426" s="162"/>
    </row>
    <row r="427" spans="1:19" x14ac:dyDescent="0.2">
      <c r="A427" s="168"/>
      <c r="B427" s="158"/>
      <c r="C427" s="158"/>
      <c r="D427" s="167" t="s">
        <v>1108</v>
      </c>
      <c r="G427" s="162"/>
      <c r="H427" s="178"/>
      <c r="I427" s="167"/>
      <c r="J427" s="184">
        <v>2</v>
      </c>
      <c r="K427" s="162"/>
      <c r="L427" s="177" t="s">
        <v>1206</v>
      </c>
      <c r="M427" s="162"/>
      <c r="N427" s="162"/>
      <c r="O427" s="214" t="s">
        <v>1108</v>
      </c>
      <c r="P427" s="162"/>
      <c r="Q427" s="162"/>
      <c r="R427" s="162"/>
      <c r="S427" s="162"/>
    </row>
    <row r="428" spans="1:19" x14ac:dyDescent="0.2">
      <c r="A428" s="168"/>
      <c r="B428" s="158"/>
      <c r="C428" s="158"/>
      <c r="D428" s="167" t="s">
        <v>1108</v>
      </c>
      <c r="G428" s="162"/>
      <c r="H428" s="178"/>
      <c r="I428" s="167"/>
      <c r="J428" s="184">
        <v>3</v>
      </c>
      <c r="K428" s="162"/>
      <c r="L428" s="177" t="s">
        <v>1388</v>
      </c>
      <c r="M428" s="162"/>
      <c r="N428" s="162"/>
      <c r="O428" s="214" t="s">
        <v>1108</v>
      </c>
      <c r="P428" s="162"/>
      <c r="Q428" s="162"/>
      <c r="R428" s="162"/>
      <c r="S428" s="162"/>
    </row>
    <row r="429" spans="1:19" x14ac:dyDescent="0.2">
      <c r="A429" s="168"/>
      <c r="B429" s="158"/>
      <c r="C429" s="158"/>
      <c r="D429" s="167" t="s">
        <v>1108</v>
      </c>
      <c r="G429" s="162"/>
      <c r="H429" s="178"/>
      <c r="I429" s="167"/>
      <c r="J429" s="184">
        <v>4</v>
      </c>
      <c r="K429" s="162"/>
      <c r="L429" s="177" t="s">
        <v>1386</v>
      </c>
      <c r="M429" s="162"/>
      <c r="N429" s="162"/>
      <c r="O429" s="214" t="s">
        <v>1108</v>
      </c>
      <c r="P429" s="162"/>
      <c r="Q429" s="162"/>
      <c r="R429" s="162"/>
      <c r="S429" s="162"/>
    </row>
    <row r="430" spans="1:19" x14ac:dyDescent="0.2">
      <c r="A430" s="168"/>
      <c r="B430" s="158"/>
      <c r="C430" s="158"/>
      <c r="D430" s="167" t="s">
        <v>1108</v>
      </c>
      <c r="G430" s="162"/>
      <c r="H430" s="178"/>
      <c r="I430" s="167"/>
      <c r="J430" s="184">
        <v>5</v>
      </c>
      <c r="K430" s="162"/>
      <c r="L430" s="177" t="s">
        <v>1317</v>
      </c>
      <c r="M430" s="162"/>
      <c r="N430" s="162"/>
      <c r="O430" s="214" t="s">
        <v>1108</v>
      </c>
      <c r="P430" s="162"/>
      <c r="Q430" s="162"/>
      <c r="R430" s="162"/>
      <c r="S430" s="162"/>
    </row>
    <row r="431" spans="1:19" x14ac:dyDescent="0.2">
      <c r="A431" s="168"/>
      <c r="B431" s="158"/>
      <c r="C431" s="158"/>
      <c r="D431" s="167" t="s">
        <v>1108</v>
      </c>
      <c r="G431" s="162"/>
      <c r="H431" s="178"/>
      <c r="I431" s="167"/>
      <c r="J431" s="184">
        <v>6</v>
      </c>
      <c r="K431" s="162"/>
      <c r="L431" s="177" t="s">
        <v>1389</v>
      </c>
      <c r="M431" s="162"/>
      <c r="N431" s="162"/>
      <c r="O431" s="214" t="s">
        <v>1108</v>
      </c>
      <c r="P431" s="162"/>
      <c r="Q431" s="162"/>
      <c r="R431" s="162"/>
      <c r="S431" s="162"/>
    </row>
    <row r="432" spans="1:19" ht="15.75" thickBot="1" x14ac:dyDescent="0.25">
      <c r="A432" s="168"/>
      <c r="B432" s="158"/>
      <c r="C432" s="158"/>
      <c r="D432" s="167" t="s">
        <v>1108</v>
      </c>
      <c r="G432" s="162"/>
      <c r="H432" s="224"/>
      <c r="I432" s="225"/>
      <c r="J432" s="226">
        <v>7</v>
      </c>
      <c r="K432" s="227"/>
      <c r="L432" s="228" t="s">
        <v>1390</v>
      </c>
      <c r="M432" s="227"/>
      <c r="N432" s="227"/>
      <c r="O432" s="260" t="s">
        <v>1108</v>
      </c>
      <c r="P432" s="162"/>
      <c r="Q432" s="162"/>
      <c r="R432" s="162"/>
      <c r="S432" s="162"/>
    </row>
    <row r="433" spans="1:19" x14ac:dyDescent="0.2">
      <c r="A433" s="168"/>
      <c r="B433" s="158"/>
      <c r="C433" s="158"/>
      <c r="D433" s="167"/>
      <c r="G433" s="162"/>
      <c r="H433" s="230"/>
      <c r="I433" s="167"/>
      <c r="J433" s="167"/>
      <c r="K433" s="162"/>
      <c r="L433" s="177"/>
      <c r="M433" s="162"/>
      <c r="N433" s="162"/>
      <c r="O433" s="165"/>
      <c r="P433" s="162"/>
      <c r="Q433" s="162"/>
      <c r="R433" s="162"/>
      <c r="S433" s="162"/>
    </row>
    <row r="434" spans="1:19" x14ac:dyDescent="0.2">
      <c r="A434" s="168"/>
      <c r="B434" s="158"/>
      <c r="C434" s="158"/>
      <c r="D434" s="167"/>
      <c r="G434" s="162"/>
      <c r="H434" s="230"/>
      <c r="I434" s="167"/>
      <c r="J434" s="167"/>
      <c r="K434" s="162"/>
      <c r="L434" s="177"/>
      <c r="M434" s="162"/>
      <c r="N434" s="162"/>
      <c r="O434" s="165"/>
      <c r="P434" s="162"/>
      <c r="Q434" s="162"/>
      <c r="R434" s="162"/>
      <c r="S434" s="162"/>
    </row>
    <row r="435" spans="1:19" x14ac:dyDescent="0.2">
      <c r="A435" s="168">
        <v>44</v>
      </c>
      <c r="B435" s="158" t="s">
        <v>1404</v>
      </c>
      <c r="C435" s="158" t="s">
        <v>1405</v>
      </c>
      <c r="D435" s="167"/>
      <c r="G435" s="162"/>
      <c r="H435" s="200">
        <v>44</v>
      </c>
      <c r="I435" s="202"/>
      <c r="J435" s="212"/>
      <c r="K435" s="257" t="s">
        <v>1405</v>
      </c>
      <c r="L435" s="212"/>
      <c r="M435" s="212"/>
      <c r="N435" s="212"/>
      <c r="O435" s="222"/>
      <c r="P435" s="162"/>
      <c r="Q435" s="176">
        <f>H435</f>
        <v>44</v>
      </c>
      <c r="R435" s="167" t="str">
        <f>CONCATENATE("II-",TEXT(Q435,"0000"))</f>
        <v>II-0044</v>
      </c>
      <c r="S435" s="177" t="str">
        <f>K435</f>
        <v>HORMIGON  ARS EXCLUIDA LA ARAMDURA</v>
      </c>
    </row>
    <row r="436" spans="1:19" x14ac:dyDescent="0.2">
      <c r="A436" s="168"/>
      <c r="B436" s="158"/>
      <c r="C436" s="158"/>
      <c r="D436" s="167"/>
      <c r="G436" s="162"/>
      <c r="H436" s="178"/>
      <c r="I436" s="187" t="s">
        <v>1060</v>
      </c>
      <c r="J436" s="167"/>
      <c r="K436" s="177" t="s">
        <v>1387</v>
      </c>
      <c r="L436" s="177"/>
      <c r="M436" s="162"/>
      <c r="N436" s="162"/>
      <c r="O436" s="165"/>
      <c r="P436" s="162"/>
      <c r="Q436" s="162"/>
      <c r="R436" s="162"/>
      <c r="S436" s="162"/>
    </row>
    <row r="437" spans="1:19" x14ac:dyDescent="0.2">
      <c r="A437" s="168"/>
      <c r="B437" s="158"/>
      <c r="C437" s="158"/>
      <c r="D437" s="167" t="s">
        <v>1108</v>
      </c>
      <c r="G437" s="162"/>
      <c r="H437" s="178"/>
      <c r="I437" s="167"/>
      <c r="J437" s="184">
        <v>8</v>
      </c>
      <c r="K437" s="162"/>
      <c r="L437" s="177" t="s">
        <v>1391</v>
      </c>
      <c r="M437" s="162"/>
      <c r="N437" s="162"/>
      <c r="O437" s="214" t="s">
        <v>1108</v>
      </c>
      <c r="P437" s="162"/>
      <c r="Q437" s="162"/>
      <c r="R437" s="162"/>
      <c r="S437" s="162"/>
    </row>
    <row r="438" spans="1:19" x14ac:dyDescent="0.2">
      <c r="A438" s="168"/>
      <c r="B438" s="158"/>
      <c r="C438" s="158"/>
      <c r="D438" s="167" t="s">
        <v>1108</v>
      </c>
      <c r="G438" s="162"/>
      <c r="H438" s="178"/>
      <c r="I438" s="192"/>
      <c r="J438" s="187">
        <v>9</v>
      </c>
      <c r="K438" s="188"/>
      <c r="L438" s="189" t="s">
        <v>1378</v>
      </c>
      <c r="M438" s="188"/>
      <c r="N438" s="188"/>
      <c r="O438" s="232" t="s">
        <v>1108</v>
      </c>
      <c r="P438" s="162"/>
      <c r="Q438" s="162"/>
      <c r="R438" s="162"/>
      <c r="S438" s="162"/>
    </row>
    <row r="439" spans="1:19" x14ac:dyDescent="0.2">
      <c r="A439" s="168"/>
      <c r="B439" s="158"/>
      <c r="C439" s="158"/>
      <c r="D439" s="167"/>
      <c r="G439" s="162"/>
      <c r="H439" s="178"/>
      <c r="I439" s="187" t="s">
        <v>1102</v>
      </c>
      <c r="J439" s="167"/>
      <c r="K439" s="177" t="s">
        <v>1392</v>
      </c>
      <c r="L439" s="162"/>
      <c r="M439" s="162"/>
      <c r="N439" s="162"/>
      <c r="O439" s="214"/>
      <c r="P439" s="162"/>
      <c r="Q439" s="162"/>
      <c r="R439" s="162"/>
      <c r="S439" s="162"/>
    </row>
    <row r="440" spans="1:19" x14ac:dyDescent="0.2">
      <c r="A440" s="168"/>
      <c r="B440" s="158"/>
      <c r="C440" s="158"/>
      <c r="D440" s="167" t="s">
        <v>1108</v>
      </c>
      <c r="G440" s="162"/>
      <c r="H440" s="178"/>
      <c r="I440" s="167"/>
      <c r="J440" s="184">
        <v>1</v>
      </c>
      <c r="K440" s="162"/>
      <c r="L440" s="177" t="s">
        <v>1206</v>
      </c>
      <c r="M440" s="162"/>
      <c r="N440" s="162"/>
      <c r="O440" s="214" t="s">
        <v>1108</v>
      </c>
      <c r="P440" s="162"/>
      <c r="Q440" s="162"/>
      <c r="R440" s="162"/>
      <c r="S440" s="162"/>
    </row>
    <row r="441" spans="1:19" x14ac:dyDescent="0.2">
      <c r="A441" s="168"/>
      <c r="B441" s="158"/>
      <c r="C441" s="158"/>
      <c r="D441" s="167" t="s">
        <v>1108</v>
      </c>
      <c r="G441" s="162"/>
      <c r="H441" s="178"/>
      <c r="I441" s="167"/>
      <c r="J441" s="184">
        <v>2</v>
      </c>
      <c r="K441" s="162"/>
      <c r="L441" s="177" t="s">
        <v>1393</v>
      </c>
      <c r="M441" s="162"/>
      <c r="N441" s="162"/>
      <c r="O441" s="214" t="s">
        <v>1108</v>
      </c>
      <c r="P441" s="162"/>
      <c r="Q441" s="162"/>
      <c r="R441" s="162"/>
      <c r="S441" s="162"/>
    </row>
    <row r="442" spans="1:19" x14ac:dyDescent="0.2">
      <c r="A442" s="168"/>
      <c r="B442" s="158"/>
      <c r="C442" s="158"/>
      <c r="D442" s="167" t="s">
        <v>1108</v>
      </c>
      <c r="G442" s="162"/>
      <c r="H442" s="178"/>
      <c r="I442" s="167"/>
      <c r="J442" s="184">
        <v>3</v>
      </c>
      <c r="K442" s="162"/>
      <c r="L442" s="177" t="s">
        <v>1394</v>
      </c>
      <c r="M442" s="162"/>
      <c r="N442" s="162"/>
      <c r="O442" s="214" t="s">
        <v>1108</v>
      </c>
      <c r="P442" s="162"/>
      <c r="Q442" s="162"/>
      <c r="R442" s="162"/>
      <c r="S442" s="162"/>
    </row>
    <row r="443" spans="1:19" x14ac:dyDescent="0.2">
      <c r="A443" s="168"/>
      <c r="B443" s="158"/>
      <c r="C443" s="158"/>
      <c r="D443" s="167" t="s">
        <v>1108</v>
      </c>
      <c r="G443" s="162"/>
      <c r="H443" s="178"/>
      <c r="I443" s="167"/>
      <c r="J443" s="184">
        <v>4</v>
      </c>
      <c r="K443" s="162"/>
      <c r="L443" s="177" t="s">
        <v>1395</v>
      </c>
      <c r="M443" s="162"/>
      <c r="N443" s="162"/>
      <c r="O443" s="214" t="s">
        <v>1108</v>
      </c>
      <c r="P443" s="162"/>
      <c r="Q443" s="162"/>
      <c r="R443" s="162"/>
      <c r="S443" s="162"/>
    </row>
    <row r="444" spans="1:19" x14ac:dyDescent="0.2">
      <c r="A444" s="168"/>
      <c r="B444" s="158"/>
      <c r="C444" s="158"/>
      <c r="D444" s="167" t="s">
        <v>1108</v>
      </c>
      <c r="G444" s="162"/>
      <c r="H444" s="178"/>
      <c r="I444" s="167"/>
      <c r="J444" s="184">
        <v>5</v>
      </c>
      <c r="K444" s="162"/>
      <c r="L444" s="177" t="s">
        <v>1259</v>
      </c>
      <c r="M444" s="162"/>
      <c r="N444" s="162"/>
      <c r="O444" s="214" t="s">
        <v>1108</v>
      </c>
      <c r="P444" s="162"/>
      <c r="Q444" s="162"/>
      <c r="R444" s="162"/>
      <c r="S444" s="162"/>
    </row>
    <row r="445" spans="1:19" x14ac:dyDescent="0.2">
      <c r="A445" s="168"/>
      <c r="B445" s="158"/>
      <c r="C445" s="158"/>
      <c r="D445" s="167" t="s">
        <v>1108</v>
      </c>
      <c r="G445" s="162"/>
      <c r="H445" s="178"/>
      <c r="I445" s="167"/>
      <c r="J445" s="184">
        <v>6</v>
      </c>
      <c r="K445" s="162"/>
      <c r="L445" s="177" t="s">
        <v>1396</v>
      </c>
      <c r="M445" s="162"/>
      <c r="N445" s="162"/>
      <c r="O445" s="214" t="s">
        <v>1108</v>
      </c>
      <c r="P445" s="162"/>
      <c r="Q445" s="162"/>
      <c r="R445" s="162"/>
      <c r="S445" s="162"/>
    </row>
    <row r="446" spans="1:19" x14ac:dyDescent="0.2">
      <c r="A446" s="168"/>
      <c r="B446" s="158"/>
      <c r="C446" s="158"/>
      <c r="D446" s="167" t="s">
        <v>1108</v>
      </c>
      <c r="G446" s="162"/>
      <c r="H446" s="178"/>
      <c r="I446" s="167"/>
      <c r="J446" s="184">
        <v>7</v>
      </c>
      <c r="K446" s="162"/>
      <c r="L446" s="177" t="s">
        <v>1397</v>
      </c>
      <c r="M446" s="162"/>
      <c r="N446" s="162"/>
      <c r="O446" s="214" t="s">
        <v>1108</v>
      </c>
      <c r="P446" s="162"/>
      <c r="Q446" s="162"/>
      <c r="R446" s="162"/>
      <c r="S446" s="162"/>
    </row>
    <row r="447" spans="1:19" x14ac:dyDescent="0.2">
      <c r="A447" s="168"/>
      <c r="B447" s="158"/>
      <c r="C447" s="158"/>
      <c r="D447" s="167" t="s">
        <v>1108</v>
      </c>
      <c r="G447" s="162"/>
      <c r="H447" s="178"/>
      <c r="I447" s="167"/>
      <c r="J447" s="184">
        <v>8</v>
      </c>
      <c r="K447" s="162"/>
      <c r="L447" s="177" t="s">
        <v>1389</v>
      </c>
      <c r="M447" s="162"/>
      <c r="N447" s="162"/>
      <c r="O447" s="214" t="s">
        <v>1108</v>
      </c>
      <c r="P447" s="162"/>
      <c r="Q447" s="162"/>
      <c r="R447" s="162"/>
      <c r="S447" s="162"/>
    </row>
    <row r="448" spans="1:19" x14ac:dyDescent="0.2">
      <c r="A448" s="168"/>
      <c r="B448" s="158"/>
      <c r="C448" s="158"/>
      <c r="D448" s="167" t="s">
        <v>1108</v>
      </c>
      <c r="G448" s="162"/>
      <c r="H448" s="178"/>
      <c r="I448" s="167"/>
      <c r="J448" s="184">
        <v>9</v>
      </c>
      <c r="K448" s="162"/>
      <c r="L448" s="177" t="s">
        <v>1381</v>
      </c>
      <c r="M448" s="162"/>
      <c r="N448" s="162"/>
      <c r="O448" s="214" t="s">
        <v>1108</v>
      </c>
      <c r="P448" s="162"/>
      <c r="Q448" s="162"/>
      <c r="R448" s="162"/>
      <c r="S448" s="162"/>
    </row>
    <row r="449" spans="1:19" x14ac:dyDescent="0.2">
      <c r="A449" s="168"/>
      <c r="B449" s="158"/>
      <c r="C449" s="158"/>
      <c r="D449" s="167" t="s">
        <v>1108</v>
      </c>
      <c r="G449" s="162"/>
      <c r="H449" s="178"/>
      <c r="I449" s="167"/>
      <c r="J449" s="184">
        <v>10</v>
      </c>
      <c r="K449" s="162"/>
      <c r="L449" s="177" t="s">
        <v>1398</v>
      </c>
      <c r="M449" s="162"/>
      <c r="N449" s="162"/>
      <c r="O449" s="214" t="s">
        <v>1108</v>
      </c>
      <c r="P449" s="162"/>
      <c r="Q449" s="162"/>
      <c r="R449" s="162"/>
      <c r="S449" s="162"/>
    </row>
    <row r="450" spans="1:19" x14ac:dyDescent="0.2">
      <c r="A450" s="168"/>
      <c r="B450" s="158"/>
      <c r="C450" s="158"/>
      <c r="D450" s="167" t="s">
        <v>1108</v>
      </c>
      <c r="G450" s="162"/>
      <c r="H450" s="178"/>
      <c r="I450" s="167"/>
      <c r="J450" s="184">
        <v>11</v>
      </c>
      <c r="K450" s="162"/>
      <c r="L450" s="177" t="s">
        <v>1390</v>
      </c>
      <c r="M450" s="162"/>
      <c r="N450" s="162"/>
      <c r="O450" s="214" t="s">
        <v>1108</v>
      </c>
      <c r="P450" s="162"/>
      <c r="Q450" s="162"/>
      <c r="R450" s="162"/>
      <c r="S450" s="162"/>
    </row>
    <row r="451" spans="1:19" x14ac:dyDescent="0.2">
      <c r="A451" s="168"/>
      <c r="B451" s="158"/>
      <c r="C451" s="158"/>
      <c r="D451" s="167" t="s">
        <v>1108</v>
      </c>
      <c r="G451" s="162"/>
      <c r="H451" s="178"/>
      <c r="I451" s="167"/>
      <c r="J451" s="184">
        <v>12</v>
      </c>
      <c r="K451" s="162"/>
      <c r="L451" s="177" t="s">
        <v>1399</v>
      </c>
      <c r="M451" s="162"/>
      <c r="N451" s="162"/>
      <c r="O451" s="214" t="s">
        <v>1108</v>
      </c>
      <c r="P451" s="162"/>
      <c r="Q451" s="162"/>
      <c r="R451" s="162"/>
      <c r="S451" s="162"/>
    </row>
    <row r="452" spans="1:19" x14ac:dyDescent="0.2">
      <c r="A452" s="168"/>
      <c r="B452" s="158"/>
      <c r="C452" s="158"/>
      <c r="D452" s="167" t="s">
        <v>1108</v>
      </c>
      <c r="G452" s="162"/>
      <c r="H452" s="178"/>
      <c r="I452" s="167"/>
      <c r="J452" s="184">
        <v>13</v>
      </c>
      <c r="K452" s="162"/>
      <c r="L452" s="177" t="s">
        <v>1391</v>
      </c>
      <c r="M452" s="162"/>
      <c r="N452" s="162"/>
      <c r="O452" s="214" t="s">
        <v>1108</v>
      </c>
      <c r="P452" s="162"/>
      <c r="Q452" s="162"/>
      <c r="R452" s="162"/>
      <c r="S452" s="162"/>
    </row>
    <row r="453" spans="1:19" x14ac:dyDescent="0.2">
      <c r="A453" s="168"/>
      <c r="B453" s="158"/>
      <c r="C453" s="158"/>
      <c r="D453" s="167" t="s">
        <v>1108</v>
      </c>
      <c r="G453" s="162"/>
      <c r="H453" s="178"/>
      <c r="I453" s="192"/>
      <c r="J453" s="187">
        <v>14</v>
      </c>
      <c r="K453" s="188"/>
      <c r="L453" s="189" t="s">
        <v>1400</v>
      </c>
      <c r="M453" s="188"/>
      <c r="N453" s="188"/>
      <c r="O453" s="232" t="s">
        <v>1108</v>
      </c>
      <c r="P453" s="162"/>
      <c r="Q453" s="162"/>
      <c r="R453" s="162"/>
      <c r="S453" s="162"/>
    </row>
    <row r="454" spans="1:19" x14ac:dyDescent="0.2">
      <c r="A454" s="168"/>
      <c r="B454" s="158"/>
      <c r="C454" s="158"/>
      <c r="D454" s="167"/>
      <c r="G454" s="162"/>
      <c r="H454" s="178"/>
      <c r="I454" s="187" t="s">
        <v>1105</v>
      </c>
      <c r="J454" s="167"/>
      <c r="K454" s="177" t="s">
        <v>1401</v>
      </c>
      <c r="L454" s="162"/>
      <c r="M454" s="162"/>
      <c r="N454" s="162"/>
      <c r="O454" s="214"/>
      <c r="P454" s="162"/>
      <c r="Q454" s="162"/>
      <c r="R454" s="162"/>
      <c r="S454" s="162"/>
    </row>
    <row r="455" spans="1:19" x14ac:dyDescent="0.2">
      <c r="A455" s="168"/>
      <c r="B455" s="158"/>
      <c r="C455" s="158"/>
      <c r="D455" s="167" t="s">
        <v>1108</v>
      </c>
      <c r="G455" s="162"/>
      <c r="H455" s="178"/>
      <c r="I455" s="167"/>
      <c r="J455" s="184">
        <v>1</v>
      </c>
      <c r="K455" s="162"/>
      <c r="L455" s="177" t="s">
        <v>1206</v>
      </c>
      <c r="M455" s="162"/>
      <c r="N455" s="162"/>
      <c r="O455" s="214" t="s">
        <v>1108</v>
      </c>
      <c r="P455" s="162"/>
      <c r="Q455" s="162"/>
      <c r="R455" s="162"/>
      <c r="S455" s="162"/>
    </row>
    <row r="456" spans="1:19" x14ac:dyDescent="0.2">
      <c r="A456" s="168"/>
      <c r="B456" s="158"/>
      <c r="C456" s="158"/>
      <c r="D456" s="167" t="s">
        <v>1108</v>
      </c>
      <c r="G456" s="162"/>
      <c r="H456" s="178"/>
      <c r="I456" s="167"/>
      <c r="J456" s="184">
        <v>2</v>
      </c>
      <c r="K456" s="162"/>
      <c r="L456" s="177" t="s">
        <v>1393</v>
      </c>
      <c r="M456" s="162"/>
      <c r="N456" s="162"/>
      <c r="O456" s="214" t="s">
        <v>1108</v>
      </c>
      <c r="P456" s="162"/>
      <c r="Q456" s="162"/>
      <c r="R456" s="162"/>
      <c r="S456" s="162"/>
    </row>
    <row r="457" spans="1:19" x14ac:dyDescent="0.2">
      <c r="A457" s="168"/>
      <c r="B457" s="158"/>
      <c r="C457" s="158"/>
      <c r="D457" s="167" t="s">
        <v>1108</v>
      </c>
      <c r="G457" s="162"/>
      <c r="H457" s="178"/>
      <c r="I457" s="167"/>
      <c r="J457" s="184">
        <v>3</v>
      </c>
      <c r="K457" s="162"/>
      <c r="L457" s="177" t="s">
        <v>1394</v>
      </c>
      <c r="M457" s="162"/>
      <c r="N457" s="162"/>
      <c r="O457" s="214" t="s">
        <v>1108</v>
      </c>
      <c r="P457" s="162"/>
      <c r="Q457" s="162"/>
      <c r="R457" s="162"/>
      <c r="S457" s="162"/>
    </row>
    <row r="458" spans="1:19" x14ac:dyDescent="0.2">
      <c r="A458" s="168"/>
      <c r="B458" s="158"/>
      <c r="C458" s="158"/>
      <c r="D458" s="167" t="s">
        <v>1108</v>
      </c>
      <c r="G458" s="162"/>
      <c r="H458" s="178"/>
      <c r="I458" s="167"/>
      <c r="J458" s="184">
        <v>4</v>
      </c>
      <c r="K458" s="162"/>
      <c r="L458" s="177" t="s">
        <v>1395</v>
      </c>
      <c r="M458" s="162"/>
      <c r="N458" s="162"/>
      <c r="O458" s="214" t="s">
        <v>1108</v>
      </c>
      <c r="P458" s="162"/>
      <c r="Q458" s="162"/>
      <c r="R458" s="162"/>
      <c r="S458" s="162"/>
    </row>
    <row r="459" spans="1:19" x14ac:dyDescent="0.2">
      <c r="A459" s="168"/>
      <c r="B459" s="158"/>
      <c r="C459" s="158"/>
      <c r="D459" s="167" t="s">
        <v>1108</v>
      </c>
      <c r="G459" s="162"/>
      <c r="H459" s="178"/>
      <c r="I459" s="167"/>
      <c r="J459" s="184">
        <v>5</v>
      </c>
      <c r="K459" s="162"/>
      <c r="L459" s="177" t="s">
        <v>1259</v>
      </c>
      <c r="M459" s="162"/>
      <c r="N459" s="162"/>
      <c r="O459" s="214" t="s">
        <v>1108</v>
      </c>
      <c r="P459" s="162"/>
      <c r="Q459" s="162"/>
      <c r="R459" s="162"/>
      <c r="S459" s="162"/>
    </row>
    <row r="460" spans="1:19" x14ac:dyDescent="0.2">
      <c r="A460" s="168"/>
      <c r="B460" s="158"/>
      <c r="C460" s="158"/>
      <c r="D460" s="167" t="s">
        <v>1108</v>
      </c>
      <c r="G460" s="162"/>
      <c r="H460" s="178"/>
      <c r="I460" s="167"/>
      <c r="J460" s="184">
        <v>6</v>
      </c>
      <c r="K460" s="162"/>
      <c r="L460" s="177" t="s">
        <v>1407</v>
      </c>
      <c r="M460" s="162"/>
      <c r="N460" s="162"/>
      <c r="O460" s="214" t="s">
        <v>1108</v>
      </c>
      <c r="P460" s="162"/>
      <c r="Q460" s="162"/>
      <c r="R460" s="162"/>
      <c r="S460" s="162"/>
    </row>
    <row r="461" spans="1:19" x14ac:dyDescent="0.2">
      <c r="A461" s="168"/>
      <c r="B461" s="158"/>
      <c r="C461" s="158"/>
      <c r="D461" s="167" t="s">
        <v>1108</v>
      </c>
      <c r="G461" s="162"/>
      <c r="H461" s="178"/>
      <c r="I461" s="167"/>
      <c r="J461" s="184">
        <v>7</v>
      </c>
      <c r="K461" s="162"/>
      <c r="L461" s="177" t="s">
        <v>1396</v>
      </c>
      <c r="M461" s="162"/>
      <c r="N461" s="162"/>
      <c r="O461" s="214" t="s">
        <v>1108</v>
      </c>
      <c r="P461" s="162"/>
      <c r="Q461" s="162"/>
      <c r="R461" s="162"/>
      <c r="S461" s="162"/>
    </row>
    <row r="462" spans="1:19" x14ac:dyDescent="0.2">
      <c r="A462" s="168"/>
      <c r="B462" s="158"/>
      <c r="C462" s="158"/>
      <c r="D462" s="167" t="s">
        <v>1108</v>
      </c>
      <c r="G462" s="162"/>
      <c r="H462" s="178"/>
      <c r="I462" s="167"/>
      <c r="J462" s="184">
        <v>8</v>
      </c>
      <c r="K462" s="162"/>
      <c r="L462" s="177" t="s">
        <v>1397</v>
      </c>
      <c r="M462" s="162"/>
      <c r="N462" s="162"/>
      <c r="O462" s="214" t="s">
        <v>1108</v>
      </c>
      <c r="P462" s="162"/>
      <c r="Q462" s="162"/>
      <c r="R462" s="162"/>
      <c r="S462" s="162"/>
    </row>
    <row r="463" spans="1:19" x14ac:dyDescent="0.2">
      <c r="A463" s="168"/>
      <c r="B463" s="158"/>
      <c r="C463" s="158"/>
      <c r="D463" s="167" t="s">
        <v>1108</v>
      </c>
      <c r="G463" s="162"/>
      <c r="H463" s="178"/>
      <c r="I463" s="167"/>
      <c r="J463" s="184">
        <v>9</v>
      </c>
      <c r="K463" s="162"/>
      <c r="L463" s="177" t="s">
        <v>1389</v>
      </c>
      <c r="M463" s="162"/>
      <c r="N463" s="162"/>
      <c r="O463" s="214" t="s">
        <v>1108</v>
      </c>
      <c r="P463" s="162"/>
      <c r="Q463" s="162"/>
      <c r="R463" s="162"/>
      <c r="S463" s="162"/>
    </row>
    <row r="464" spans="1:19" x14ac:dyDescent="0.2">
      <c r="A464" s="168"/>
      <c r="B464" s="158"/>
      <c r="C464" s="158"/>
      <c r="D464" s="167" t="s">
        <v>1108</v>
      </c>
      <c r="G464" s="162"/>
      <c r="H464" s="178"/>
      <c r="I464" s="167"/>
      <c r="J464" s="184">
        <v>10</v>
      </c>
      <c r="K464" s="162"/>
      <c r="L464" s="177" t="s">
        <v>1381</v>
      </c>
      <c r="M464" s="162"/>
      <c r="N464" s="162"/>
      <c r="O464" s="214" t="s">
        <v>1108</v>
      </c>
      <c r="P464" s="162"/>
      <c r="Q464" s="162"/>
      <c r="R464" s="162"/>
      <c r="S464" s="162"/>
    </row>
    <row r="465" spans="1:19" x14ac:dyDescent="0.2">
      <c r="A465" s="168"/>
      <c r="B465" s="158"/>
      <c r="C465" s="158"/>
      <c r="D465" s="167" t="s">
        <v>1108</v>
      </c>
      <c r="G465" s="162"/>
      <c r="H465" s="178"/>
      <c r="I465" s="167"/>
      <c r="J465" s="184">
        <v>11</v>
      </c>
      <c r="K465" s="162"/>
      <c r="L465" s="177" t="s">
        <v>1398</v>
      </c>
      <c r="M465" s="162"/>
      <c r="N465" s="162"/>
      <c r="O465" s="214" t="s">
        <v>1108</v>
      </c>
      <c r="P465" s="162"/>
      <c r="Q465" s="162"/>
      <c r="R465" s="162"/>
      <c r="S465" s="162"/>
    </row>
    <row r="466" spans="1:19" x14ac:dyDescent="0.2">
      <c r="A466" s="168"/>
      <c r="B466" s="158"/>
      <c r="C466" s="158"/>
      <c r="D466" s="167" t="s">
        <v>1108</v>
      </c>
      <c r="G466" s="162"/>
      <c r="H466" s="178"/>
      <c r="I466" s="167"/>
      <c r="J466" s="184">
        <v>12</v>
      </c>
      <c r="K466" s="162"/>
      <c r="L466" s="177" t="s">
        <v>1390</v>
      </c>
      <c r="M466" s="162"/>
      <c r="N466" s="162"/>
      <c r="O466" s="214" t="s">
        <v>1108</v>
      </c>
      <c r="P466" s="162"/>
      <c r="Q466" s="162"/>
      <c r="R466" s="162"/>
      <c r="S466" s="162"/>
    </row>
    <row r="467" spans="1:19" x14ac:dyDescent="0.2">
      <c r="A467" s="168"/>
      <c r="B467" s="158"/>
      <c r="C467" s="158"/>
      <c r="D467" s="167" t="s">
        <v>1108</v>
      </c>
      <c r="G467" s="162"/>
      <c r="H467" s="178"/>
      <c r="I467" s="167"/>
      <c r="J467" s="184">
        <v>13</v>
      </c>
      <c r="K467" s="177"/>
      <c r="L467" s="177" t="s">
        <v>1399</v>
      </c>
      <c r="M467" s="162"/>
      <c r="N467" s="162"/>
      <c r="O467" s="214" t="s">
        <v>1108</v>
      </c>
      <c r="P467" s="162"/>
      <c r="Q467" s="162"/>
      <c r="R467" s="162"/>
      <c r="S467" s="162"/>
    </row>
    <row r="468" spans="1:19" x14ac:dyDescent="0.2">
      <c r="A468" s="168"/>
      <c r="B468" s="158"/>
      <c r="C468" s="158"/>
      <c r="D468" s="167" t="s">
        <v>1108</v>
      </c>
      <c r="G468" s="162"/>
      <c r="H468" s="178"/>
      <c r="I468" s="167"/>
      <c r="J468" s="184">
        <v>14</v>
      </c>
      <c r="K468" s="162"/>
      <c r="L468" s="177" t="s">
        <v>1391</v>
      </c>
      <c r="M468" s="162"/>
      <c r="N468" s="162"/>
      <c r="O468" s="214" t="s">
        <v>1108</v>
      </c>
      <c r="P468" s="162"/>
      <c r="Q468" s="162"/>
      <c r="R468" s="162"/>
      <c r="S468" s="162"/>
    </row>
    <row r="469" spans="1:19" x14ac:dyDescent="0.2">
      <c r="A469" s="168"/>
      <c r="B469" s="158"/>
      <c r="C469" s="158"/>
      <c r="D469" s="167" t="s">
        <v>1108</v>
      </c>
      <c r="G469" s="162"/>
      <c r="H469" s="178"/>
      <c r="I469" s="167"/>
      <c r="J469" s="184">
        <v>15</v>
      </c>
      <c r="K469" s="162"/>
      <c r="L469" s="177" t="s">
        <v>1383</v>
      </c>
      <c r="M469" s="162"/>
      <c r="N469" s="162"/>
      <c r="O469" s="214" t="s">
        <v>1108</v>
      </c>
      <c r="P469" s="162"/>
      <c r="Q469" s="162"/>
      <c r="R469" s="162"/>
      <c r="S469" s="162"/>
    </row>
    <row r="470" spans="1:19" x14ac:dyDescent="0.2">
      <c r="A470" s="168"/>
      <c r="B470" s="158"/>
      <c r="C470" s="158"/>
      <c r="D470" s="167" t="s">
        <v>1108</v>
      </c>
      <c r="G470" s="162"/>
      <c r="H470" s="178"/>
      <c r="I470" s="167"/>
      <c r="J470" s="184">
        <v>16</v>
      </c>
      <c r="K470" s="162"/>
      <c r="L470" s="177" t="s">
        <v>1400</v>
      </c>
      <c r="M470" s="162"/>
      <c r="N470" s="162"/>
      <c r="O470" s="214" t="s">
        <v>1108</v>
      </c>
      <c r="P470" s="162"/>
      <c r="Q470" s="162"/>
      <c r="R470" s="162"/>
      <c r="S470" s="162"/>
    </row>
    <row r="471" spans="1:19" x14ac:dyDescent="0.2">
      <c r="A471" s="168"/>
      <c r="B471" s="158"/>
      <c r="C471" s="158"/>
      <c r="D471" s="167"/>
      <c r="G471" s="162"/>
      <c r="H471" s="178"/>
      <c r="I471" s="179" t="s">
        <v>1109</v>
      </c>
      <c r="J471" s="180"/>
      <c r="K471" s="191" t="s">
        <v>1403</v>
      </c>
      <c r="L471" s="182"/>
      <c r="M471" s="182"/>
      <c r="N471" s="182"/>
      <c r="O471" s="223"/>
      <c r="P471" s="162"/>
      <c r="Q471" s="162"/>
      <c r="R471" s="162"/>
      <c r="S471" s="162"/>
    </row>
    <row r="472" spans="1:19" x14ac:dyDescent="0.2">
      <c r="A472" s="168"/>
      <c r="B472" s="158"/>
      <c r="C472" s="158"/>
      <c r="D472" s="167" t="s">
        <v>1108</v>
      </c>
      <c r="G472" s="162"/>
      <c r="H472" s="178"/>
      <c r="I472" s="167"/>
      <c r="J472" s="184">
        <v>1</v>
      </c>
      <c r="K472" s="162"/>
      <c r="L472" s="177" t="s">
        <v>1394</v>
      </c>
      <c r="M472" s="162"/>
      <c r="N472" s="162"/>
      <c r="O472" s="214" t="s">
        <v>1108</v>
      </c>
      <c r="P472" s="162"/>
      <c r="Q472" s="162"/>
      <c r="R472" s="162"/>
      <c r="S472" s="162"/>
    </row>
    <row r="473" spans="1:19" x14ac:dyDescent="0.2">
      <c r="A473" s="168"/>
      <c r="B473" s="158"/>
      <c r="C473" s="158"/>
      <c r="D473" s="167" t="s">
        <v>1108</v>
      </c>
      <c r="G473" s="162"/>
      <c r="H473" s="178"/>
      <c r="I473" s="167"/>
      <c r="J473" s="184">
        <v>2</v>
      </c>
      <c r="K473" s="162"/>
      <c r="L473" s="177" t="s">
        <v>1395</v>
      </c>
      <c r="M473" s="162"/>
      <c r="N473" s="162"/>
      <c r="O473" s="214" t="s">
        <v>1108</v>
      </c>
      <c r="P473" s="162"/>
      <c r="Q473" s="162"/>
      <c r="R473" s="162"/>
      <c r="S473" s="162"/>
    </row>
    <row r="474" spans="1:19" x14ac:dyDescent="0.2">
      <c r="A474" s="168"/>
      <c r="B474" s="158"/>
      <c r="C474" s="158"/>
      <c r="D474" s="167" t="s">
        <v>1108</v>
      </c>
      <c r="G474" s="162"/>
      <c r="H474" s="178"/>
      <c r="I474" s="167"/>
      <c r="J474" s="184">
        <v>3</v>
      </c>
      <c r="K474" s="162"/>
      <c r="L474" s="177" t="s">
        <v>1259</v>
      </c>
      <c r="M474" s="162"/>
      <c r="N474" s="162"/>
      <c r="O474" s="214" t="s">
        <v>1108</v>
      </c>
      <c r="P474" s="162"/>
      <c r="Q474" s="162"/>
      <c r="R474" s="162"/>
      <c r="S474" s="162"/>
    </row>
    <row r="475" spans="1:19" x14ac:dyDescent="0.2">
      <c r="A475" s="168"/>
      <c r="B475" s="158"/>
      <c r="C475" s="158"/>
      <c r="D475" s="167" t="s">
        <v>1108</v>
      </c>
      <c r="G475" s="162"/>
      <c r="H475" s="178"/>
      <c r="I475" s="167"/>
      <c r="J475" s="184">
        <v>4</v>
      </c>
      <c r="K475" s="162"/>
      <c r="L475" s="177" t="s">
        <v>1396</v>
      </c>
      <c r="M475" s="162"/>
      <c r="N475" s="162"/>
      <c r="O475" s="214" t="s">
        <v>1108</v>
      </c>
      <c r="P475" s="162"/>
      <c r="Q475" s="162"/>
      <c r="R475" s="162"/>
      <c r="S475" s="162"/>
    </row>
    <row r="476" spans="1:19" x14ac:dyDescent="0.2">
      <c r="A476" s="168"/>
      <c r="B476" s="158"/>
      <c r="C476" s="158"/>
      <c r="D476" s="167" t="s">
        <v>1108</v>
      </c>
      <c r="G476" s="162"/>
      <c r="H476" s="178"/>
      <c r="I476" s="167"/>
      <c r="J476" s="184">
        <v>5</v>
      </c>
      <c r="K476" s="162"/>
      <c r="L476" s="177" t="s">
        <v>1397</v>
      </c>
      <c r="M476" s="162"/>
      <c r="N476" s="162"/>
      <c r="O476" s="214" t="s">
        <v>1108</v>
      </c>
      <c r="P476" s="162"/>
      <c r="Q476" s="162"/>
      <c r="R476" s="162"/>
      <c r="S476" s="162"/>
    </row>
    <row r="477" spans="1:19" x14ac:dyDescent="0.2">
      <c r="A477" s="168"/>
      <c r="B477" s="158"/>
      <c r="C477" s="158"/>
      <c r="D477" s="167" t="s">
        <v>1108</v>
      </c>
      <c r="G477" s="162"/>
      <c r="H477" s="178"/>
      <c r="I477" s="167"/>
      <c r="J477" s="184">
        <v>6</v>
      </c>
      <c r="K477" s="162"/>
      <c r="L477" s="177" t="s">
        <v>1381</v>
      </c>
      <c r="M477" s="162"/>
      <c r="N477" s="162"/>
      <c r="O477" s="214" t="s">
        <v>1108</v>
      </c>
      <c r="P477" s="162"/>
      <c r="Q477" s="162"/>
      <c r="R477" s="162"/>
      <c r="S477" s="162"/>
    </row>
    <row r="478" spans="1:19" x14ac:dyDescent="0.2">
      <c r="A478" s="168"/>
      <c r="B478" s="158"/>
      <c r="C478" s="158"/>
      <c r="D478" s="167" t="s">
        <v>1108</v>
      </c>
      <c r="G478" s="162"/>
      <c r="H478" s="178"/>
      <c r="I478" s="167"/>
      <c r="J478" s="184">
        <v>7</v>
      </c>
      <c r="K478" s="162"/>
      <c r="L478" s="177" t="s">
        <v>1398</v>
      </c>
      <c r="M478" s="162"/>
      <c r="N478" s="162"/>
      <c r="O478" s="214" t="s">
        <v>1108</v>
      </c>
      <c r="P478" s="162"/>
      <c r="Q478" s="162"/>
      <c r="R478" s="162"/>
      <c r="S478" s="162"/>
    </row>
    <row r="479" spans="1:19" x14ac:dyDescent="0.2">
      <c r="A479" s="168"/>
      <c r="B479" s="158"/>
      <c r="C479" s="158"/>
      <c r="D479" s="167" t="s">
        <v>1108</v>
      </c>
      <c r="G479" s="162"/>
      <c r="H479" s="178"/>
      <c r="I479" s="167"/>
      <c r="J479" s="184">
        <v>8</v>
      </c>
      <c r="K479" s="162"/>
      <c r="L479" s="177" t="s">
        <v>1390</v>
      </c>
      <c r="M479" s="162"/>
      <c r="N479" s="162"/>
      <c r="O479" s="214" t="s">
        <v>1108</v>
      </c>
      <c r="P479" s="162"/>
      <c r="Q479" s="162"/>
      <c r="R479" s="162"/>
      <c r="S479" s="162"/>
    </row>
    <row r="480" spans="1:19" x14ac:dyDescent="0.2">
      <c r="A480" s="168"/>
      <c r="B480" s="158"/>
      <c r="C480" s="158"/>
      <c r="D480" s="167" t="s">
        <v>1108</v>
      </c>
      <c r="G480" s="162"/>
      <c r="H480" s="178"/>
      <c r="I480" s="167"/>
      <c r="J480" s="184">
        <v>9</v>
      </c>
      <c r="K480" s="162"/>
      <c r="L480" s="177" t="s">
        <v>1399</v>
      </c>
      <c r="M480" s="162"/>
      <c r="N480" s="162"/>
      <c r="O480" s="214" t="s">
        <v>1108</v>
      </c>
      <c r="P480" s="162"/>
      <c r="Q480" s="162"/>
      <c r="R480" s="162"/>
      <c r="S480" s="162"/>
    </row>
    <row r="481" spans="1:19" ht="15.75" thickBot="1" x14ac:dyDescent="0.25">
      <c r="A481" s="168"/>
      <c r="B481" s="158"/>
      <c r="C481" s="158"/>
      <c r="D481" s="167" t="s">
        <v>1108</v>
      </c>
      <c r="G481" s="162"/>
      <c r="H481" s="224"/>
      <c r="I481" s="225"/>
      <c r="J481" s="226">
        <v>10</v>
      </c>
      <c r="K481" s="227"/>
      <c r="L481" s="228" t="s">
        <v>1400</v>
      </c>
      <c r="M481" s="227"/>
      <c r="N481" s="227"/>
      <c r="O481" s="260" t="s">
        <v>1108</v>
      </c>
      <c r="P481" s="162"/>
      <c r="Q481" s="162"/>
      <c r="R481" s="162"/>
      <c r="S481" s="162"/>
    </row>
    <row r="482" spans="1:19" x14ac:dyDescent="0.2">
      <c r="A482" s="168"/>
      <c r="B482" s="158"/>
      <c r="C482" s="158"/>
      <c r="D482" s="167"/>
      <c r="G482" s="162"/>
      <c r="H482" s="230"/>
      <c r="I482" s="167"/>
      <c r="J482" s="167"/>
      <c r="K482" s="162"/>
      <c r="L482" s="177"/>
      <c r="M482" s="162"/>
      <c r="N482" s="162"/>
      <c r="O482" s="165"/>
      <c r="P482" s="162"/>
      <c r="Q482" s="162"/>
      <c r="R482" s="162"/>
      <c r="S482" s="162"/>
    </row>
    <row r="483" spans="1:19" x14ac:dyDescent="0.2">
      <c r="A483" s="168">
        <v>45</v>
      </c>
      <c r="B483" s="158" t="s">
        <v>1408</v>
      </c>
      <c r="C483" s="158" t="s">
        <v>1409</v>
      </c>
      <c r="D483" s="167"/>
      <c r="G483" s="162"/>
      <c r="H483" s="200">
        <v>45</v>
      </c>
      <c r="I483" s="202"/>
      <c r="J483" s="212"/>
      <c r="K483" s="257" t="s">
        <v>1409</v>
      </c>
      <c r="L483" s="212"/>
      <c r="M483" s="212"/>
      <c r="N483" s="212"/>
      <c r="O483" s="222"/>
      <c r="P483" s="162"/>
      <c r="Q483" s="176">
        <f>H483</f>
        <v>45</v>
      </c>
      <c r="R483" s="167" t="str">
        <f>CONCATENATE("II-",TEXT(Q483,"0000"))</f>
        <v>II-0045</v>
      </c>
      <c r="S483" s="177" t="str">
        <f>K483</f>
        <v>HORMIGON  PUZOLANICO EXCLUIDA LA ARAMDURA</v>
      </c>
    </row>
    <row r="484" spans="1:19" x14ac:dyDescent="0.2">
      <c r="A484" s="168"/>
      <c r="B484" s="158"/>
      <c r="C484" s="158"/>
      <c r="D484" s="167"/>
      <c r="G484" s="162"/>
      <c r="H484" s="178"/>
      <c r="I484" s="179" t="s">
        <v>997</v>
      </c>
      <c r="J484" s="180"/>
      <c r="K484" s="191" t="s">
        <v>1375</v>
      </c>
      <c r="L484" s="182"/>
      <c r="M484" s="182"/>
      <c r="N484" s="182"/>
      <c r="O484" s="223"/>
      <c r="P484" s="162"/>
      <c r="Q484" s="162"/>
      <c r="R484" s="162"/>
      <c r="S484" s="162"/>
    </row>
    <row r="485" spans="1:19" x14ac:dyDescent="0.2">
      <c r="A485" s="168"/>
      <c r="B485" s="158"/>
      <c r="C485" s="158"/>
      <c r="D485" s="167" t="s">
        <v>1108</v>
      </c>
      <c r="G485" s="162"/>
      <c r="H485" s="178"/>
      <c r="I485" s="167"/>
      <c r="J485" s="184">
        <v>1</v>
      </c>
      <c r="K485" s="162"/>
      <c r="L485" s="177" t="s">
        <v>1380</v>
      </c>
      <c r="M485" s="162"/>
      <c r="N485" s="162"/>
      <c r="O485" s="214" t="s">
        <v>1108</v>
      </c>
      <c r="P485" s="162"/>
      <c r="Q485" s="162"/>
      <c r="R485" s="162"/>
      <c r="S485" s="162"/>
    </row>
    <row r="486" spans="1:19" x14ac:dyDescent="0.2">
      <c r="A486" s="168"/>
      <c r="B486" s="158"/>
      <c r="C486" s="158"/>
      <c r="D486" s="167" t="s">
        <v>1108</v>
      </c>
      <c r="G486" s="162"/>
      <c r="H486" s="178"/>
      <c r="I486" s="167"/>
      <c r="J486" s="184">
        <v>2</v>
      </c>
      <c r="K486" s="162"/>
      <c r="L486" s="177" t="s">
        <v>1382</v>
      </c>
      <c r="M486" s="162"/>
      <c r="N486" s="162"/>
      <c r="O486" s="214" t="s">
        <v>1108</v>
      </c>
      <c r="P486" s="162"/>
      <c r="Q486" s="162"/>
      <c r="R486" s="162"/>
      <c r="S486" s="162"/>
    </row>
    <row r="487" spans="1:19" x14ac:dyDescent="0.2">
      <c r="A487" s="168"/>
      <c r="B487" s="158"/>
      <c r="C487" s="158"/>
      <c r="D487" s="167"/>
      <c r="G487" s="162"/>
      <c r="H487" s="178"/>
      <c r="I487" s="179" t="s">
        <v>1024</v>
      </c>
      <c r="J487" s="180"/>
      <c r="K487" s="191" t="s">
        <v>1379</v>
      </c>
      <c r="L487" s="182"/>
      <c r="M487" s="182"/>
      <c r="N487" s="182"/>
      <c r="O487" s="223"/>
      <c r="P487" s="162"/>
      <c r="Q487" s="162"/>
      <c r="R487" s="162"/>
      <c r="S487" s="162"/>
    </row>
    <row r="488" spans="1:19" x14ac:dyDescent="0.2">
      <c r="A488" s="168"/>
      <c r="B488" s="158"/>
      <c r="C488" s="158"/>
      <c r="D488" s="167" t="s">
        <v>1108</v>
      </c>
      <c r="G488" s="162"/>
      <c r="H488" s="178"/>
      <c r="I488" s="167"/>
      <c r="J488" s="184">
        <v>1</v>
      </c>
      <c r="K488" s="162"/>
      <c r="L488" s="177" t="s">
        <v>1380</v>
      </c>
      <c r="M488" s="162"/>
      <c r="N488" s="162"/>
      <c r="O488" s="214" t="s">
        <v>1108</v>
      </c>
      <c r="P488" s="162"/>
      <c r="Q488" s="162"/>
      <c r="R488" s="162"/>
      <c r="S488" s="162"/>
    </row>
    <row r="489" spans="1:19" x14ac:dyDescent="0.2">
      <c r="A489" s="168"/>
      <c r="B489" s="158"/>
      <c r="C489" s="158"/>
      <c r="D489" s="167" t="s">
        <v>1108</v>
      </c>
      <c r="G489" s="162"/>
      <c r="H489" s="178"/>
      <c r="I489" s="167"/>
      <c r="J489" s="184">
        <v>2</v>
      </c>
      <c r="K489" s="162"/>
      <c r="L489" s="177" t="s">
        <v>1382</v>
      </c>
      <c r="M489" s="162"/>
      <c r="N489" s="162"/>
      <c r="O489" s="214" t="s">
        <v>1108</v>
      </c>
      <c r="P489" s="162"/>
      <c r="Q489" s="162"/>
      <c r="R489" s="162"/>
      <c r="S489" s="162"/>
    </row>
    <row r="490" spans="1:19" x14ac:dyDescent="0.2">
      <c r="A490" s="168"/>
      <c r="B490" s="158"/>
      <c r="C490" s="158"/>
      <c r="D490" s="167" t="s">
        <v>1108</v>
      </c>
      <c r="G490" s="162"/>
      <c r="H490" s="178"/>
      <c r="I490" s="167"/>
      <c r="J490" s="184">
        <v>3</v>
      </c>
      <c r="K490" s="162"/>
      <c r="L490" s="177" t="s">
        <v>1391</v>
      </c>
      <c r="M490" s="162"/>
      <c r="N490" s="162"/>
      <c r="O490" s="214" t="s">
        <v>1108</v>
      </c>
      <c r="P490" s="162"/>
      <c r="Q490" s="162"/>
      <c r="R490" s="162"/>
      <c r="S490" s="162"/>
    </row>
    <row r="491" spans="1:19" x14ac:dyDescent="0.2">
      <c r="A491" s="168"/>
      <c r="B491" s="158"/>
      <c r="C491" s="158"/>
      <c r="D491" s="167"/>
      <c r="G491" s="162"/>
      <c r="H491" s="178"/>
      <c r="I491" s="179" t="s">
        <v>1034</v>
      </c>
      <c r="J491" s="180"/>
      <c r="K491" s="191" t="s">
        <v>1384</v>
      </c>
      <c r="L491" s="182"/>
      <c r="M491" s="182"/>
      <c r="N491" s="182"/>
      <c r="O491" s="223"/>
      <c r="P491" s="162"/>
      <c r="Q491" s="162"/>
      <c r="R491" s="162"/>
      <c r="S491" s="162"/>
    </row>
    <row r="492" spans="1:19" x14ac:dyDescent="0.2">
      <c r="A492" s="168"/>
      <c r="B492" s="158"/>
      <c r="C492" s="158"/>
      <c r="D492" s="167" t="s">
        <v>1108</v>
      </c>
      <c r="G492" s="162"/>
      <c r="H492" s="178"/>
      <c r="I492" s="167"/>
      <c r="J492" s="184">
        <v>1</v>
      </c>
      <c r="K492" s="162"/>
      <c r="L492" s="177" t="s">
        <v>1380</v>
      </c>
      <c r="M492" s="162"/>
      <c r="N492" s="162"/>
      <c r="O492" s="214" t="s">
        <v>1108</v>
      </c>
      <c r="P492" s="162"/>
      <c r="Q492" s="162"/>
      <c r="R492" s="162"/>
      <c r="S492" s="162"/>
    </row>
    <row r="493" spans="1:19" x14ac:dyDescent="0.2">
      <c r="A493" s="168"/>
      <c r="B493" s="158"/>
      <c r="C493" s="158"/>
      <c r="D493" s="167" t="s">
        <v>1108</v>
      </c>
      <c r="G493" s="162"/>
      <c r="H493" s="178"/>
      <c r="I493" s="167"/>
      <c r="J493" s="184">
        <v>2</v>
      </c>
      <c r="K493" s="162"/>
      <c r="L493" s="177" t="s">
        <v>1317</v>
      </c>
      <c r="M493" s="162"/>
      <c r="N493" s="162"/>
      <c r="O493" s="214" t="s">
        <v>1108</v>
      </c>
      <c r="P493" s="162"/>
      <c r="Q493" s="162"/>
      <c r="R493" s="162"/>
      <c r="S493" s="162"/>
    </row>
    <row r="494" spans="1:19" x14ac:dyDescent="0.2">
      <c r="A494" s="168"/>
      <c r="B494" s="158"/>
      <c r="C494" s="158"/>
      <c r="D494" s="167" t="s">
        <v>1108</v>
      </c>
      <c r="G494" s="162"/>
      <c r="H494" s="178"/>
      <c r="I494" s="167"/>
      <c r="J494" s="184">
        <v>3</v>
      </c>
      <c r="K494" s="162"/>
      <c r="L494" s="177" t="s">
        <v>1382</v>
      </c>
      <c r="M494" s="162"/>
      <c r="N494" s="162"/>
      <c r="O494" s="214" t="s">
        <v>1108</v>
      </c>
      <c r="P494" s="162"/>
      <c r="Q494" s="162"/>
      <c r="R494" s="162"/>
      <c r="S494" s="162"/>
    </row>
    <row r="495" spans="1:19" x14ac:dyDescent="0.2">
      <c r="A495" s="168"/>
      <c r="B495" s="158"/>
      <c r="C495" s="158"/>
      <c r="D495" s="167" t="s">
        <v>1108</v>
      </c>
      <c r="G495" s="162"/>
      <c r="H495" s="178"/>
      <c r="I495" s="167"/>
      <c r="J495" s="184">
        <v>4</v>
      </c>
      <c r="K495" s="162"/>
      <c r="L495" s="177" t="s">
        <v>1391</v>
      </c>
      <c r="M495" s="162"/>
      <c r="N495" s="162"/>
      <c r="O495" s="214" t="s">
        <v>1108</v>
      </c>
      <c r="P495" s="162"/>
      <c r="Q495" s="162"/>
      <c r="R495" s="162"/>
      <c r="S495" s="162"/>
    </row>
    <row r="496" spans="1:19" x14ac:dyDescent="0.2">
      <c r="A496" s="168"/>
      <c r="B496" s="158"/>
      <c r="C496" s="158"/>
      <c r="D496" s="167" t="s">
        <v>1108</v>
      </c>
      <c r="G496" s="162"/>
      <c r="H496" s="178"/>
      <c r="I496" s="167"/>
      <c r="J496" s="184">
        <v>5</v>
      </c>
      <c r="K496" s="162"/>
      <c r="L496" s="177" t="s">
        <v>1383</v>
      </c>
      <c r="M496" s="162"/>
      <c r="N496" s="162"/>
      <c r="O496" s="214" t="s">
        <v>1108</v>
      </c>
      <c r="P496" s="162"/>
      <c r="Q496" s="162"/>
      <c r="R496" s="162"/>
      <c r="S496" s="162"/>
    </row>
    <row r="497" spans="1:19" x14ac:dyDescent="0.2">
      <c r="A497" s="168"/>
      <c r="B497" s="158"/>
      <c r="C497" s="158"/>
      <c r="D497" s="167"/>
      <c r="G497" s="162"/>
      <c r="H497" s="178"/>
      <c r="I497" s="179" t="s">
        <v>1060</v>
      </c>
      <c r="J497" s="180"/>
      <c r="K497" s="191" t="s">
        <v>1387</v>
      </c>
      <c r="L497" s="182"/>
      <c r="M497" s="182"/>
      <c r="N497" s="182"/>
      <c r="O497" s="223"/>
      <c r="P497" s="162"/>
      <c r="Q497" s="162"/>
      <c r="R497" s="162"/>
      <c r="S497" s="162"/>
    </row>
    <row r="498" spans="1:19" x14ac:dyDescent="0.2">
      <c r="A498" s="168"/>
      <c r="B498" s="158"/>
      <c r="C498" s="158"/>
      <c r="D498" s="167" t="s">
        <v>1108</v>
      </c>
      <c r="G498" s="162"/>
      <c r="H498" s="178"/>
      <c r="I498" s="167"/>
      <c r="J498" s="184">
        <v>1</v>
      </c>
      <c r="K498" s="162"/>
      <c r="L498" s="177" t="s">
        <v>1385</v>
      </c>
      <c r="M498" s="162"/>
      <c r="N498" s="162"/>
      <c r="O498" s="214" t="s">
        <v>1108</v>
      </c>
      <c r="P498" s="162"/>
      <c r="Q498" s="162"/>
      <c r="R498" s="162"/>
      <c r="S498" s="162"/>
    </row>
    <row r="499" spans="1:19" x14ac:dyDescent="0.2">
      <c r="A499" s="168"/>
      <c r="B499" s="158"/>
      <c r="C499" s="158"/>
      <c r="D499" s="167" t="s">
        <v>1108</v>
      </c>
      <c r="G499" s="162"/>
      <c r="H499" s="178"/>
      <c r="I499" s="167"/>
      <c r="J499" s="184">
        <v>2</v>
      </c>
      <c r="K499" s="162"/>
      <c r="L499" s="177" t="s">
        <v>1206</v>
      </c>
      <c r="M499" s="162"/>
      <c r="N499" s="162"/>
      <c r="O499" s="214" t="s">
        <v>1108</v>
      </c>
      <c r="P499" s="162"/>
      <c r="Q499" s="162"/>
      <c r="R499" s="162"/>
      <c r="S499" s="162"/>
    </row>
    <row r="500" spans="1:19" x14ac:dyDescent="0.2">
      <c r="A500" s="168"/>
      <c r="B500" s="158"/>
      <c r="C500" s="158"/>
      <c r="D500" s="167" t="s">
        <v>1108</v>
      </c>
      <c r="G500" s="162"/>
      <c r="H500" s="178"/>
      <c r="I500" s="167"/>
      <c r="J500" s="184">
        <v>3</v>
      </c>
      <c r="K500" s="162"/>
      <c r="L500" s="177" t="s">
        <v>1380</v>
      </c>
      <c r="M500" s="162"/>
      <c r="N500" s="162"/>
      <c r="O500" s="214" t="s">
        <v>1108</v>
      </c>
      <c r="P500" s="162"/>
      <c r="Q500" s="162"/>
      <c r="R500" s="162"/>
      <c r="S500" s="162"/>
    </row>
    <row r="501" spans="1:19" x14ac:dyDescent="0.2">
      <c r="A501" s="168"/>
      <c r="B501" s="158"/>
      <c r="C501" s="158"/>
      <c r="D501" s="167" t="s">
        <v>1108</v>
      </c>
      <c r="G501" s="162"/>
      <c r="H501" s="178"/>
      <c r="I501" s="167"/>
      <c r="J501" s="184">
        <v>4</v>
      </c>
      <c r="K501" s="162"/>
      <c r="L501" s="177" t="s">
        <v>1317</v>
      </c>
      <c r="M501" s="162"/>
      <c r="N501" s="162"/>
      <c r="O501" s="214" t="s">
        <v>1108</v>
      </c>
      <c r="P501" s="162"/>
      <c r="Q501" s="162"/>
      <c r="R501" s="162"/>
      <c r="S501" s="162"/>
    </row>
    <row r="502" spans="1:19" x14ac:dyDescent="0.2">
      <c r="A502" s="168"/>
      <c r="B502" s="158"/>
      <c r="C502" s="158"/>
      <c r="D502" s="167" t="s">
        <v>1108</v>
      </c>
      <c r="G502" s="162"/>
      <c r="H502" s="178"/>
      <c r="I502" s="167"/>
      <c r="J502" s="184">
        <v>5</v>
      </c>
      <c r="K502" s="162"/>
      <c r="L502" s="177" t="s">
        <v>1382</v>
      </c>
      <c r="M502" s="162"/>
      <c r="N502" s="162"/>
      <c r="O502" s="214" t="s">
        <v>1108</v>
      </c>
      <c r="P502" s="162"/>
      <c r="Q502" s="162"/>
      <c r="R502" s="162"/>
      <c r="S502" s="162"/>
    </row>
    <row r="503" spans="1:19" x14ac:dyDescent="0.2">
      <c r="A503" s="168"/>
      <c r="B503" s="158"/>
      <c r="C503" s="158"/>
      <c r="D503" s="167" t="s">
        <v>1108</v>
      </c>
      <c r="G503" s="162"/>
      <c r="H503" s="178"/>
      <c r="I503" s="167"/>
      <c r="J503" s="184">
        <v>6</v>
      </c>
      <c r="K503" s="162"/>
      <c r="L503" s="177" t="s">
        <v>1391</v>
      </c>
      <c r="M503" s="162"/>
      <c r="N503" s="162"/>
      <c r="O503" s="214" t="s">
        <v>1108</v>
      </c>
      <c r="P503" s="162"/>
      <c r="Q503" s="162"/>
      <c r="R503" s="162"/>
      <c r="S503" s="162"/>
    </row>
    <row r="504" spans="1:19" x14ac:dyDescent="0.2">
      <c r="A504" s="168"/>
      <c r="B504" s="158"/>
      <c r="C504" s="158"/>
      <c r="D504" s="167" t="s">
        <v>1108</v>
      </c>
      <c r="G504" s="162"/>
      <c r="H504" s="178"/>
      <c r="I504" s="167"/>
      <c r="J504" s="184">
        <v>7</v>
      </c>
      <c r="K504" s="162"/>
      <c r="L504" s="177" t="s">
        <v>1383</v>
      </c>
      <c r="M504" s="162"/>
      <c r="N504" s="162"/>
      <c r="O504" s="214" t="s">
        <v>1108</v>
      </c>
      <c r="P504" s="162"/>
      <c r="Q504" s="162"/>
      <c r="R504" s="162"/>
      <c r="S504" s="162"/>
    </row>
    <row r="505" spans="1:19" x14ac:dyDescent="0.2">
      <c r="A505" s="168"/>
      <c r="B505" s="158"/>
      <c r="C505" s="158"/>
      <c r="D505" s="167"/>
      <c r="G505" s="162"/>
      <c r="H505" s="178"/>
      <c r="I505" s="179" t="s">
        <v>1102</v>
      </c>
      <c r="J505" s="180"/>
      <c r="K505" s="191" t="s">
        <v>1392</v>
      </c>
      <c r="L505" s="182"/>
      <c r="M505" s="182"/>
      <c r="N505" s="182"/>
      <c r="O505" s="223"/>
      <c r="P505" s="162"/>
      <c r="Q505" s="162"/>
      <c r="R505" s="162"/>
      <c r="S505" s="162"/>
    </row>
    <row r="506" spans="1:19" x14ac:dyDescent="0.2">
      <c r="A506" s="168"/>
      <c r="B506" s="158"/>
      <c r="C506" s="158"/>
      <c r="D506" s="167" t="s">
        <v>1108</v>
      </c>
      <c r="G506" s="162"/>
      <c r="H506" s="178"/>
      <c r="I506" s="167"/>
      <c r="J506" s="184">
        <v>1</v>
      </c>
      <c r="K506" s="162"/>
      <c r="L506" s="177" t="s">
        <v>1385</v>
      </c>
      <c r="M506" s="162"/>
      <c r="N506" s="162"/>
      <c r="O506" s="214" t="s">
        <v>1108</v>
      </c>
      <c r="P506" s="162"/>
      <c r="Q506" s="162"/>
      <c r="R506" s="162"/>
      <c r="S506" s="162"/>
    </row>
    <row r="507" spans="1:19" x14ac:dyDescent="0.2">
      <c r="A507" s="168"/>
      <c r="B507" s="158"/>
      <c r="C507" s="158"/>
      <c r="D507" s="167" t="s">
        <v>1108</v>
      </c>
      <c r="G507" s="162"/>
      <c r="H507" s="178"/>
      <c r="I507" s="167"/>
      <c r="J507" s="184">
        <v>2</v>
      </c>
      <c r="K507" s="162"/>
      <c r="L507" s="177" t="s">
        <v>1206</v>
      </c>
      <c r="M507" s="162"/>
      <c r="N507" s="162"/>
      <c r="O507" s="214" t="s">
        <v>1108</v>
      </c>
      <c r="P507" s="162"/>
      <c r="Q507" s="162"/>
      <c r="R507" s="162"/>
      <c r="S507" s="162"/>
    </row>
    <row r="508" spans="1:19" x14ac:dyDescent="0.2">
      <c r="A508" s="168"/>
      <c r="B508" s="158"/>
      <c r="C508" s="158"/>
      <c r="D508" s="167" t="s">
        <v>1108</v>
      </c>
      <c r="G508" s="162"/>
      <c r="H508" s="178"/>
      <c r="I508" s="167"/>
      <c r="J508" s="184">
        <v>3</v>
      </c>
      <c r="K508" s="162"/>
      <c r="L508" s="177" t="s">
        <v>1395</v>
      </c>
      <c r="M508" s="162"/>
      <c r="N508" s="162"/>
      <c r="O508" s="214" t="s">
        <v>1108</v>
      </c>
      <c r="P508" s="162"/>
      <c r="Q508" s="162"/>
      <c r="R508" s="162"/>
      <c r="S508" s="162"/>
    </row>
    <row r="509" spans="1:19" x14ac:dyDescent="0.2">
      <c r="A509" s="168"/>
      <c r="B509" s="158"/>
      <c r="C509" s="158"/>
      <c r="D509" s="167" t="s">
        <v>1108</v>
      </c>
      <c r="G509" s="162"/>
      <c r="H509" s="178"/>
      <c r="I509" s="167"/>
      <c r="J509" s="184">
        <v>4</v>
      </c>
      <c r="K509" s="162"/>
      <c r="L509" s="177" t="s">
        <v>1380</v>
      </c>
      <c r="M509" s="162"/>
      <c r="N509" s="162"/>
      <c r="O509" s="214" t="s">
        <v>1108</v>
      </c>
      <c r="P509" s="162"/>
      <c r="Q509" s="162"/>
      <c r="R509" s="162"/>
      <c r="S509" s="162"/>
    </row>
    <row r="510" spans="1:19" x14ac:dyDescent="0.2">
      <c r="A510" s="168"/>
      <c r="B510" s="158"/>
      <c r="C510" s="158"/>
      <c r="D510" s="167" t="s">
        <v>1108</v>
      </c>
      <c r="G510" s="162"/>
      <c r="H510" s="178"/>
      <c r="I510" s="167"/>
      <c r="J510" s="184">
        <v>5</v>
      </c>
      <c r="K510" s="162"/>
      <c r="L510" s="177" t="s">
        <v>1317</v>
      </c>
      <c r="M510" s="162"/>
      <c r="N510" s="162"/>
      <c r="O510" s="214" t="s">
        <v>1108</v>
      </c>
      <c r="P510" s="162"/>
      <c r="Q510" s="162"/>
      <c r="R510" s="162"/>
      <c r="S510" s="162"/>
    </row>
    <row r="511" spans="1:19" x14ac:dyDescent="0.2">
      <c r="A511" s="168"/>
      <c r="B511" s="158"/>
      <c r="C511" s="158"/>
      <c r="D511" s="167" t="s">
        <v>1108</v>
      </c>
      <c r="G511" s="162"/>
      <c r="H511" s="178"/>
      <c r="I511" s="167"/>
      <c r="J511" s="184">
        <v>6</v>
      </c>
      <c r="K511" s="162"/>
      <c r="L511" s="177" t="s">
        <v>1399</v>
      </c>
      <c r="M511" s="162"/>
      <c r="N511" s="162"/>
      <c r="O511" s="214" t="s">
        <v>1108</v>
      </c>
      <c r="P511" s="162"/>
      <c r="Q511" s="162"/>
      <c r="R511" s="162"/>
      <c r="S511" s="162"/>
    </row>
    <row r="512" spans="1:19" x14ac:dyDescent="0.2">
      <c r="A512" s="168"/>
      <c r="B512" s="158"/>
      <c r="C512" s="158"/>
      <c r="D512" s="167" t="s">
        <v>1108</v>
      </c>
      <c r="G512" s="162"/>
      <c r="H512" s="178"/>
      <c r="I512" s="167"/>
      <c r="J512" s="184">
        <v>7</v>
      </c>
      <c r="K512" s="162"/>
      <c r="L512" s="177" t="s">
        <v>1391</v>
      </c>
      <c r="M512" s="162"/>
      <c r="N512" s="162"/>
      <c r="O512" s="214" t="s">
        <v>1108</v>
      </c>
      <c r="P512" s="162"/>
      <c r="Q512" s="162"/>
      <c r="R512" s="162"/>
      <c r="S512" s="162"/>
    </row>
    <row r="513" spans="1:19" x14ac:dyDescent="0.2">
      <c r="A513" s="168"/>
      <c r="B513" s="158"/>
      <c r="C513" s="158"/>
      <c r="D513" s="167" t="s">
        <v>1108</v>
      </c>
      <c r="G513" s="162"/>
      <c r="H513" s="178"/>
      <c r="I513" s="167"/>
      <c r="J513" s="184">
        <v>8</v>
      </c>
      <c r="K513" s="162"/>
      <c r="L513" s="189" t="s">
        <v>1410</v>
      </c>
      <c r="M513" s="188"/>
      <c r="N513" s="188"/>
      <c r="O513" s="232" t="s">
        <v>1108</v>
      </c>
      <c r="P513" s="162"/>
      <c r="Q513" s="162"/>
      <c r="R513" s="162"/>
      <c r="S513" s="162"/>
    </row>
    <row r="514" spans="1:19" x14ac:dyDescent="0.2">
      <c r="A514" s="168"/>
      <c r="B514" s="158"/>
      <c r="C514" s="158"/>
      <c r="D514" s="167"/>
      <c r="G514" s="162"/>
      <c r="H514" s="178"/>
      <c r="I514" s="179" t="s">
        <v>1105</v>
      </c>
      <c r="J514" s="180"/>
      <c r="K514" s="191" t="s">
        <v>1401</v>
      </c>
      <c r="L514" s="182"/>
      <c r="M514" s="182"/>
      <c r="N514" s="182"/>
      <c r="O514" s="223"/>
      <c r="P514" s="162"/>
      <c r="Q514" s="162"/>
      <c r="R514" s="162"/>
      <c r="S514" s="162"/>
    </row>
    <row r="515" spans="1:19" x14ac:dyDescent="0.2">
      <c r="A515" s="168"/>
      <c r="B515" s="158"/>
      <c r="C515" s="158"/>
      <c r="D515" s="167" t="s">
        <v>1108</v>
      </c>
      <c r="G515" s="162"/>
      <c r="H515" s="178"/>
      <c r="I515" s="167"/>
      <c r="J515" s="184">
        <v>1</v>
      </c>
      <c r="K515" s="162"/>
      <c r="L515" s="177" t="s">
        <v>1385</v>
      </c>
      <c r="M515" s="162"/>
      <c r="N515" s="162"/>
      <c r="O515" s="214" t="s">
        <v>1108</v>
      </c>
      <c r="P515" s="162"/>
      <c r="Q515" s="162"/>
      <c r="R515" s="162"/>
      <c r="S515" s="162"/>
    </row>
    <row r="516" spans="1:19" x14ac:dyDescent="0.2">
      <c r="A516" s="168"/>
      <c r="B516" s="158"/>
      <c r="C516" s="158"/>
      <c r="D516" s="167" t="s">
        <v>1108</v>
      </c>
      <c r="G516" s="162"/>
      <c r="H516" s="178"/>
      <c r="I516" s="167"/>
      <c r="J516" s="184">
        <v>2</v>
      </c>
      <c r="K516" s="162"/>
      <c r="L516" s="177" t="s">
        <v>1206</v>
      </c>
      <c r="M516" s="162"/>
      <c r="N516" s="162"/>
      <c r="O516" s="214" t="s">
        <v>1108</v>
      </c>
      <c r="P516" s="162"/>
      <c r="Q516" s="162"/>
      <c r="R516" s="162"/>
      <c r="S516" s="162"/>
    </row>
    <row r="517" spans="1:19" x14ac:dyDescent="0.2">
      <c r="A517" s="168"/>
      <c r="B517" s="158"/>
      <c r="C517" s="158"/>
      <c r="D517" s="167" t="s">
        <v>1108</v>
      </c>
      <c r="G517" s="162"/>
      <c r="H517" s="178"/>
      <c r="I517" s="167"/>
      <c r="J517" s="184">
        <v>3</v>
      </c>
      <c r="K517" s="162"/>
      <c r="L517" s="177" t="s">
        <v>1395</v>
      </c>
      <c r="M517" s="162"/>
      <c r="N517" s="162"/>
      <c r="O517" s="214" t="s">
        <v>1108</v>
      </c>
      <c r="P517" s="162"/>
      <c r="Q517" s="162"/>
      <c r="R517" s="162"/>
      <c r="S517" s="162"/>
    </row>
    <row r="518" spans="1:19" x14ac:dyDescent="0.2">
      <c r="A518" s="168"/>
      <c r="B518" s="158"/>
      <c r="C518" s="158"/>
      <c r="D518" s="167" t="s">
        <v>1108</v>
      </c>
      <c r="G518" s="162"/>
      <c r="H518" s="178"/>
      <c r="I518" s="167"/>
      <c r="J518" s="184">
        <v>4</v>
      </c>
      <c r="K518" s="162"/>
      <c r="L518" s="177" t="s">
        <v>1399</v>
      </c>
      <c r="M518" s="162"/>
      <c r="N518" s="162"/>
      <c r="O518" s="214" t="s">
        <v>1108</v>
      </c>
      <c r="P518" s="162"/>
      <c r="Q518" s="162"/>
      <c r="R518" s="162"/>
      <c r="S518" s="162"/>
    </row>
    <row r="519" spans="1:19" x14ac:dyDescent="0.2">
      <c r="A519" s="168"/>
      <c r="B519" s="158"/>
      <c r="C519" s="158"/>
      <c r="D519" s="167" t="s">
        <v>1108</v>
      </c>
      <c r="G519" s="162"/>
      <c r="H519" s="178"/>
      <c r="I519" s="167"/>
      <c r="J519" s="184">
        <v>5</v>
      </c>
      <c r="K519" s="162"/>
      <c r="L519" s="177" t="s">
        <v>1391</v>
      </c>
      <c r="M519" s="162"/>
      <c r="N519" s="162"/>
      <c r="O519" s="214" t="s">
        <v>1108</v>
      </c>
      <c r="P519" s="162"/>
      <c r="Q519" s="162"/>
      <c r="R519" s="162"/>
      <c r="S519" s="162"/>
    </row>
    <row r="520" spans="1:19" ht="15.75" thickBot="1" x14ac:dyDescent="0.25">
      <c r="A520" s="168"/>
      <c r="B520" s="158"/>
      <c r="C520" s="158"/>
      <c r="D520" s="167" t="s">
        <v>1108</v>
      </c>
      <c r="G520" s="162"/>
      <c r="H520" s="193"/>
      <c r="I520" s="194"/>
      <c r="J520" s="195">
        <v>6</v>
      </c>
      <c r="K520" s="196"/>
      <c r="L520" s="197" t="s">
        <v>1383</v>
      </c>
      <c r="M520" s="196"/>
      <c r="N520" s="196"/>
      <c r="O520" s="258" t="s">
        <v>1108</v>
      </c>
      <c r="P520" s="162"/>
      <c r="Q520" s="162"/>
      <c r="R520" s="162"/>
      <c r="S520" s="162"/>
    </row>
    <row r="521" spans="1:19" ht="15.75" thickTop="1" x14ac:dyDescent="0.2">
      <c r="A521" s="168">
        <v>46</v>
      </c>
      <c r="B521" s="158" t="s">
        <v>1411</v>
      </c>
      <c r="C521" s="158" t="s">
        <v>1412</v>
      </c>
      <c r="D521" s="167"/>
      <c r="G521" s="162"/>
      <c r="H521" s="200">
        <v>46</v>
      </c>
      <c r="I521" s="202"/>
      <c r="J521" s="212"/>
      <c r="K521" s="257" t="s">
        <v>1412</v>
      </c>
      <c r="L521" s="212"/>
      <c r="M521" s="212"/>
      <c r="N521" s="212"/>
      <c r="O521" s="222"/>
      <c r="P521" s="162"/>
      <c r="Q521" s="176">
        <f>H521</f>
        <v>46</v>
      </c>
      <c r="R521" s="167" t="str">
        <f>CONCATENATE("II-",TEXT(Q521,"0000"))</f>
        <v>II-0046</v>
      </c>
      <c r="S521" s="177" t="str">
        <f>K521</f>
        <v>IMPERMEABILIZACION</v>
      </c>
    </row>
    <row r="522" spans="1:19" x14ac:dyDescent="0.2">
      <c r="A522" s="168"/>
      <c r="B522" s="158"/>
      <c r="C522" s="158"/>
      <c r="D522" s="167" t="s">
        <v>1191</v>
      </c>
      <c r="G522" s="162"/>
      <c r="H522" s="178"/>
      <c r="I522" s="179" t="s">
        <v>997</v>
      </c>
      <c r="J522" s="162"/>
      <c r="K522" s="177" t="s">
        <v>1413</v>
      </c>
      <c r="L522" s="162"/>
      <c r="M522" s="162"/>
      <c r="N522" s="162"/>
      <c r="O522" s="214" t="s">
        <v>1191</v>
      </c>
      <c r="P522" s="162"/>
      <c r="Q522" s="162"/>
      <c r="R522" s="162"/>
      <c r="S522" s="162"/>
    </row>
    <row r="523" spans="1:19" x14ac:dyDescent="0.2">
      <c r="A523" s="168"/>
      <c r="B523" s="158"/>
      <c r="C523" s="158"/>
      <c r="D523" s="167"/>
      <c r="G523" s="162"/>
      <c r="H523" s="178"/>
      <c r="I523" s="179" t="s">
        <v>1024</v>
      </c>
      <c r="J523" s="180"/>
      <c r="K523" s="191" t="s">
        <v>1414</v>
      </c>
      <c r="L523" s="182"/>
      <c r="M523" s="182"/>
      <c r="N523" s="182"/>
      <c r="O523" s="223"/>
      <c r="P523" s="162"/>
      <c r="Q523" s="162"/>
      <c r="R523" s="162"/>
      <c r="S523" s="162"/>
    </row>
    <row r="524" spans="1:19" x14ac:dyDescent="0.2">
      <c r="A524" s="168"/>
      <c r="B524" s="158"/>
      <c r="C524" s="158"/>
      <c r="D524" s="167" t="s">
        <v>1191</v>
      </c>
      <c r="G524" s="162"/>
      <c r="H524" s="178"/>
      <c r="I524" s="167"/>
      <c r="J524" s="184">
        <v>1</v>
      </c>
      <c r="K524" s="162"/>
      <c r="L524" s="177" t="s">
        <v>1415</v>
      </c>
      <c r="M524" s="162"/>
      <c r="N524" s="162"/>
      <c r="O524" s="214" t="s">
        <v>1191</v>
      </c>
      <c r="P524" s="162"/>
      <c r="Q524" s="162"/>
      <c r="R524" s="162"/>
      <c r="S524" s="162"/>
    </row>
    <row r="525" spans="1:19" ht="15.75" thickBot="1" x14ac:dyDescent="0.25">
      <c r="A525" s="168"/>
      <c r="B525" s="158"/>
      <c r="C525" s="158"/>
      <c r="D525" s="167" t="s">
        <v>1191</v>
      </c>
      <c r="G525" s="162"/>
      <c r="H525" s="193"/>
      <c r="I525" s="194"/>
      <c r="J525" s="195">
        <v>2</v>
      </c>
      <c r="K525" s="196"/>
      <c r="L525" s="197" t="s">
        <v>1416</v>
      </c>
      <c r="M525" s="196"/>
      <c r="N525" s="196"/>
      <c r="O525" s="258" t="s">
        <v>1191</v>
      </c>
      <c r="P525" s="162"/>
      <c r="Q525" s="162"/>
      <c r="R525" s="162"/>
      <c r="S525" s="162"/>
    </row>
    <row r="526" spans="1:19" ht="15.75" thickTop="1" x14ac:dyDescent="0.2">
      <c r="A526" s="168">
        <v>47</v>
      </c>
      <c r="B526" s="158" t="s">
        <v>1417</v>
      </c>
      <c r="C526" s="158" t="s">
        <v>1418</v>
      </c>
      <c r="D526" s="167"/>
      <c r="G526" s="162"/>
      <c r="H526" s="200">
        <v>47</v>
      </c>
      <c r="I526" s="202"/>
      <c r="J526" s="212"/>
      <c r="K526" s="257" t="s">
        <v>1418</v>
      </c>
      <c r="L526" s="212"/>
      <c r="M526" s="212"/>
      <c r="N526" s="212"/>
      <c r="O526" s="222"/>
      <c r="P526" s="162"/>
      <c r="Q526" s="176">
        <f>H526</f>
        <v>47</v>
      </c>
      <c r="R526" s="167" t="str">
        <f>CONCATENATE("II-",TEXT(Q526,"0000"))</f>
        <v>II-0047</v>
      </c>
      <c r="S526" s="177" t="str">
        <f>K526</f>
        <v>IMPRIMACIÒN CON MATERIAL BITUMINOSO</v>
      </c>
    </row>
    <row r="527" spans="1:19" x14ac:dyDescent="0.2">
      <c r="A527" s="168"/>
      <c r="B527" s="158"/>
      <c r="C527" s="158"/>
      <c r="D527" s="167" t="s">
        <v>1191</v>
      </c>
      <c r="G527" s="162"/>
      <c r="H527" s="178"/>
      <c r="I527" s="179" t="s">
        <v>997</v>
      </c>
      <c r="J527" s="220"/>
      <c r="K527" s="237" t="s">
        <v>1415</v>
      </c>
      <c r="L527" s="237"/>
      <c r="M527" s="237"/>
      <c r="N527" s="220"/>
      <c r="O527" s="236" t="s">
        <v>1191</v>
      </c>
      <c r="P527" s="162"/>
      <c r="Q527" s="162"/>
      <c r="R527" s="162"/>
      <c r="S527" s="162"/>
    </row>
    <row r="528" spans="1:19" ht="15.75" thickBot="1" x14ac:dyDescent="0.25">
      <c r="A528" s="168"/>
      <c r="B528" s="158"/>
      <c r="C528" s="158"/>
      <c r="D528" s="167" t="s">
        <v>1191</v>
      </c>
      <c r="G528" s="162"/>
      <c r="H528" s="224"/>
      <c r="I528" s="226" t="s">
        <v>1024</v>
      </c>
      <c r="J528" s="227"/>
      <c r="K528" s="228" t="s">
        <v>1416</v>
      </c>
      <c r="L528" s="228"/>
      <c r="M528" s="228"/>
      <c r="N528" s="227"/>
      <c r="O528" s="260" t="s">
        <v>1191</v>
      </c>
      <c r="P528" s="162"/>
      <c r="Q528" s="162"/>
      <c r="R528" s="162"/>
      <c r="S528" s="162"/>
    </row>
    <row r="529" spans="1:19" x14ac:dyDescent="0.2">
      <c r="A529" s="168"/>
      <c r="B529" s="158"/>
      <c r="C529" s="158"/>
      <c r="D529" s="167"/>
      <c r="G529" s="162"/>
      <c r="H529" s="230"/>
      <c r="I529" s="167"/>
      <c r="J529" s="162"/>
      <c r="K529" s="177"/>
      <c r="L529" s="177"/>
      <c r="M529" s="177"/>
      <c r="N529" s="162"/>
      <c r="O529" s="165"/>
      <c r="P529" s="162"/>
      <c r="Q529" s="162"/>
      <c r="R529" s="162"/>
      <c r="S529" s="162"/>
    </row>
    <row r="530" spans="1:19" x14ac:dyDescent="0.2">
      <c r="A530" s="168"/>
      <c r="B530" s="158"/>
      <c r="C530" s="158"/>
      <c r="D530" s="167"/>
      <c r="G530" s="162"/>
      <c r="H530" s="230"/>
      <c r="I530" s="167"/>
      <c r="J530" s="162"/>
      <c r="K530" s="177"/>
      <c r="L530" s="177"/>
      <c r="M530" s="177"/>
      <c r="N530" s="162"/>
      <c r="O530" s="165"/>
      <c r="P530" s="162"/>
      <c r="Q530" s="162"/>
      <c r="R530" s="162"/>
      <c r="S530" s="162"/>
    </row>
    <row r="531" spans="1:19" x14ac:dyDescent="0.2">
      <c r="A531" s="168">
        <v>48</v>
      </c>
      <c r="B531" s="158" t="s">
        <v>1419</v>
      </c>
      <c r="C531" s="158" t="s">
        <v>1420</v>
      </c>
      <c r="D531" s="167"/>
      <c r="G531" s="162"/>
      <c r="H531" s="200">
        <v>48</v>
      </c>
      <c r="I531" s="202"/>
      <c r="J531" s="212"/>
      <c r="K531" s="257" t="s">
        <v>1420</v>
      </c>
      <c r="L531" s="212"/>
      <c r="M531" s="212"/>
      <c r="N531" s="212"/>
      <c r="O531" s="222"/>
      <c r="P531" s="162"/>
      <c r="Q531" s="176">
        <f>H531</f>
        <v>48</v>
      </c>
      <c r="R531" s="167" t="str">
        <f>CONCATENATE("II-",TEXT(Q531,"0000"))</f>
        <v>II-0048</v>
      </c>
      <c r="S531" s="177" t="str">
        <f>K531</f>
        <v>LIMPIEZA</v>
      </c>
    </row>
    <row r="532" spans="1:19" x14ac:dyDescent="0.2">
      <c r="A532" s="168"/>
      <c r="B532" s="158"/>
      <c r="C532" s="158"/>
      <c r="D532" s="167" t="s">
        <v>1421</v>
      </c>
      <c r="G532" s="162"/>
      <c r="H532" s="178"/>
      <c r="I532" s="281" t="s">
        <v>997</v>
      </c>
      <c r="J532" s="162"/>
      <c r="K532" s="177" t="s">
        <v>1422</v>
      </c>
      <c r="L532" s="177"/>
      <c r="M532" s="177"/>
      <c r="N532" s="162"/>
      <c r="O532" s="214" t="s">
        <v>1421</v>
      </c>
      <c r="P532" s="162"/>
      <c r="Q532" s="162"/>
      <c r="R532" s="162"/>
      <c r="S532" s="162"/>
    </row>
    <row r="533" spans="1:19" x14ac:dyDescent="0.2">
      <c r="A533" s="168"/>
      <c r="B533" s="158"/>
      <c r="C533" s="158"/>
      <c r="D533" s="167" t="s">
        <v>1108</v>
      </c>
      <c r="G533" s="162"/>
      <c r="H533" s="178"/>
      <c r="I533" s="179" t="s">
        <v>1024</v>
      </c>
      <c r="J533" s="220"/>
      <c r="K533" s="237" t="s">
        <v>1423</v>
      </c>
      <c r="L533" s="237"/>
      <c r="M533" s="237"/>
      <c r="N533" s="220"/>
      <c r="O533" s="236" t="s">
        <v>1108</v>
      </c>
      <c r="P533" s="162"/>
      <c r="Q533" s="162"/>
      <c r="R533" s="162"/>
      <c r="S533" s="162"/>
    </row>
    <row r="534" spans="1:19" x14ac:dyDescent="0.2">
      <c r="A534" s="168"/>
      <c r="B534" s="158"/>
      <c r="C534" s="158"/>
      <c r="D534" s="167" t="s">
        <v>1108</v>
      </c>
      <c r="G534" s="162"/>
      <c r="H534" s="178"/>
      <c r="I534" s="184" t="s">
        <v>1034</v>
      </c>
      <c r="J534" s="162"/>
      <c r="K534" s="177" t="s">
        <v>1424</v>
      </c>
      <c r="L534" s="177"/>
      <c r="M534" s="177"/>
      <c r="N534" s="162"/>
      <c r="O534" s="214" t="s">
        <v>1108</v>
      </c>
      <c r="P534" s="162"/>
      <c r="Q534" s="162"/>
      <c r="R534" s="162"/>
      <c r="S534" s="162"/>
    </row>
    <row r="535" spans="1:19" x14ac:dyDescent="0.2">
      <c r="A535" s="168"/>
      <c r="B535" s="158"/>
      <c r="C535" s="158"/>
      <c r="D535" s="167" t="s">
        <v>1108</v>
      </c>
      <c r="G535" s="162"/>
      <c r="H535" s="178"/>
      <c r="I535" s="281" t="s">
        <v>1060</v>
      </c>
      <c r="J535" s="182"/>
      <c r="K535" s="191" t="s">
        <v>1425</v>
      </c>
      <c r="L535" s="191"/>
      <c r="M535" s="191"/>
      <c r="N535" s="182"/>
      <c r="O535" s="223" t="s">
        <v>1108</v>
      </c>
      <c r="P535" s="162"/>
      <c r="Q535" s="162"/>
      <c r="R535" s="162"/>
      <c r="S535" s="162"/>
    </row>
    <row r="536" spans="1:19" x14ac:dyDescent="0.2">
      <c r="A536" s="168"/>
      <c r="B536" s="158"/>
      <c r="C536" s="158"/>
      <c r="D536" s="167" t="s">
        <v>1108</v>
      </c>
      <c r="G536" s="162"/>
      <c r="H536" s="178"/>
      <c r="I536" s="179" t="s">
        <v>1102</v>
      </c>
      <c r="J536" s="220"/>
      <c r="K536" s="237" t="s">
        <v>1426</v>
      </c>
      <c r="L536" s="237"/>
      <c r="M536" s="237"/>
      <c r="N536" s="220"/>
      <c r="O536" s="236" t="s">
        <v>1108</v>
      </c>
      <c r="P536" s="162"/>
      <c r="Q536" s="162"/>
      <c r="R536" s="162"/>
      <c r="S536" s="162"/>
    </row>
    <row r="537" spans="1:19" x14ac:dyDescent="0.2">
      <c r="A537" s="168"/>
      <c r="B537" s="158"/>
      <c r="C537" s="158"/>
      <c r="D537" s="167" t="s">
        <v>1225</v>
      </c>
      <c r="G537" s="162"/>
      <c r="H537" s="178"/>
      <c r="I537" s="184" t="s">
        <v>1105</v>
      </c>
      <c r="J537" s="162"/>
      <c r="K537" s="177" t="s">
        <v>1427</v>
      </c>
      <c r="L537" s="177"/>
      <c r="M537" s="177"/>
      <c r="N537" s="162"/>
      <c r="O537" s="214" t="s">
        <v>1225</v>
      </c>
      <c r="P537" s="162"/>
      <c r="Q537" s="162"/>
      <c r="R537" s="162"/>
      <c r="S537" s="162"/>
    </row>
    <row r="538" spans="1:19" x14ac:dyDescent="0.2">
      <c r="A538" s="168"/>
      <c r="B538" s="158"/>
      <c r="C538" s="158"/>
      <c r="D538" s="167" t="s">
        <v>974</v>
      </c>
      <c r="G538" s="162"/>
      <c r="H538" s="178"/>
      <c r="I538" s="179" t="s">
        <v>1109</v>
      </c>
      <c r="J538" s="220"/>
      <c r="K538" s="237" t="s">
        <v>1428</v>
      </c>
      <c r="L538" s="237"/>
      <c r="M538" s="237"/>
      <c r="N538" s="220"/>
      <c r="O538" s="236" t="s">
        <v>974</v>
      </c>
      <c r="P538" s="162"/>
      <c r="Q538" s="162"/>
      <c r="R538" s="162"/>
      <c r="S538" s="162"/>
    </row>
    <row r="539" spans="1:19" ht="15.75" thickBot="1" x14ac:dyDescent="0.25">
      <c r="A539" s="168"/>
      <c r="B539" s="158"/>
      <c r="C539" s="158"/>
      <c r="D539" s="167" t="s">
        <v>974</v>
      </c>
      <c r="G539" s="162"/>
      <c r="H539" s="193"/>
      <c r="I539" s="195" t="s">
        <v>1112</v>
      </c>
      <c r="J539" s="196"/>
      <c r="K539" s="197" t="s">
        <v>1429</v>
      </c>
      <c r="L539" s="197"/>
      <c r="M539" s="197"/>
      <c r="N539" s="196"/>
      <c r="O539" s="258" t="s">
        <v>974</v>
      </c>
      <c r="P539" s="162"/>
      <c r="Q539" s="162"/>
      <c r="R539" s="162"/>
      <c r="S539" s="162"/>
    </row>
    <row r="540" spans="1:19" ht="15.75" thickTop="1" x14ac:dyDescent="0.2">
      <c r="A540" s="168">
        <v>49</v>
      </c>
      <c r="B540" s="158" t="s">
        <v>1430</v>
      </c>
      <c r="C540" s="158" t="s">
        <v>1431</v>
      </c>
      <c r="D540" s="167"/>
      <c r="G540" s="162"/>
      <c r="H540" s="200">
        <v>49</v>
      </c>
      <c r="I540" s="202"/>
      <c r="J540" s="212"/>
      <c r="K540" s="257" t="s">
        <v>1431</v>
      </c>
      <c r="L540" s="212"/>
      <c r="M540" s="212"/>
      <c r="N540" s="212"/>
      <c r="O540" s="222"/>
      <c r="P540" s="162"/>
      <c r="Q540" s="176">
        <f>H540</f>
        <v>49</v>
      </c>
      <c r="R540" s="167" t="str">
        <f>CONCATENATE("II-",TEXT(Q540,"0000"))</f>
        <v>II-0049</v>
      </c>
      <c r="S540" s="177" t="str">
        <f>K540</f>
        <v>LOSA DE HORMIGON</v>
      </c>
    </row>
    <row r="541" spans="1:19" ht="15.75" thickBot="1" x14ac:dyDescent="0.25">
      <c r="A541" s="168"/>
      <c r="B541" s="158"/>
      <c r="C541" s="158"/>
      <c r="D541" s="167" t="s">
        <v>1191</v>
      </c>
      <c r="G541" s="162"/>
      <c r="H541" s="204"/>
      <c r="I541" s="205" t="s">
        <v>997</v>
      </c>
      <c r="J541" s="206"/>
      <c r="K541" s="239" t="s">
        <v>1111</v>
      </c>
      <c r="L541" s="208"/>
      <c r="M541" s="208"/>
      <c r="N541" s="208"/>
      <c r="O541" s="240" t="s">
        <v>1191</v>
      </c>
      <c r="P541" s="162"/>
      <c r="Q541" s="162"/>
      <c r="R541" s="162"/>
      <c r="S541" s="162"/>
    </row>
    <row r="542" spans="1:19" ht="15.75" thickTop="1" x14ac:dyDescent="0.2">
      <c r="A542" s="168">
        <v>50</v>
      </c>
      <c r="B542" s="158" t="s">
        <v>1432</v>
      </c>
      <c r="C542" s="158" t="s">
        <v>1433</v>
      </c>
      <c r="D542" s="167"/>
      <c r="G542" s="162"/>
      <c r="H542" s="200">
        <v>50</v>
      </c>
      <c r="I542" s="202"/>
      <c r="J542" s="212"/>
      <c r="K542" s="257" t="s">
        <v>1433</v>
      </c>
      <c r="L542" s="212"/>
      <c r="M542" s="212"/>
      <c r="N542" s="212"/>
      <c r="O542" s="222"/>
      <c r="P542" s="162"/>
      <c r="Q542" s="176">
        <f>H542</f>
        <v>50</v>
      </c>
      <c r="R542" s="167" t="str">
        <f>CONCATENATE("II-",TEXT(Q542,"0000"))</f>
        <v>II-0050</v>
      </c>
      <c r="S542" s="177" t="str">
        <f>K542</f>
        <v>LOSETAS DE HORMIGON</v>
      </c>
    </row>
    <row r="543" spans="1:19" x14ac:dyDescent="0.2">
      <c r="A543" s="168"/>
      <c r="B543" s="158"/>
      <c r="C543" s="158"/>
      <c r="D543" s="167"/>
      <c r="G543" s="162"/>
      <c r="H543" s="178"/>
      <c r="I543" s="179" t="s">
        <v>997</v>
      </c>
      <c r="J543" s="180"/>
      <c r="K543" s="191" t="s">
        <v>1434</v>
      </c>
      <c r="L543" s="182"/>
      <c r="M543" s="182"/>
      <c r="N543" s="182"/>
      <c r="O543" s="223"/>
      <c r="P543" s="162"/>
      <c r="Q543" s="162"/>
      <c r="R543" s="162"/>
      <c r="S543" s="162"/>
    </row>
    <row r="544" spans="1:19" x14ac:dyDescent="0.2">
      <c r="A544" s="168"/>
      <c r="B544" s="158"/>
      <c r="C544" s="158"/>
      <c r="D544" s="167" t="s">
        <v>1191</v>
      </c>
      <c r="G544" s="162"/>
      <c r="H544" s="178"/>
      <c r="I544" s="167"/>
      <c r="J544" s="184">
        <v>1</v>
      </c>
      <c r="K544" s="162"/>
      <c r="L544" s="177" t="s">
        <v>1435</v>
      </c>
      <c r="M544" s="162"/>
      <c r="N544" s="162"/>
      <c r="O544" s="214" t="s">
        <v>1191</v>
      </c>
      <c r="P544" s="162"/>
      <c r="Q544" s="162"/>
      <c r="R544" s="162"/>
      <c r="S544" s="162"/>
    </row>
    <row r="545" spans="1:19" x14ac:dyDescent="0.2">
      <c r="A545" s="168"/>
      <c r="B545" s="158"/>
      <c r="C545" s="158"/>
      <c r="D545" s="167" t="s">
        <v>1191</v>
      </c>
      <c r="G545" s="162"/>
      <c r="H545" s="178"/>
      <c r="I545" s="167"/>
      <c r="J545" s="184">
        <v>2</v>
      </c>
      <c r="K545" s="162"/>
      <c r="L545" s="177" t="s">
        <v>1297</v>
      </c>
      <c r="M545" s="162"/>
      <c r="N545" s="162"/>
      <c r="O545" s="214" t="s">
        <v>1191</v>
      </c>
      <c r="P545" s="162"/>
      <c r="Q545" s="162"/>
      <c r="R545" s="162"/>
      <c r="S545" s="162"/>
    </row>
    <row r="546" spans="1:19" x14ac:dyDescent="0.2">
      <c r="A546" s="168"/>
      <c r="B546" s="158"/>
      <c r="C546" s="158"/>
      <c r="D546" s="167" t="s">
        <v>1191</v>
      </c>
      <c r="G546" s="162"/>
      <c r="H546" s="178"/>
      <c r="I546" s="167"/>
      <c r="J546" s="184">
        <v>3</v>
      </c>
      <c r="K546" s="162"/>
      <c r="L546" s="177" t="s">
        <v>1317</v>
      </c>
      <c r="M546" s="162"/>
      <c r="N546" s="162"/>
      <c r="O546" s="214" t="s">
        <v>1191</v>
      </c>
      <c r="P546" s="162"/>
      <c r="Q546" s="162"/>
      <c r="R546" s="162"/>
      <c r="S546" s="162"/>
    </row>
    <row r="547" spans="1:19" x14ac:dyDescent="0.2">
      <c r="A547" s="168"/>
      <c r="B547" s="158"/>
      <c r="C547" s="158"/>
      <c r="D547" s="167" t="s">
        <v>1191</v>
      </c>
      <c r="G547" s="162"/>
      <c r="H547" s="178"/>
      <c r="I547" s="167"/>
      <c r="J547" s="184">
        <v>4</v>
      </c>
      <c r="K547" s="162"/>
      <c r="L547" s="177" t="s">
        <v>1436</v>
      </c>
      <c r="M547" s="162"/>
      <c r="N547" s="162"/>
      <c r="O547" s="214" t="s">
        <v>1191</v>
      </c>
      <c r="P547" s="162"/>
      <c r="Q547" s="162"/>
      <c r="R547" s="162"/>
      <c r="S547" s="162"/>
    </row>
    <row r="548" spans="1:19" x14ac:dyDescent="0.2">
      <c r="A548" s="168"/>
      <c r="B548" s="158"/>
      <c r="C548" s="158"/>
      <c r="D548" s="167" t="s">
        <v>1191</v>
      </c>
      <c r="G548" s="162"/>
      <c r="H548" s="178"/>
      <c r="I548" s="167"/>
      <c r="J548" s="184">
        <v>5</v>
      </c>
      <c r="K548" s="162"/>
      <c r="L548" s="177" t="s">
        <v>1437</v>
      </c>
      <c r="M548" s="162"/>
      <c r="N548" s="162"/>
      <c r="O548" s="214" t="s">
        <v>1191</v>
      </c>
      <c r="P548" s="162"/>
      <c r="Q548" s="162"/>
      <c r="R548" s="162"/>
      <c r="S548" s="162"/>
    </row>
    <row r="549" spans="1:19" x14ac:dyDescent="0.2">
      <c r="A549" s="168"/>
      <c r="B549" s="158"/>
      <c r="C549" s="158"/>
      <c r="D549" s="167" t="s">
        <v>1191</v>
      </c>
      <c r="G549" s="162"/>
      <c r="H549" s="178"/>
      <c r="I549" s="179" t="s">
        <v>1024</v>
      </c>
      <c r="J549" s="282"/>
      <c r="K549" s="237" t="s">
        <v>1066</v>
      </c>
      <c r="L549" s="237"/>
      <c r="M549" s="220"/>
      <c r="N549" s="220"/>
      <c r="O549" s="236" t="s">
        <v>1191</v>
      </c>
      <c r="P549" s="162"/>
      <c r="Q549" s="162"/>
      <c r="R549" s="162"/>
      <c r="S549" s="162"/>
    </row>
    <row r="550" spans="1:19" ht="15.75" thickBot="1" x14ac:dyDescent="0.25">
      <c r="A550" s="168"/>
      <c r="B550" s="158"/>
      <c r="C550" s="158"/>
      <c r="D550" s="167" t="s">
        <v>1191</v>
      </c>
      <c r="G550" s="162"/>
      <c r="H550" s="178"/>
      <c r="I550" s="195" t="s">
        <v>1034</v>
      </c>
      <c r="J550" s="167"/>
      <c r="K550" s="177" t="s">
        <v>1172</v>
      </c>
      <c r="L550" s="177"/>
      <c r="M550" s="162"/>
      <c r="N550" s="162"/>
      <c r="O550" s="214" t="s">
        <v>1191</v>
      </c>
      <c r="P550" s="162"/>
      <c r="Q550" s="162"/>
      <c r="R550" s="162"/>
      <c r="S550" s="162"/>
    </row>
    <row r="551" spans="1:19" ht="16.5" thickTop="1" thickBot="1" x14ac:dyDescent="0.25">
      <c r="A551" s="168">
        <v>51</v>
      </c>
      <c r="B551" s="158" t="s">
        <v>1438</v>
      </c>
      <c r="C551" s="158" t="s">
        <v>1439</v>
      </c>
      <c r="D551" s="167" t="s">
        <v>1191</v>
      </c>
      <c r="G551" s="162"/>
      <c r="H551" s="245">
        <v>51</v>
      </c>
      <c r="I551" s="201"/>
      <c r="J551" s="250"/>
      <c r="K551" s="251" t="s">
        <v>1439</v>
      </c>
      <c r="L551" s="250"/>
      <c r="M551" s="250"/>
      <c r="N551" s="250"/>
      <c r="O551" s="203" t="s">
        <v>1191</v>
      </c>
      <c r="P551" s="162"/>
      <c r="Q551" s="176">
        <f t="shared" ref="Q551:Q552" si="48">H551</f>
        <v>51</v>
      </c>
      <c r="R551" s="167" t="str">
        <f t="shared" ref="R551:R552" si="49">CONCATENATE("II-",TEXT(Q551,"0000"))</f>
        <v>II-0051</v>
      </c>
      <c r="S551" s="177" t="str">
        <f t="shared" ref="S551:S552" si="50">K551</f>
        <v>MAMPOSTERIA DE PIEDRA</v>
      </c>
    </row>
    <row r="552" spans="1:19" ht="16.5" thickTop="1" thickBot="1" x14ac:dyDescent="0.25">
      <c r="A552" s="168">
        <v>52</v>
      </c>
      <c r="B552" s="158" t="s">
        <v>1440</v>
      </c>
      <c r="C552" s="158" t="s">
        <v>1441</v>
      </c>
      <c r="D552" s="167"/>
      <c r="G552" s="162"/>
      <c r="H552" s="245">
        <v>52</v>
      </c>
      <c r="I552" s="201"/>
      <c r="J552" s="250"/>
      <c r="K552" s="251" t="s">
        <v>1441</v>
      </c>
      <c r="L552" s="250"/>
      <c r="M552" s="250"/>
      <c r="N552" s="250"/>
      <c r="O552" s="203"/>
      <c r="P552" s="162"/>
      <c r="Q552" s="176">
        <f t="shared" si="48"/>
        <v>52</v>
      </c>
      <c r="R552" s="167" t="str">
        <f t="shared" si="49"/>
        <v>II-0052</v>
      </c>
      <c r="S552" s="177" t="str">
        <f t="shared" si="50"/>
        <v>MANTENIMIENTO INVERNAL</v>
      </c>
    </row>
    <row r="553" spans="1:19" ht="15.75" thickTop="1" x14ac:dyDescent="0.2">
      <c r="A553" s="168"/>
      <c r="B553" s="158"/>
      <c r="C553" s="158"/>
      <c r="D553" s="167" t="s">
        <v>974</v>
      </c>
      <c r="G553" s="162"/>
      <c r="H553" s="283"/>
      <c r="I553" s="284" t="s">
        <v>997</v>
      </c>
      <c r="J553" s="285"/>
      <c r="K553" s="286" t="s">
        <v>1442</v>
      </c>
      <c r="L553" s="285"/>
      <c r="M553" s="285"/>
      <c r="N553" s="285"/>
      <c r="O553" s="287" t="s">
        <v>974</v>
      </c>
      <c r="P553" s="162"/>
      <c r="Q553" s="162"/>
      <c r="R553" s="162"/>
      <c r="S553" s="162"/>
    </row>
    <row r="554" spans="1:19" ht="15.75" thickBot="1" x14ac:dyDescent="0.25">
      <c r="A554" s="168"/>
      <c r="B554" s="158"/>
      <c r="C554" s="158"/>
      <c r="D554" s="167" t="s">
        <v>1443</v>
      </c>
      <c r="G554" s="162"/>
      <c r="H554" s="288"/>
      <c r="I554" s="179" t="s">
        <v>1024</v>
      </c>
      <c r="J554" s="188"/>
      <c r="K554" s="189" t="s">
        <v>1444</v>
      </c>
      <c r="L554" s="188"/>
      <c r="M554" s="188"/>
      <c r="N554" s="188"/>
      <c r="O554" s="232" t="s">
        <v>1443</v>
      </c>
      <c r="P554" s="162"/>
      <c r="Q554" s="162"/>
      <c r="R554" s="162"/>
      <c r="S554" s="162"/>
    </row>
    <row r="555" spans="1:19" ht="15.75" thickTop="1" x14ac:dyDescent="0.2">
      <c r="A555" s="168">
        <v>53</v>
      </c>
      <c r="B555" s="158" t="s">
        <v>1445</v>
      </c>
      <c r="C555" s="158" t="s">
        <v>1446</v>
      </c>
      <c r="D555" s="167"/>
      <c r="G555" s="162"/>
      <c r="H555" s="245">
        <v>53</v>
      </c>
      <c r="I555" s="201"/>
      <c r="J555" s="250"/>
      <c r="K555" s="289" t="s">
        <v>1446</v>
      </c>
      <c r="L555" s="250"/>
      <c r="M555" s="250"/>
      <c r="N555" s="250"/>
      <c r="O555" s="203"/>
      <c r="P555" s="162"/>
      <c r="Q555" s="176">
        <f>H555</f>
        <v>53</v>
      </c>
      <c r="R555" s="167" t="str">
        <f>CONCATENATE("II-",TEXT(Q555,"0000"))</f>
        <v>II-0053</v>
      </c>
      <c r="S555" s="177" t="str">
        <f>K555</f>
        <v>MEMBRANA PVC</v>
      </c>
    </row>
    <row r="556" spans="1:19" x14ac:dyDescent="0.2">
      <c r="A556" s="168"/>
      <c r="B556" s="158"/>
      <c r="C556" s="158"/>
      <c r="D556" s="167" t="s">
        <v>1191</v>
      </c>
      <c r="G556" s="162"/>
      <c r="H556" s="178"/>
      <c r="I556" s="281" t="s">
        <v>997</v>
      </c>
      <c r="J556" s="162"/>
      <c r="K556" s="237" t="s">
        <v>1447</v>
      </c>
      <c r="L556" s="162"/>
      <c r="M556" s="162"/>
      <c r="N556" s="162"/>
      <c r="O556" s="214" t="s">
        <v>1191</v>
      </c>
      <c r="P556" s="162"/>
      <c r="Q556" s="162"/>
      <c r="R556" s="162"/>
      <c r="S556" s="162"/>
    </row>
    <row r="557" spans="1:19" x14ac:dyDescent="0.2">
      <c r="A557" s="168"/>
      <c r="B557" s="158"/>
      <c r="C557" s="158"/>
      <c r="D557" s="167" t="s">
        <v>1191</v>
      </c>
      <c r="G557" s="162"/>
      <c r="H557" s="178"/>
      <c r="I557" s="179" t="s">
        <v>1024</v>
      </c>
      <c r="J557" s="282"/>
      <c r="K557" s="177" t="s">
        <v>1448</v>
      </c>
      <c r="L557" s="237"/>
      <c r="M557" s="220"/>
      <c r="N557" s="220"/>
      <c r="O557" s="236" t="s">
        <v>1191</v>
      </c>
      <c r="P557" s="162"/>
      <c r="Q557" s="162"/>
      <c r="R557" s="162"/>
      <c r="S557" s="162"/>
    </row>
    <row r="558" spans="1:19" x14ac:dyDescent="0.2">
      <c r="A558" s="168"/>
      <c r="B558" s="158"/>
      <c r="C558" s="158"/>
      <c r="D558" s="167" t="s">
        <v>1191</v>
      </c>
      <c r="G558" s="162"/>
      <c r="H558" s="178"/>
      <c r="I558" s="179" t="s">
        <v>1034</v>
      </c>
      <c r="J558" s="282"/>
      <c r="K558" s="237" t="s">
        <v>1116</v>
      </c>
      <c r="L558" s="237"/>
      <c r="M558" s="237"/>
      <c r="N558" s="220"/>
      <c r="O558" s="236" t="s">
        <v>1191</v>
      </c>
      <c r="P558" s="162"/>
      <c r="Q558" s="162"/>
      <c r="R558" s="162"/>
      <c r="S558" s="162"/>
    </row>
    <row r="559" spans="1:19" ht="15.75" thickBot="1" x14ac:dyDescent="0.25">
      <c r="A559" s="168"/>
      <c r="B559" s="158"/>
      <c r="C559" s="158"/>
      <c r="D559" s="167" t="s">
        <v>1191</v>
      </c>
      <c r="G559" s="162"/>
      <c r="H559" s="178"/>
      <c r="I559" s="195" t="s">
        <v>1060</v>
      </c>
      <c r="J559" s="167"/>
      <c r="K559" s="239" t="s">
        <v>1114</v>
      </c>
      <c r="L559" s="177"/>
      <c r="M559" s="177"/>
      <c r="N559" s="162"/>
      <c r="O559" s="214" t="s">
        <v>1191</v>
      </c>
      <c r="P559" s="162"/>
      <c r="Q559" s="162"/>
      <c r="R559" s="162"/>
      <c r="S559" s="162"/>
    </row>
    <row r="560" spans="1:19" ht="15.75" thickTop="1" x14ac:dyDescent="0.2">
      <c r="A560" s="168">
        <v>54</v>
      </c>
      <c r="B560" s="158" t="s">
        <v>1449</v>
      </c>
      <c r="C560" s="158" t="s">
        <v>1450</v>
      </c>
      <c r="D560" s="167"/>
      <c r="G560" s="162"/>
      <c r="H560" s="245">
        <v>54</v>
      </c>
      <c r="I560" s="201"/>
      <c r="J560" s="250"/>
      <c r="K560" s="257" t="s">
        <v>1450</v>
      </c>
      <c r="L560" s="250"/>
      <c r="M560" s="250"/>
      <c r="N560" s="250"/>
      <c r="O560" s="203"/>
      <c r="P560" s="162"/>
      <c r="Q560" s="176">
        <f>H560</f>
        <v>54</v>
      </c>
      <c r="R560" s="167" t="str">
        <f>CONCATENATE("II-",TEXT(Q560,"0000"))</f>
        <v>II-0054</v>
      </c>
      <c r="S560" s="177" t="str">
        <f>K560</f>
        <v>MOVILIDAD PARA EL PERSONAL AUXILIAR DE SUPERVISION</v>
      </c>
    </row>
    <row r="561" spans="1:19" x14ac:dyDescent="0.2">
      <c r="A561" s="168">
        <v>1</v>
      </c>
      <c r="B561" s="169" t="str">
        <f>CONCATENATE($B$560,".",TEXT(A561,"0000"))</f>
        <v>II-0054.0001</v>
      </c>
      <c r="C561" s="158" t="str">
        <f>K561</f>
        <v xml:space="preserve">CUOTA FIJA </v>
      </c>
      <c r="D561" s="167" t="s">
        <v>1451</v>
      </c>
      <c r="G561" s="162"/>
      <c r="H561" s="178"/>
      <c r="I561" s="179" t="s">
        <v>997</v>
      </c>
      <c r="J561" s="220"/>
      <c r="K561" s="237" t="s">
        <v>1452</v>
      </c>
      <c r="L561" s="237"/>
      <c r="M561" s="237"/>
      <c r="N561" s="220"/>
      <c r="O561" s="236" t="s">
        <v>1451</v>
      </c>
      <c r="P561" s="162"/>
      <c r="Q561" s="162"/>
      <c r="R561" s="162"/>
      <c r="S561" s="162"/>
    </row>
    <row r="562" spans="1:19" ht="15.75" thickBot="1" x14ac:dyDescent="0.25">
      <c r="A562" s="168">
        <v>2</v>
      </c>
      <c r="B562" s="169" t="str">
        <f>CONCATENATE($B$560,".",TEXT(A562,"0000"))</f>
        <v>II-0054.0002</v>
      </c>
      <c r="C562" s="158" t="str">
        <f>K562</f>
        <v>ADICIONAL POR KM</v>
      </c>
      <c r="D562" s="167" t="s">
        <v>1453</v>
      </c>
      <c r="G562" s="162"/>
      <c r="H562" s="193"/>
      <c r="I562" s="195" t="s">
        <v>1024</v>
      </c>
      <c r="J562" s="196"/>
      <c r="K562" s="197" t="s">
        <v>1454</v>
      </c>
      <c r="L562" s="197"/>
      <c r="M562" s="197"/>
      <c r="N562" s="196"/>
      <c r="O562" s="258" t="s">
        <v>1453</v>
      </c>
      <c r="P562" s="162"/>
      <c r="Q562" s="162"/>
      <c r="R562" s="162"/>
      <c r="S562" s="162"/>
    </row>
    <row r="563" spans="1:19" ht="16.5" thickTop="1" thickBot="1" x14ac:dyDescent="0.25">
      <c r="A563" s="168">
        <v>55</v>
      </c>
      <c r="B563" s="158" t="s">
        <v>1455</v>
      </c>
      <c r="C563" s="158" t="s">
        <v>1456</v>
      </c>
      <c r="D563" s="167" t="s">
        <v>5</v>
      </c>
      <c r="G563" s="162"/>
      <c r="H563" s="200">
        <v>55</v>
      </c>
      <c r="I563" s="202"/>
      <c r="J563" s="212"/>
      <c r="K563" s="257" t="s">
        <v>1456</v>
      </c>
      <c r="L563" s="212"/>
      <c r="M563" s="212"/>
      <c r="N563" s="212"/>
      <c r="O563" s="222" t="s">
        <v>5</v>
      </c>
      <c r="P563" s="162"/>
      <c r="Q563" s="176">
        <f t="shared" ref="Q563:Q564" si="51">H563</f>
        <v>55</v>
      </c>
      <c r="R563" s="167" t="str">
        <f t="shared" ref="R563:R564" si="52">CONCATENATE("II-",TEXT(Q563,"0000"))</f>
        <v>II-0055</v>
      </c>
      <c r="S563" s="177" t="str">
        <f t="shared" ref="S563:S564" si="53">K563</f>
        <v>MOVILIZACION DE OBRA</v>
      </c>
    </row>
    <row r="564" spans="1:19" ht="15.75" thickTop="1" x14ac:dyDescent="0.2">
      <c r="A564" s="168">
        <v>56</v>
      </c>
      <c r="B564" s="158" t="s">
        <v>1457</v>
      </c>
      <c r="C564" s="158" t="s">
        <v>1458</v>
      </c>
      <c r="D564" s="167"/>
      <c r="G564" s="162"/>
      <c r="H564" s="245">
        <v>56</v>
      </c>
      <c r="I564" s="201"/>
      <c r="J564" s="250"/>
      <c r="K564" s="251" t="s">
        <v>1458</v>
      </c>
      <c r="L564" s="250"/>
      <c r="M564" s="250"/>
      <c r="N564" s="250"/>
      <c r="O564" s="203"/>
      <c r="P564" s="162"/>
      <c r="Q564" s="176">
        <f t="shared" si="51"/>
        <v>56</v>
      </c>
      <c r="R564" s="167" t="str">
        <f t="shared" si="52"/>
        <v>II-0056</v>
      </c>
      <c r="S564" s="177" t="str">
        <f t="shared" si="53"/>
        <v xml:space="preserve">PASARELA </v>
      </c>
    </row>
    <row r="565" spans="1:19" x14ac:dyDescent="0.2">
      <c r="A565" s="168"/>
      <c r="B565" s="158"/>
      <c r="C565" s="158"/>
      <c r="D565" s="167" t="s">
        <v>973</v>
      </c>
      <c r="G565" s="162"/>
      <c r="H565" s="178"/>
      <c r="I565" s="281" t="s">
        <v>997</v>
      </c>
      <c r="J565" s="162"/>
      <c r="K565" s="177" t="s">
        <v>1221</v>
      </c>
      <c r="L565" s="162"/>
      <c r="M565" s="162"/>
      <c r="N565" s="162"/>
      <c r="O565" s="214" t="s">
        <v>973</v>
      </c>
      <c r="P565" s="162"/>
      <c r="Q565" s="162"/>
      <c r="R565" s="162"/>
      <c r="S565" s="162"/>
    </row>
    <row r="566" spans="1:19" x14ac:dyDescent="0.2">
      <c r="A566" s="168"/>
      <c r="B566" s="158"/>
      <c r="C566" s="158"/>
      <c r="D566" s="167"/>
      <c r="G566" s="162"/>
      <c r="H566" s="178"/>
      <c r="I566" s="179" t="s">
        <v>1024</v>
      </c>
      <c r="J566" s="182"/>
      <c r="K566" s="191" t="s">
        <v>1222</v>
      </c>
      <c r="L566" s="182"/>
      <c r="M566" s="182"/>
      <c r="N566" s="182"/>
      <c r="O566" s="223"/>
      <c r="P566" s="162"/>
      <c r="Q566" s="162"/>
      <c r="R566" s="162"/>
      <c r="S566" s="162"/>
    </row>
    <row r="567" spans="1:19" x14ac:dyDescent="0.2">
      <c r="A567" s="168"/>
      <c r="B567" s="158"/>
      <c r="C567" s="158"/>
      <c r="D567" s="167" t="s">
        <v>1233</v>
      </c>
      <c r="G567" s="162"/>
      <c r="H567" s="178"/>
      <c r="I567" s="167"/>
      <c r="J567" s="184">
        <v>1</v>
      </c>
      <c r="K567" s="162"/>
      <c r="L567" s="177" t="s">
        <v>1459</v>
      </c>
      <c r="M567" s="162"/>
      <c r="N567" s="162"/>
      <c r="O567" s="214" t="s">
        <v>1233</v>
      </c>
      <c r="P567" s="162"/>
      <c r="Q567" s="162"/>
      <c r="R567" s="162"/>
      <c r="S567" s="162"/>
    </row>
    <row r="568" spans="1:19" x14ac:dyDescent="0.2">
      <c r="A568" s="168"/>
      <c r="B568" s="158"/>
      <c r="C568" s="158"/>
      <c r="D568" s="167" t="s">
        <v>1233</v>
      </c>
      <c r="G568" s="162"/>
      <c r="H568" s="178"/>
      <c r="I568" s="167"/>
      <c r="J568" s="184">
        <v>2</v>
      </c>
      <c r="K568" s="162"/>
      <c r="L568" s="177" t="s">
        <v>1460</v>
      </c>
      <c r="M568" s="162"/>
      <c r="N568" s="162"/>
      <c r="O568" s="214" t="s">
        <v>1233</v>
      </c>
      <c r="P568" s="162"/>
      <c r="Q568" s="162"/>
      <c r="R568" s="162"/>
      <c r="S568" s="162"/>
    </row>
    <row r="569" spans="1:19" x14ac:dyDescent="0.2">
      <c r="A569" s="168"/>
      <c r="B569" s="158"/>
      <c r="C569" s="158"/>
      <c r="D569" s="167" t="s">
        <v>973</v>
      </c>
      <c r="G569" s="162"/>
      <c r="H569" s="178"/>
      <c r="I569" s="192"/>
      <c r="J569" s="187">
        <v>3</v>
      </c>
      <c r="K569" s="188"/>
      <c r="L569" s="189" t="s">
        <v>1461</v>
      </c>
      <c r="M569" s="188"/>
      <c r="N569" s="188"/>
      <c r="O569" s="232" t="s">
        <v>973</v>
      </c>
      <c r="P569" s="162"/>
      <c r="Q569" s="162"/>
      <c r="R569" s="162"/>
      <c r="S569" s="162"/>
    </row>
    <row r="570" spans="1:19" ht="15.75" thickBot="1" x14ac:dyDescent="0.25">
      <c r="A570" s="168"/>
      <c r="B570" s="158"/>
      <c r="C570" s="158"/>
      <c r="D570" s="167" t="s">
        <v>973</v>
      </c>
      <c r="G570" s="162"/>
      <c r="H570" s="178"/>
      <c r="I570" s="195" t="s">
        <v>1034</v>
      </c>
      <c r="J570" s="162"/>
      <c r="K570" s="177" t="s">
        <v>1462</v>
      </c>
      <c r="L570" s="162"/>
      <c r="M570" s="162"/>
      <c r="N570" s="162"/>
      <c r="O570" s="214" t="s">
        <v>973</v>
      </c>
      <c r="P570" s="162"/>
      <c r="Q570" s="162"/>
      <c r="R570" s="162"/>
      <c r="S570" s="162"/>
    </row>
    <row r="571" spans="1:19" ht="15.75" thickTop="1" x14ac:dyDescent="0.2">
      <c r="A571" s="168">
        <v>57</v>
      </c>
      <c r="B571" s="158" t="s">
        <v>1463</v>
      </c>
      <c r="C571" s="158" t="s">
        <v>1464</v>
      </c>
      <c r="D571" s="167"/>
      <c r="G571" s="162"/>
      <c r="H571" s="245">
        <v>57</v>
      </c>
      <c r="I571" s="201"/>
      <c r="J571" s="250"/>
      <c r="K571" s="251" t="s">
        <v>1464</v>
      </c>
      <c r="L571" s="250"/>
      <c r="M571" s="250"/>
      <c r="N571" s="250"/>
      <c r="O571" s="203"/>
      <c r="P571" s="162"/>
      <c r="Q571" s="176">
        <f>H571</f>
        <v>57</v>
      </c>
      <c r="R571" s="167" t="str">
        <f>CONCATENATE("II-",TEXT(Q571,"0000"))</f>
        <v>II-0057</v>
      </c>
      <c r="S571" s="177" t="str">
        <f>K571</f>
        <v>PASO A NIVEL</v>
      </c>
    </row>
    <row r="572" spans="1:19" ht="15.75" thickBot="1" x14ac:dyDescent="0.25">
      <c r="A572" s="168"/>
      <c r="B572" s="158"/>
      <c r="C572" s="158"/>
      <c r="D572" s="167" t="s">
        <v>5</v>
      </c>
      <c r="G572" s="162"/>
      <c r="H572" s="204"/>
      <c r="I572" s="206" t="s">
        <v>997</v>
      </c>
      <c r="J572" s="208"/>
      <c r="K572" s="239" t="s">
        <v>1465</v>
      </c>
      <c r="L572" s="239"/>
      <c r="M572" s="239"/>
      <c r="N572" s="239"/>
      <c r="O572" s="240" t="s">
        <v>5</v>
      </c>
      <c r="P572" s="162"/>
      <c r="Q572" s="162"/>
      <c r="R572" s="162"/>
      <c r="S572" s="162"/>
    </row>
    <row r="573" spans="1:19" ht="15.75" thickTop="1" x14ac:dyDescent="0.2">
      <c r="A573" s="168">
        <v>58</v>
      </c>
      <c r="B573" s="158" t="s">
        <v>1466</v>
      </c>
      <c r="C573" s="158" t="s">
        <v>1467</v>
      </c>
      <c r="D573" s="167"/>
      <c r="G573" s="162"/>
      <c r="H573" s="245">
        <v>58</v>
      </c>
      <c r="I573" s="201"/>
      <c r="J573" s="250"/>
      <c r="K573" s="251" t="s">
        <v>1467</v>
      </c>
      <c r="L573" s="251"/>
      <c r="M573" s="251"/>
      <c r="N573" s="251"/>
      <c r="O573" s="203"/>
      <c r="P573" s="162"/>
      <c r="Q573" s="176">
        <f>H573</f>
        <v>58</v>
      </c>
      <c r="R573" s="167" t="str">
        <f>CONCATENATE("II-",TEXT(Q573,"0000"))</f>
        <v>II-0058</v>
      </c>
      <c r="S573" s="177" t="str">
        <f>K573</f>
        <v>PAVIMENTO DE HORMIGON</v>
      </c>
    </row>
    <row r="574" spans="1:19" x14ac:dyDescent="0.2">
      <c r="A574" s="168"/>
      <c r="B574" s="158"/>
      <c r="C574" s="158"/>
      <c r="D574" s="167" t="s">
        <v>1191</v>
      </c>
      <c r="G574" s="162"/>
      <c r="H574" s="178"/>
      <c r="I574" s="281" t="s">
        <v>997</v>
      </c>
      <c r="J574" s="162"/>
      <c r="K574" s="177" t="s">
        <v>1468</v>
      </c>
      <c r="L574" s="177"/>
      <c r="M574" s="177"/>
      <c r="N574" s="177"/>
      <c r="O574" s="214" t="s">
        <v>1191</v>
      </c>
      <c r="P574" s="162"/>
      <c r="Q574" s="162"/>
      <c r="R574" s="162"/>
      <c r="S574" s="162"/>
    </row>
    <row r="575" spans="1:19" x14ac:dyDescent="0.2">
      <c r="A575" s="168"/>
      <c r="B575" s="158"/>
      <c r="C575" s="158"/>
      <c r="D575" s="167" t="s">
        <v>1191</v>
      </c>
      <c r="G575" s="162"/>
      <c r="H575" s="178"/>
      <c r="I575" s="179" t="s">
        <v>1024</v>
      </c>
      <c r="J575" s="220"/>
      <c r="K575" s="237" t="s">
        <v>1467</v>
      </c>
      <c r="L575" s="237"/>
      <c r="M575" s="237"/>
      <c r="N575" s="237"/>
      <c r="O575" s="236" t="s">
        <v>1191</v>
      </c>
      <c r="P575" s="162"/>
      <c r="Q575" s="162"/>
      <c r="R575" s="162"/>
      <c r="S575" s="162"/>
    </row>
    <row r="576" spans="1:19" x14ac:dyDescent="0.2">
      <c r="A576" s="168"/>
      <c r="B576" s="158"/>
      <c r="C576" s="158"/>
      <c r="D576" s="167" t="s">
        <v>1191</v>
      </c>
      <c r="G576" s="162"/>
      <c r="H576" s="178"/>
      <c r="I576" s="187" t="s">
        <v>1034</v>
      </c>
      <c r="J576" s="188"/>
      <c r="K576" s="237" t="s">
        <v>1469</v>
      </c>
      <c r="L576" s="189"/>
      <c r="M576" s="189"/>
      <c r="N576" s="189"/>
      <c r="O576" s="232" t="s">
        <v>1191</v>
      </c>
      <c r="P576" s="162"/>
      <c r="Q576" s="162"/>
      <c r="R576" s="162"/>
      <c r="S576" s="162"/>
    </row>
    <row r="577" spans="1:19" x14ac:dyDescent="0.2">
      <c r="A577" s="168"/>
      <c r="B577" s="158"/>
      <c r="C577" s="158"/>
      <c r="D577" s="167" t="s">
        <v>1191</v>
      </c>
      <c r="G577" s="162"/>
      <c r="H577" s="178"/>
      <c r="I577" s="184" t="s">
        <v>1060</v>
      </c>
      <c r="J577" s="162"/>
      <c r="K577" s="191" t="s">
        <v>1111</v>
      </c>
      <c r="L577" s="177"/>
      <c r="M577" s="177"/>
      <c r="N577" s="177"/>
      <c r="O577" s="214" t="s">
        <v>1191</v>
      </c>
      <c r="P577" s="162"/>
      <c r="Q577" s="162"/>
      <c r="R577" s="162"/>
      <c r="S577" s="162"/>
    </row>
    <row r="578" spans="1:19" ht="15.75" thickBot="1" x14ac:dyDescent="0.25">
      <c r="A578" s="168">
        <v>59</v>
      </c>
      <c r="B578" s="158" t="s">
        <v>1470</v>
      </c>
      <c r="C578" s="158" t="s">
        <v>1471</v>
      </c>
      <c r="D578" s="167" t="s">
        <v>1108</v>
      </c>
      <c r="G578" s="162"/>
      <c r="H578" s="266">
        <v>59</v>
      </c>
      <c r="I578" s="267"/>
      <c r="J578" s="268"/>
      <c r="K578" s="290" t="s">
        <v>1471</v>
      </c>
      <c r="L578" s="268"/>
      <c r="M578" s="268"/>
      <c r="N578" s="268"/>
      <c r="O578" s="270" t="s">
        <v>1108</v>
      </c>
      <c r="P578" s="162"/>
      <c r="Q578" s="176">
        <f t="shared" ref="Q578:Q579" si="54">H578</f>
        <v>59</v>
      </c>
      <c r="R578" s="167" t="str">
        <f t="shared" ref="R578:R579" si="55">CONCATENATE("II-",TEXT(Q578,"0000"))</f>
        <v>II-0059</v>
      </c>
      <c r="S578" s="177" t="str">
        <f t="shared" ref="S578:S579" si="56">K578</f>
        <v>PEDRAPLEN</v>
      </c>
    </row>
    <row r="579" spans="1:19" ht="15.75" thickTop="1" x14ac:dyDescent="0.2">
      <c r="A579" s="168">
        <v>60</v>
      </c>
      <c r="B579" s="158" t="s">
        <v>1472</v>
      </c>
      <c r="C579" s="158" t="s">
        <v>1473</v>
      </c>
      <c r="D579" s="167"/>
      <c r="G579" s="162"/>
      <c r="H579" s="200">
        <v>60</v>
      </c>
      <c r="I579" s="202"/>
      <c r="J579" s="212"/>
      <c r="K579" s="257" t="s">
        <v>1473</v>
      </c>
      <c r="L579" s="212"/>
      <c r="M579" s="212"/>
      <c r="N579" s="212"/>
      <c r="O579" s="222"/>
      <c r="P579" s="162"/>
      <c r="Q579" s="176">
        <f t="shared" si="54"/>
        <v>60</v>
      </c>
      <c r="R579" s="167" t="str">
        <f t="shared" si="55"/>
        <v>II-0060</v>
      </c>
      <c r="S579" s="177" t="str">
        <f t="shared" si="56"/>
        <v>PERFILADO</v>
      </c>
    </row>
    <row r="580" spans="1:19" x14ac:dyDescent="0.2">
      <c r="A580" s="168"/>
      <c r="B580" s="158"/>
      <c r="C580" s="158"/>
      <c r="D580" s="167" t="s">
        <v>1191</v>
      </c>
      <c r="G580" s="162"/>
      <c r="H580" s="178"/>
      <c r="I580" s="281" t="s">
        <v>997</v>
      </c>
      <c r="J580" s="162"/>
      <c r="K580" s="177" t="s">
        <v>1474</v>
      </c>
      <c r="L580" s="162"/>
      <c r="M580" s="162"/>
      <c r="N580" s="162"/>
      <c r="O580" s="214" t="s">
        <v>1191</v>
      </c>
      <c r="P580" s="162"/>
      <c r="Q580" s="162"/>
      <c r="R580" s="162"/>
      <c r="S580" s="162"/>
    </row>
    <row r="581" spans="1:19" x14ac:dyDescent="0.2">
      <c r="A581" s="168"/>
      <c r="B581" s="158"/>
      <c r="C581" s="158"/>
      <c r="D581" s="167" t="s">
        <v>1191</v>
      </c>
      <c r="G581" s="162"/>
      <c r="H581" s="178"/>
      <c r="I581" s="179" t="s">
        <v>1024</v>
      </c>
      <c r="J581" s="220"/>
      <c r="K581" s="237" t="s">
        <v>1317</v>
      </c>
      <c r="L581" s="220"/>
      <c r="M581" s="220"/>
      <c r="N581" s="220"/>
      <c r="O581" s="236" t="s">
        <v>1191</v>
      </c>
      <c r="P581" s="162"/>
      <c r="Q581" s="162"/>
      <c r="R581" s="162"/>
      <c r="S581" s="162"/>
    </row>
    <row r="582" spans="1:19" ht="15.75" thickBot="1" x14ac:dyDescent="0.25">
      <c r="A582" s="168"/>
      <c r="B582" s="158"/>
      <c r="C582" s="158"/>
      <c r="D582" s="167" t="s">
        <v>1191</v>
      </c>
      <c r="G582" s="162"/>
      <c r="H582" s="178"/>
      <c r="I582" s="195" t="s">
        <v>1034</v>
      </c>
      <c r="J582" s="162"/>
      <c r="K582" s="177" t="s">
        <v>1436</v>
      </c>
      <c r="L582" s="162"/>
      <c r="M582" s="162"/>
      <c r="N582" s="162"/>
      <c r="O582" s="214" t="s">
        <v>1191</v>
      </c>
      <c r="P582" s="162"/>
      <c r="Q582" s="162"/>
      <c r="R582" s="162"/>
      <c r="S582" s="162"/>
    </row>
    <row r="583" spans="1:19" ht="16.5" thickTop="1" thickBot="1" x14ac:dyDescent="0.25">
      <c r="A583" s="168">
        <v>61</v>
      </c>
      <c r="B583" s="158" t="s">
        <v>1475</v>
      </c>
      <c r="C583" s="158" t="s">
        <v>1476</v>
      </c>
      <c r="D583" s="167" t="s">
        <v>1191</v>
      </c>
      <c r="G583" s="162"/>
      <c r="H583" s="271">
        <v>61</v>
      </c>
      <c r="I583" s="272"/>
      <c r="J583" s="273"/>
      <c r="K583" s="274" t="s">
        <v>1476</v>
      </c>
      <c r="L583" s="273"/>
      <c r="M583" s="273"/>
      <c r="N583" s="273"/>
      <c r="O583" s="275" t="s">
        <v>1191</v>
      </c>
      <c r="P583" s="162"/>
      <c r="Q583" s="176">
        <f t="shared" ref="Q583:Q584" si="57">H583</f>
        <v>61</v>
      </c>
      <c r="R583" s="167" t="str">
        <f t="shared" ref="R583:R584" si="58">CONCATENATE("II-",TEXT(Q583,"0000"))</f>
        <v>II-0061</v>
      </c>
      <c r="S583" s="177" t="str">
        <f t="shared" ref="S583:S584" si="59">K583</f>
        <v>PIEDRA COLOCADA</v>
      </c>
    </row>
    <row r="584" spans="1:19" ht="15.75" thickTop="1" x14ac:dyDescent="0.2">
      <c r="A584" s="168">
        <v>62</v>
      </c>
      <c r="B584" s="158" t="s">
        <v>1477</v>
      </c>
      <c r="C584" s="158" t="s">
        <v>1478</v>
      </c>
      <c r="D584" s="167"/>
      <c r="G584" s="162"/>
      <c r="H584" s="200">
        <v>62</v>
      </c>
      <c r="I584" s="202"/>
      <c r="J584" s="212"/>
      <c r="K584" s="257" t="s">
        <v>1478</v>
      </c>
      <c r="L584" s="212"/>
      <c r="M584" s="212"/>
      <c r="N584" s="212"/>
      <c r="O584" s="222"/>
      <c r="P584" s="162"/>
      <c r="Q584" s="176">
        <f t="shared" si="57"/>
        <v>62</v>
      </c>
      <c r="R584" s="167" t="str">
        <f t="shared" si="58"/>
        <v>II-0062</v>
      </c>
      <c r="S584" s="177" t="str">
        <f t="shared" si="59"/>
        <v>PRADERIZACION</v>
      </c>
    </row>
    <row r="585" spans="1:19" x14ac:dyDescent="0.2">
      <c r="A585" s="168"/>
      <c r="B585" s="158"/>
      <c r="C585" s="158"/>
      <c r="D585" s="167" t="s">
        <v>1191</v>
      </c>
      <c r="G585" s="162"/>
      <c r="H585" s="178"/>
      <c r="I585" s="281" t="s">
        <v>997</v>
      </c>
      <c r="J585" s="162"/>
      <c r="K585" s="177" t="s">
        <v>1479</v>
      </c>
      <c r="L585" s="162"/>
      <c r="M585" s="162"/>
      <c r="N585" s="162"/>
      <c r="O585" s="214" t="s">
        <v>1191</v>
      </c>
      <c r="P585" s="162"/>
      <c r="Q585" s="162"/>
      <c r="R585" s="162"/>
      <c r="S585" s="162"/>
    </row>
    <row r="586" spans="1:19" x14ac:dyDescent="0.2">
      <c r="A586" s="168"/>
      <c r="B586" s="158"/>
      <c r="C586" s="158"/>
      <c r="D586" s="167" t="s">
        <v>1191</v>
      </c>
      <c r="G586" s="162"/>
      <c r="H586" s="178"/>
      <c r="I586" s="179" t="s">
        <v>1024</v>
      </c>
      <c r="J586" s="220"/>
      <c r="K586" s="237" t="s">
        <v>1480</v>
      </c>
      <c r="L586" s="220"/>
      <c r="M586" s="220"/>
      <c r="N586" s="220"/>
      <c r="O586" s="236" t="s">
        <v>1191</v>
      </c>
      <c r="P586" s="162"/>
      <c r="Q586" s="162"/>
      <c r="R586" s="162"/>
      <c r="S586" s="162"/>
    </row>
    <row r="587" spans="1:19" ht="15.75" thickBot="1" x14ac:dyDescent="0.25">
      <c r="A587" s="168"/>
      <c r="B587" s="158"/>
      <c r="C587" s="158"/>
      <c r="D587" s="167" t="s">
        <v>1481</v>
      </c>
      <c r="G587" s="162"/>
      <c r="H587" s="178"/>
      <c r="I587" s="195" t="s">
        <v>1034</v>
      </c>
      <c r="J587" s="162"/>
      <c r="K587" s="177" t="s">
        <v>1482</v>
      </c>
      <c r="L587" s="162"/>
      <c r="M587" s="162"/>
      <c r="N587" s="162"/>
      <c r="O587" s="214" t="s">
        <v>1481</v>
      </c>
      <c r="P587" s="162"/>
      <c r="Q587" s="162"/>
      <c r="R587" s="162"/>
      <c r="S587" s="162"/>
    </row>
    <row r="588" spans="1:19" ht="15.75" thickTop="1" x14ac:dyDescent="0.2">
      <c r="A588" s="168">
        <v>63</v>
      </c>
      <c r="B588" s="158" t="s">
        <v>1483</v>
      </c>
      <c r="C588" s="158" t="s">
        <v>1484</v>
      </c>
      <c r="D588" s="167"/>
      <c r="G588" s="162"/>
      <c r="H588" s="245">
        <v>63</v>
      </c>
      <c r="I588" s="201"/>
      <c r="J588" s="250"/>
      <c r="K588" s="251" t="s">
        <v>1484</v>
      </c>
      <c r="L588" s="250"/>
      <c r="M588" s="250"/>
      <c r="N588" s="250"/>
      <c r="O588" s="203"/>
      <c r="P588" s="162"/>
      <c r="Q588" s="176">
        <f>H588</f>
        <v>63</v>
      </c>
      <c r="R588" s="167" t="str">
        <f>CONCATENATE("II-",TEXT(Q588,"0000"))</f>
        <v>II-0063</v>
      </c>
      <c r="S588" s="177" t="str">
        <f>K588</f>
        <v>PRETILES</v>
      </c>
    </row>
    <row r="589" spans="1:19" x14ac:dyDescent="0.2">
      <c r="A589" s="168"/>
      <c r="B589" s="158"/>
      <c r="C589" s="158"/>
      <c r="D589" s="167" t="s">
        <v>1225</v>
      </c>
      <c r="G589" s="162"/>
      <c r="H589" s="178"/>
      <c r="I589" s="179" t="s">
        <v>997</v>
      </c>
      <c r="J589" s="220"/>
      <c r="K589" s="291" t="s">
        <v>1485</v>
      </c>
      <c r="L589" s="292"/>
      <c r="M589" s="292"/>
      <c r="N589" s="220"/>
      <c r="O589" s="236" t="s">
        <v>1225</v>
      </c>
      <c r="P589" s="162"/>
      <c r="Q589" s="162"/>
      <c r="R589" s="162"/>
      <c r="S589" s="162"/>
    </row>
    <row r="590" spans="1:19" ht="15.75" thickBot="1" x14ac:dyDescent="0.25">
      <c r="A590" s="168"/>
      <c r="B590" s="158"/>
      <c r="C590" s="158"/>
      <c r="D590" s="167" t="s">
        <v>1225</v>
      </c>
      <c r="G590" s="162"/>
      <c r="H590" s="193"/>
      <c r="I590" s="195" t="s">
        <v>1024</v>
      </c>
      <c r="J590" s="196"/>
      <c r="K590" s="293" t="s">
        <v>1486</v>
      </c>
      <c r="L590" s="294"/>
      <c r="M590" s="294"/>
      <c r="N590" s="196"/>
      <c r="O590" s="258" t="s">
        <v>1225</v>
      </c>
      <c r="P590" s="162"/>
      <c r="Q590" s="162"/>
      <c r="R590" s="162"/>
      <c r="S590" s="162"/>
    </row>
    <row r="591" spans="1:19" ht="15.75" thickTop="1" x14ac:dyDescent="0.2">
      <c r="A591" s="168">
        <v>64</v>
      </c>
      <c r="B591" s="158" t="s">
        <v>1487</v>
      </c>
      <c r="C591" s="158" t="s">
        <v>1488</v>
      </c>
      <c r="D591" s="167"/>
      <c r="G591" s="162"/>
      <c r="H591" s="200">
        <v>64</v>
      </c>
      <c r="I591" s="202"/>
      <c r="J591" s="212"/>
      <c r="K591" s="257" t="s">
        <v>1488</v>
      </c>
      <c r="L591" s="212"/>
      <c r="M591" s="212"/>
      <c r="N591" s="212"/>
      <c r="O591" s="222"/>
      <c r="P591" s="162"/>
      <c r="Q591" s="176">
        <f>H591</f>
        <v>64</v>
      </c>
      <c r="R591" s="167" t="str">
        <f>CONCATENATE("II-",TEXT(Q591,"0000"))</f>
        <v>II-0064</v>
      </c>
      <c r="S591" s="177" t="str">
        <f>K591</f>
        <v>PROTECCION DE DUCTOS</v>
      </c>
    </row>
    <row r="592" spans="1:19" ht="15.75" thickBot="1" x14ac:dyDescent="0.25">
      <c r="A592" s="168"/>
      <c r="B592" s="158"/>
      <c r="C592" s="158"/>
      <c r="D592" s="167" t="s">
        <v>1233</v>
      </c>
      <c r="G592" s="162"/>
      <c r="H592" s="178"/>
      <c r="I592" s="205" t="s">
        <v>997</v>
      </c>
      <c r="J592" s="162"/>
      <c r="K592" s="177" t="s">
        <v>1489</v>
      </c>
      <c r="L592" s="177"/>
      <c r="M592" s="177"/>
      <c r="N592" s="162"/>
      <c r="O592" s="214" t="s">
        <v>1233</v>
      </c>
      <c r="P592" s="162"/>
      <c r="Q592" s="162"/>
      <c r="R592" s="162"/>
      <c r="S592" s="162"/>
    </row>
    <row r="593" spans="1:19" ht="15.75" thickTop="1" x14ac:dyDescent="0.2">
      <c r="A593" s="168">
        <v>65</v>
      </c>
      <c r="B593" s="158" t="s">
        <v>1490</v>
      </c>
      <c r="C593" s="158" t="s">
        <v>1491</v>
      </c>
      <c r="D593" s="167"/>
      <c r="G593" s="162"/>
      <c r="H593" s="245">
        <v>65</v>
      </c>
      <c r="I593" s="201"/>
      <c r="J593" s="250"/>
      <c r="K593" s="251" t="s">
        <v>1491</v>
      </c>
      <c r="L593" s="250"/>
      <c r="M593" s="250"/>
      <c r="N593" s="250"/>
      <c r="O593" s="203"/>
      <c r="P593" s="162"/>
      <c r="Q593" s="176">
        <f>H593</f>
        <v>65</v>
      </c>
      <c r="R593" s="167" t="str">
        <f>CONCATENATE("II-",TEXT(Q593,"0000"))</f>
        <v>II-0065</v>
      </c>
      <c r="S593" s="177" t="str">
        <f>K593</f>
        <v xml:space="preserve">PUENTE </v>
      </c>
    </row>
    <row r="594" spans="1:19" x14ac:dyDescent="0.2">
      <c r="A594" s="168"/>
      <c r="B594" s="158"/>
      <c r="C594" s="158"/>
      <c r="D594" s="167" t="s">
        <v>1108</v>
      </c>
      <c r="G594" s="162"/>
      <c r="H594" s="295"/>
      <c r="I594" s="281" t="s">
        <v>997</v>
      </c>
      <c r="J594" s="162"/>
      <c r="K594" s="177" t="s">
        <v>1492</v>
      </c>
      <c r="L594" s="177"/>
      <c r="M594" s="177"/>
      <c r="N594" s="162"/>
      <c r="O594" s="214" t="s">
        <v>1108</v>
      </c>
      <c r="P594" s="162"/>
      <c r="Q594" s="162"/>
      <c r="R594" s="162"/>
      <c r="S594" s="162"/>
    </row>
    <row r="595" spans="1:19" x14ac:dyDescent="0.2">
      <c r="A595" s="168"/>
      <c r="B595" s="158"/>
      <c r="C595" s="158"/>
      <c r="D595" s="167" t="s">
        <v>1108</v>
      </c>
      <c r="G595" s="162"/>
      <c r="H595" s="295"/>
      <c r="I595" s="179" t="s">
        <v>1024</v>
      </c>
      <c r="J595" s="220"/>
      <c r="K595" s="237" t="s">
        <v>1107</v>
      </c>
      <c r="L595" s="237"/>
      <c r="M595" s="237"/>
      <c r="N595" s="220"/>
      <c r="O595" s="236" t="s">
        <v>1108</v>
      </c>
      <c r="P595" s="162"/>
      <c r="Q595" s="162"/>
      <c r="R595" s="162"/>
      <c r="S595" s="162"/>
    </row>
    <row r="596" spans="1:19" x14ac:dyDescent="0.2">
      <c r="A596" s="168"/>
      <c r="B596" s="158"/>
      <c r="C596" s="158"/>
      <c r="D596" s="167" t="s">
        <v>1001</v>
      </c>
      <c r="G596" s="162"/>
      <c r="H596" s="295"/>
      <c r="I596" s="179" t="s">
        <v>1034</v>
      </c>
      <c r="J596" s="220"/>
      <c r="K596" s="237" t="s">
        <v>1111</v>
      </c>
      <c r="L596" s="237"/>
      <c r="M596" s="237"/>
      <c r="N596" s="220"/>
      <c r="O596" s="236" t="s">
        <v>1001</v>
      </c>
      <c r="P596" s="162"/>
      <c r="Q596" s="162"/>
      <c r="R596" s="162"/>
      <c r="S596" s="162"/>
    </row>
    <row r="597" spans="1:19" x14ac:dyDescent="0.2">
      <c r="A597" s="168"/>
      <c r="B597" s="158"/>
      <c r="C597" s="158"/>
      <c r="D597" s="167"/>
      <c r="G597" s="162"/>
      <c r="H597" s="295"/>
      <c r="I597" s="179" t="s">
        <v>1060</v>
      </c>
      <c r="J597" s="182"/>
      <c r="K597" s="177" t="s">
        <v>1493</v>
      </c>
      <c r="L597" s="177"/>
      <c r="M597" s="177"/>
      <c r="N597" s="162"/>
      <c r="O597" s="214"/>
      <c r="P597" s="162"/>
      <c r="Q597" s="162"/>
      <c r="R597" s="162"/>
      <c r="S597" s="162"/>
    </row>
    <row r="598" spans="1:19" x14ac:dyDescent="0.2">
      <c r="A598" s="168"/>
      <c r="B598" s="158"/>
      <c r="C598" s="158"/>
      <c r="D598" s="167" t="s">
        <v>1191</v>
      </c>
      <c r="G598" s="162"/>
      <c r="H598" s="295"/>
      <c r="I598" s="167"/>
      <c r="J598" s="296">
        <v>1</v>
      </c>
      <c r="K598" s="177"/>
      <c r="L598" s="177" t="s">
        <v>1101</v>
      </c>
      <c r="M598" s="177"/>
      <c r="N598" s="162"/>
      <c r="O598" s="214" t="s">
        <v>1191</v>
      </c>
      <c r="P598" s="162"/>
      <c r="Q598" s="162"/>
      <c r="R598" s="162"/>
      <c r="S598" s="162"/>
    </row>
    <row r="599" spans="1:19" ht="15.75" thickBot="1" x14ac:dyDescent="0.25">
      <c r="A599" s="168"/>
      <c r="B599" s="158"/>
      <c r="C599" s="158"/>
      <c r="D599" s="167" t="s">
        <v>1494</v>
      </c>
      <c r="G599" s="162"/>
      <c r="H599" s="297"/>
      <c r="I599" s="194"/>
      <c r="J599" s="298">
        <v>2</v>
      </c>
      <c r="K599" s="197"/>
      <c r="L599" s="197" t="s">
        <v>1495</v>
      </c>
      <c r="M599" s="197"/>
      <c r="N599" s="196"/>
      <c r="O599" s="258" t="s">
        <v>1494</v>
      </c>
      <c r="P599" s="162"/>
      <c r="Q599" s="162"/>
      <c r="R599" s="162"/>
      <c r="S599" s="162"/>
    </row>
    <row r="600" spans="1:19" ht="15.75" thickTop="1" x14ac:dyDescent="0.2">
      <c r="A600" s="168">
        <v>66</v>
      </c>
      <c r="B600" s="158" t="s">
        <v>1496</v>
      </c>
      <c r="C600" s="158" t="s">
        <v>1497</v>
      </c>
      <c r="D600" s="167"/>
      <c r="G600" s="162"/>
      <c r="H600" s="200">
        <v>66</v>
      </c>
      <c r="I600" s="202"/>
      <c r="J600" s="212"/>
      <c r="K600" s="257" t="s">
        <v>1497</v>
      </c>
      <c r="L600" s="212"/>
      <c r="M600" s="212"/>
      <c r="N600" s="212"/>
      <c r="O600" s="222"/>
      <c r="P600" s="162"/>
      <c r="Q600" s="176">
        <f>H600</f>
        <v>66</v>
      </c>
      <c r="R600" s="167" t="str">
        <f>CONCATENATE("II-",TEXT(Q600,"0000"))</f>
        <v>II-0066</v>
      </c>
      <c r="S600" s="177" t="str">
        <f>K600</f>
        <v>PUENTE BAYLEY / FM</v>
      </c>
    </row>
    <row r="601" spans="1:19" x14ac:dyDescent="0.2">
      <c r="A601" s="168"/>
      <c r="B601" s="158"/>
      <c r="C601" s="158"/>
      <c r="D601" s="167" t="s">
        <v>1233</v>
      </c>
      <c r="G601" s="162"/>
      <c r="H601" s="178"/>
      <c r="I601" s="281" t="s">
        <v>997</v>
      </c>
      <c r="J601" s="162"/>
      <c r="K601" s="177" t="s">
        <v>1498</v>
      </c>
      <c r="L601" s="162"/>
      <c r="M601" s="162"/>
      <c r="N601" s="162"/>
      <c r="O601" s="214" t="s">
        <v>1233</v>
      </c>
      <c r="P601" s="162"/>
      <c r="Q601" s="162"/>
      <c r="R601" s="162"/>
      <c r="S601" s="162"/>
    </row>
    <row r="602" spans="1:19" x14ac:dyDescent="0.2">
      <c r="A602" s="168"/>
      <c r="B602" s="158"/>
      <c r="C602" s="158"/>
      <c r="D602" s="167" t="s">
        <v>1233</v>
      </c>
      <c r="G602" s="162"/>
      <c r="H602" s="178"/>
      <c r="I602" s="179" t="s">
        <v>1024</v>
      </c>
      <c r="J602" s="220"/>
      <c r="K602" s="237" t="s">
        <v>1499</v>
      </c>
      <c r="L602" s="220"/>
      <c r="M602" s="220"/>
      <c r="N602" s="220"/>
      <c r="O602" s="236" t="s">
        <v>1233</v>
      </c>
      <c r="P602" s="162"/>
      <c r="Q602" s="162"/>
      <c r="R602" s="162"/>
      <c r="S602" s="162"/>
    </row>
    <row r="603" spans="1:19" x14ac:dyDescent="0.2">
      <c r="A603" s="168"/>
      <c r="B603" s="158"/>
      <c r="C603" s="158"/>
      <c r="D603" s="167" t="s">
        <v>1233</v>
      </c>
      <c r="G603" s="162"/>
      <c r="H603" s="178"/>
      <c r="I603" s="179" t="s">
        <v>1034</v>
      </c>
      <c r="J603" s="162"/>
      <c r="K603" s="237" t="s">
        <v>1111</v>
      </c>
      <c r="L603" s="220"/>
      <c r="M603" s="220"/>
      <c r="N603" s="220"/>
      <c r="O603" s="236" t="s">
        <v>1233</v>
      </c>
      <c r="P603" s="162"/>
      <c r="Q603" s="162"/>
      <c r="R603" s="162"/>
      <c r="S603" s="162"/>
    </row>
    <row r="604" spans="1:19" x14ac:dyDescent="0.2">
      <c r="A604" s="168"/>
      <c r="B604" s="158"/>
      <c r="C604" s="158"/>
      <c r="D604" s="167"/>
      <c r="G604" s="162"/>
      <c r="H604" s="178"/>
      <c r="I604" s="187" t="s">
        <v>1060</v>
      </c>
      <c r="J604" s="182"/>
      <c r="K604" s="177" t="s">
        <v>1493</v>
      </c>
      <c r="L604" s="177"/>
      <c r="M604" s="177"/>
      <c r="N604" s="162"/>
      <c r="O604" s="214"/>
      <c r="P604" s="162"/>
      <c r="Q604" s="162"/>
      <c r="R604" s="162"/>
      <c r="S604" s="162"/>
    </row>
    <row r="605" spans="1:19" ht="15.75" thickBot="1" x14ac:dyDescent="0.25">
      <c r="A605" s="168"/>
      <c r="B605" s="158"/>
      <c r="C605" s="158"/>
      <c r="D605" s="167" t="s">
        <v>973</v>
      </c>
      <c r="G605" s="162"/>
      <c r="H605" s="178"/>
      <c r="I605" s="167"/>
      <c r="J605" s="296">
        <v>1</v>
      </c>
      <c r="K605" s="177"/>
      <c r="L605" s="177" t="s">
        <v>1101</v>
      </c>
      <c r="M605" s="177"/>
      <c r="N605" s="162"/>
      <c r="O605" s="214" t="s">
        <v>973</v>
      </c>
      <c r="P605" s="162"/>
      <c r="Q605" s="162"/>
      <c r="R605" s="162"/>
      <c r="S605" s="162"/>
    </row>
    <row r="606" spans="1:19" ht="15.75" thickTop="1" x14ac:dyDescent="0.2">
      <c r="A606" s="168">
        <v>67</v>
      </c>
      <c r="B606" s="158" t="s">
        <v>1500</v>
      </c>
      <c r="C606" s="158" t="s">
        <v>1501</v>
      </c>
      <c r="D606" s="167"/>
      <c r="G606" s="162"/>
      <c r="H606" s="245">
        <v>67</v>
      </c>
      <c r="I606" s="201"/>
      <c r="J606" s="250"/>
      <c r="K606" s="251" t="s">
        <v>1501</v>
      </c>
      <c r="L606" s="250"/>
      <c r="M606" s="250"/>
      <c r="N606" s="250"/>
      <c r="O606" s="203"/>
      <c r="P606" s="162"/>
      <c r="Q606" s="176">
        <f>H606</f>
        <v>67</v>
      </c>
      <c r="R606" s="167" t="str">
        <f>CONCATENATE("II-",TEXT(Q606,"0000"))</f>
        <v>II-0067</v>
      </c>
      <c r="S606" s="177" t="str">
        <f>K606</f>
        <v>PUENTE CANAL</v>
      </c>
    </row>
    <row r="607" spans="1:19" ht="15.75" thickBot="1" x14ac:dyDescent="0.25">
      <c r="A607" s="168"/>
      <c r="B607" s="158"/>
      <c r="C607" s="158"/>
      <c r="D607" s="167" t="s">
        <v>1233</v>
      </c>
      <c r="G607" s="162"/>
      <c r="H607" s="204"/>
      <c r="I607" s="205" t="s">
        <v>997</v>
      </c>
      <c r="J607" s="208"/>
      <c r="K607" s="239" t="s">
        <v>1502</v>
      </c>
      <c r="L607" s="208"/>
      <c r="M607" s="208"/>
      <c r="N607" s="208"/>
      <c r="O607" s="240" t="s">
        <v>1233</v>
      </c>
      <c r="P607" s="162"/>
      <c r="Q607" s="162"/>
      <c r="R607" s="162"/>
      <c r="S607" s="162"/>
    </row>
    <row r="608" spans="1:19" ht="15.75" thickTop="1" x14ac:dyDescent="0.2">
      <c r="A608" s="168">
        <v>68</v>
      </c>
      <c r="B608" s="158" t="s">
        <v>1503</v>
      </c>
      <c r="C608" s="158" t="s">
        <v>1504</v>
      </c>
      <c r="D608" s="167"/>
      <c r="G608" s="162"/>
      <c r="H608" s="200">
        <v>68</v>
      </c>
      <c r="I608" s="202"/>
      <c r="J608" s="212"/>
      <c r="K608" s="257" t="s">
        <v>1504</v>
      </c>
      <c r="L608" s="212"/>
      <c r="M608" s="212"/>
      <c r="N608" s="212"/>
      <c r="O608" s="222"/>
      <c r="P608" s="162"/>
      <c r="Q608" s="176">
        <f>H608</f>
        <v>68</v>
      </c>
      <c r="R608" s="167" t="str">
        <f>CONCATENATE("II-",TEXT(Q608,"0000"))</f>
        <v>II-0068</v>
      </c>
      <c r="S608" s="177" t="str">
        <f>K608</f>
        <v>REACONDICIONAMIENTO</v>
      </c>
    </row>
    <row r="609" spans="1:19" x14ac:dyDescent="0.2">
      <c r="A609" s="168"/>
      <c r="B609" s="158"/>
      <c r="C609" s="158"/>
      <c r="D609" s="167" t="s">
        <v>1233</v>
      </c>
      <c r="G609" s="162"/>
      <c r="H609" s="178"/>
      <c r="I609" s="281" t="s">
        <v>997</v>
      </c>
      <c r="J609" s="162"/>
      <c r="K609" s="177" t="s">
        <v>1050</v>
      </c>
      <c r="L609" s="162"/>
      <c r="M609" s="162"/>
      <c r="N609" s="162"/>
      <c r="O609" s="214" t="s">
        <v>1233</v>
      </c>
      <c r="P609" s="162"/>
      <c r="Q609" s="162"/>
      <c r="R609" s="162"/>
      <c r="S609" s="162"/>
    </row>
    <row r="610" spans="1:19" x14ac:dyDescent="0.2">
      <c r="A610" s="168"/>
      <c r="B610" s="158"/>
      <c r="C610" s="158"/>
      <c r="D610" s="167" t="s">
        <v>1108</v>
      </c>
      <c r="G610" s="162"/>
      <c r="H610" s="178"/>
      <c r="I610" s="179" t="s">
        <v>1024</v>
      </c>
      <c r="J610" s="220"/>
      <c r="K610" s="237" t="s">
        <v>1505</v>
      </c>
      <c r="L610" s="220"/>
      <c r="M610" s="220"/>
      <c r="N610" s="220"/>
      <c r="O610" s="236" t="s">
        <v>1108</v>
      </c>
      <c r="P610" s="162"/>
      <c r="Q610" s="162"/>
      <c r="R610" s="162"/>
      <c r="S610" s="162"/>
    </row>
    <row r="611" spans="1:19" ht="15.75" thickBot="1" x14ac:dyDescent="0.25">
      <c r="A611" s="168"/>
      <c r="B611" s="158"/>
      <c r="C611" s="158"/>
      <c r="D611" s="167" t="s">
        <v>1233</v>
      </c>
      <c r="G611" s="162"/>
      <c r="H611" s="178"/>
      <c r="I611" s="195" t="s">
        <v>1034</v>
      </c>
      <c r="J611" s="162"/>
      <c r="K611" s="177" t="s">
        <v>1506</v>
      </c>
      <c r="L611" s="162"/>
      <c r="M611" s="162"/>
      <c r="N611" s="162"/>
      <c r="O611" s="214" t="s">
        <v>1233</v>
      </c>
      <c r="P611" s="162"/>
      <c r="Q611" s="162"/>
      <c r="R611" s="162"/>
      <c r="S611" s="162"/>
    </row>
    <row r="612" spans="1:19" ht="15.75" thickTop="1" x14ac:dyDescent="0.2">
      <c r="A612" s="168">
        <v>69</v>
      </c>
      <c r="B612" s="158" t="s">
        <v>1507</v>
      </c>
      <c r="C612" s="158" t="s">
        <v>1508</v>
      </c>
      <c r="D612" s="167"/>
      <c r="G612" s="162"/>
      <c r="H612" s="245">
        <v>69</v>
      </c>
      <c r="I612" s="201"/>
      <c r="J612" s="250"/>
      <c r="K612" s="251" t="s">
        <v>1508</v>
      </c>
      <c r="L612" s="250"/>
      <c r="M612" s="250"/>
      <c r="N612" s="250"/>
      <c r="O612" s="203"/>
      <c r="P612" s="162"/>
      <c r="Q612" s="176">
        <f>H612</f>
        <v>69</v>
      </c>
      <c r="R612" s="167" t="str">
        <f>CONCATENATE("II-",TEXT(Q612,"0000"))</f>
        <v>II-0069</v>
      </c>
      <c r="S612" s="177" t="str">
        <f>K612</f>
        <v>RECICLADO DE PAVIMENTO</v>
      </c>
    </row>
    <row r="613" spans="1:19" x14ac:dyDescent="0.2">
      <c r="A613" s="168"/>
      <c r="B613" s="158"/>
      <c r="C613" s="158"/>
      <c r="D613" s="167" t="s">
        <v>1108</v>
      </c>
      <c r="G613" s="162"/>
      <c r="H613" s="295"/>
      <c r="I613" s="187" t="s">
        <v>997</v>
      </c>
      <c r="J613" s="220"/>
      <c r="K613" s="237" t="s">
        <v>1509</v>
      </c>
      <c r="L613" s="237"/>
      <c r="M613" s="237"/>
      <c r="N613" s="220"/>
      <c r="O613" s="236" t="s">
        <v>1108</v>
      </c>
      <c r="P613" s="162"/>
      <c r="Q613" s="162"/>
      <c r="R613" s="162"/>
      <c r="S613" s="162"/>
    </row>
    <row r="614" spans="1:19" x14ac:dyDescent="0.2">
      <c r="A614" s="168"/>
      <c r="B614" s="158"/>
      <c r="C614" s="158"/>
      <c r="D614" s="167"/>
      <c r="G614" s="162"/>
      <c r="H614" s="295"/>
      <c r="I614" s="179" t="s">
        <v>1024</v>
      </c>
      <c r="J614" s="167"/>
      <c r="K614" s="177" t="s">
        <v>1510</v>
      </c>
      <c r="L614" s="177"/>
      <c r="M614" s="177"/>
      <c r="N614" s="162"/>
      <c r="O614" s="214"/>
      <c r="P614" s="162"/>
      <c r="Q614" s="162"/>
      <c r="R614" s="162"/>
      <c r="S614" s="162"/>
    </row>
    <row r="615" spans="1:19" x14ac:dyDescent="0.2">
      <c r="A615" s="168"/>
      <c r="B615" s="158"/>
      <c r="C615" s="158"/>
      <c r="D615" s="167" t="s">
        <v>1108</v>
      </c>
      <c r="G615" s="162"/>
      <c r="H615" s="295"/>
      <c r="I615" s="167"/>
      <c r="J615" s="184">
        <v>1</v>
      </c>
      <c r="K615" s="177"/>
      <c r="L615" s="177" t="s">
        <v>1511</v>
      </c>
      <c r="M615" s="162"/>
      <c r="N615" s="162"/>
      <c r="O615" s="214" t="s">
        <v>1108</v>
      </c>
      <c r="P615" s="162"/>
      <c r="Q615" s="162"/>
      <c r="R615" s="162"/>
      <c r="S615" s="162"/>
    </row>
    <row r="616" spans="1:19" ht="15.75" thickBot="1" x14ac:dyDescent="0.25">
      <c r="A616" s="168"/>
      <c r="B616" s="158"/>
      <c r="C616" s="158"/>
      <c r="D616" s="167" t="s">
        <v>1108</v>
      </c>
      <c r="G616" s="162"/>
      <c r="H616" s="297"/>
      <c r="I616" s="194"/>
      <c r="J616" s="195">
        <v>2</v>
      </c>
      <c r="K616" s="197"/>
      <c r="L616" s="197" t="s">
        <v>1512</v>
      </c>
      <c r="M616" s="196"/>
      <c r="N616" s="196"/>
      <c r="O616" s="258" t="s">
        <v>1108</v>
      </c>
      <c r="P616" s="162"/>
      <c r="Q616" s="162"/>
      <c r="R616" s="162"/>
      <c r="S616" s="162"/>
    </row>
    <row r="617" spans="1:19" ht="16.5" thickTop="1" thickBot="1" x14ac:dyDescent="0.25">
      <c r="A617" s="168">
        <v>70</v>
      </c>
      <c r="B617" s="158" t="s">
        <v>1513</v>
      </c>
      <c r="C617" s="158" t="s">
        <v>1514</v>
      </c>
      <c r="D617" s="167" t="s">
        <v>1191</v>
      </c>
      <c r="G617" s="162"/>
      <c r="H617" s="200">
        <v>70</v>
      </c>
      <c r="I617" s="202"/>
      <c r="J617" s="212"/>
      <c r="K617" s="257" t="s">
        <v>1514</v>
      </c>
      <c r="L617" s="212"/>
      <c r="M617" s="212"/>
      <c r="N617" s="212"/>
      <c r="O617" s="222" t="s">
        <v>1191</v>
      </c>
      <c r="P617" s="162"/>
      <c r="Q617" s="176">
        <f t="shared" ref="Q617:Q618" si="60">H617</f>
        <v>70</v>
      </c>
      <c r="R617" s="167" t="str">
        <f t="shared" ref="R617:R618" si="61">CONCATENATE("II-",TEXT(Q617,"0000"))</f>
        <v>II-0070</v>
      </c>
      <c r="S617" s="177" t="str">
        <f t="shared" ref="S617:S618" si="62">K617</f>
        <v>RECLAMADO</v>
      </c>
    </row>
    <row r="618" spans="1:19" ht="15.75" thickTop="1" x14ac:dyDescent="0.2">
      <c r="A618" s="168">
        <v>71</v>
      </c>
      <c r="B618" s="158" t="s">
        <v>1515</v>
      </c>
      <c r="C618" s="158" t="s">
        <v>1516</v>
      </c>
      <c r="D618" s="167"/>
      <c r="G618" s="162"/>
      <c r="H618" s="245">
        <v>71</v>
      </c>
      <c r="I618" s="201"/>
      <c r="J618" s="250"/>
      <c r="K618" s="289" t="s">
        <v>1516</v>
      </c>
      <c r="L618" s="250"/>
      <c r="M618" s="250"/>
      <c r="N618" s="250"/>
      <c r="O618" s="203"/>
      <c r="P618" s="162"/>
      <c r="Q618" s="176">
        <f t="shared" si="60"/>
        <v>71</v>
      </c>
      <c r="R618" s="167" t="str">
        <f t="shared" si="61"/>
        <v>II-0071</v>
      </c>
      <c r="S618" s="177" t="str">
        <f t="shared" si="62"/>
        <v>RECUBRIMIENTO VEGETAL</v>
      </c>
    </row>
    <row r="619" spans="1:19" x14ac:dyDescent="0.2">
      <c r="A619" s="168"/>
      <c r="B619" s="158"/>
      <c r="C619" s="158"/>
      <c r="D619" s="167" t="s">
        <v>1191</v>
      </c>
      <c r="G619" s="162"/>
      <c r="H619" s="178"/>
      <c r="I619" s="179" t="s">
        <v>997</v>
      </c>
      <c r="J619" s="220"/>
      <c r="K619" s="237" t="s">
        <v>1297</v>
      </c>
      <c r="L619" s="237"/>
      <c r="M619" s="237"/>
      <c r="N619" s="220"/>
      <c r="O619" s="236" t="s">
        <v>1191</v>
      </c>
      <c r="P619" s="162"/>
      <c r="Q619" s="162"/>
      <c r="R619" s="162"/>
      <c r="S619" s="162"/>
    </row>
    <row r="620" spans="1:19" ht="15.75" thickBot="1" x14ac:dyDescent="0.25">
      <c r="A620" s="168"/>
      <c r="B620" s="158"/>
      <c r="C620" s="158"/>
      <c r="D620" s="167" t="s">
        <v>974</v>
      </c>
      <c r="G620" s="162"/>
      <c r="H620" s="178"/>
      <c r="I620" s="195" t="s">
        <v>1024</v>
      </c>
      <c r="J620" s="162"/>
      <c r="K620" s="197" t="s">
        <v>1299</v>
      </c>
      <c r="L620" s="177"/>
      <c r="M620" s="177"/>
      <c r="N620" s="162"/>
      <c r="O620" s="214" t="s">
        <v>974</v>
      </c>
      <c r="P620" s="162"/>
      <c r="Q620" s="162"/>
      <c r="R620" s="162"/>
      <c r="S620" s="162"/>
    </row>
    <row r="621" spans="1:19" ht="16.5" thickTop="1" thickBot="1" x14ac:dyDescent="0.25">
      <c r="A621" s="168">
        <v>72</v>
      </c>
      <c r="B621" s="158" t="s">
        <v>1517</v>
      </c>
      <c r="C621" s="158" t="s">
        <v>1518</v>
      </c>
      <c r="D621" s="167" t="s">
        <v>5</v>
      </c>
      <c r="G621" s="162"/>
      <c r="H621" s="252">
        <v>72</v>
      </c>
      <c r="I621" s="253"/>
      <c r="J621" s="254"/>
      <c r="K621" s="255" t="s">
        <v>1518</v>
      </c>
      <c r="L621" s="254"/>
      <c r="M621" s="254"/>
      <c r="N621" s="254"/>
      <c r="O621" s="256" t="s">
        <v>5</v>
      </c>
      <c r="P621" s="162"/>
      <c r="Q621" s="176">
        <f>H621</f>
        <v>72</v>
      </c>
      <c r="R621" s="167" t="str">
        <f>CONCATENATE("II-",TEXT(Q621,"0000"))</f>
        <v>II-0072</v>
      </c>
      <c r="S621" s="177" t="str">
        <f>K621</f>
        <v>RESTITUCION DE GALIVO</v>
      </c>
    </row>
    <row r="622" spans="1:19" x14ac:dyDescent="0.2">
      <c r="A622" s="168"/>
      <c r="B622" s="158"/>
      <c r="C622" s="158"/>
      <c r="D622" s="167"/>
      <c r="G622" s="162"/>
      <c r="H622" s="230"/>
      <c r="I622" s="167"/>
      <c r="J622" s="162"/>
      <c r="K622" s="177"/>
      <c r="L622" s="162"/>
      <c r="M622" s="162"/>
      <c r="N622" s="162"/>
      <c r="O622" s="165"/>
      <c r="P622" s="162"/>
      <c r="Q622" s="162"/>
      <c r="R622" s="162"/>
      <c r="S622" s="162"/>
    </row>
    <row r="623" spans="1:19" x14ac:dyDescent="0.2">
      <c r="A623" s="168"/>
      <c r="B623" s="158"/>
      <c r="C623" s="158"/>
      <c r="D623" s="167"/>
      <c r="G623" s="162"/>
      <c r="H623" s="230"/>
      <c r="I623" s="167"/>
      <c r="J623" s="162"/>
      <c r="K623" s="177"/>
      <c r="L623" s="162"/>
      <c r="M623" s="162"/>
      <c r="N623" s="162"/>
      <c r="O623" s="165"/>
      <c r="P623" s="162"/>
      <c r="Q623" s="162"/>
      <c r="R623" s="162"/>
      <c r="S623" s="162"/>
    </row>
    <row r="624" spans="1:19" x14ac:dyDescent="0.2">
      <c r="A624" s="168"/>
      <c r="B624" s="158"/>
      <c r="C624" s="158"/>
      <c r="D624" s="167"/>
      <c r="G624" s="162"/>
      <c r="H624" s="200">
        <v>73</v>
      </c>
      <c r="I624" s="202"/>
      <c r="J624" s="212"/>
      <c r="K624" s="257" t="s">
        <v>1519</v>
      </c>
      <c r="L624" s="212"/>
      <c r="M624" s="212"/>
      <c r="N624" s="212"/>
      <c r="O624" s="222"/>
      <c r="P624" s="162"/>
      <c r="Q624" s="162"/>
      <c r="R624" s="162"/>
      <c r="S624" s="162"/>
    </row>
    <row r="625" spans="1:19" x14ac:dyDescent="0.2">
      <c r="A625" s="168"/>
      <c r="B625" s="158"/>
      <c r="C625" s="158"/>
      <c r="D625" s="167"/>
      <c r="G625" s="162"/>
      <c r="H625" s="295"/>
      <c r="I625" s="179" t="s">
        <v>997</v>
      </c>
      <c r="J625" s="182"/>
      <c r="K625" s="177" t="s">
        <v>1474</v>
      </c>
      <c r="L625" s="177"/>
      <c r="M625" s="177"/>
      <c r="N625" s="162"/>
      <c r="O625" s="214"/>
      <c r="P625" s="162"/>
      <c r="Q625" s="162"/>
      <c r="R625" s="162"/>
      <c r="S625" s="162"/>
    </row>
    <row r="626" spans="1:19" x14ac:dyDescent="0.2">
      <c r="A626" s="168"/>
      <c r="B626" s="158"/>
      <c r="C626" s="158"/>
      <c r="D626" s="167" t="s">
        <v>1191</v>
      </c>
      <c r="G626" s="162"/>
      <c r="H626" s="295"/>
      <c r="I626" s="167"/>
      <c r="J626" s="184">
        <v>1</v>
      </c>
      <c r="K626" s="177"/>
      <c r="L626" s="177" t="s">
        <v>1302</v>
      </c>
      <c r="M626" s="177"/>
      <c r="N626" s="162"/>
      <c r="O626" s="214" t="s">
        <v>1191</v>
      </c>
      <c r="P626" s="162"/>
      <c r="Q626" s="162"/>
      <c r="R626" s="162"/>
      <c r="S626" s="162"/>
    </row>
    <row r="627" spans="1:19" x14ac:dyDescent="0.2">
      <c r="A627" s="168"/>
      <c r="B627" s="158"/>
      <c r="C627" s="158"/>
      <c r="D627" s="167" t="s">
        <v>1191</v>
      </c>
      <c r="G627" s="162"/>
      <c r="H627" s="295"/>
      <c r="I627" s="167"/>
      <c r="J627" s="184">
        <v>2</v>
      </c>
      <c r="K627" s="177"/>
      <c r="L627" s="177" t="s">
        <v>1520</v>
      </c>
      <c r="M627" s="162"/>
      <c r="N627" s="162"/>
      <c r="O627" s="214" t="s">
        <v>1191</v>
      </c>
      <c r="P627" s="162"/>
      <c r="Q627" s="162"/>
      <c r="R627" s="162"/>
      <c r="S627" s="162"/>
    </row>
    <row r="628" spans="1:19" x14ac:dyDescent="0.2">
      <c r="A628" s="168"/>
      <c r="B628" s="158"/>
      <c r="C628" s="158"/>
      <c r="D628" s="167" t="s">
        <v>1191</v>
      </c>
      <c r="G628" s="162"/>
      <c r="H628" s="295"/>
      <c r="I628" s="167"/>
      <c r="J628" s="184">
        <v>3</v>
      </c>
      <c r="K628" s="177"/>
      <c r="L628" s="177" t="s">
        <v>1521</v>
      </c>
      <c r="M628" s="162"/>
      <c r="N628" s="162"/>
      <c r="O628" s="214" t="s">
        <v>1191</v>
      </c>
      <c r="P628" s="162"/>
      <c r="Q628" s="162"/>
      <c r="R628" s="162"/>
      <c r="S628" s="162"/>
    </row>
    <row r="629" spans="1:19" x14ac:dyDescent="0.2">
      <c r="A629" s="168"/>
      <c r="B629" s="158"/>
      <c r="C629" s="158"/>
      <c r="D629" s="167" t="s">
        <v>1191</v>
      </c>
      <c r="G629" s="162"/>
      <c r="H629" s="295"/>
      <c r="I629" s="167"/>
      <c r="J629" s="184">
        <v>4</v>
      </c>
      <c r="K629" s="177"/>
      <c r="L629" s="177" t="s">
        <v>1522</v>
      </c>
      <c r="M629" s="162"/>
      <c r="N629" s="162"/>
      <c r="O629" s="214" t="s">
        <v>1191</v>
      </c>
      <c r="P629" s="162"/>
      <c r="Q629" s="162"/>
      <c r="R629" s="162"/>
      <c r="S629" s="162"/>
    </row>
    <row r="630" spans="1:19" x14ac:dyDescent="0.2">
      <c r="A630" s="168"/>
      <c r="B630" s="158"/>
      <c r="C630" s="158"/>
      <c r="D630" s="167" t="s">
        <v>1191</v>
      </c>
      <c r="G630" s="162"/>
      <c r="H630" s="295"/>
      <c r="I630" s="167"/>
      <c r="J630" s="184">
        <v>5</v>
      </c>
      <c r="K630" s="177"/>
      <c r="L630" s="177" t="s">
        <v>1523</v>
      </c>
      <c r="M630" s="162"/>
      <c r="N630" s="162"/>
      <c r="O630" s="214" t="s">
        <v>1191</v>
      </c>
      <c r="P630" s="162"/>
      <c r="Q630" s="162"/>
      <c r="R630" s="162"/>
      <c r="S630" s="162"/>
    </row>
    <row r="631" spans="1:19" x14ac:dyDescent="0.2">
      <c r="A631" s="168"/>
      <c r="B631" s="158"/>
      <c r="C631" s="158"/>
      <c r="D631" s="167" t="s">
        <v>1191</v>
      </c>
      <c r="G631" s="162"/>
      <c r="H631" s="295"/>
      <c r="I631" s="179" t="s">
        <v>1024</v>
      </c>
      <c r="J631" s="220"/>
      <c r="K631" s="237" t="s">
        <v>1296</v>
      </c>
      <c r="L631" s="220"/>
      <c r="M631" s="220"/>
      <c r="N631" s="220"/>
      <c r="O631" s="236" t="s">
        <v>1191</v>
      </c>
      <c r="P631" s="162"/>
      <c r="Q631" s="177"/>
      <c r="R631" s="162"/>
      <c r="S631" s="162"/>
    </row>
    <row r="632" spans="1:19" x14ac:dyDescent="0.2">
      <c r="A632" s="168"/>
      <c r="B632" s="158"/>
      <c r="C632" s="158"/>
      <c r="D632" s="167"/>
      <c r="G632" s="162"/>
      <c r="H632" s="295"/>
      <c r="I632" s="179" t="s">
        <v>1034</v>
      </c>
      <c r="J632" s="167"/>
      <c r="K632" s="177" t="s">
        <v>1317</v>
      </c>
      <c r="L632" s="177"/>
      <c r="M632" s="162"/>
      <c r="N632" s="162"/>
      <c r="O632" s="214"/>
      <c r="P632" s="162"/>
      <c r="Q632" s="162"/>
      <c r="R632" s="162"/>
      <c r="S632" s="162"/>
    </row>
    <row r="633" spans="1:19" x14ac:dyDescent="0.2">
      <c r="A633" s="168"/>
      <c r="B633" s="158"/>
      <c r="C633" s="158"/>
      <c r="D633" s="167" t="s">
        <v>1191</v>
      </c>
      <c r="G633" s="162"/>
      <c r="H633" s="295"/>
      <c r="I633" s="167"/>
      <c r="J633" s="184">
        <v>1</v>
      </c>
      <c r="K633" s="177"/>
      <c r="L633" s="177" t="s">
        <v>1302</v>
      </c>
      <c r="M633" s="162"/>
      <c r="N633" s="162"/>
      <c r="O633" s="214" t="s">
        <v>1191</v>
      </c>
      <c r="P633" s="162"/>
      <c r="Q633" s="162"/>
      <c r="R633" s="162"/>
      <c r="S633" s="162"/>
    </row>
    <row r="634" spans="1:19" x14ac:dyDescent="0.2">
      <c r="A634" s="168"/>
      <c r="B634" s="158"/>
      <c r="C634" s="158"/>
      <c r="D634" s="167" t="s">
        <v>1191</v>
      </c>
      <c r="G634" s="162"/>
      <c r="H634" s="295"/>
      <c r="I634" s="167"/>
      <c r="J634" s="184">
        <v>2</v>
      </c>
      <c r="K634" s="177"/>
      <c r="L634" s="177" t="s">
        <v>1520</v>
      </c>
      <c r="M634" s="162"/>
      <c r="N634" s="162"/>
      <c r="O634" s="214" t="s">
        <v>1191</v>
      </c>
      <c r="P634" s="162"/>
      <c r="Q634" s="162"/>
      <c r="R634" s="162"/>
      <c r="S634" s="162"/>
    </row>
    <row r="635" spans="1:19" x14ac:dyDescent="0.2">
      <c r="A635" s="168"/>
      <c r="B635" s="158"/>
      <c r="C635" s="158"/>
      <c r="D635" s="167" t="s">
        <v>1191</v>
      </c>
      <c r="G635" s="162"/>
      <c r="H635" s="295"/>
      <c r="I635" s="167"/>
      <c r="J635" s="184">
        <v>3</v>
      </c>
      <c r="K635" s="177"/>
      <c r="L635" s="177" t="s">
        <v>1521</v>
      </c>
      <c r="M635" s="162"/>
      <c r="N635" s="162"/>
      <c r="O635" s="214" t="s">
        <v>1191</v>
      </c>
      <c r="P635" s="162"/>
      <c r="Q635" s="162"/>
      <c r="R635" s="162"/>
      <c r="S635" s="162"/>
    </row>
    <row r="636" spans="1:19" x14ac:dyDescent="0.2">
      <c r="A636" s="168"/>
      <c r="B636" s="158"/>
      <c r="C636" s="158"/>
      <c r="D636" s="167" t="s">
        <v>1191</v>
      </c>
      <c r="G636" s="162"/>
      <c r="H636" s="295"/>
      <c r="I636" s="167"/>
      <c r="J636" s="184">
        <v>4</v>
      </c>
      <c r="K636" s="177"/>
      <c r="L636" s="177" t="s">
        <v>1522</v>
      </c>
      <c r="M636" s="162"/>
      <c r="N636" s="162"/>
      <c r="O636" s="214" t="s">
        <v>1191</v>
      </c>
      <c r="P636" s="162"/>
      <c r="Q636" s="162"/>
      <c r="R636" s="162"/>
      <c r="S636" s="162"/>
    </row>
    <row r="637" spans="1:19" x14ac:dyDescent="0.2">
      <c r="A637" s="168"/>
      <c r="B637" s="158"/>
      <c r="C637" s="158"/>
      <c r="D637" s="167" t="s">
        <v>1191</v>
      </c>
      <c r="G637" s="162"/>
      <c r="H637" s="295"/>
      <c r="I637" s="231"/>
      <c r="J637" s="187">
        <v>5</v>
      </c>
      <c r="K637" s="189"/>
      <c r="L637" s="189" t="s">
        <v>1523</v>
      </c>
      <c r="M637" s="188"/>
      <c r="N637" s="188"/>
      <c r="O637" s="232" t="s">
        <v>1191</v>
      </c>
      <c r="P637" s="162"/>
      <c r="Q637" s="162"/>
      <c r="R637" s="162"/>
      <c r="S637" s="162"/>
    </row>
    <row r="638" spans="1:19" ht="15.75" thickBot="1" x14ac:dyDescent="0.25">
      <c r="A638" s="168"/>
      <c r="B638" s="158"/>
      <c r="C638" s="158"/>
      <c r="D638" s="167" t="s">
        <v>1191</v>
      </c>
      <c r="G638" s="162"/>
      <c r="H638" s="295"/>
      <c r="I638" s="195" t="s">
        <v>1060</v>
      </c>
      <c r="J638" s="167"/>
      <c r="K638" s="177" t="s">
        <v>1299</v>
      </c>
      <c r="L638" s="177"/>
      <c r="M638" s="162"/>
      <c r="N638" s="162"/>
      <c r="O638" s="214" t="s">
        <v>1191</v>
      </c>
      <c r="P638" s="162"/>
      <c r="Q638" s="162"/>
      <c r="R638" s="162"/>
      <c r="S638" s="162"/>
    </row>
    <row r="639" spans="1:19" ht="15.75" thickTop="1" x14ac:dyDescent="0.2">
      <c r="A639" s="168">
        <v>74</v>
      </c>
      <c r="B639" s="158" t="s">
        <v>1524</v>
      </c>
      <c r="C639" s="158" t="s">
        <v>1525</v>
      </c>
      <c r="D639" s="167"/>
      <c r="G639" s="162"/>
      <c r="H639" s="245">
        <v>74</v>
      </c>
      <c r="I639" s="201"/>
      <c r="J639" s="250"/>
      <c r="K639" s="251" t="s">
        <v>1525</v>
      </c>
      <c r="L639" s="250"/>
      <c r="M639" s="250"/>
      <c r="N639" s="250"/>
      <c r="O639" s="203"/>
      <c r="P639" s="162"/>
      <c r="Q639" s="176">
        <f>H639</f>
        <v>74</v>
      </c>
      <c r="R639" s="167" t="str">
        <f>CONCATENATE("II-",TEXT(Q639,"0000"))</f>
        <v>II-0074</v>
      </c>
      <c r="S639" s="177" t="str">
        <f>K639</f>
        <v>RIEGO</v>
      </c>
    </row>
    <row r="640" spans="1:19" x14ac:dyDescent="0.2">
      <c r="A640" s="168"/>
      <c r="B640" s="158"/>
      <c r="C640" s="158"/>
      <c r="D640" s="167" t="s">
        <v>1191</v>
      </c>
      <c r="G640" s="162"/>
      <c r="H640" s="178"/>
      <c r="I640" s="179" t="s">
        <v>997</v>
      </c>
      <c r="J640" s="220"/>
      <c r="K640" s="237" t="s">
        <v>1526</v>
      </c>
      <c r="L640" s="220"/>
      <c r="M640" s="220"/>
      <c r="N640" s="220"/>
      <c r="O640" s="236" t="s">
        <v>1191</v>
      </c>
      <c r="P640" s="162"/>
      <c r="Q640" s="162"/>
      <c r="R640" s="162"/>
      <c r="S640" s="162"/>
    </row>
    <row r="641" spans="1:19" ht="15.75" thickBot="1" x14ac:dyDescent="0.25">
      <c r="A641" s="168"/>
      <c r="B641" s="158"/>
      <c r="C641" s="158"/>
      <c r="D641" s="167" t="s">
        <v>1191</v>
      </c>
      <c r="G641" s="162"/>
      <c r="H641" s="193"/>
      <c r="I641" s="195" t="s">
        <v>1024</v>
      </c>
      <c r="J641" s="196"/>
      <c r="K641" s="197" t="s">
        <v>1527</v>
      </c>
      <c r="L641" s="196"/>
      <c r="M641" s="196"/>
      <c r="N641" s="196"/>
      <c r="O641" s="258" t="s">
        <v>1191</v>
      </c>
      <c r="P641" s="162"/>
      <c r="Q641" s="162"/>
      <c r="R641" s="162"/>
      <c r="S641" s="162"/>
    </row>
    <row r="642" spans="1:19" ht="15.75" thickTop="1" x14ac:dyDescent="0.2">
      <c r="A642" s="168">
        <v>75</v>
      </c>
      <c r="B642" s="158" t="s">
        <v>1528</v>
      </c>
      <c r="C642" s="158" t="s">
        <v>1529</v>
      </c>
      <c r="D642" s="167"/>
      <c r="G642" s="162"/>
      <c r="H642" s="200">
        <v>75</v>
      </c>
      <c r="I642" s="202"/>
      <c r="J642" s="212"/>
      <c r="K642" s="257" t="s">
        <v>1529</v>
      </c>
      <c r="L642" s="212"/>
      <c r="M642" s="212"/>
      <c r="N642" s="212"/>
      <c r="O642" s="222"/>
      <c r="P642" s="162"/>
      <c r="Q642" s="176">
        <f>H642</f>
        <v>75</v>
      </c>
      <c r="R642" s="167" t="str">
        <f>CONCATENATE("II-",TEXT(Q642,"0000"))</f>
        <v>II-0075</v>
      </c>
      <c r="S642" s="177" t="str">
        <f>K642</f>
        <v>SALTO</v>
      </c>
    </row>
    <row r="643" spans="1:19" x14ac:dyDescent="0.2">
      <c r="A643" s="168"/>
      <c r="B643" s="158"/>
      <c r="C643" s="158"/>
      <c r="D643" s="167" t="s">
        <v>1233</v>
      </c>
      <c r="G643" s="162"/>
      <c r="H643" s="178"/>
      <c r="I643" s="179" t="s">
        <v>997</v>
      </c>
      <c r="J643" s="220"/>
      <c r="K643" s="237" t="s">
        <v>1530</v>
      </c>
      <c r="L643" s="220"/>
      <c r="M643" s="220"/>
      <c r="N643" s="220"/>
      <c r="O643" s="236" t="s">
        <v>1233</v>
      </c>
      <c r="P643" s="162"/>
      <c r="Q643" s="162"/>
      <c r="R643" s="162"/>
      <c r="S643" s="162"/>
    </row>
    <row r="644" spans="1:19" ht="15.75" thickBot="1" x14ac:dyDescent="0.25">
      <c r="A644" s="168"/>
      <c r="B644" s="158"/>
      <c r="C644" s="158"/>
      <c r="D644" s="167" t="s">
        <v>1233</v>
      </c>
      <c r="G644" s="162"/>
      <c r="H644" s="178"/>
      <c r="I644" s="195" t="s">
        <v>1024</v>
      </c>
      <c r="J644" s="162"/>
      <c r="K644" s="177" t="s">
        <v>1229</v>
      </c>
      <c r="L644" s="162"/>
      <c r="M644" s="162"/>
      <c r="N644" s="162"/>
      <c r="O644" s="214" t="s">
        <v>1233</v>
      </c>
      <c r="P644" s="162"/>
      <c r="Q644" s="162"/>
      <c r="R644" s="162"/>
      <c r="S644" s="162"/>
    </row>
    <row r="645" spans="1:19" ht="16.5" thickTop="1" thickBot="1" x14ac:dyDescent="0.25">
      <c r="A645" s="168">
        <v>76</v>
      </c>
      <c r="B645" s="158" t="s">
        <v>1531</v>
      </c>
      <c r="C645" s="158" t="s">
        <v>1532</v>
      </c>
      <c r="D645" s="167" t="s">
        <v>714</v>
      </c>
      <c r="G645" s="162"/>
      <c r="H645" s="245">
        <v>76</v>
      </c>
      <c r="I645" s="201"/>
      <c r="J645" s="250"/>
      <c r="K645" s="251" t="s">
        <v>1532</v>
      </c>
      <c r="L645" s="250"/>
      <c r="M645" s="250"/>
      <c r="N645" s="250"/>
      <c r="O645" s="203" t="s">
        <v>714</v>
      </c>
      <c r="P645" s="162"/>
      <c r="Q645" s="176">
        <f t="shared" ref="Q645:Q646" si="63">H645</f>
        <v>76</v>
      </c>
      <c r="R645" s="167" t="str">
        <f t="shared" ref="R645:R646" si="64">CONCATENATE("II-",TEXT(Q645,"0000"))</f>
        <v>II-0076</v>
      </c>
      <c r="S645" s="177" t="str">
        <f t="shared" ref="S645:S646" si="65">K645</f>
        <v>SELLADO DE FISURA</v>
      </c>
    </row>
    <row r="646" spans="1:19" ht="15.75" thickTop="1" x14ac:dyDescent="0.2">
      <c r="A646" s="168">
        <v>77</v>
      </c>
      <c r="B646" s="158" t="s">
        <v>1533</v>
      </c>
      <c r="C646" s="158" t="s">
        <v>1534</v>
      </c>
      <c r="D646" s="167"/>
      <c r="G646" s="162"/>
      <c r="H646" s="245">
        <v>77</v>
      </c>
      <c r="I646" s="201"/>
      <c r="J646" s="250"/>
      <c r="K646" s="251" t="s">
        <v>1534</v>
      </c>
      <c r="L646" s="250"/>
      <c r="M646" s="250"/>
      <c r="N646" s="250"/>
      <c r="O646" s="203"/>
      <c r="P646" s="162"/>
      <c r="Q646" s="176">
        <f t="shared" si="63"/>
        <v>77</v>
      </c>
      <c r="R646" s="167" t="str">
        <f t="shared" si="64"/>
        <v>II-0077</v>
      </c>
      <c r="S646" s="177" t="str">
        <f t="shared" si="65"/>
        <v>SIFON</v>
      </c>
    </row>
    <row r="647" spans="1:19" ht="15.75" thickBot="1" x14ac:dyDescent="0.25">
      <c r="A647" s="168"/>
      <c r="B647" s="158"/>
      <c r="C647" s="158"/>
      <c r="D647" s="167" t="s">
        <v>5</v>
      </c>
      <c r="G647" s="162"/>
      <c r="H647" s="178"/>
      <c r="I647" s="205" t="s">
        <v>997</v>
      </c>
      <c r="J647" s="162"/>
      <c r="K647" s="177" t="s">
        <v>1535</v>
      </c>
      <c r="L647" s="162"/>
      <c r="M647" s="162"/>
      <c r="N647" s="162"/>
      <c r="O647" s="214" t="s">
        <v>5</v>
      </c>
      <c r="P647" s="162"/>
      <c r="Q647" s="162"/>
      <c r="R647" s="162"/>
      <c r="S647" s="162"/>
    </row>
    <row r="648" spans="1:19" ht="15.75" thickTop="1" x14ac:dyDescent="0.2">
      <c r="A648" s="168">
        <v>78</v>
      </c>
      <c r="B648" s="158" t="s">
        <v>1536</v>
      </c>
      <c r="C648" s="158" t="s">
        <v>1537</v>
      </c>
      <c r="D648" s="167"/>
      <c r="G648" s="162"/>
      <c r="H648" s="245">
        <v>78</v>
      </c>
      <c r="I648" s="201"/>
      <c r="J648" s="250"/>
      <c r="K648" s="251" t="s">
        <v>1537</v>
      </c>
      <c r="L648" s="250"/>
      <c r="M648" s="250"/>
      <c r="N648" s="250"/>
      <c r="O648" s="203"/>
      <c r="P648" s="162"/>
      <c r="Q648" s="176">
        <f>H648</f>
        <v>78</v>
      </c>
      <c r="R648" s="167" t="str">
        <f>CONCATENATE("II-",TEXT(Q648,"0000"))</f>
        <v>II-0078</v>
      </c>
      <c r="S648" s="177" t="str">
        <f>K648</f>
        <v>SUB BASE</v>
      </c>
    </row>
    <row r="649" spans="1:19" x14ac:dyDescent="0.2">
      <c r="A649" s="168"/>
      <c r="B649" s="158"/>
      <c r="C649" s="158"/>
      <c r="D649" s="167" t="s">
        <v>1108</v>
      </c>
      <c r="G649" s="162"/>
      <c r="H649" s="178"/>
      <c r="I649" s="281" t="s">
        <v>997</v>
      </c>
      <c r="J649" s="162"/>
      <c r="K649" s="177" t="s">
        <v>1256</v>
      </c>
      <c r="L649" s="162"/>
      <c r="M649" s="162"/>
      <c r="N649" s="162"/>
      <c r="O649" s="214" t="s">
        <v>1108</v>
      </c>
      <c r="P649" s="162"/>
      <c r="Q649" s="162"/>
      <c r="R649" s="162"/>
      <c r="S649" s="162"/>
    </row>
    <row r="650" spans="1:19" x14ac:dyDescent="0.2">
      <c r="A650" s="168"/>
      <c r="B650" s="158"/>
      <c r="C650" s="158"/>
      <c r="D650" s="167" t="s">
        <v>1108</v>
      </c>
      <c r="G650" s="162"/>
      <c r="H650" s="178"/>
      <c r="I650" s="179" t="s">
        <v>1024</v>
      </c>
      <c r="J650" s="282"/>
      <c r="K650" s="237" t="s">
        <v>1366</v>
      </c>
      <c r="L650" s="237"/>
      <c r="M650" s="220"/>
      <c r="N650" s="220"/>
      <c r="O650" s="236" t="s">
        <v>1108</v>
      </c>
      <c r="P650" s="162"/>
      <c r="Q650" s="162"/>
      <c r="R650" s="162"/>
      <c r="S650" s="162"/>
    </row>
    <row r="651" spans="1:19" x14ac:dyDescent="0.2">
      <c r="A651" s="168"/>
      <c r="B651" s="158"/>
      <c r="C651" s="158"/>
      <c r="D651" s="167"/>
      <c r="G651" s="162"/>
      <c r="H651" s="178"/>
      <c r="I651" s="187" t="s">
        <v>1034</v>
      </c>
      <c r="J651" s="167"/>
      <c r="K651" s="177" t="s">
        <v>1253</v>
      </c>
      <c r="L651" s="177"/>
      <c r="M651" s="162"/>
      <c r="N651" s="162"/>
      <c r="O651" s="214"/>
      <c r="P651" s="162"/>
      <c r="Q651" s="162"/>
      <c r="R651" s="162"/>
      <c r="S651" s="162"/>
    </row>
    <row r="652" spans="1:19" x14ac:dyDescent="0.2">
      <c r="A652" s="168"/>
      <c r="B652" s="158"/>
      <c r="C652" s="158"/>
      <c r="D652" s="167" t="s">
        <v>1108</v>
      </c>
      <c r="G652" s="162"/>
      <c r="H652" s="178"/>
      <c r="I652" s="167"/>
      <c r="J652" s="184">
        <v>1</v>
      </c>
      <c r="K652" s="177"/>
      <c r="L652" s="177" t="s">
        <v>1538</v>
      </c>
      <c r="M652" s="162"/>
      <c r="N652" s="162"/>
      <c r="O652" s="214" t="s">
        <v>1108</v>
      </c>
      <c r="P652" s="162"/>
      <c r="Q652" s="162"/>
      <c r="R652" s="162"/>
      <c r="S652" s="162"/>
    </row>
    <row r="653" spans="1:19" x14ac:dyDescent="0.2">
      <c r="A653" s="168"/>
      <c r="B653" s="158"/>
      <c r="C653" s="158"/>
      <c r="D653" s="167" t="s">
        <v>1108</v>
      </c>
      <c r="G653" s="162"/>
      <c r="H653" s="178"/>
      <c r="I653" s="167"/>
      <c r="J653" s="184">
        <v>2</v>
      </c>
      <c r="K653" s="177"/>
      <c r="L653" s="177" t="s">
        <v>1539</v>
      </c>
      <c r="M653" s="162"/>
      <c r="N653" s="162"/>
      <c r="O653" s="214" t="s">
        <v>1108</v>
      </c>
      <c r="P653" s="162"/>
      <c r="Q653" s="162"/>
      <c r="R653" s="162"/>
      <c r="S653" s="162"/>
    </row>
    <row r="654" spans="1:19" x14ac:dyDescent="0.2">
      <c r="A654" s="168"/>
      <c r="B654" s="158"/>
      <c r="C654" s="158"/>
      <c r="D654" s="167" t="s">
        <v>1108</v>
      </c>
      <c r="G654" s="162"/>
      <c r="H654" s="178"/>
      <c r="I654" s="167"/>
      <c r="J654" s="187">
        <v>3</v>
      </c>
      <c r="K654" s="162"/>
      <c r="L654" s="177" t="s">
        <v>1253</v>
      </c>
      <c r="M654" s="162"/>
      <c r="N654" s="162"/>
      <c r="O654" s="214" t="s">
        <v>1108</v>
      </c>
      <c r="P654" s="162"/>
      <c r="Q654" s="162"/>
      <c r="R654" s="162"/>
      <c r="S654" s="162"/>
    </row>
    <row r="655" spans="1:19" x14ac:dyDescent="0.2">
      <c r="A655" s="168"/>
      <c r="B655" s="158"/>
      <c r="C655" s="158"/>
      <c r="D655" s="167" t="s">
        <v>1108</v>
      </c>
      <c r="G655" s="162"/>
      <c r="H655" s="178"/>
      <c r="I655" s="179" t="s">
        <v>1060</v>
      </c>
      <c r="J655" s="282"/>
      <c r="K655" s="237" t="s">
        <v>1192</v>
      </c>
      <c r="L655" s="237"/>
      <c r="M655" s="220"/>
      <c r="N655" s="220"/>
      <c r="O655" s="236" t="s">
        <v>1108</v>
      </c>
      <c r="P655" s="162"/>
      <c r="Q655" s="162"/>
      <c r="R655" s="162"/>
      <c r="S655" s="162"/>
    </row>
    <row r="656" spans="1:19" x14ac:dyDescent="0.2">
      <c r="A656" s="168"/>
      <c r="B656" s="158"/>
      <c r="C656" s="158"/>
      <c r="D656" s="167" t="s">
        <v>1108</v>
      </c>
      <c r="G656" s="162"/>
      <c r="H656" s="178"/>
      <c r="I656" s="184" t="s">
        <v>1102</v>
      </c>
      <c r="J656" s="167"/>
      <c r="K656" s="177" t="s">
        <v>1195</v>
      </c>
      <c r="L656" s="177"/>
      <c r="M656" s="162"/>
      <c r="N656" s="162"/>
      <c r="O656" s="214" t="s">
        <v>1108</v>
      </c>
      <c r="P656" s="162"/>
      <c r="Q656" s="162"/>
      <c r="R656" s="162"/>
      <c r="S656" s="162"/>
    </row>
    <row r="657" spans="1:19" x14ac:dyDescent="0.2">
      <c r="A657" s="168"/>
      <c r="B657" s="158"/>
      <c r="C657" s="158"/>
      <c r="D657" s="167" t="s">
        <v>1108</v>
      </c>
      <c r="G657" s="162"/>
      <c r="H657" s="178"/>
      <c r="I657" s="179" t="s">
        <v>1105</v>
      </c>
      <c r="J657" s="282"/>
      <c r="K657" s="237" t="s">
        <v>1257</v>
      </c>
      <c r="L657" s="237"/>
      <c r="M657" s="220"/>
      <c r="N657" s="220"/>
      <c r="O657" s="236" t="s">
        <v>1108</v>
      </c>
      <c r="P657" s="162"/>
      <c r="Q657" s="162"/>
      <c r="R657" s="162"/>
      <c r="S657" s="162"/>
    </row>
    <row r="658" spans="1:19" ht="15.75" thickBot="1" x14ac:dyDescent="0.25">
      <c r="A658" s="168"/>
      <c r="B658" s="158"/>
      <c r="C658" s="158"/>
      <c r="D658" s="167" t="s">
        <v>1108</v>
      </c>
      <c r="G658" s="162"/>
      <c r="H658" s="193"/>
      <c r="I658" s="195" t="s">
        <v>1109</v>
      </c>
      <c r="J658" s="194"/>
      <c r="K658" s="197" t="s">
        <v>1198</v>
      </c>
      <c r="L658" s="197"/>
      <c r="M658" s="196"/>
      <c r="N658" s="196"/>
      <c r="O658" s="258" t="s">
        <v>1108</v>
      </c>
      <c r="P658" s="162"/>
      <c r="Q658" s="162"/>
      <c r="R658" s="162"/>
      <c r="S658" s="162"/>
    </row>
    <row r="659" spans="1:19" ht="15.75" thickTop="1" x14ac:dyDescent="0.2">
      <c r="A659" s="168">
        <v>79</v>
      </c>
      <c r="B659" s="158" t="s">
        <v>1540</v>
      </c>
      <c r="C659" s="158" t="s">
        <v>1363</v>
      </c>
      <c r="D659" s="167"/>
      <c r="G659" s="162"/>
      <c r="H659" s="200">
        <v>79</v>
      </c>
      <c r="I659" s="202"/>
      <c r="J659" s="212"/>
      <c r="K659" s="248" t="s">
        <v>1363</v>
      </c>
      <c r="L659" s="212"/>
      <c r="M659" s="212"/>
      <c r="N659" s="212"/>
      <c r="O659" s="222"/>
      <c r="P659" s="162"/>
      <c r="Q659" s="176">
        <f>H659</f>
        <v>79</v>
      </c>
      <c r="R659" s="167" t="str">
        <f>CONCATENATE("II-",TEXT(Q659,"0000"))</f>
        <v>II-0079</v>
      </c>
      <c r="S659" s="177" t="str">
        <f>K659</f>
        <v>SUELO</v>
      </c>
    </row>
    <row r="660" spans="1:19" x14ac:dyDescent="0.2">
      <c r="A660" s="168"/>
      <c r="B660" s="158"/>
      <c r="C660" s="158"/>
      <c r="D660" s="167" t="s">
        <v>1108</v>
      </c>
      <c r="G660" s="162"/>
      <c r="H660" s="178"/>
      <c r="I660" s="281" t="s">
        <v>997</v>
      </c>
      <c r="J660" s="162"/>
      <c r="K660" s="237" t="s">
        <v>1541</v>
      </c>
      <c r="L660" s="177"/>
      <c r="M660" s="177"/>
      <c r="N660" s="162"/>
      <c r="O660" s="214" t="s">
        <v>1108</v>
      </c>
      <c r="P660" s="162"/>
      <c r="Q660" s="162"/>
      <c r="R660" s="162"/>
      <c r="S660" s="162"/>
    </row>
    <row r="661" spans="1:19" x14ac:dyDescent="0.2">
      <c r="A661" s="168"/>
      <c r="B661" s="158"/>
      <c r="C661" s="158"/>
      <c r="D661" s="167" t="s">
        <v>1108</v>
      </c>
      <c r="G661" s="162"/>
      <c r="H661" s="178"/>
      <c r="I661" s="179" t="s">
        <v>1024</v>
      </c>
      <c r="J661" s="220"/>
      <c r="K661" s="177" t="s">
        <v>1542</v>
      </c>
      <c r="L661" s="237"/>
      <c r="M661" s="237"/>
      <c r="N661" s="220"/>
      <c r="O661" s="236" t="s">
        <v>1108</v>
      </c>
      <c r="P661" s="162"/>
      <c r="Q661" s="162"/>
      <c r="R661" s="162"/>
      <c r="S661" s="162"/>
    </row>
    <row r="662" spans="1:19" ht="15.75" thickBot="1" x14ac:dyDescent="0.25">
      <c r="A662" s="168"/>
      <c r="B662" s="158"/>
      <c r="C662" s="158"/>
      <c r="D662" s="167" t="s">
        <v>1108</v>
      </c>
      <c r="G662" s="162"/>
      <c r="H662" s="178"/>
      <c r="I662" s="195" t="s">
        <v>1034</v>
      </c>
      <c r="J662" s="162"/>
      <c r="K662" s="239" t="s">
        <v>1543</v>
      </c>
      <c r="L662" s="177"/>
      <c r="M662" s="177"/>
      <c r="N662" s="162"/>
      <c r="O662" s="214" t="s">
        <v>1108</v>
      </c>
      <c r="P662" s="162"/>
      <c r="Q662" s="162"/>
      <c r="R662" s="162"/>
      <c r="S662" s="162"/>
    </row>
    <row r="663" spans="1:19" ht="15.75" thickTop="1" x14ac:dyDescent="0.2">
      <c r="A663" s="168">
        <v>80</v>
      </c>
      <c r="B663" s="158" t="s">
        <v>1544</v>
      </c>
      <c r="C663" s="158" t="s">
        <v>1545</v>
      </c>
      <c r="D663" s="167"/>
      <c r="G663" s="162"/>
      <c r="H663" s="245">
        <v>80</v>
      </c>
      <c r="I663" s="201"/>
      <c r="J663" s="250"/>
      <c r="K663" s="257" t="s">
        <v>1545</v>
      </c>
      <c r="L663" s="250"/>
      <c r="M663" s="250"/>
      <c r="N663" s="250"/>
      <c r="O663" s="203"/>
      <c r="P663" s="162"/>
      <c r="Q663" s="176">
        <f>H663</f>
        <v>80</v>
      </c>
      <c r="R663" s="167" t="str">
        <f>CONCATENATE("II-",TEXT(Q663,"0000"))</f>
        <v>II-0080</v>
      </c>
      <c r="S663" s="177" t="str">
        <f>K663</f>
        <v>SUMIDEROS</v>
      </c>
    </row>
    <row r="664" spans="1:19" x14ac:dyDescent="0.2">
      <c r="A664" s="168"/>
      <c r="B664" s="158"/>
      <c r="C664" s="158"/>
      <c r="D664" s="167" t="s">
        <v>5</v>
      </c>
      <c r="G664" s="162"/>
      <c r="H664" s="178"/>
      <c r="I664" s="184" t="s">
        <v>997</v>
      </c>
      <c r="J664" s="162"/>
      <c r="K664" s="177" t="s">
        <v>1546</v>
      </c>
      <c r="L664" s="177"/>
      <c r="M664" s="177"/>
      <c r="N664" s="162"/>
      <c r="O664" s="214" t="s">
        <v>5</v>
      </c>
      <c r="P664" s="162"/>
      <c r="Q664" s="162"/>
      <c r="R664" s="162"/>
      <c r="S664" s="162"/>
    </row>
    <row r="665" spans="1:19" x14ac:dyDescent="0.2">
      <c r="A665" s="168"/>
      <c r="B665" s="158"/>
      <c r="C665" s="158"/>
      <c r="D665" s="167" t="s">
        <v>5</v>
      </c>
      <c r="G665" s="162"/>
      <c r="H665" s="178"/>
      <c r="I665" s="179" t="s">
        <v>1024</v>
      </c>
      <c r="J665" s="220"/>
      <c r="K665" s="237" t="s">
        <v>1547</v>
      </c>
      <c r="L665" s="237"/>
      <c r="M665" s="237"/>
      <c r="N665" s="220"/>
      <c r="O665" s="236" t="s">
        <v>5</v>
      </c>
      <c r="P665" s="162"/>
      <c r="Q665" s="162"/>
      <c r="R665" s="162"/>
      <c r="S665" s="162"/>
    </row>
    <row r="666" spans="1:19" x14ac:dyDescent="0.2">
      <c r="A666" s="168"/>
      <c r="B666" s="158"/>
      <c r="C666" s="158"/>
      <c r="D666" s="167" t="s">
        <v>5</v>
      </c>
      <c r="G666" s="162"/>
      <c r="H666" s="178"/>
      <c r="I666" s="179" t="s">
        <v>1034</v>
      </c>
      <c r="J666" s="220"/>
      <c r="K666" s="237" t="s">
        <v>1548</v>
      </c>
      <c r="L666" s="237"/>
      <c r="M666" s="237"/>
      <c r="N666" s="220"/>
      <c r="O666" s="236" t="s">
        <v>5</v>
      </c>
      <c r="P666" s="162"/>
      <c r="Q666" s="162"/>
      <c r="R666" s="162"/>
      <c r="S666" s="162"/>
    </row>
    <row r="667" spans="1:19" ht="15.75" thickBot="1" x14ac:dyDescent="0.25">
      <c r="A667" s="168"/>
      <c r="B667" s="158"/>
      <c r="C667" s="158"/>
      <c r="D667" s="167" t="s">
        <v>5</v>
      </c>
      <c r="G667" s="162"/>
      <c r="H667" s="224"/>
      <c r="I667" s="226" t="s">
        <v>1060</v>
      </c>
      <c r="J667" s="227"/>
      <c r="K667" s="228" t="s">
        <v>1549</v>
      </c>
      <c r="L667" s="228"/>
      <c r="M667" s="228"/>
      <c r="N667" s="227"/>
      <c r="O667" s="260" t="s">
        <v>5</v>
      </c>
      <c r="P667" s="162"/>
      <c r="Q667" s="162"/>
      <c r="R667" s="162"/>
      <c r="S667" s="162"/>
    </row>
    <row r="668" spans="1:19" x14ac:dyDescent="0.2">
      <c r="A668" s="168"/>
      <c r="B668" s="158"/>
      <c r="C668" s="158"/>
      <c r="D668" s="167"/>
      <c r="G668" s="162"/>
      <c r="H668" s="230"/>
      <c r="I668" s="167"/>
      <c r="J668" s="162"/>
      <c r="K668" s="177"/>
      <c r="L668" s="177"/>
      <c r="M668" s="177"/>
      <c r="N668" s="162"/>
      <c r="O668" s="165"/>
      <c r="P668" s="162"/>
      <c r="Q668" s="162"/>
      <c r="R668" s="162"/>
      <c r="S668" s="162"/>
    </row>
    <row r="669" spans="1:19" x14ac:dyDescent="0.2">
      <c r="A669" s="168"/>
      <c r="B669" s="158"/>
      <c r="C669" s="158"/>
      <c r="D669" s="167"/>
      <c r="G669" s="162"/>
      <c r="H669" s="230"/>
      <c r="I669" s="167"/>
      <c r="J669" s="162"/>
      <c r="K669" s="177"/>
      <c r="L669" s="177"/>
      <c r="M669" s="177"/>
      <c r="N669" s="162"/>
      <c r="O669" s="165"/>
      <c r="P669" s="162"/>
      <c r="Q669" s="162"/>
      <c r="R669" s="162"/>
      <c r="S669" s="162"/>
    </row>
    <row r="670" spans="1:19" x14ac:dyDescent="0.2">
      <c r="A670" s="168"/>
      <c r="B670" s="158"/>
      <c r="C670" s="158"/>
      <c r="D670" s="167"/>
      <c r="G670" s="162"/>
      <c r="H670" s="230"/>
      <c r="I670" s="167"/>
      <c r="J670" s="162"/>
      <c r="K670" s="177"/>
      <c r="L670" s="177"/>
      <c r="M670" s="177"/>
      <c r="N670" s="162"/>
      <c r="O670" s="165"/>
      <c r="P670" s="162"/>
      <c r="Q670" s="162"/>
      <c r="R670" s="162"/>
      <c r="S670" s="162"/>
    </row>
    <row r="671" spans="1:19" x14ac:dyDescent="0.2">
      <c r="A671" s="168">
        <v>81</v>
      </c>
      <c r="B671" s="158" t="s">
        <v>1550</v>
      </c>
      <c r="C671" s="158" t="s">
        <v>1551</v>
      </c>
      <c r="D671" s="167"/>
      <c r="G671" s="299"/>
      <c r="H671" s="200">
        <v>81</v>
      </c>
      <c r="I671" s="202"/>
      <c r="J671" s="212"/>
      <c r="K671" s="257" t="s">
        <v>1551</v>
      </c>
      <c r="L671" s="212"/>
      <c r="M671" s="212"/>
      <c r="N671" s="212"/>
      <c r="O671" s="222"/>
      <c r="P671" s="162"/>
      <c r="Q671" s="176">
        <f>H671</f>
        <v>81</v>
      </c>
      <c r="R671" s="167" t="str">
        <f>CONCATENATE("II-",TEXT(Q671,"0000"))</f>
        <v>II-0081</v>
      </c>
      <c r="S671" s="177" t="str">
        <f>K671</f>
        <v>TERRAPLEN</v>
      </c>
    </row>
    <row r="672" spans="1:19" x14ac:dyDescent="0.2">
      <c r="A672" s="168"/>
      <c r="B672" s="158"/>
      <c r="C672" s="158"/>
      <c r="D672" s="167"/>
      <c r="G672" s="162"/>
      <c r="H672" s="178"/>
      <c r="I672" s="179" t="s">
        <v>997</v>
      </c>
      <c r="J672" s="162"/>
      <c r="K672" s="177" t="s">
        <v>1552</v>
      </c>
      <c r="L672" s="162"/>
      <c r="M672" s="162"/>
      <c r="N672" s="162"/>
      <c r="O672" s="214"/>
      <c r="P672" s="162"/>
      <c r="Q672" s="162"/>
      <c r="R672" s="162"/>
      <c r="S672" s="162"/>
    </row>
    <row r="673" spans="1:19" x14ac:dyDescent="0.2">
      <c r="A673" s="168"/>
      <c r="B673" s="158"/>
      <c r="C673" s="158"/>
      <c r="D673" s="167" t="s">
        <v>1108</v>
      </c>
      <c r="G673" s="162"/>
      <c r="H673" s="178"/>
      <c r="I673" s="167"/>
      <c r="J673" s="184">
        <v>1</v>
      </c>
      <c r="K673" s="162"/>
      <c r="L673" s="177" t="s">
        <v>1553</v>
      </c>
      <c r="M673" s="162"/>
      <c r="N673" s="162"/>
      <c r="O673" s="214" t="s">
        <v>1108</v>
      </c>
      <c r="P673" s="162"/>
      <c r="Q673" s="162"/>
      <c r="R673" s="162"/>
      <c r="S673" s="162"/>
    </row>
    <row r="674" spans="1:19" x14ac:dyDescent="0.2">
      <c r="A674" s="168"/>
      <c r="B674" s="158"/>
      <c r="C674" s="158"/>
      <c r="D674" s="167" t="s">
        <v>1108</v>
      </c>
      <c r="G674" s="162"/>
      <c r="H674" s="178"/>
      <c r="I674" s="192"/>
      <c r="J674" s="187">
        <v>2</v>
      </c>
      <c r="K674" s="188"/>
      <c r="L674" s="189" t="s">
        <v>1554</v>
      </c>
      <c r="M674" s="188"/>
      <c r="N674" s="188"/>
      <c r="O674" s="232" t="s">
        <v>1108</v>
      </c>
      <c r="P674" s="162"/>
      <c r="Q674" s="162"/>
      <c r="R674" s="162"/>
      <c r="S674" s="162"/>
    </row>
    <row r="675" spans="1:19" x14ac:dyDescent="0.2">
      <c r="A675" s="168"/>
      <c r="B675" s="158"/>
      <c r="C675" s="158"/>
      <c r="D675" s="167"/>
      <c r="G675" s="162"/>
      <c r="H675" s="178"/>
      <c r="I675" s="179" t="s">
        <v>1024</v>
      </c>
      <c r="J675" s="162"/>
      <c r="K675" s="177" t="s">
        <v>1555</v>
      </c>
      <c r="L675" s="162"/>
      <c r="M675" s="162"/>
      <c r="N675" s="162"/>
      <c r="O675" s="214"/>
      <c r="P675" s="162"/>
      <c r="Q675" s="162"/>
      <c r="R675" s="162"/>
      <c r="S675" s="162"/>
    </row>
    <row r="676" spans="1:19" x14ac:dyDescent="0.2">
      <c r="A676" s="168"/>
      <c r="B676" s="158"/>
      <c r="C676" s="158"/>
      <c r="D676" s="167" t="s">
        <v>1108</v>
      </c>
      <c r="G676" s="162"/>
      <c r="H676" s="178"/>
      <c r="I676" s="167"/>
      <c r="J676" s="184">
        <v>1</v>
      </c>
      <c r="K676" s="162"/>
      <c r="L676" s="177" t="s">
        <v>1556</v>
      </c>
      <c r="M676" s="162"/>
      <c r="N676" s="162"/>
      <c r="O676" s="214" t="s">
        <v>1108</v>
      </c>
      <c r="P676" s="162"/>
      <c r="Q676" s="162"/>
      <c r="R676" s="162"/>
      <c r="S676" s="162"/>
    </row>
    <row r="677" spans="1:19" ht="15.75" thickBot="1" x14ac:dyDescent="0.25">
      <c r="A677" s="168"/>
      <c r="B677" s="158"/>
      <c r="C677" s="158"/>
      <c r="D677" s="167" t="s">
        <v>1108</v>
      </c>
      <c r="G677" s="162"/>
      <c r="H677" s="178"/>
      <c r="I677" s="167"/>
      <c r="J677" s="195">
        <v>2</v>
      </c>
      <c r="K677" s="162"/>
      <c r="L677" s="177" t="s">
        <v>1554</v>
      </c>
      <c r="M677" s="162"/>
      <c r="N677" s="162"/>
      <c r="O677" s="214" t="s">
        <v>1108</v>
      </c>
      <c r="P677" s="162"/>
      <c r="Q677" s="162"/>
      <c r="R677" s="162"/>
      <c r="S677" s="162"/>
    </row>
    <row r="678" spans="1:19" ht="16.5" thickTop="1" thickBot="1" x14ac:dyDescent="0.25">
      <c r="A678" s="168">
        <v>82</v>
      </c>
      <c r="B678" s="158" t="s">
        <v>1557</v>
      </c>
      <c r="C678" s="158" t="s">
        <v>1558</v>
      </c>
      <c r="D678" s="167" t="s">
        <v>1191</v>
      </c>
      <c r="G678" s="162"/>
      <c r="H678" s="271">
        <v>82</v>
      </c>
      <c r="I678" s="272"/>
      <c r="J678" s="273"/>
      <c r="K678" s="274" t="s">
        <v>1558</v>
      </c>
      <c r="L678" s="273"/>
      <c r="M678" s="273"/>
      <c r="N678" s="273"/>
      <c r="O678" s="275" t="s">
        <v>1191</v>
      </c>
      <c r="P678" s="162"/>
      <c r="Q678" s="176">
        <f t="shared" ref="Q678:Q679" si="66">H678</f>
        <v>82</v>
      </c>
      <c r="R678" s="167" t="str">
        <f t="shared" ref="R678:R679" si="67">CONCATENATE("II-",TEXT(Q678,"0000"))</f>
        <v>II-0082</v>
      </c>
      <c r="S678" s="177" t="str">
        <f t="shared" ref="S678:S679" si="68">K678</f>
        <v>TEXTURIZADO (SUPERFICIE DE RODAMIENTO)</v>
      </c>
    </row>
    <row r="679" spans="1:19" ht="15.75" thickTop="1" x14ac:dyDescent="0.2">
      <c r="A679" s="168">
        <v>83</v>
      </c>
      <c r="B679" s="158" t="s">
        <v>1559</v>
      </c>
      <c r="C679" s="158" t="s">
        <v>1560</v>
      </c>
      <c r="D679" s="167"/>
      <c r="G679" s="162"/>
      <c r="H679" s="200">
        <v>83</v>
      </c>
      <c r="I679" s="202"/>
      <c r="J679" s="202"/>
      <c r="K679" s="211" t="s">
        <v>1560</v>
      </c>
      <c r="L679" s="212"/>
      <c r="M679" s="212"/>
      <c r="N679" s="212"/>
      <c r="O679" s="222"/>
      <c r="P679" s="162"/>
      <c r="Q679" s="176">
        <f t="shared" si="66"/>
        <v>83</v>
      </c>
      <c r="R679" s="167" t="str">
        <f t="shared" si="67"/>
        <v>II-0083</v>
      </c>
      <c r="S679" s="177" t="str">
        <f t="shared" si="68"/>
        <v>TRABAJOS NO ESPECIFICADOS O DE EMERGENCIA</v>
      </c>
    </row>
    <row r="680" spans="1:19" x14ac:dyDescent="0.2">
      <c r="A680" s="168"/>
      <c r="B680" s="158"/>
      <c r="C680" s="158"/>
      <c r="D680" s="167" t="s">
        <v>907</v>
      </c>
      <c r="G680" s="162"/>
      <c r="H680" s="178"/>
      <c r="I680" s="281" t="s">
        <v>997</v>
      </c>
      <c r="J680" s="167"/>
      <c r="K680" s="210" t="s">
        <v>1561</v>
      </c>
      <c r="L680" s="162"/>
      <c r="M680" s="162"/>
      <c r="N680" s="162"/>
      <c r="O680" s="214" t="s">
        <v>907</v>
      </c>
      <c r="P680" s="162"/>
      <c r="Q680" s="162"/>
      <c r="R680" s="162"/>
      <c r="S680" s="162"/>
    </row>
    <row r="681" spans="1:19" x14ac:dyDescent="0.2">
      <c r="A681" s="168"/>
      <c r="B681" s="158"/>
      <c r="C681" s="158"/>
      <c r="D681" s="167" t="s">
        <v>907</v>
      </c>
      <c r="G681" s="162"/>
      <c r="H681" s="178"/>
      <c r="I681" s="179" t="s">
        <v>1024</v>
      </c>
      <c r="J681" s="282"/>
      <c r="K681" s="237" t="s">
        <v>1562</v>
      </c>
      <c r="L681" s="237"/>
      <c r="M681" s="220"/>
      <c r="N681" s="220"/>
      <c r="O681" s="236" t="s">
        <v>907</v>
      </c>
      <c r="P681" s="162"/>
      <c r="Q681" s="162"/>
      <c r="R681" s="162"/>
      <c r="S681" s="162"/>
    </row>
    <row r="682" spans="1:19" x14ac:dyDescent="0.2">
      <c r="A682" s="168"/>
      <c r="B682" s="158"/>
      <c r="C682" s="158"/>
      <c r="D682" s="167" t="s">
        <v>907</v>
      </c>
      <c r="G682" s="162"/>
      <c r="H682" s="178"/>
      <c r="I682" s="184" t="s">
        <v>1034</v>
      </c>
      <c r="J682" s="167"/>
      <c r="K682" s="210" t="s">
        <v>1563</v>
      </c>
      <c r="L682" s="177"/>
      <c r="M682" s="162"/>
      <c r="N682" s="162"/>
      <c r="O682" s="214" t="s">
        <v>907</v>
      </c>
      <c r="P682" s="162"/>
      <c r="Q682" s="162"/>
      <c r="R682" s="162"/>
      <c r="S682" s="162"/>
    </row>
    <row r="683" spans="1:19" x14ac:dyDescent="0.2">
      <c r="A683" s="168"/>
      <c r="B683" s="158"/>
      <c r="C683" s="158"/>
      <c r="D683" s="167" t="s">
        <v>907</v>
      </c>
      <c r="G683" s="162"/>
      <c r="H683" s="178"/>
      <c r="I683" s="179" t="s">
        <v>1060</v>
      </c>
      <c r="J683" s="282"/>
      <c r="K683" s="219" t="s">
        <v>1564</v>
      </c>
      <c r="L683" s="237"/>
      <c r="M683" s="220"/>
      <c r="N683" s="220"/>
      <c r="O683" s="236" t="s">
        <v>907</v>
      </c>
      <c r="P683" s="162"/>
      <c r="Q683" s="162"/>
      <c r="R683" s="162"/>
      <c r="S683" s="162"/>
    </row>
    <row r="684" spans="1:19" x14ac:dyDescent="0.2">
      <c r="A684" s="168"/>
      <c r="B684" s="158"/>
      <c r="C684" s="158"/>
      <c r="D684" s="167" t="s">
        <v>907</v>
      </c>
      <c r="G684" s="162"/>
      <c r="H684" s="178"/>
      <c r="I684" s="184" t="s">
        <v>1102</v>
      </c>
      <c r="J684" s="167"/>
      <c r="K684" s="210" t="s">
        <v>1565</v>
      </c>
      <c r="L684" s="177"/>
      <c r="M684" s="162"/>
      <c r="N684" s="162"/>
      <c r="O684" s="214" t="s">
        <v>907</v>
      </c>
      <c r="P684" s="162"/>
      <c r="Q684" s="162"/>
      <c r="R684" s="162"/>
      <c r="S684" s="162"/>
    </row>
    <row r="685" spans="1:19" ht="15.75" thickBot="1" x14ac:dyDescent="0.25">
      <c r="A685" s="168"/>
      <c r="B685" s="158"/>
      <c r="C685" s="158"/>
      <c r="D685" s="167" t="s">
        <v>907</v>
      </c>
      <c r="G685" s="162"/>
      <c r="H685" s="193"/>
      <c r="I685" s="205" t="s">
        <v>1105</v>
      </c>
      <c r="J685" s="206"/>
      <c r="K685" s="207" t="s">
        <v>1566</v>
      </c>
      <c r="L685" s="239"/>
      <c r="M685" s="208"/>
      <c r="N685" s="208"/>
      <c r="O685" s="240" t="s">
        <v>907</v>
      </c>
      <c r="P685" s="162"/>
      <c r="Q685" s="162"/>
      <c r="R685" s="162"/>
      <c r="S685" s="162"/>
    </row>
    <row r="686" spans="1:19" ht="15.75" thickTop="1" x14ac:dyDescent="0.2">
      <c r="A686" s="168">
        <v>84</v>
      </c>
      <c r="B686" s="158" t="s">
        <v>1567</v>
      </c>
      <c r="C686" s="158" t="s">
        <v>1568</v>
      </c>
      <c r="D686" s="167"/>
      <c r="G686" s="162"/>
      <c r="H686" s="200">
        <v>84</v>
      </c>
      <c r="I686" s="202"/>
      <c r="J686" s="212"/>
      <c r="K686" s="257" t="s">
        <v>1568</v>
      </c>
      <c r="L686" s="212"/>
      <c r="M686" s="212"/>
      <c r="N686" s="212"/>
      <c r="O686" s="222"/>
      <c r="P686" s="162"/>
      <c r="Q686" s="176">
        <f>H686</f>
        <v>84</v>
      </c>
      <c r="R686" s="167" t="str">
        <f>CONCATENATE("II-",TEXT(Q686,"0000"))</f>
        <v>II-0084</v>
      </c>
      <c r="S686" s="177" t="str">
        <f>K686</f>
        <v xml:space="preserve">TRANSPORTE </v>
      </c>
    </row>
    <row r="687" spans="1:19" x14ac:dyDescent="0.2">
      <c r="A687" s="168"/>
      <c r="B687" s="158"/>
      <c r="C687" s="158"/>
      <c r="D687" s="167" t="s">
        <v>1569</v>
      </c>
      <c r="G687" s="162"/>
      <c r="H687" s="178"/>
      <c r="I687" s="179" t="s">
        <v>997</v>
      </c>
      <c r="J687" s="282"/>
      <c r="K687" s="237" t="s">
        <v>1362</v>
      </c>
      <c r="L687" s="220"/>
      <c r="M687" s="220"/>
      <c r="N687" s="220"/>
      <c r="O687" s="236" t="s">
        <v>1569</v>
      </c>
      <c r="P687" s="162"/>
      <c r="Q687" s="162"/>
      <c r="R687" s="162"/>
      <c r="S687" s="162"/>
    </row>
    <row r="688" spans="1:19" ht="15.75" thickBot="1" x14ac:dyDescent="0.25">
      <c r="A688" s="168"/>
      <c r="B688" s="158"/>
      <c r="C688" s="158"/>
      <c r="D688" s="167" t="s">
        <v>1570</v>
      </c>
      <c r="G688" s="162"/>
      <c r="H688" s="178"/>
      <c r="I688" s="195" t="s">
        <v>1024</v>
      </c>
      <c r="J688" s="167"/>
      <c r="K688" s="177" t="s">
        <v>1363</v>
      </c>
      <c r="L688" s="162"/>
      <c r="M688" s="162"/>
      <c r="N688" s="162"/>
      <c r="O688" s="214" t="s">
        <v>1570</v>
      </c>
      <c r="P688" s="162"/>
      <c r="Q688" s="162"/>
      <c r="R688" s="162"/>
      <c r="S688" s="162"/>
    </row>
    <row r="689" spans="1:19" ht="15.75" thickTop="1" x14ac:dyDescent="0.2">
      <c r="A689" s="168">
        <v>85</v>
      </c>
      <c r="B689" s="158" t="s">
        <v>1571</v>
      </c>
      <c r="C689" s="158" t="s">
        <v>1572</v>
      </c>
      <c r="D689" s="167"/>
      <c r="G689" s="162"/>
      <c r="H689" s="245">
        <v>85</v>
      </c>
      <c r="I689" s="201"/>
      <c r="J689" s="250"/>
      <c r="K689" s="251" t="s">
        <v>1572</v>
      </c>
      <c r="L689" s="250"/>
      <c r="M689" s="250"/>
      <c r="N689" s="250"/>
      <c r="O689" s="203"/>
      <c r="P689" s="162"/>
      <c r="Q689" s="176">
        <f>H689</f>
        <v>85</v>
      </c>
      <c r="R689" s="167" t="str">
        <f>CONCATENATE("II-",TEXT(Q689,"0000"))</f>
        <v>II-0085</v>
      </c>
      <c r="S689" s="177" t="str">
        <f>K689</f>
        <v>TRANQUERA</v>
      </c>
    </row>
    <row r="690" spans="1:19" x14ac:dyDescent="0.2">
      <c r="A690" s="168">
        <v>1</v>
      </c>
      <c r="B690" s="169" t="str">
        <f>CONCATENATE($B$689,".",TEXT(A690,"0000"))</f>
        <v>II-0085.0001</v>
      </c>
      <c r="C690" s="158" t="s">
        <v>1573</v>
      </c>
      <c r="D690" s="167" t="s">
        <v>1225</v>
      </c>
      <c r="G690" s="162"/>
      <c r="H690" s="178"/>
      <c r="I690" s="179" t="s">
        <v>997</v>
      </c>
      <c r="J690" s="220"/>
      <c r="K690" s="237" t="s">
        <v>1574</v>
      </c>
      <c r="L690" s="237"/>
      <c r="M690" s="237"/>
      <c r="N690" s="237"/>
      <c r="O690" s="236" t="s">
        <v>1225</v>
      </c>
      <c r="P690" s="162"/>
      <c r="Q690" s="162"/>
      <c r="R690" s="162"/>
      <c r="S690" s="162"/>
    </row>
    <row r="691" spans="1:19" ht="15.75" thickBot="1" x14ac:dyDescent="0.25">
      <c r="A691" s="168">
        <v>2</v>
      </c>
      <c r="B691" s="169" t="str">
        <f>CONCATENATE($B$689,".",TEXT(A691,"0000"))</f>
        <v>II-0085.0002</v>
      </c>
      <c r="C691" s="158" t="s">
        <v>1575</v>
      </c>
      <c r="D691" s="167" t="s">
        <v>1225</v>
      </c>
      <c r="G691" s="162"/>
      <c r="H691" s="193"/>
      <c r="I691" s="195" t="s">
        <v>1024</v>
      </c>
      <c r="J691" s="196"/>
      <c r="K691" s="197" t="s">
        <v>1576</v>
      </c>
      <c r="L691" s="197"/>
      <c r="M691" s="197"/>
      <c r="N691" s="197"/>
      <c r="O691" s="258" t="s">
        <v>1225</v>
      </c>
      <c r="P691" s="162"/>
      <c r="Q691" s="162"/>
      <c r="R691" s="162"/>
      <c r="S691" s="162"/>
    </row>
    <row r="692" spans="1:19" ht="15.75" thickTop="1" x14ac:dyDescent="0.2">
      <c r="A692" s="168">
        <v>86</v>
      </c>
      <c r="B692" s="158" t="s">
        <v>1577</v>
      </c>
      <c r="C692" s="158" t="s">
        <v>1578</v>
      </c>
      <c r="D692" s="167"/>
      <c r="G692" s="162"/>
      <c r="H692" s="245">
        <v>86</v>
      </c>
      <c r="I692" s="201"/>
      <c r="J692" s="250"/>
      <c r="K692" s="251" t="s">
        <v>1578</v>
      </c>
      <c r="L692" s="250"/>
      <c r="M692" s="250"/>
      <c r="N692" s="250"/>
      <c r="O692" s="203"/>
      <c r="P692" s="162"/>
      <c r="Q692" s="176">
        <f>H692</f>
        <v>86</v>
      </c>
      <c r="R692" s="167" t="str">
        <f>CONCATENATE("II-",TEXT(Q692,"0000"))</f>
        <v>II-0086</v>
      </c>
      <c r="S692" s="177" t="str">
        <f>K692</f>
        <v>TRATAMIENTO BITUMINOSO</v>
      </c>
    </row>
    <row r="693" spans="1:19" x14ac:dyDescent="0.2">
      <c r="A693" s="168"/>
      <c r="B693" s="158"/>
      <c r="C693" s="158"/>
      <c r="D693" s="167" t="s">
        <v>1191</v>
      </c>
      <c r="G693" s="162"/>
      <c r="H693" s="178"/>
      <c r="I693" s="179" t="s">
        <v>997</v>
      </c>
      <c r="J693" s="220"/>
      <c r="K693" s="237" t="s">
        <v>1579</v>
      </c>
      <c r="L693" s="220"/>
      <c r="M693" s="220"/>
      <c r="N693" s="220"/>
      <c r="O693" s="236" t="s">
        <v>1191</v>
      </c>
      <c r="P693" s="162"/>
      <c r="Q693" s="162"/>
      <c r="R693" s="162"/>
      <c r="S693" s="162"/>
    </row>
    <row r="694" spans="1:19" x14ac:dyDescent="0.2">
      <c r="A694" s="168"/>
      <c r="B694" s="158"/>
      <c r="C694" s="158"/>
      <c r="D694" s="167" t="s">
        <v>1191</v>
      </c>
      <c r="G694" s="162"/>
      <c r="H694" s="178"/>
      <c r="I694" s="184" t="s">
        <v>1024</v>
      </c>
      <c r="J694" s="162"/>
      <c r="K694" s="177" t="s">
        <v>1580</v>
      </c>
      <c r="L694" s="162"/>
      <c r="M694" s="162"/>
      <c r="N694" s="162"/>
      <c r="O694" s="214" t="s">
        <v>1191</v>
      </c>
      <c r="P694" s="162"/>
      <c r="Q694" s="162"/>
      <c r="R694" s="162"/>
      <c r="S694" s="162"/>
    </row>
    <row r="695" spans="1:19" x14ac:dyDescent="0.2">
      <c r="A695" s="168"/>
      <c r="B695" s="158"/>
      <c r="C695" s="158"/>
      <c r="D695" s="167" t="s">
        <v>1191</v>
      </c>
      <c r="G695" s="162"/>
      <c r="H695" s="178"/>
      <c r="I695" s="179" t="s">
        <v>1034</v>
      </c>
      <c r="J695" s="220"/>
      <c r="K695" s="237" t="s">
        <v>1581</v>
      </c>
      <c r="L695" s="220"/>
      <c r="M695" s="220"/>
      <c r="N695" s="220"/>
      <c r="O695" s="236" t="s">
        <v>1191</v>
      </c>
      <c r="P695" s="162"/>
      <c r="Q695" s="162"/>
      <c r="R695" s="162"/>
      <c r="S695" s="162"/>
    </row>
    <row r="696" spans="1:19" x14ac:dyDescent="0.2">
      <c r="A696" s="168"/>
      <c r="B696" s="158"/>
      <c r="C696" s="158"/>
      <c r="D696" s="167" t="s">
        <v>1191</v>
      </c>
      <c r="G696" s="162"/>
      <c r="H696" s="178"/>
      <c r="I696" s="184" t="s">
        <v>1060</v>
      </c>
      <c r="J696" s="162"/>
      <c r="K696" s="177" t="s">
        <v>1290</v>
      </c>
      <c r="L696" s="162"/>
      <c r="M696" s="162"/>
      <c r="N696" s="162"/>
      <c r="O696" s="214" t="s">
        <v>1191</v>
      </c>
      <c r="P696" s="162"/>
      <c r="Q696" s="162"/>
      <c r="R696" s="162"/>
      <c r="S696" s="162"/>
    </row>
    <row r="697" spans="1:19" x14ac:dyDescent="0.2">
      <c r="A697" s="168"/>
      <c r="B697" s="158"/>
      <c r="C697" s="158"/>
      <c r="D697" s="167" t="s">
        <v>1191</v>
      </c>
      <c r="G697" s="162"/>
      <c r="H697" s="178"/>
      <c r="I697" s="179" t="s">
        <v>1102</v>
      </c>
      <c r="J697" s="220"/>
      <c r="K697" s="237" t="s">
        <v>1582</v>
      </c>
      <c r="L697" s="220"/>
      <c r="M697" s="220"/>
      <c r="N697" s="220"/>
      <c r="O697" s="236" t="s">
        <v>1191</v>
      </c>
      <c r="P697" s="162"/>
      <c r="Q697" s="162"/>
      <c r="R697" s="162"/>
      <c r="S697" s="162"/>
    </row>
    <row r="698" spans="1:19" x14ac:dyDescent="0.2">
      <c r="A698" s="168"/>
      <c r="B698" s="158"/>
      <c r="C698" s="158"/>
      <c r="D698" s="167" t="s">
        <v>1191</v>
      </c>
      <c r="G698" s="162"/>
      <c r="H698" s="178"/>
      <c r="I698" s="179" t="s">
        <v>1105</v>
      </c>
      <c r="J698" s="220"/>
      <c r="K698" s="237" t="s">
        <v>1583</v>
      </c>
      <c r="L698" s="220"/>
      <c r="M698" s="220"/>
      <c r="N698" s="220"/>
      <c r="O698" s="236" t="s">
        <v>1191</v>
      </c>
      <c r="P698" s="162"/>
      <c r="Q698" s="162"/>
      <c r="R698" s="162"/>
      <c r="S698" s="162"/>
    </row>
    <row r="699" spans="1:19" ht="15.75" thickBot="1" x14ac:dyDescent="0.25">
      <c r="A699" s="168"/>
      <c r="B699" s="158"/>
      <c r="C699" s="158"/>
      <c r="D699" s="167" t="s">
        <v>1191</v>
      </c>
      <c r="G699" s="162"/>
      <c r="H699" s="178"/>
      <c r="I699" s="195" t="s">
        <v>1109</v>
      </c>
      <c r="J699" s="162"/>
      <c r="K699" s="177" t="s">
        <v>1584</v>
      </c>
      <c r="L699" s="162"/>
      <c r="M699" s="162"/>
      <c r="N699" s="162"/>
      <c r="O699" s="214" t="s">
        <v>1191</v>
      </c>
      <c r="P699" s="162"/>
      <c r="Q699" s="162"/>
      <c r="R699" s="162"/>
      <c r="S699" s="162"/>
    </row>
    <row r="700" spans="1:19" ht="15.75" thickTop="1" x14ac:dyDescent="0.2">
      <c r="A700" s="168">
        <v>87</v>
      </c>
      <c r="B700" s="158" t="s">
        <v>1585</v>
      </c>
      <c r="C700" s="158" t="s">
        <v>1586</v>
      </c>
      <c r="D700" s="167"/>
      <c r="G700" s="162"/>
      <c r="H700" s="245">
        <v>87</v>
      </c>
      <c r="I700" s="246"/>
      <c r="J700" s="247"/>
      <c r="K700" s="289" t="s">
        <v>1586</v>
      </c>
      <c r="L700" s="247"/>
      <c r="M700" s="247"/>
      <c r="N700" s="247"/>
      <c r="O700" s="249"/>
      <c r="P700" s="162"/>
      <c r="Q700" s="176">
        <f>H700</f>
        <v>87</v>
      </c>
      <c r="R700" s="167" t="str">
        <f>CONCATENATE("II-",TEXT(Q700,"0000"))</f>
        <v>II-0087</v>
      </c>
      <c r="S700" s="177" t="str">
        <f>K700</f>
        <v>TOMA DE JUNTA</v>
      </c>
    </row>
    <row r="701" spans="1:19" x14ac:dyDescent="0.2">
      <c r="A701" s="168"/>
      <c r="B701" s="158"/>
      <c r="C701" s="158"/>
      <c r="D701" s="167" t="s">
        <v>1233</v>
      </c>
      <c r="G701" s="162"/>
      <c r="H701" s="178"/>
      <c r="I701" s="179" t="s">
        <v>997</v>
      </c>
      <c r="J701" s="220"/>
      <c r="K701" s="237" t="s">
        <v>1587</v>
      </c>
      <c r="L701" s="237"/>
      <c r="M701" s="237"/>
      <c r="N701" s="237"/>
      <c r="O701" s="236" t="s">
        <v>1233</v>
      </c>
      <c r="P701" s="162"/>
      <c r="Q701" s="162"/>
      <c r="R701" s="162"/>
      <c r="S701" s="162"/>
    </row>
    <row r="702" spans="1:19" ht="15.75" thickBot="1" x14ac:dyDescent="0.25">
      <c r="A702" s="168"/>
      <c r="B702" s="158"/>
      <c r="C702" s="158"/>
      <c r="D702" s="167" t="s">
        <v>1233</v>
      </c>
      <c r="G702" s="162"/>
      <c r="H702" s="238"/>
      <c r="I702" s="195" t="s">
        <v>1024</v>
      </c>
      <c r="J702" s="196"/>
      <c r="K702" s="197" t="s">
        <v>1413</v>
      </c>
      <c r="L702" s="197"/>
      <c r="M702" s="197"/>
      <c r="N702" s="197"/>
      <c r="O702" s="258" t="s">
        <v>1233</v>
      </c>
      <c r="P702" s="162"/>
      <c r="Q702" s="162"/>
      <c r="R702" s="162"/>
      <c r="S702" s="162"/>
    </row>
    <row r="703" spans="1:19" ht="16.5" thickTop="1" thickBot="1" x14ac:dyDescent="0.25">
      <c r="A703" s="168">
        <v>88</v>
      </c>
      <c r="B703" s="158" t="s">
        <v>1588</v>
      </c>
      <c r="C703" s="158" t="s">
        <v>1589</v>
      </c>
      <c r="D703" s="167" t="s">
        <v>1108</v>
      </c>
      <c r="G703" s="162"/>
      <c r="H703" s="200">
        <v>88</v>
      </c>
      <c r="I703" s="202"/>
      <c r="J703" s="212"/>
      <c r="K703" s="257" t="s">
        <v>1589</v>
      </c>
      <c r="L703" s="212"/>
      <c r="M703" s="212"/>
      <c r="N703" s="212"/>
      <c r="O703" s="222" t="s">
        <v>1108</v>
      </c>
      <c r="P703" s="162"/>
      <c r="Q703" s="176">
        <f t="shared" ref="Q703:Q704" si="69">H703</f>
        <v>88</v>
      </c>
      <c r="R703" s="167" t="str">
        <f t="shared" ref="R703:R704" si="70">CONCATENATE("II-",TEXT(Q703,"0000"))</f>
        <v>II-0088</v>
      </c>
      <c r="S703" s="177" t="str">
        <f t="shared" ref="S703:S704" si="71">K703</f>
        <v>TOSCAPLEN</v>
      </c>
    </row>
    <row r="704" spans="1:19" ht="16.5" thickTop="1" thickBot="1" x14ac:dyDescent="0.25">
      <c r="A704" s="168">
        <v>89</v>
      </c>
      <c r="B704" s="158" t="s">
        <v>1590</v>
      </c>
      <c r="C704" s="158" t="s">
        <v>1591</v>
      </c>
      <c r="D704" s="167" t="s">
        <v>1451</v>
      </c>
      <c r="G704" s="162"/>
      <c r="H704" s="252">
        <v>89</v>
      </c>
      <c r="I704" s="253"/>
      <c r="J704" s="254"/>
      <c r="K704" s="255" t="s">
        <v>1591</v>
      </c>
      <c r="L704" s="254"/>
      <c r="M704" s="254"/>
      <c r="N704" s="254"/>
      <c r="O704" s="256" t="s">
        <v>1451</v>
      </c>
      <c r="P704" s="162"/>
      <c r="Q704" s="176">
        <f t="shared" si="69"/>
        <v>89</v>
      </c>
      <c r="R704" s="167" t="str">
        <f t="shared" si="70"/>
        <v>II-0089</v>
      </c>
      <c r="S704" s="177" t="str">
        <f t="shared" si="71"/>
        <v>VIVENDA PERSONAL DE SUPERVICION</v>
      </c>
    </row>
    <row r="705" spans="1:19" x14ac:dyDescent="0.2">
      <c r="A705" s="168"/>
      <c r="B705" s="158"/>
      <c r="C705" s="158"/>
      <c r="D705" s="167"/>
      <c r="G705" s="162"/>
      <c r="H705" s="230"/>
      <c r="I705" s="167"/>
      <c r="J705" s="162"/>
      <c r="K705" s="162"/>
      <c r="L705" s="162"/>
      <c r="M705" s="162"/>
      <c r="N705" s="162"/>
      <c r="O705" s="165"/>
      <c r="P705" s="162"/>
      <c r="Q705" s="162"/>
      <c r="R705" s="162"/>
      <c r="S705" s="162"/>
    </row>
    <row r="706" spans="1:19" x14ac:dyDescent="0.2">
      <c r="A706" s="168"/>
      <c r="B706" s="158"/>
      <c r="C706" s="158"/>
      <c r="D706" s="167"/>
      <c r="G706" s="162"/>
      <c r="H706" s="230"/>
      <c r="I706" s="167"/>
      <c r="J706" s="162"/>
      <c r="K706" s="162"/>
      <c r="L706" s="162"/>
      <c r="M706" s="162"/>
      <c r="N706" s="162"/>
      <c r="O706" s="165"/>
      <c r="P706" s="162"/>
      <c r="Q706" s="162"/>
      <c r="R706" s="162"/>
      <c r="S706" s="162"/>
    </row>
    <row r="707" spans="1:19" x14ac:dyDescent="0.2">
      <c r="A707" s="168"/>
      <c r="B707" s="158"/>
      <c r="C707" s="158"/>
      <c r="D707" s="167"/>
      <c r="G707" s="162"/>
      <c r="H707" s="230"/>
      <c r="I707" s="167"/>
      <c r="J707" s="162"/>
      <c r="K707" s="162"/>
      <c r="L707" s="162"/>
      <c r="M707" s="162"/>
      <c r="N707" s="162"/>
      <c r="O707" s="165"/>
      <c r="P707" s="162"/>
      <c r="Q707" s="162"/>
      <c r="R707" s="162"/>
      <c r="S707" s="162"/>
    </row>
    <row r="708" spans="1:19" x14ac:dyDescent="0.2">
      <c r="A708" s="168"/>
      <c r="B708" s="158"/>
      <c r="C708" s="158"/>
      <c r="D708" s="167"/>
      <c r="G708" s="162"/>
      <c r="H708" s="230"/>
      <c r="I708" s="167"/>
      <c r="J708" s="162"/>
      <c r="K708" s="162"/>
      <c r="L708" s="162"/>
      <c r="M708" s="162"/>
      <c r="N708" s="162"/>
      <c r="O708" s="165"/>
      <c r="P708" s="162"/>
      <c r="Q708" s="162"/>
      <c r="R708" s="162"/>
      <c r="S708" s="162"/>
    </row>
    <row r="709" spans="1:19" x14ac:dyDescent="0.2">
      <c r="A709" s="168"/>
      <c r="B709" s="158"/>
      <c r="C709" s="158"/>
      <c r="D709" s="167"/>
      <c r="G709" s="162"/>
      <c r="H709" s="230"/>
      <c r="I709" s="167"/>
      <c r="J709" s="162"/>
      <c r="K709" s="162"/>
      <c r="L709" s="162"/>
      <c r="M709" s="162"/>
      <c r="N709" s="162"/>
      <c r="O709" s="165"/>
      <c r="P709" s="162"/>
      <c r="Q709" s="162"/>
      <c r="R709" s="162"/>
      <c r="S709" s="162"/>
    </row>
    <row r="710" spans="1:19" x14ac:dyDescent="0.2">
      <c r="A710" s="168"/>
      <c r="B710" s="158"/>
      <c r="C710" s="158"/>
      <c r="D710" s="167"/>
      <c r="G710" s="162"/>
      <c r="H710" s="230"/>
      <c r="I710" s="167"/>
      <c r="J710" s="162"/>
      <c r="K710" s="162"/>
      <c r="L710" s="162"/>
      <c r="M710" s="162"/>
      <c r="N710" s="162"/>
      <c r="O710" s="165"/>
      <c r="P710" s="162"/>
      <c r="Q710" s="162"/>
      <c r="R710" s="162"/>
      <c r="S710" s="162"/>
    </row>
    <row r="711" spans="1:19" x14ac:dyDescent="0.2">
      <c r="A711" s="168"/>
      <c r="B711" s="158"/>
      <c r="C711" s="158"/>
      <c r="D711" s="167"/>
      <c r="G711" s="162"/>
      <c r="H711" s="230"/>
      <c r="I711" s="167"/>
      <c r="J711" s="162"/>
      <c r="K711" s="162"/>
      <c r="L711" s="162"/>
      <c r="M711" s="162"/>
      <c r="N711" s="162"/>
      <c r="O711" s="165"/>
      <c r="P711" s="162"/>
      <c r="Q711" s="162"/>
      <c r="R711" s="162"/>
      <c r="S711" s="162"/>
    </row>
    <row r="712" spans="1:19" x14ac:dyDescent="0.2">
      <c r="A712" s="168"/>
      <c r="B712" s="158"/>
      <c r="C712" s="158"/>
      <c r="D712" s="167"/>
      <c r="G712" s="162"/>
      <c r="H712" s="230"/>
      <c r="I712" s="167"/>
      <c r="J712" s="162"/>
      <c r="K712" s="162"/>
      <c r="L712" s="162"/>
      <c r="M712" s="162"/>
      <c r="N712" s="162"/>
      <c r="O712" s="165"/>
      <c r="P712" s="162"/>
      <c r="Q712" s="162"/>
      <c r="R712" s="162"/>
      <c r="S712" s="162"/>
    </row>
    <row r="713" spans="1:19" x14ac:dyDescent="0.2">
      <c r="A713" s="168"/>
      <c r="B713" s="158"/>
      <c r="C713" s="158"/>
      <c r="D713" s="167"/>
      <c r="G713" s="162"/>
      <c r="H713" s="230"/>
      <c r="I713" s="167"/>
      <c r="J713" s="162"/>
      <c r="K713" s="162"/>
      <c r="L713" s="162"/>
      <c r="M713" s="162"/>
      <c r="N713" s="162"/>
      <c r="O713" s="165"/>
      <c r="P713" s="162"/>
      <c r="Q713" s="162"/>
      <c r="R713" s="162"/>
      <c r="S713" s="162"/>
    </row>
    <row r="714" spans="1:19" x14ac:dyDescent="0.2">
      <c r="A714" s="168"/>
      <c r="B714" s="158"/>
      <c r="C714" s="158"/>
      <c r="D714" s="167"/>
      <c r="G714" s="162"/>
      <c r="H714" s="230"/>
      <c r="I714" s="167"/>
      <c r="J714" s="162"/>
      <c r="K714" s="162"/>
      <c r="L714" s="162"/>
      <c r="M714" s="162"/>
      <c r="N714" s="162"/>
      <c r="O714" s="165"/>
      <c r="P714" s="162"/>
      <c r="Q714" s="162"/>
      <c r="R714" s="162"/>
      <c r="S714" s="162"/>
    </row>
    <row r="715" spans="1:19" x14ac:dyDescent="0.2">
      <c r="A715" s="168"/>
      <c r="B715" s="158"/>
      <c r="C715" s="158"/>
      <c r="D715" s="167"/>
      <c r="G715" s="162"/>
      <c r="H715" s="230"/>
      <c r="I715" s="167"/>
      <c r="J715" s="162"/>
      <c r="K715" s="162"/>
      <c r="L715" s="162"/>
      <c r="M715" s="162"/>
      <c r="N715" s="162"/>
      <c r="O715" s="165"/>
      <c r="P715" s="162"/>
      <c r="Q715" s="162"/>
      <c r="R715" s="162"/>
      <c r="S715" s="162"/>
    </row>
    <row r="716" spans="1:19" x14ac:dyDescent="0.2">
      <c r="A716" s="168"/>
      <c r="B716" s="158"/>
      <c r="C716" s="158"/>
      <c r="D716" s="167"/>
      <c r="G716" s="162"/>
      <c r="H716" s="230"/>
      <c r="I716" s="167"/>
      <c r="J716" s="162"/>
      <c r="K716" s="162"/>
      <c r="L716" s="162"/>
      <c r="M716" s="162"/>
      <c r="N716" s="162"/>
      <c r="O716" s="165"/>
      <c r="P716" s="162"/>
      <c r="Q716" s="162"/>
      <c r="R716" s="162"/>
      <c r="S716" s="162"/>
    </row>
    <row r="717" spans="1:19" x14ac:dyDescent="0.2">
      <c r="A717" s="168"/>
      <c r="B717" s="158"/>
      <c r="C717" s="158"/>
      <c r="D717" s="167"/>
      <c r="G717" s="162"/>
      <c r="H717" s="230"/>
      <c r="I717" s="167"/>
      <c r="J717" s="162"/>
      <c r="K717" s="162"/>
      <c r="L717" s="162"/>
      <c r="M717" s="162"/>
      <c r="N717" s="162"/>
      <c r="O717" s="165"/>
      <c r="P717" s="162"/>
      <c r="Q717" s="162"/>
      <c r="R717" s="162"/>
      <c r="S717" s="162"/>
    </row>
    <row r="718" spans="1:19" x14ac:dyDescent="0.2">
      <c r="A718" s="168"/>
      <c r="B718" s="158"/>
      <c r="C718" s="158"/>
      <c r="D718" s="167"/>
      <c r="G718" s="162"/>
      <c r="H718" s="230"/>
      <c r="I718" s="167"/>
      <c r="J718" s="162"/>
      <c r="K718" s="162"/>
      <c r="L718" s="162"/>
      <c r="M718" s="162"/>
      <c r="N718" s="162"/>
      <c r="O718" s="165"/>
      <c r="P718" s="162"/>
      <c r="Q718" s="162"/>
      <c r="R718" s="162"/>
      <c r="S718" s="162"/>
    </row>
    <row r="719" spans="1:19" x14ac:dyDescent="0.2">
      <c r="A719" s="168"/>
      <c r="B719" s="158"/>
      <c r="C719" s="158"/>
      <c r="D719" s="167"/>
      <c r="G719" s="162"/>
      <c r="H719" s="230"/>
      <c r="I719" s="167"/>
      <c r="J719" s="162"/>
      <c r="K719" s="162"/>
      <c r="L719" s="162"/>
      <c r="M719" s="162"/>
      <c r="N719" s="162"/>
      <c r="O719" s="165"/>
      <c r="P719" s="162"/>
      <c r="Q719" s="162"/>
      <c r="R719" s="162"/>
      <c r="S719" s="162"/>
    </row>
    <row r="720" spans="1:19" x14ac:dyDescent="0.2">
      <c r="A720" s="168"/>
      <c r="B720" s="158"/>
      <c r="C720" s="158"/>
      <c r="D720" s="167"/>
      <c r="G720" s="162"/>
      <c r="H720" s="230"/>
      <c r="I720" s="167"/>
      <c r="J720" s="162"/>
      <c r="K720" s="162"/>
      <c r="L720" s="162"/>
      <c r="M720" s="162"/>
      <c r="N720" s="162"/>
      <c r="O720" s="165"/>
      <c r="P720" s="162"/>
      <c r="Q720" s="162"/>
      <c r="R720" s="162"/>
      <c r="S720" s="162"/>
    </row>
    <row r="721" spans="1:19" x14ac:dyDescent="0.2">
      <c r="A721" s="168"/>
      <c r="B721" s="158"/>
      <c r="C721" s="158"/>
      <c r="D721" s="167"/>
      <c r="G721" s="162"/>
      <c r="H721" s="230"/>
      <c r="I721" s="167"/>
      <c r="J721" s="162"/>
      <c r="K721" s="162"/>
      <c r="L721" s="162"/>
      <c r="M721" s="162"/>
      <c r="N721" s="162"/>
      <c r="O721" s="165"/>
      <c r="P721" s="162"/>
      <c r="Q721" s="162"/>
      <c r="R721" s="162"/>
      <c r="S721" s="162"/>
    </row>
    <row r="722" spans="1:19" x14ac:dyDescent="0.2">
      <c r="A722" s="168"/>
      <c r="B722" s="158"/>
      <c r="C722" s="158"/>
      <c r="D722" s="167"/>
      <c r="G722" s="162"/>
      <c r="H722" s="230"/>
      <c r="I722" s="167"/>
      <c r="J722" s="162"/>
      <c r="K722" s="162"/>
      <c r="L722" s="162"/>
      <c r="M722" s="162"/>
      <c r="N722" s="162"/>
      <c r="O722" s="165"/>
      <c r="P722" s="162"/>
      <c r="Q722" s="162"/>
      <c r="R722" s="162"/>
      <c r="S722" s="162"/>
    </row>
    <row r="723" spans="1:19" x14ac:dyDescent="0.2">
      <c r="A723" s="168"/>
      <c r="B723" s="158"/>
      <c r="C723" s="158"/>
      <c r="D723" s="167"/>
      <c r="G723" s="162"/>
      <c r="H723" s="230"/>
      <c r="I723" s="167"/>
      <c r="J723" s="162"/>
      <c r="K723" s="162"/>
      <c r="L723" s="162"/>
      <c r="M723" s="162"/>
      <c r="N723" s="162"/>
      <c r="O723" s="165"/>
      <c r="P723" s="162"/>
      <c r="Q723" s="162"/>
      <c r="R723" s="162"/>
      <c r="S723" s="162"/>
    </row>
    <row r="724" spans="1:19" x14ac:dyDescent="0.2">
      <c r="A724" s="168"/>
      <c r="B724" s="158"/>
      <c r="C724" s="158"/>
      <c r="D724" s="167"/>
      <c r="G724" s="162"/>
      <c r="H724" s="230"/>
      <c r="I724" s="167"/>
      <c r="J724" s="162"/>
      <c r="K724" s="162"/>
      <c r="L724" s="162"/>
      <c r="M724" s="162"/>
      <c r="N724" s="162"/>
      <c r="O724" s="165"/>
      <c r="P724" s="162"/>
      <c r="Q724" s="162"/>
      <c r="R724" s="162"/>
      <c r="S724" s="162"/>
    </row>
    <row r="725" spans="1:19" x14ac:dyDescent="0.2">
      <c r="A725" s="168"/>
      <c r="B725" s="158"/>
      <c r="C725" s="158"/>
      <c r="D725" s="167"/>
      <c r="G725" s="162"/>
      <c r="H725" s="230"/>
      <c r="I725" s="167"/>
      <c r="J725" s="162"/>
      <c r="K725" s="162"/>
      <c r="L725" s="162"/>
      <c r="M725" s="162"/>
      <c r="N725" s="162"/>
      <c r="O725" s="165"/>
      <c r="P725" s="162"/>
      <c r="Q725" s="162"/>
      <c r="R725" s="162"/>
      <c r="S725" s="162"/>
    </row>
    <row r="726" spans="1:19" x14ac:dyDescent="0.2">
      <c r="A726" s="168"/>
      <c r="B726" s="158"/>
      <c r="C726" s="158"/>
      <c r="D726" s="167"/>
      <c r="G726" s="162"/>
      <c r="H726" s="230"/>
      <c r="I726" s="167"/>
      <c r="J726" s="162"/>
      <c r="K726" s="162"/>
      <c r="L726" s="162"/>
      <c r="M726" s="162"/>
      <c r="N726" s="162"/>
      <c r="O726" s="165"/>
      <c r="P726" s="162"/>
      <c r="Q726" s="162"/>
      <c r="R726" s="162"/>
      <c r="S726" s="162"/>
    </row>
    <row r="727" spans="1:19" x14ac:dyDescent="0.2">
      <c r="A727" s="168"/>
      <c r="B727" s="158"/>
      <c r="C727" s="158"/>
      <c r="D727" s="167"/>
      <c r="G727" s="162"/>
      <c r="H727" s="230"/>
      <c r="I727" s="167"/>
      <c r="J727" s="162"/>
      <c r="K727" s="162"/>
      <c r="L727" s="162"/>
      <c r="M727" s="162"/>
      <c r="N727" s="162"/>
      <c r="O727" s="165"/>
      <c r="P727" s="162"/>
      <c r="Q727" s="162"/>
      <c r="R727" s="162"/>
      <c r="S727" s="162"/>
    </row>
    <row r="728" spans="1:19" x14ac:dyDescent="0.2">
      <c r="A728" s="168"/>
      <c r="B728" s="158"/>
      <c r="C728" s="158"/>
      <c r="D728" s="167"/>
      <c r="G728" s="162"/>
      <c r="H728" s="230"/>
      <c r="I728" s="167"/>
      <c r="J728" s="162"/>
      <c r="K728" s="162"/>
      <c r="L728" s="162"/>
      <c r="M728" s="162"/>
      <c r="N728" s="162"/>
      <c r="O728" s="165"/>
      <c r="P728" s="162"/>
      <c r="Q728" s="162"/>
      <c r="R728" s="162"/>
      <c r="S728" s="162"/>
    </row>
    <row r="729" spans="1:19" x14ac:dyDescent="0.2">
      <c r="A729" s="168"/>
      <c r="B729" s="158"/>
      <c r="C729" s="158"/>
      <c r="D729" s="167"/>
      <c r="G729" s="162"/>
      <c r="H729" s="230"/>
      <c r="I729" s="167"/>
      <c r="J729" s="162"/>
      <c r="K729" s="162"/>
      <c r="L729" s="162"/>
      <c r="M729" s="162"/>
      <c r="N729" s="162"/>
      <c r="O729" s="165"/>
      <c r="P729" s="162"/>
      <c r="Q729" s="162"/>
      <c r="R729" s="162"/>
      <c r="S729" s="162"/>
    </row>
    <row r="730" spans="1:19" x14ac:dyDescent="0.2">
      <c r="A730" s="168"/>
      <c r="B730" s="158"/>
      <c r="C730" s="158"/>
      <c r="D730" s="167"/>
      <c r="G730" s="162"/>
      <c r="H730" s="230"/>
      <c r="I730" s="167"/>
      <c r="J730" s="162"/>
      <c r="K730" s="162"/>
      <c r="L730" s="162"/>
      <c r="M730" s="162"/>
      <c r="N730" s="162"/>
      <c r="O730" s="165"/>
      <c r="P730" s="162"/>
      <c r="Q730" s="162"/>
      <c r="R730" s="162"/>
      <c r="S730" s="162"/>
    </row>
    <row r="731" spans="1:19" x14ac:dyDescent="0.2">
      <c r="A731" s="168"/>
      <c r="B731" s="158"/>
      <c r="C731" s="158"/>
      <c r="D731" s="167"/>
      <c r="G731" s="162"/>
      <c r="H731" s="230"/>
      <c r="I731" s="167"/>
      <c r="J731" s="162"/>
      <c r="K731" s="162"/>
      <c r="L731" s="162"/>
      <c r="M731" s="162"/>
      <c r="N731" s="162"/>
      <c r="O731" s="165"/>
      <c r="P731" s="162"/>
      <c r="Q731" s="162"/>
      <c r="R731" s="162"/>
      <c r="S731" s="162"/>
    </row>
    <row r="732" spans="1:19" x14ac:dyDescent="0.2">
      <c r="A732" s="168"/>
      <c r="B732" s="158"/>
      <c r="C732" s="158"/>
      <c r="D732" s="167"/>
      <c r="G732" s="162"/>
      <c r="H732" s="230"/>
      <c r="I732" s="167"/>
      <c r="J732" s="162"/>
      <c r="K732" s="162"/>
      <c r="L732" s="162"/>
      <c r="M732" s="162"/>
      <c r="N732" s="162"/>
      <c r="O732" s="165"/>
      <c r="P732" s="162"/>
      <c r="Q732" s="162"/>
      <c r="R732" s="162"/>
      <c r="S732" s="162"/>
    </row>
    <row r="733" spans="1:19" x14ac:dyDescent="0.2">
      <c r="A733" s="168"/>
      <c r="B733" s="158"/>
      <c r="C733" s="158"/>
      <c r="D733" s="167"/>
      <c r="G733" s="162"/>
      <c r="H733" s="230"/>
      <c r="I733" s="167"/>
      <c r="J733" s="162"/>
      <c r="K733" s="162"/>
      <c r="L733" s="162"/>
      <c r="M733" s="162"/>
      <c r="N733" s="162"/>
      <c r="O733" s="165"/>
      <c r="P733" s="162"/>
      <c r="Q733" s="162"/>
      <c r="R733" s="162"/>
      <c r="S733" s="162"/>
    </row>
    <row r="734" spans="1:19" x14ac:dyDescent="0.2">
      <c r="A734" s="168"/>
      <c r="B734" s="158"/>
      <c r="C734" s="158"/>
      <c r="D734" s="167"/>
      <c r="G734" s="162"/>
      <c r="H734" s="230"/>
      <c r="I734" s="167"/>
      <c r="J734" s="162"/>
      <c r="K734" s="162"/>
      <c r="L734" s="162"/>
      <c r="M734" s="162"/>
      <c r="N734" s="162"/>
      <c r="O734" s="165"/>
      <c r="P734" s="162"/>
      <c r="Q734" s="162"/>
      <c r="R734" s="162"/>
      <c r="S734" s="162"/>
    </row>
    <row r="735" spans="1:19" x14ac:dyDescent="0.2">
      <c r="A735" s="168"/>
      <c r="B735" s="158"/>
      <c r="C735" s="158"/>
      <c r="D735" s="167"/>
      <c r="G735" s="162"/>
      <c r="H735" s="230"/>
      <c r="I735" s="167"/>
      <c r="J735" s="162"/>
      <c r="K735" s="162"/>
      <c r="L735" s="162"/>
      <c r="M735" s="162"/>
      <c r="N735" s="162"/>
      <c r="O735" s="165"/>
      <c r="P735" s="162"/>
      <c r="Q735" s="162"/>
      <c r="R735" s="162"/>
      <c r="S735" s="162"/>
    </row>
    <row r="736" spans="1:19" x14ac:dyDescent="0.2">
      <c r="A736" s="168"/>
      <c r="B736" s="158"/>
      <c r="C736" s="158"/>
      <c r="D736" s="167"/>
      <c r="G736" s="162"/>
      <c r="H736" s="230"/>
      <c r="I736" s="167"/>
      <c r="J736" s="162"/>
      <c r="K736" s="162"/>
      <c r="L736" s="162"/>
      <c r="M736" s="162"/>
      <c r="N736" s="162"/>
      <c r="O736" s="165"/>
      <c r="P736" s="162"/>
      <c r="Q736" s="162"/>
      <c r="R736" s="162"/>
      <c r="S736" s="162"/>
    </row>
    <row r="737" spans="1:19" x14ac:dyDescent="0.2">
      <c r="A737" s="168"/>
      <c r="B737" s="158"/>
      <c r="C737" s="158"/>
      <c r="D737" s="167"/>
      <c r="G737" s="162"/>
      <c r="H737" s="230"/>
      <c r="I737" s="167"/>
      <c r="J737" s="162"/>
      <c r="K737" s="162"/>
      <c r="L737" s="162"/>
      <c r="M737" s="162"/>
      <c r="N737" s="162"/>
      <c r="O737" s="165"/>
      <c r="P737" s="162"/>
      <c r="Q737" s="162"/>
      <c r="R737" s="162"/>
      <c r="S737" s="162"/>
    </row>
    <row r="738" spans="1:19" x14ac:dyDescent="0.2">
      <c r="A738" s="168"/>
      <c r="B738" s="158"/>
      <c r="C738" s="158"/>
      <c r="D738" s="167"/>
      <c r="G738" s="162"/>
      <c r="H738" s="230"/>
      <c r="I738" s="167"/>
      <c r="J738" s="162"/>
      <c r="K738" s="162"/>
      <c r="L738" s="162"/>
      <c r="M738" s="162"/>
      <c r="N738" s="162"/>
      <c r="O738" s="165"/>
      <c r="P738" s="162"/>
      <c r="Q738" s="162"/>
      <c r="R738" s="162"/>
      <c r="S738" s="162"/>
    </row>
    <row r="739" spans="1:19" x14ac:dyDescent="0.2">
      <c r="A739" s="168"/>
      <c r="B739" s="158"/>
      <c r="C739" s="158"/>
      <c r="D739" s="167"/>
      <c r="G739" s="162"/>
      <c r="H739" s="230"/>
      <c r="I739" s="167"/>
      <c r="J739" s="162"/>
      <c r="K739" s="162"/>
      <c r="L739" s="162"/>
      <c r="M739" s="162"/>
      <c r="N739" s="162"/>
      <c r="O739" s="165"/>
      <c r="P739" s="162"/>
      <c r="Q739" s="162"/>
      <c r="R739" s="162"/>
      <c r="S739" s="162"/>
    </row>
    <row r="740" spans="1:19" x14ac:dyDescent="0.2">
      <c r="A740" s="168"/>
      <c r="B740" s="158"/>
      <c r="C740" s="158"/>
      <c r="D740" s="167"/>
      <c r="G740" s="162"/>
      <c r="H740" s="230"/>
      <c r="I740" s="167"/>
      <c r="J740" s="162"/>
      <c r="K740" s="162"/>
      <c r="L740" s="162"/>
      <c r="M740" s="162"/>
      <c r="N740" s="162"/>
      <c r="O740" s="165"/>
      <c r="P740" s="162"/>
      <c r="Q740" s="162"/>
      <c r="R740" s="162"/>
      <c r="S740" s="162"/>
    </row>
    <row r="741" spans="1:19" x14ac:dyDescent="0.2">
      <c r="A741" s="168"/>
      <c r="B741" s="158"/>
      <c r="C741" s="158"/>
      <c r="D741" s="167"/>
      <c r="G741" s="162"/>
      <c r="H741" s="230"/>
      <c r="I741" s="167"/>
      <c r="J741" s="162"/>
      <c r="K741" s="162"/>
      <c r="L741" s="162"/>
      <c r="M741" s="162"/>
      <c r="N741" s="162"/>
      <c r="O741" s="165"/>
      <c r="P741" s="162"/>
      <c r="Q741" s="162"/>
      <c r="R741" s="162"/>
      <c r="S741" s="162"/>
    </row>
    <row r="742" spans="1:19" x14ac:dyDescent="0.2">
      <c r="A742" s="168"/>
      <c r="B742" s="158"/>
      <c r="C742" s="158"/>
      <c r="D742" s="167"/>
      <c r="G742" s="162"/>
      <c r="H742" s="230"/>
      <c r="I742" s="167"/>
      <c r="J742" s="162"/>
      <c r="K742" s="162"/>
      <c r="L742" s="162"/>
      <c r="M742" s="162"/>
      <c r="N742" s="162"/>
      <c r="O742" s="165"/>
      <c r="P742" s="162"/>
      <c r="Q742" s="162"/>
      <c r="R742" s="162"/>
      <c r="S742" s="162"/>
    </row>
    <row r="743" spans="1:19" x14ac:dyDescent="0.2">
      <c r="A743" s="168"/>
      <c r="B743" s="158"/>
      <c r="C743" s="158"/>
      <c r="D743" s="167"/>
      <c r="G743" s="162"/>
      <c r="H743" s="230"/>
      <c r="I743" s="167"/>
      <c r="J743" s="162"/>
      <c r="K743" s="162"/>
      <c r="L743" s="162"/>
      <c r="M743" s="162"/>
      <c r="N743" s="162"/>
      <c r="O743" s="165"/>
      <c r="P743" s="162"/>
      <c r="Q743" s="162"/>
      <c r="R743" s="162"/>
      <c r="S743" s="162"/>
    </row>
    <row r="744" spans="1:19" x14ac:dyDescent="0.2">
      <c r="A744" s="168"/>
      <c r="B744" s="158"/>
      <c r="C744" s="158"/>
      <c r="D744" s="167"/>
      <c r="G744" s="162"/>
      <c r="H744" s="230"/>
      <c r="I744" s="167"/>
      <c r="J744" s="162"/>
      <c r="K744" s="162"/>
      <c r="L744" s="162"/>
      <c r="M744" s="162"/>
      <c r="N744" s="162"/>
      <c r="O744" s="165"/>
      <c r="P744" s="162"/>
      <c r="Q744" s="162"/>
      <c r="R744" s="162"/>
      <c r="S744" s="162"/>
    </row>
    <row r="745" spans="1:19" x14ac:dyDescent="0.2">
      <c r="A745" s="168"/>
      <c r="B745" s="158"/>
      <c r="C745" s="158"/>
      <c r="D745" s="167"/>
      <c r="G745" s="162"/>
      <c r="H745" s="230"/>
      <c r="I745" s="167"/>
      <c r="J745" s="162"/>
      <c r="K745" s="162"/>
      <c r="L745" s="162"/>
      <c r="M745" s="162"/>
      <c r="N745" s="162"/>
      <c r="O745" s="165"/>
      <c r="P745" s="162"/>
      <c r="Q745" s="162"/>
      <c r="R745" s="162"/>
      <c r="S745" s="162"/>
    </row>
    <row r="746" spans="1:19" x14ac:dyDescent="0.2">
      <c r="A746" s="168"/>
      <c r="B746" s="158"/>
      <c r="C746" s="158"/>
      <c r="D746" s="167"/>
      <c r="G746" s="162"/>
      <c r="H746" s="230"/>
      <c r="I746" s="167"/>
      <c r="J746" s="162"/>
      <c r="K746" s="162"/>
      <c r="L746" s="162"/>
      <c r="M746" s="162"/>
      <c r="N746" s="162"/>
      <c r="O746" s="165"/>
      <c r="P746" s="162"/>
      <c r="Q746" s="162"/>
      <c r="R746" s="162"/>
      <c r="S746" s="162"/>
    </row>
    <row r="747" spans="1:19" x14ac:dyDescent="0.2">
      <c r="A747" s="168"/>
      <c r="B747" s="158"/>
      <c r="C747" s="158"/>
      <c r="D747" s="167"/>
      <c r="G747" s="162"/>
      <c r="H747" s="230"/>
      <c r="I747" s="167"/>
      <c r="J747" s="162"/>
      <c r="K747" s="162"/>
      <c r="L747" s="162"/>
      <c r="M747" s="162"/>
      <c r="N747" s="162"/>
      <c r="O747" s="165"/>
      <c r="P747" s="162"/>
      <c r="Q747" s="162"/>
      <c r="R747" s="162"/>
      <c r="S747" s="162"/>
    </row>
    <row r="748" spans="1:19" x14ac:dyDescent="0.2">
      <c r="A748" s="168"/>
      <c r="B748" s="158"/>
      <c r="C748" s="158"/>
      <c r="D748" s="167"/>
      <c r="G748" s="162"/>
      <c r="H748" s="230"/>
      <c r="I748" s="167"/>
      <c r="J748" s="162"/>
      <c r="K748" s="162"/>
      <c r="L748" s="162"/>
      <c r="M748" s="162"/>
      <c r="N748" s="162"/>
      <c r="O748" s="165"/>
      <c r="P748" s="162"/>
      <c r="Q748" s="162"/>
      <c r="R748" s="162"/>
      <c r="S748" s="162"/>
    </row>
    <row r="749" spans="1:19" x14ac:dyDescent="0.2">
      <c r="A749" s="168"/>
      <c r="B749" s="158"/>
      <c r="C749" s="158"/>
      <c r="D749" s="167"/>
      <c r="G749" s="162"/>
      <c r="H749" s="230"/>
      <c r="I749" s="167"/>
      <c r="J749" s="162"/>
      <c r="K749" s="162"/>
      <c r="L749" s="162"/>
      <c r="M749" s="162"/>
      <c r="N749" s="162"/>
      <c r="O749" s="165"/>
      <c r="P749" s="162"/>
      <c r="Q749" s="162"/>
      <c r="R749" s="162"/>
      <c r="S749" s="162"/>
    </row>
    <row r="750" spans="1:19" x14ac:dyDescent="0.2">
      <c r="A750" s="168"/>
      <c r="B750" s="158"/>
      <c r="C750" s="158"/>
      <c r="D750" s="167"/>
      <c r="G750" s="162"/>
      <c r="H750" s="230"/>
      <c r="I750" s="167"/>
      <c r="J750" s="162"/>
      <c r="K750" s="162"/>
      <c r="L750" s="162"/>
      <c r="M750" s="162"/>
      <c r="N750" s="162"/>
      <c r="O750" s="165"/>
      <c r="P750" s="162"/>
      <c r="Q750" s="162"/>
      <c r="R750" s="162"/>
      <c r="S750" s="162"/>
    </row>
    <row r="751" spans="1:19" x14ac:dyDescent="0.2">
      <c r="A751" s="168"/>
      <c r="B751" s="158"/>
      <c r="C751" s="158"/>
      <c r="D751" s="167"/>
      <c r="G751" s="162"/>
      <c r="H751" s="230"/>
      <c r="I751" s="167"/>
      <c r="J751" s="162"/>
      <c r="K751" s="162"/>
      <c r="L751" s="162"/>
      <c r="M751" s="162"/>
      <c r="N751" s="162"/>
      <c r="O751" s="165"/>
      <c r="P751" s="162"/>
      <c r="Q751" s="162"/>
      <c r="R751" s="162"/>
      <c r="S751" s="162"/>
    </row>
    <row r="752" spans="1:19" x14ac:dyDescent="0.2">
      <c r="A752" s="168"/>
      <c r="B752" s="158"/>
      <c r="C752" s="158"/>
      <c r="D752" s="167"/>
      <c r="G752" s="162"/>
      <c r="H752" s="230"/>
      <c r="I752" s="167"/>
      <c r="J752" s="162"/>
      <c r="K752" s="162"/>
      <c r="L752" s="162"/>
      <c r="M752" s="162"/>
      <c r="N752" s="162"/>
      <c r="O752" s="165"/>
      <c r="P752" s="162"/>
      <c r="Q752" s="162"/>
      <c r="R752" s="162"/>
      <c r="S752" s="162"/>
    </row>
    <row r="753" spans="1:19" x14ac:dyDescent="0.2">
      <c r="A753" s="168"/>
      <c r="B753" s="158"/>
      <c r="C753" s="158"/>
      <c r="D753" s="167"/>
      <c r="G753" s="162"/>
      <c r="H753" s="230"/>
      <c r="I753" s="167"/>
      <c r="J753" s="162"/>
      <c r="K753" s="162"/>
      <c r="L753" s="162"/>
      <c r="M753" s="162"/>
      <c r="N753" s="162"/>
      <c r="O753" s="165"/>
      <c r="P753" s="162"/>
      <c r="Q753" s="162"/>
      <c r="R753" s="162"/>
      <c r="S753" s="162"/>
    </row>
    <row r="754" spans="1:19" x14ac:dyDescent="0.2">
      <c r="A754" s="168"/>
      <c r="B754" s="158"/>
      <c r="C754" s="158"/>
      <c r="D754" s="167"/>
      <c r="G754" s="162"/>
      <c r="H754" s="230"/>
      <c r="I754" s="167"/>
      <c r="J754" s="162"/>
      <c r="K754" s="162"/>
      <c r="L754" s="162"/>
      <c r="M754" s="162"/>
      <c r="N754" s="162"/>
      <c r="O754" s="165"/>
      <c r="P754" s="162"/>
      <c r="Q754" s="162"/>
      <c r="R754" s="162"/>
      <c r="S754" s="162"/>
    </row>
    <row r="755" spans="1:19" x14ac:dyDescent="0.2">
      <c r="A755" s="168"/>
      <c r="B755" s="158"/>
      <c r="C755" s="158"/>
      <c r="D755" s="167"/>
      <c r="G755" s="162"/>
      <c r="H755" s="230"/>
      <c r="I755" s="167"/>
      <c r="J755" s="162"/>
      <c r="K755" s="162"/>
      <c r="L755" s="162"/>
      <c r="M755" s="162"/>
      <c r="N755" s="162"/>
      <c r="O755" s="165"/>
      <c r="P755" s="162"/>
      <c r="Q755" s="162"/>
      <c r="R755" s="162"/>
      <c r="S755" s="162"/>
    </row>
    <row r="756" spans="1:19" x14ac:dyDescent="0.2">
      <c r="A756" s="168"/>
      <c r="B756" s="158"/>
      <c r="C756" s="158"/>
      <c r="D756" s="167"/>
      <c r="G756" s="162"/>
      <c r="H756" s="230"/>
      <c r="I756" s="167"/>
      <c r="J756" s="162"/>
      <c r="K756" s="162"/>
      <c r="L756" s="162"/>
      <c r="M756" s="162"/>
      <c r="N756" s="162"/>
      <c r="O756" s="165"/>
      <c r="P756" s="162"/>
      <c r="Q756" s="162"/>
      <c r="R756" s="162"/>
      <c r="S756" s="162"/>
    </row>
    <row r="757" spans="1:19" x14ac:dyDescent="0.2">
      <c r="A757" s="168"/>
      <c r="B757" s="158"/>
      <c r="C757" s="158"/>
      <c r="D757" s="167"/>
      <c r="G757" s="162"/>
      <c r="H757" s="230"/>
      <c r="I757" s="167"/>
      <c r="J757" s="162"/>
      <c r="K757" s="162"/>
      <c r="L757" s="162"/>
      <c r="M757" s="162"/>
      <c r="N757" s="162"/>
      <c r="O757" s="165"/>
      <c r="P757" s="162"/>
      <c r="Q757" s="162"/>
      <c r="R757" s="162"/>
      <c r="S757" s="162"/>
    </row>
    <row r="758" spans="1:19" x14ac:dyDescent="0.2">
      <c r="A758" s="168"/>
      <c r="B758" s="158"/>
      <c r="C758" s="158"/>
      <c r="D758" s="167"/>
      <c r="G758" s="162"/>
      <c r="H758" s="230"/>
      <c r="I758" s="167"/>
      <c r="J758" s="162"/>
      <c r="K758" s="162"/>
      <c r="L758" s="162"/>
      <c r="M758" s="162"/>
      <c r="N758" s="162"/>
      <c r="O758" s="165"/>
      <c r="P758" s="162"/>
      <c r="Q758" s="162"/>
      <c r="R758" s="162"/>
      <c r="S758" s="162"/>
    </row>
    <row r="759" spans="1:19" x14ac:dyDescent="0.2">
      <c r="A759" s="168"/>
      <c r="B759" s="158"/>
      <c r="C759" s="158"/>
      <c r="D759" s="167"/>
      <c r="G759" s="162"/>
      <c r="H759" s="230"/>
      <c r="I759" s="167"/>
      <c r="J759" s="162"/>
      <c r="K759" s="162"/>
      <c r="L759" s="162"/>
      <c r="M759" s="162"/>
      <c r="N759" s="162"/>
      <c r="O759" s="165"/>
      <c r="P759" s="162"/>
      <c r="Q759" s="162"/>
      <c r="R759" s="162"/>
      <c r="S759" s="162"/>
    </row>
    <row r="760" spans="1:19" x14ac:dyDescent="0.2">
      <c r="A760" s="168"/>
      <c r="B760" s="158"/>
      <c r="C760" s="158"/>
      <c r="D760" s="167"/>
      <c r="G760" s="162"/>
      <c r="H760" s="230"/>
      <c r="I760" s="167"/>
      <c r="J760" s="162"/>
      <c r="K760" s="162"/>
      <c r="L760" s="162"/>
      <c r="M760" s="162"/>
      <c r="N760" s="162"/>
      <c r="O760" s="165"/>
      <c r="P760" s="162"/>
      <c r="Q760" s="162"/>
      <c r="R760" s="162"/>
      <c r="S760" s="162"/>
    </row>
    <row r="761" spans="1:19" x14ac:dyDescent="0.2">
      <c r="A761" s="168"/>
      <c r="B761" s="158"/>
      <c r="C761" s="158"/>
      <c r="D761" s="167"/>
      <c r="G761" s="162"/>
      <c r="H761" s="230"/>
      <c r="I761" s="167"/>
      <c r="J761" s="162"/>
      <c r="K761" s="162"/>
      <c r="L761" s="162"/>
      <c r="M761" s="162"/>
      <c r="N761" s="162"/>
      <c r="O761" s="165"/>
      <c r="P761" s="162"/>
      <c r="Q761" s="162"/>
      <c r="R761" s="162"/>
      <c r="S761" s="162"/>
    </row>
    <row r="762" spans="1:19" x14ac:dyDescent="0.2">
      <c r="A762" s="168"/>
      <c r="B762" s="158"/>
      <c r="C762" s="158"/>
      <c r="D762" s="167"/>
      <c r="G762" s="162"/>
      <c r="H762" s="230"/>
      <c r="I762" s="167"/>
      <c r="J762" s="162"/>
      <c r="K762" s="162"/>
      <c r="L762" s="162"/>
      <c r="M762" s="162"/>
      <c r="N762" s="162"/>
      <c r="O762" s="165"/>
      <c r="P762" s="162"/>
      <c r="Q762" s="162"/>
      <c r="R762" s="162"/>
      <c r="S762" s="162"/>
    </row>
    <row r="763" spans="1:19" x14ac:dyDescent="0.2">
      <c r="A763" s="168"/>
      <c r="B763" s="158"/>
      <c r="C763" s="158"/>
      <c r="D763" s="167"/>
      <c r="G763" s="162"/>
      <c r="H763" s="230"/>
      <c r="I763" s="167"/>
      <c r="J763" s="162"/>
      <c r="K763" s="162"/>
      <c r="L763" s="162"/>
      <c r="M763" s="162"/>
      <c r="N763" s="162"/>
      <c r="O763" s="165"/>
      <c r="P763" s="162"/>
      <c r="Q763" s="162"/>
      <c r="R763" s="162"/>
      <c r="S763" s="162"/>
    </row>
    <row r="764" spans="1:19" x14ac:dyDescent="0.2">
      <c r="A764" s="168"/>
      <c r="B764" s="158"/>
      <c r="C764" s="158"/>
      <c r="D764" s="167"/>
      <c r="G764" s="162"/>
      <c r="H764" s="230"/>
      <c r="I764" s="167"/>
      <c r="J764" s="162"/>
      <c r="K764" s="162"/>
      <c r="L764" s="162"/>
      <c r="M764" s="162"/>
      <c r="N764" s="162"/>
      <c r="O764" s="165"/>
      <c r="P764" s="162"/>
      <c r="Q764" s="162"/>
      <c r="R764" s="162"/>
      <c r="S764" s="162"/>
    </row>
    <row r="765" spans="1:19" x14ac:dyDescent="0.2">
      <c r="A765" s="168"/>
      <c r="B765" s="158"/>
      <c r="C765" s="158"/>
      <c r="D765" s="167"/>
      <c r="G765" s="162"/>
      <c r="H765" s="230"/>
      <c r="I765" s="167"/>
      <c r="J765" s="162"/>
      <c r="K765" s="162"/>
      <c r="L765" s="162"/>
      <c r="M765" s="162"/>
      <c r="N765" s="162"/>
      <c r="O765" s="165"/>
      <c r="P765" s="162"/>
      <c r="Q765" s="162"/>
      <c r="R765" s="162"/>
      <c r="S765" s="162"/>
    </row>
    <row r="766" spans="1:19" x14ac:dyDescent="0.2">
      <c r="A766" s="168"/>
      <c r="B766" s="158"/>
      <c r="C766" s="158"/>
      <c r="D766" s="167"/>
      <c r="G766" s="162"/>
      <c r="H766" s="166"/>
      <c r="I766" s="167"/>
      <c r="J766" s="162"/>
      <c r="K766" s="162"/>
      <c r="L766" s="162"/>
      <c r="M766" s="162"/>
      <c r="N766" s="162"/>
      <c r="O766" s="165"/>
      <c r="P766" s="162"/>
      <c r="Q766" s="162"/>
      <c r="R766" s="162"/>
      <c r="S766" s="162"/>
    </row>
    <row r="767" spans="1:19" x14ac:dyDescent="0.2">
      <c r="A767" s="168"/>
      <c r="B767" s="158"/>
      <c r="C767" s="158"/>
      <c r="D767" s="167"/>
      <c r="G767" s="162"/>
      <c r="H767" s="166"/>
      <c r="I767" s="167"/>
      <c r="J767" s="162"/>
      <c r="K767" s="162"/>
      <c r="L767" s="162"/>
      <c r="M767" s="162"/>
      <c r="N767" s="162"/>
      <c r="O767" s="165"/>
      <c r="P767" s="162"/>
      <c r="Q767" s="162"/>
      <c r="R767" s="162"/>
      <c r="S767" s="162"/>
    </row>
    <row r="768" spans="1:19" x14ac:dyDescent="0.2">
      <c r="A768" s="168"/>
      <c r="B768" s="158"/>
      <c r="C768" s="158"/>
      <c r="D768" s="167"/>
      <c r="G768" s="162"/>
      <c r="H768" s="166"/>
      <c r="I768" s="167"/>
      <c r="J768" s="162"/>
      <c r="K768" s="162"/>
      <c r="L768" s="162"/>
      <c r="M768" s="162"/>
      <c r="N768" s="162"/>
      <c r="O768" s="165"/>
      <c r="P768" s="162"/>
      <c r="Q768" s="162"/>
      <c r="R768" s="162"/>
      <c r="S768" s="162"/>
    </row>
    <row r="769" spans="1:19" x14ac:dyDescent="0.2">
      <c r="A769" s="168"/>
      <c r="B769" s="158"/>
      <c r="C769" s="158"/>
      <c r="D769" s="167"/>
      <c r="G769" s="162"/>
      <c r="H769" s="166"/>
      <c r="I769" s="167"/>
      <c r="J769" s="162"/>
      <c r="K769" s="162"/>
      <c r="L769" s="162"/>
      <c r="M769" s="162"/>
      <c r="N769" s="162"/>
      <c r="O769" s="165"/>
      <c r="P769" s="162"/>
      <c r="Q769" s="162"/>
      <c r="R769" s="162"/>
      <c r="S769" s="162"/>
    </row>
    <row r="770" spans="1:19" x14ac:dyDescent="0.2">
      <c r="A770" s="168"/>
      <c r="B770" s="158"/>
      <c r="C770" s="158"/>
      <c r="D770" s="167"/>
      <c r="G770" s="162"/>
      <c r="H770" s="166"/>
      <c r="I770" s="167"/>
      <c r="J770" s="162"/>
      <c r="K770" s="162"/>
      <c r="L770" s="162"/>
      <c r="M770" s="162"/>
      <c r="N770" s="162"/>
      <c r="O770" s="165"/>
      <c r="P770" s="162"/>
      <c r="Q770" s="162"/>
      <c r="R770" s="162"/>
      <c r="S770" s="162"/>
    </row>
    <row r="771" spans="1:19" x14ac:dyDescent="0.2">
      <c r="A771" s="168"/>
      <c r="B771" s="158"/>
      <c r="C771" s="158"/>
      <c r="D771" s="167"/>
      <c r="G771" s="162"/>
      <c r="H771" s="166"/>
      <c r="I771" s="167"/>
      <c r="J771" s="162"/>
      <c r="K771" s="162"/>
      <c r="L771" s="162"/>
      <c r="M771" s="162"/>
      <c r="N771" s="162"/>
      <c r="O771" s="165"/>
      <c r="P771" s="162"/>
      <c r="Q771" s="162"/>
      <c r="R771" s="162"/>
      <c r="S771" s="162"/>
    </row>
    <row r="772" spans="1:19" x14ac:dyDescent="0.2">
      <c r="A772" s="168"/>
      <c r="B772" s="158"/>
      <c r="C772" s="158"/>
      <c r="D772" s="167"/>
      <c r="G772" s="162"/>
      <c r="H772" s="166"/>
      <c r="I772" s="167"/>
      <c r="J772" s="162"/>
      <c r="K772" s="162"/>
      <c r="L772" s="162"/>
      <c r="M772" s="162"/>
      <c r="N772" s="162"/>
      <c r="O772" s="165"/>
      <c r="P772" s="162"/>
      <c r="Q772" s="162"/>
      <c r="R772" s="162"/>
      <c r="S772" s="162"/>
    </row>
    <row r="773" spans="1:19" x14ac:dyDescent="0.2">
      <c r="A773" s="168"/>
      <c r="B773" s="158"/>
      <c r="C773" s="158"/>
      <c r="D773" s="167"/>
      <c r="G773" s="162"/>
      <c r="H773" s="166"/>
      <c r="I773" s="167"/>
      <c r="J773" s="162"/>
      <c r="K773" s="162"/>
      <c r="L773" s="162"/>
      <c r="M773" s="162"/>
      <c r="N773" s="162"/>
      <c r="O773" s="165"/>
      <c r="P773" s="162"/>
      <c r="Q773" s="162"/>
      <c r="R773" s="162"/>
      <c r="S773" s="162"/>
    </row>
    <row r="774" spans="1:19" x14ac:dyDescent="0.2">
      <c r="A774" s="168"/>
      <c r="B774" s="158"/>
      <c r="C774" s="158"/>
      <c r="D774" s="167"/>
      <c r="G774" s="162"/>
      <c r="H774" s="166"/>
      <c r="I774" s="167"/>
      <c r="J774" s="162"/>
      <c r="K774" s="162"/>
      <c r="L774" s="162"/>
      <c r="M774" s="162"/>
      <c r="N774" s="162"/>
      <c r="O774" s="165"/>
      <c r="P774" s="162"/>
      <c r="Q774" s="162"/>
      <c r="R774" s="162"/>
      <c r="S774" s="162"/>
    </row>
    <row r="775" spans="1:19" x14ac:dyDescent="0.2">
      <c r="A775" s="168"/>
      <c r="B775" s="158"/>
      <c r="C775" s="158"/>
      <c r="D775" s="167"/>
      <c r="G775" s="162"/>
      <c r="H775" s="166"/>
      <c r="I775" s="167"/>
      <c r="J775" s="162"/>
      <c r="K775" s="162"/>
      <c r="L775" s="162"/>
      <c r="M775" s="162"/>
      <c r="N775" s="162"/>
      <c r="O775" s="165"/>
      <c r="P775" s="162"/>
      <c r="Q775" s="162"/>
      <c r="R775" s="162"/>
      <c r="S775" s="162"/>
    </row>
    <row r="776" spans="1:19" x14ac:dyDescent="0.2">
      <c r="A776" s="168"/>
      <c r="B776" s="158"/>
      <c r="C776" s="158"/>
      <c r="D776" s="167"/>
      <c r="G776" s="162"/>
      <c r="H776" s="166"/>
      <c r="I776" s="167"/>
      <c r="J776" s="162"/>
      <c r="K776" s="162"/>
      <c r="L776" s="162"/>
      <c r="M776" s="162"/>
      <c r="N776" s="162"/>
      <c r="O776" s="165"/>
      <c r="P776" s="162"/>
      <c r="Q776" s="162"/>
      <c r="R776" s="162"/>
      <c r="S776" s="162"/>
    </row>
    <row r="777" spans="1:19" x14ac:dyDescent="0.2">
      <c r="A777" s="168"/>
      <c r="B777" s="158"/>
      <c r="C777" s="158"/>
      <c r="D777" s="167"/>
      <c r="G777" s="162"/>
      <c r="H777" s="166"/>
      <c r="I777" s="167"/>
      <c r="J777" s="162"/>
      <c r="K777" s="162"/>
      <c r="L777" s="162"/>
      <c r="M777" s="162"/>
      <c r="N777" s="162"/>
      <c r="O777" s="165"/>
      <c r="P777" s="162"/>
      <c r="Q777" s="162"/>
      <c r="R777" s="162"/>
      <c r="S777" s="162"/>
    </row>
    <row r="778" spans="1:19" x14ac:dyDescent="0.2">
      <c r="A778" s="168"/>
      <c r="B778" s="158"/>
      <c r="C778" s="158"/>
      <c r="D778" s="167"/>
      <c r="G778" s="162"/>
      <c r="H778" s="166"/>
      <c r="I778" s="167"/>
      <c r="J778" s="162"/>
      <c r="K778" s="162"/>
      <c r="L778" s="162"/>
      <c r="M778" s="162"/>
      <c r="N778" s="162"/>
      <c r="O778" s="165"/>
      <c r="P778" s="162"/>
      <c r="Q778" s="162"/>
      <c r="R778" s="162"/>
      <c r="S778" s="162"/>
    </row>
    <row r="779" spans="1:19" x14ac:dyDescent="0.2">
      <c r="A779" s="168"/>
      <c r="B779" s="158"/>
      <c r="C779" s="158"/>
      <c r="D779" s="167"/>
      <c r="G779" s="162"/>
      <c r="H779" s="166"/>
      <c r="I779" s="167"/>
      <c r="J779" s="162"/>
      <c r="K779" s="162"/>
      <c r="L779" s="162"/>
      <c r="M779" s="162"/>
      <c r="N779" s="162"/>
      <c r="O779" s="165"/>
      <c r="P779" s="162"/>
      <c r="Q779" s="162"/>
      <c r="R779" s="162"/>
      <c r="S779" s="162"/>
    </row>
    <row r="780" spans="1:19" x14ac:dyDescent="0.2">
      <c r="A780" s="168"/>
      <c r="B780" s="158"/>
      <c r="C780" s="158"/>
      <c r="D780" s="167"/>
      <c r="G780" s="162"/>
      <c r="H780" s="166"/>
      <c r="I780" s="167"/>
      <c r="J780" s="162"/>
      <c r="K780" s="162"/>
      <c r="L780" s="162"/>
      <c r="M780" s="162"/>
      <c r="N780" s="162"/>
      <c r="O780" s="165"/>
      <c r="P780" s="162"/>
      <c r="Q780" s="162"/>
      <c r="R780" s="162"/>
      <c r="S780" s="162"/>
    </row>
    <row r="781" spans="1:19" x14ac:dyDescent="0.2">
      <c r="A781" s="168"/>
      <c r="B781" s="158"/>
      <c r="C781" s="158"/>
      <c r="D781" s="167"/>
      <c r="G781" s="162"/>
      <c r="H781" s="166"/>
      <c r="I781" s="167"/>
      <c r="J781" s="162"/>
      <c r="K781" s="162"/>
      <c r="L781" s="162"/>
      <c r="M781" s="162"/>
      <c r="N781" s="162"/>
      <c r="O781" s="165"/>
      <c r="P781" s="162"/>
      <c r="Q781" s="162"/>
      <c r="R781" s="162"/>
      <c r="S781" s="162"/>
    </row>
    <row r="782" spans="1:19" x14ac:dyDescent="0.2">
      <c r="A782" s="168"/>
      <c r="B782" s="158"/>
      <c r="C782" s="158"/>
      <c r="D782" s="167"/>
      <c r="G782" s="162"/>
      <c r="H782" s="166"/>
      <c r="I782" s="167"/>
      <c r="J782" s="162"/>
      <c r="K782" s="162"/>
      <c r="L782" s="162"/>
      <c r="M782" s="162"/>
      <c r="N782" s="162"/>
      <c r="O782" s="165"/>
      <c r="P782" s="162"/>
      <c r="Q782" s="162"/>
      <c r="R782" s="162"/>
      <c r="S782" s="162"/>
    </row>
    <row r="783" spans="1:19" x14ac:dyDescent="0.2">
      <c r="A783" s="168"/>
      <c r="B783" s="158"/>
      <c r="C783" s="158"/>
      <c r="D783" s="167"/>
      <c r="G783" s="162"/>
      <c r="H783" s="166"/>
      <c r="I783" s="167"/>
      <c r="J783" s="162"/>
      <c r="K783" s="162"/>
      <c r="L783" s="162"/>
      <c r="M783" s="162"/>
      <c r="N783" s="162"/>
      <c r="O783" s="165"/>
      <c r="P783" s="162"/>
      <c r="Q783" s="162"/>
      <c r="R783" s="162"/>
      <c r="S783" s="162"/>
    </row>
    <row r="784" spans="1:19" x14ac:dyDescent="0.2">
      <c r="A784" s="168"/>
      <c r="B784" s="158"/>
      <c r="C784" s="158"/>
      <c r="D784" s="167"/>
      <c r="G784" s="162"/>
      <c r="H784" s="166"/>
      <c r="I784" s="167"/>
      <c r="J784" s="162"/>
      <c r="K784" s="162"/>
      <c r="L784" s="162"/>
      <c r="M784" s="162"/>
      <c r="N784" s="162"/>
      <c r="O784" s="165"/>
      <c r="P784" s="162"/>
      <c r="Q784" s="162"/>
      <c r="R784" s="162"/>
      <c r="S784" s="162"/>
    </row>
    <row r="785" spans="1:19" x14ac:dyDescent="0.2">
      <c r="A785" s="168"/>
      <c r="B785" s="158"/>
      <c r="C785" s="158"/>
      <c r="D785" s="167"/>
      <c r="G785" s="162"/>
      <c r="H785" s="166"/>
      <c r="I785" s="167"/>
      <c r="J785" s="162"/>
      <c r="K785" s="162"/>
      <c r="L785" s="162"/>
      <c r="M785" s="162"/>
      <c r="N785" s="162"/>
      <c r="O785" s="165"/>
      <c r="P785" s="162"/>
      <c r="Q785" s="162"/>
      <c r="R785" s="162"/>
      <c r="S785" s="162"/>
    </row>
    <row r="786" spans="1:19" x14ac:dyDescent="0.2">
      <c r="A786" s="168"/>
      <c r="B786" s="158"/>
      <c r="C786" s="158"/>
      <c r="D786" s="167"/>
      <c r="G786" s="162"/>
      <c r="H786" s="166"/>
      <c r="I786" s="167"/>
      <c r="J786" s="162"/>
      <c r="K786" s="162"/>
      <c r="L786" s="162"/>
      <c r="M786" s="162"/>
      <c r="N786" s="162"/>
      <c r="O786" s="165"/>
      <c r="P786" s="162"/>
      <c r="Q786" s="162"/>
      <c r="R786" s="162"/>
      <c r="S786" s="162"/>
    </row>
    <row r="787" spans="1:19" x14ac:dyDescent="0.2">
      <c r="A787" s="168"/>
      <c r="B787" s="158"/>
      <c r="C787" s="158"/>
      <c r="D787" s="167"/>
      <c r="G787" s="162"/>
      <c r="H787" s="166"/>
      <c r="I787" s="167"/>
      <c r="J787" s="162"/>
      <c r="K787" s="162"/>
      <c r="L787" s="162"/>
      <c r="M787" s="162"/>
      <c r="N787" s="162"/>
      <c r="O787" s="165"/>
      <c r="P787" s="162"/>
      <c r="Q787" s="162"/>
      <c r="R787" s="162"/>
      <c r="S787" s="162"/>
    </row>
    <row r="788" spans="1:19" x14ac:dyDescent="0.2">
      <c r="A788" s="168"/>
      <c r="B788" s="158"/>
      <c r="C788" s="158"/>
      <c r="D788" s="167"/>
      <c r="G788" s="162"/>
      <c r="H788" s="166"/>
      <c r="I788" s="167"/>
      <c r="J788" s="162"/>
      <c r="K788" s="162"/>
      <c r="L788" s="162"/>
      <c r="M788" s="162"/>
      <c r="N788" s="162"/>
      <c r="O788" s="165"/>
      <c r="P788" s="162"/>
      <c r="Q788" s="162"/>
      <c r="R788" s="162"/>
      <c r="S788" s="162"/>
    </row>
    <row r="789" spans="1:19" x14ac:dyDescent="0.2">
      <c r="A789" s="168"/>
      <c r="B789" s="158"/>
      <c r="C789" s="158"/>
      <c r="D789" s="167"/>
      <c r="G789" s="162"/>
      <c r="H789" s="166"/>
      <c r="I789" s="167"/>
      <c r="J789" s="162"/>
      <c r="K789" s="162"/>
      <c r="L789" s="162"/>
      <c r="M789" s="162"/>
      <c r="N789" s="162"/>
      <c r="O789" s="165"/>
      <c r="P789" s="162"/>
      <c r="Q789" s="162"/>
      <c r="R789" s="162"/>
      <c r="S789" s="162"/>
    </row>
    <row r="790" spans="1:19" x14ac:dyDescent="0.2">
      <c r="A790" s="168"/>
      <c r="B790" s="158"/>
      <c r="C790" s="158"/>
      <c r="D790" s="167"/>
      <c r="G790" s="162"/>
      <c r="H790" s="166"/>
      <c r="I790" s="167"/>
      <c r="J790" s="162"/>
      <c r="K790" s="162"/>
      <c r="L790" s="162"/>
      <c r="M790" s="162"/>
      <c r="N790" s="162"/>
      <c r="O790" s="165"/>
      <c r="P790" s="162"/>
      <c r="Q790" s="162"/>
      <c r="R790" s="162"/>
      <c r="S790" s="162"/>
    </row>
    <row r="791" spans="1:19" x14ac:dyDescent="0.2">
      <c r="A791" s="168"/>
      <c r="B791" s="158"/>
      <c r="C791" s="158"/>
      <c r="D791" s="167"/>
      <c r="G791" s="162"/>
      <c r="H791" s="166"/>
      <c r="I791" s="167"/>
      <c r="J791" s="162"/>
      <c r="K791" s="162"/>
      <c r="L791" s="162"/>
      <c r="M791" s="162"/>
      <c r="N791" s="162"/>
      <c r="O791" s="165"/>
      <c r="P791" s="162"/>
      <c r="Q791" s="162"/>
      <c r="R791" s="162"/>
      <c r="S791" s="162"/>
    </row>
    <row r="792" spans="1:19" x14ac:dyDescent="0.2">
      <c r="A792" s="168"/>
      <c r="B792" s="158"/>
      <c r="C792" s="158"/>
      <c r="D792" s="167"/>
      <c r="G792" s="162"/>
      <c r="H792" s="166"/>
      <c r="I792" s="167"/>
      <c r="J792" s="162"/>
      <c r="K792" s="162"/>
      <c r="L792" s="162"/>
      <c r="M792" s="162"/>
      <c r="N792" s="162"/>
      <c r="O792" s="165"/>
      <c r="P792" s="162"/>
      <c r="Q792" s="162"/>
      <c r="R792" s="162"/>
      <c r="S792" s="162"/>
    </row>
    <row r="793" spans="1:19" x14ac:dyDescent="0.2">
      <c r="A793" s="168"/>
      <c r="B793" s="158"/>
      <c r="C793" s="158"/>
      <c r="D793" s="167"/>
      <c r="G793" s="162"/>
      <c r="H793" s="166"/>
      <c r="I793" s="167"/>
      <c r="J793" s="162"/>
      <c r="K793" s="162"/>
      <c r="L793" s="162"/>
      <c r="M793" s="162"/>
      <c r="N793" s="162"/>
      <c r="O793" s="165"/>
      <c r="P793" s="162"/>
      <c r="Q793" s="162"/>
      <c r="R793" s="162"/>
      <c r="S793" s="162"/>
    </row>
    <row r="794" spans="1:19" x14ac:dyDescent="0.2">
      <c r="A794" s="168"/>
      <c r="B794" s="158"/>
      <c r="C794" s="158"/>
      <c r="D794" s="167"/>
      <c r="G794" s="162"/>
      <c r="H794" s="166"/>
      <c r="I794" s="167"/>
      <c r="J794" s="162"/>
      <c r="K794" s="162"/>
      <c r="L794" s="162"/>
      <c r="M794" s="162"/>
      <c r="N794" s="162"/>
      <c r="O794" s="165"/>
      <c r="P794" s="162"/>
      <c r="Q794" s="162"/>
      <c r="R794" s="162"/>
      <c r="S794" s="162"/>
    </row>
    <row r="795" spans="1:19" x14ac:dyDescent="0.2">
      <c r="A795" s="168"/>
      <c r="B795" s="158"/>
      <c r="C795" s="158"/>
      <c r="D795" s="167"/>
      <c r="G795" s="162"/>
      <c r="H795" s="166"/>
      <c r="I795" s="167"/>
      <c r="J795" s="162"/>
      <c r="K795" s="162"/>
      <c r="L795" s="162"/>
      <c r="M795" s="162"/>
      <c r="N795" s="162"/>
      <c r="O795" s="165"/>
      <c r="P795" s="162"/>
      <c r="Q795" s="162"/>
      <c r="R795" s="162"/>
      <c r="S795" s="162"/>
    </row>
    <row r="796" spans="1:19" x14ac:dyDescent="0.2">
      <c r="A796" s="168"/>
      <c r="B796" s="158"/>
      <c r="C796" s="158"/>
      <c r="D796" s="167"/>
      <c r="G796" s="162"/>
      <c r="H796" s="166"/>
      <c r="I796" s="167"/>
      <c r="J796" s="162"/>
      <c r="K796" s="162"/>
      <c r="L796" s="162"/>
      <c r="M796" s="162"/>
      <c r="N796" s="162"/>
      <c r="O796" s="165"/>
      <c r="P796" s="162"/>
      <c r="Q796" s="162"/>
      <c r="R796" s="162"/>
      <c r="S796" s="162"/>
    </row>
    <row r="797" spans="1:19" x14ac:dyDescent="0.2">
      <c r="A797" s="168"/>
      <c r="B797" s="158"/>
      <c r="C797" s="158"/>
      <c r="D797" s="167"/>
      <c r="G797" s="162"/>
      <c r="H797" s="166"/>
      <c r="I797" s="167"/>
      <c r="J797" s="162"/>
      <c r="K797" s="162"/>
      <c r="L797" s="162"/>
      <c r="M797" s="162"/>
      <c r="N797" s="162"/>
      <c r="O797" s="165"/>
      <c r="P797" s="162"/>
      <c r="Q797" s="162"/>
      <c r="R797" s="162"/>
      <c r="S797" s="162"/>
    </row>
    <row r="798" spans="1:19" x14ac:dyDescent="0.2">
      <c r="A798" s="168"/>
      <c r="B798" s="158"/>
      <c r="C798" s="158"/>
      <c r="D798" s="167"/>
      <c r="G798" s="162"/>
      <c r="H798" s="166"/>
      <c r="I798" s="167"/>
      <c r="J798" s="162"/>
      <c r="K798" s="162"/>
      <c r="L798" s="162"/>
      <c r="M798" s="162"/>
      <c r="N798" s="162"/>
      <c r="O798" s="165"/>
      <c r="P798" s="162"/>
      <c r="Q798" s="162"/>
      <c r="R798" s="162"/>
      <c r="S798" s="162"/>
    </row>
    <row r="799" spans="1:19" x14ac:dyDescent="0.2">
      <c r="A799" s="168"/>
      <c r="B799" s="158"/>
      <c r="C799" s="158"/>
      <c r="D799" s="167"/>
      <c r="G799" s="162"/>
      <c r="H799" s="166"/>
      <c r="I799" s="167"/>
      <c r="J799" s="162"/>
      <c r="K799" s="162"/>
      <c r="L799" s="162"/>
      <c r="M799" s="162"/>
      <c r="N799" s="162"/>
      <c r="O799" s="165"/>
      <c r="P799" s="162"/>
      <c r="Q799" s="162"/>
      <c r="R799" s="162"/>
      <c r="S799" s="162"/>
    </row>
    <row r="800" spans="1:19" x14ac:dyDescent="0.2">
      <c r="A800" s="168"/>
      <c r="B800" s="158"/>
      <c r="C800" s="158"/>
      <c r="D800" s="167"/>
      <c r="G800" s="162"/>
      <c r="H800" s="166"/>
      <c r="I800" s="167"/>
      <c r="J800" s="162"/>
      <c r="K800" s="162"/>
      <c r="L800" s="162"/>
      <c r="M800" s="162"/>
      <c r="N800" s="162"/>
      <c r="O800" s="165"/>
      <c r="P800" s="162"/>
      <c r="Q800" s="162"/>
      <c r="R800" s="162"/>
      <c r="S800" s="162"/>
    </row>
    <row r="801" spans="1:19" x14ac:dyDescent="0.2">
      <c r="A801" s="168"/>
      <c r="B801" s="158"/>
      <c r="C801" s="158"/>
      <c r="D801" s="167"/>
      <c r="G801" s="162"/>
      <c r="H801" s="166"/>
      <c r="I801" s="167"/>
      <c r="J801" s="162"/>
      <c r="K801" s="162"/>
      <c r="L801" s="162"/>
      <c r="M801" s="162"/>
      <c r="N801" s="162"/>
      <c r="O801" s="165"/>
      <c r="P801" s="162"/>
      <c r="Q801" s="162"/>
      <c r="R801" s="162"/>
      <c r="S801" s="162"/>
    </row>
    <row r="802" spans="1:19" x14ac:dyDescent="0.2">
      <c r="A802" s="168"/>
      <c r="B802" s="158"/>
      <c r="C802" s="158"/>
      <c r="D802" s="167"/>
      <c r="G802" s="162"/>
      <c r="H802" s="166"/>
      <c r="I802" s="167"/>
      <c r="J802" s="162"/>
      <c r="K802" s="162"/>
      <c r="L802" s="162"/>
      <c r="M802" s="162"/>
      <c r="N802" s="162"/>
      <c r="O802" s="165"/>
      <c r="P802" s="162"/>
      <c r="Q802" s="162"/>
      <c r="R802" s="162"/>
      <c r="S802" s="162"/>
    </row>
    <row r="803" spans="1:19" x14ac:dyDescent="0.2">
      <c r="A803" s="168"/>
      <c r="B803" s="158"/>
      <c r="C803" s="158"/>
      <c r="D803" s="167"/>
      <c r="G803" s="162"/>
      <c r="H803" s="166"/>
      <c r="I803" s="167"/>
      <c r="J803" s="162"/>
      <c r="K803" s="162"/>
      <c r="L803" s="162"/>
      <c r="M803" s="162"/>
      <c r="N803" s="162"/>
      <c r="O803" s="165"/>
      <c r="P803" s="162"/>
      <c r="Q803" s="162"/>
      <c r="R803" s="162"/>
      <c r="S803" s="162"/>
    </row>
    <row r="804" spans="1:19" x14ac:dyDescent="0.2">
      <c r="A804" s="168"/>
      <c r="B804" s="158"/>
      <c r="C804" s="158"/>
      <c r="D804" s="167"/>
      <c r="G804" s="162"/>
      <c r="H804" s="166"/>
      <c r="I804" s="167"/>
      <c r="J804" s="162"/>
      <c r="K804" s="162"/>
      <c r="L804" s="162"/>
      <c r="M804" s="162"/>
      <c r="N804" s="162"/>
      <c r="O804" s="165"/>
      <c r="P804" s="162"/>
      <c r="Q804" s="162"/>
      <c r="R804" s="162"/>
      <c r="S804" s="162"/>
    </row>
    <row r="805" spans="1:19" x14ac:dyDescent="0.2">
      <c r="A805" s="168"/>
      <c r="B805" s="158"/>
      <c r="C805" s="158"/>
      <c r="D805" s="167"/>
      <c r="G805" s="162"/>
      <c r="H805" s="166"/>
      <c r="I805" s="167"/>
      <c r="J805" s="162"/>
      <c r="K805" s="162"/>
      <c r="L805" s="162"/>
      <c r="M805" s="162"/>
      <c r="N805" s="162"/>
      <c r="O805" s="165"/>
      <c r="P805" s="162"/>
      <c r="Q805" s="162"/>
      <c r="R805" s="162"/>
      <c r="S805" s="162"/>
    </row>
    <row r="806" spans="1:19" x14ac:dyDescent="0.2">
      <c r="A806" s="168"/>
      <c r="B806" s="158"/>
      <c r="C806" s="158"/>
      <c r="D806" s="167"/>
      <c r="G806" s="162"/>
      <c r="H806" s="166"/>
      <c r="I806" s="167"/>
      <c r="J806" s="162"/>
      <c r="K806" s="162"/>
      <c r="L806" s="162"/>
      <c r="M806" s="162"/>
      <c r="N806" s="162"/>
      <c r="O806" s="165"/>
      <c r="P806" s="162"/>
      <c r="Q806" s="162"/>
      <c r="R806" s="162"/>
      <c r="S806" s="162"/>
    </row>
    <row r="807" spans="1:19" x14ac:dyDescent="0.2">
      <c r="A807" s="168"/>
      <c r="B807" s="158"/>
      <c r="C807" s="158"/>
      <c r="D807" s="167"/>
      <c r="G807" s="162"/>
      <c r="H807" s="166"/>
      <c r="I807" s="167"/>
      <c r="J807" s="162"/>
      <c r="K807" s="162"/>
      <c r="L807" s="162"/>
      <c r="M807" s="162"/>
      <c r="N807" s="162"/>
      <c r="O807" s="165"/>
      <c r="P807" s="162"/>
      <c r="Q807" s="162"/>
      <c r="R807" s="162"/>
      <c r="S807" s="162"/>
    </row>
    <row r="808" spans="1:19" x14ac:dyDescent="0.2">
      <c r="A808" s="168"/>
      <c r="B808" s="158"/>
      <c r="C808" s="158"/>
      <c r="D808" s="167"/>
      <c r="G808" s="162"/>
      <c r="H808" s="166"/>
      <c r="I808" s="167"/>
      <c r="J808" s="162"/>
      <c r="K808" s="162"/>
      <c r="L808" s="162"/>
      <c r="M808" s="162"/>
      <c r="N808" s="162"/>
      <c r="O808" s="165"/>
      <c r="P808" s="162"/>
      <c r="Q808" s="162"/>
      <c r="R808" s="162"/>
      <c r="S808" s="162"/>
    </row>
    <row r="809" spans="1:19" x14ac:dyDescent="0.2">
      <c r="A809" s="168"/>
      <c r="B809" s="158"/>
      <c r="C809" s="158"/>
      <c r="D809" s="158"/>
      <c r="G809" s="162"/>
      <c r="H809" s="166"/>
      <c r="I809" s="167"/>
      <c r="J809" s="162"/>
      <c r="K809" s="162"/>
      <c r="L809" s="162"/>
      <c r="M809" s="162"/>
      <c r="N809" s="162"/>
      <c r="O809" s="165"/>
      <c r="P809" s="162"/>
      <c r="Q809" s="162"/>
      <c r="R809" s="162"/>
      <c r="S809" s="162"/>
    </row>
    <row r="810" spans="1:19" x14ac:dyDescent="0.2">
      <c r="A810" s="168"/>
      <c r="B810" s="158"/>
      <c r="C810" s="158"/>
      <c r="D810" s="158"/>
      <c r="G810" s="162"/>
      <c r="H810" s="166"/>
      <c r="I810" s="167"/>
      <c r="J810" s="162"/>
      <c r="K810" s="162"/>
      <c r="L810" s="162"/>
      <c r="M810" s="162"/>
      <c r="N810" s="162"/>
      <c r="O810" s="165"/>
      <c r="P810" s="162"/>
      <c r="Q810" s="162"/>
      <c r="R810" s="162"/>
      <c r="S810" s="162"/>
    </row>
    <row r="811" spans="1:19" x14ac:dyDescent="0.2">
      <c r="A811" s="168"/>
      <c r="B811" s="158"/>
      <c r="C811" s="158"/>
      <c r="D811" s="158"/>
      <c r="G811" s="162"/>
      <c r="H811" s="166"/>
      <c r="I811" s="167"/>
      <c r="J811" s="162"/>
      <c r="K811" s="162"/>
      <c r="L811" s="162"/>
      <c r="M811" s="162"/>
      <c r="N811" s="162"/>
      <c r="O811" s="165"/>
      <c r="P811" s="162"/>
      <c r="Q811" s="162"/>
      <c r="R811" s="162"/>
      <c r="S811" s="162"/>
    </row>
    <row r="812" spans="1:19" x14ac:dyDescent="0.2">
      <c r="A812" s="168"/>
      <c r="B812" s="158"/>
      <c r="C812" s="158"/>
      <c r="D812" s="158"/>
      <c r="G812" s="162"/>
      <c r="H812" s="166"/>
      <c r="I812" s="167"/>
      <c r="J812" s="162"/>
      <c r="K812" s="162"/>
      <c r="L812" s="162"/>
      <c r="M812" s="162"/>
      <c r="N812" s="162"/>
      <c r="O812" s="165"/>
      <c r="P812" s="162"/>
      <c r="Q812" s="162"/>
      <c r="R812" s="162"/>
      <c r="S812" s="162"/>
    </row>
    <row r="813" spans="1:19" x14ac:dyDescent="0.2">
      <c r="A813" s="168"/>
      <c r="B813" s="158"/>
      <c r="C813" s="158"/>
      <c r="D813" s="158"/>
      <c r="G813" s="162"/>
      <c r="H813" s="166"/>
      <c r="I813" s="167"/>
      <c r="J813" s="162"/>
      <c r="K813" s="162"/>
      <c r="L813" s="162"/>
      <c r="M813" s="162"/>
      <c r="N813" s="162"/>
      <c r="O813" s="165"/>
      <c r="P813" s="162"/>
      <c r="Q813" s="162"/>
      <c r="R813" s="162"/>
      <c r="S813" s="162"/>
    </row>
    <row r="814" spans="1:19" x14ac:dyDescent="0.2">
      <c r="A814" s="168"/>
      <c r="B814" s="158"/>
      <c r="C814" s="158"/>
      <c r="D814" s="158"/>
      <c r="G814" s="162"/>
      <c r="H814" s="166"/>
      <c r="I814" s="167"/>
      <c r="J814" s="162"/>
      <c r="K814" s="162"/>
      <c r="L814" s="162"/>
      <c r="M814" s="162"/>
      <c r="N814" s="162"/>
      <c r="O814" s="165"/>
      <c r="P814" s="162"/>
      <c r="Q814" s="162"/>
      <c r="R814" s="162"/>
      <c r="S814" s="162"/>
    </row>
    <row r="815" spans="1:19" x14ac:dyDescent="0.2">
      <c r="A815" s="168"/>
      <c r="B815" s="158"/>
      <c r="C815" s="158"/>
      <c r="D815" s="158"/>
      <c r="G815" s="162"/>
      <c r="H815" s="166"/>
      <c r="I815" s="167"/>
      <c r="J815" s="162"/>
      <c r="K815" s="162"/>
      <c r="L815" s="162"/>
      <c r="M815" s="162"/>
      <c r="N815" s="162"/>
      <c r="O815" s="165"/>
      <c r="P815" s="162"/>
      <c r="Q815" s="162"/>
      <c r="R815" s="162"/>
      <c r="S815" s="162"/>
    </row>
    <row r="816" spans="1:19" x14ac:dyDescent="0.2">
      <c r="A816" s="168"/>
      <c r="B816" s="158"/>
      <c r="C816" s="158"/>
      <c r="D816" s="158"/>
      <c r="G816" s="162"/>
      <c r="H816" s="166"/>
      <c r="I816" s="167"/>
      <c r="J816" s="162"/>
      <c r="K816" s="162"/>
      <c r="L816" s="162"/>
      <c r="M816" s="162"/>
      <c r="N816" s="162"/>
      <c r="O816" s="165"/>
      <c r="P816" s="162"/>
      <c r="Q816" s="162"/>
      <c r="R816" s="162"/>
      <c r="S816" s="162"/>
    </row>
    <row r="817" spans="1:19" x14ac:dyDescent="0.2">
      <c r="A817" s="168"/>
      <c r="B817" s="158"/>
      <c r="C817" s="158"/>
      <c r="D817" s="158"/>
      <c r="G817" s="162"/>
      <c r="H817" s="166"/>
      <c r="I817" s="167"/>
      <c r="J817" s="162"/>
      <c r="K817" s="162"/>
      <c r="L817" s="162"/>
      <c r="M817" s="162"/>
      <c r="N817" s="162"/>
      <c r="O817" s="165"/>
      <c r="P817" s="162"/>
      <c r="Q817" s="162"/>
      <c r="R817" s="162"/>
      <c r="S817" s="162"/>
    </row>
    <row r="818" spans="1:19" x14ac:dyDescent="0.2">
      <c r="A818" s="168"/>
      <c r="B818" s="158"/>
      <c r="C818" s="158"/>
      <c r="D818" s="158"/>
      <c r="G818" s="162"/>
      <c r="H818" s="166"/>
      <c r="I818" s="167"/>
      <c r="J818" s="162"/>
      <c r="K818" s="162"/>
      <c r="L818" s="162"/>
      <c r="M818" s="162"/>
      <c r="N818" s="162"/>
      <c r="O818" s="165"/>
      <c r="P818" s="162"/>
      <c r="Q818" s="162"/>
      <c r="R818" s="162"/>
      <c r="S818" s="162"/>
    </row>
    <row r="819" spans="1:19" x14ac:dyDescent="0.2">
      <c r="A819" s="158"/>
      <c r="B819" s="158"/>
      <c r="C819" s="158"/>
      <c r="D819" s="158"/>
      <c r="G819" s="162"/>
      <c r="H819" s="166"/>
      <c r="I819" s="167"/>
      <c r="J819" s="162"/>
      <c r="K819" s="162"/>
      <c r="L819" s="162"/>
      <c r="M819" s="162"/>
      <c r="N819" s="162"/>
      <c r="O819" s="165"/>
      <c r="P819" s="162"/>
      <c r="Q819" s="162"/>
      <c r="R819" s="162"/>
      <c r="S819" s="162"/>
    </row>
    <row r="820" spans="1:19" x14ac:dyDescent="0.2">
      <c r="A820" s="158"/>
      <c r="B820" s="158"/>
      <c r="C820" s="158"/>
      <c r="D820" s="158"/>
      <c r="G820" s="162"/>
      <c r="H820" s="166"/>
      <c r="I820" s="167"/>
      <c r="J820" s="162"/>
      <c r="K820" s="162"/>
      <c r="L820" s="162"/>
      <c r="M820" s="162"/>
      <c r="N820" s="162"/>
      <c r="O820" s="165"/>
      <c r="P820" s="162"/>
      <c r="Q820" s="162"/>
      <c r="R820" s="162"/>
      <c r="S820" s="162"/>
    </row>
    <row r="821" spans="1:19" x14ac:dyDescent="0.2">
      <c r="A821" s="158"/>
      <c r="B821" s="158"/>
      <c r="C821" s="158"/>
      <c r="D821" s="158"/>
      <c r="G821" s="162"/>
      <c r="H821" s="166"/>
      <c r="I821" s="167"/>
      <c r="J821" s="162"/>
      <c r="K821" s="162"/>
      <c r="L821" s="162"/>
      <c r="M821" s="162"/>
      <c r="N821" s="162"/>
      <c r="O821" s="165"/>
      <c r="P821" s="162"/>
      <c r="Q821" s="162"/>
      <c r="R821" s="162"/>
      <c r="S821" s="162"/>
    </row>
    <row r="822" spans="1:19" x14ac:dyDescent="0.2">
      <c r="A822" s="158"/>
      <c r="B822" s="158"/>
      <c r="C822" s="158"/>
      <c r="D822" s="158"/>
      <c r="G822" s="162"/>
      <c r="H822" s="166"/>
      <c r="I822" s="167"/>
      <c r="J822" s="162"/>
      <c r="K822" s="162"/>
      <c r="L822" s="162"/>
      <c r="M822" s="162"/>
      <c r="N822" s="162"/>
      <c r="O822" s="165"/>
      <c r="P822" s="162"/>
      <c r="Q822" s="162"/>
      <c r="R822" s="162"/>
      <c r="S822" s="162"/>
    </row>
    <row r="823" spans="1:19" x14ac:dyDescent="0.2">
      <c r="A823" s="158"/>
      <c r="B823" s="158"/>
      <c r="C823" s="158"/>
      <c r="D823" s="158"/>
      <c r="G823" s="162"/>
      <c r="H823" s="166"/>
      <c r="I823" s="167"/>
      <c r="J823" s="162"/>
      <c r="K823" s="162"/>
      <c r="L823" s="162"/>
      <c r="M823" s="162"/>
      <c r="N823" s="162"/>
      <c r="O823" s="165"/>
      <c r="P823" s="162"/>
      <c r="Q823" s="162"/>
      <c r="R823" s="162"/>
      <c r="S823" s="162"/>
    </row>
    <row r="824" spans="1:19" x14ac:dyDescent="0.2">
      <c r="A824" s="158"/>
      <c r="B824" s="158"/>
      <c r="C824" s="158"/>
      <c r="D824" s="158"/>
      <c r="G824" s="162"/>
      <c r="H824" s="166"/>
      <c r="I824" s="167"/>
      <c r="J824" s="162"/>
      <c r="K824" s="162"/>
      <c r="L824" s="162"/>
      <c r="M824" s="162"/>
      <c r="N824" s="162"/>
      <c r="O824" s="165"/>
      <c r="P824" s="162"/>
      <c r="Q824" s="162"/>
      <c r="R824" s="162"/>
      <c r="S824" s="162"/>
    </row>
    <row r="825" spans="1:19" x14ac:dyDescent="0.2">
      <c r="A825" s="158"/>
      <c r="B825" s="158"/>
      <c r="C825" s="158"/>
      <c r="D825" s="158"/>
      <c r="G825" s="162"/>
      <c r="H825" s="166"/>
      <c r="I825" s="167"/>
      <c r="J825" s="162"/>
      <c r="K825" s="162"/>
      <c r="L825" s="162"/>
      <c r="M825" s="162"/>
      <c r="N825" s="162"/>
      <c r="O825" s="165"/>
      <c r="P825" s="162"/>
      <c r="Q825" s="162"/>
      <c r="R825" s="162"/>
      <c r="S825" s="162"/>
    </row>
    <row r="826" spans="1:19" x14ac:dyDescent="0.2">
      <c r="A826" s="158"/>
      <c r="B826" s="158"/>
      <c r="C826" s="158"/>
      <c r="D826" s="158"/>
      <c r="G826" s="162"/>
      <c r="H826" s="166"/>
      <c r="I826" s="167"/>
      <c r="J826" s="162"/>
      <c r="K826" s="162"/>
      <c r="L826" s="162"/>
      <c r="M826" s="162"/>
      <c r="N826" s="162"/>
      <c r="O826" s="165"/>
      <c r="P826" s="162"/>
      <c r="Q826" s="162"/>
      <c r="R826" s="162"/>
      <c r="S826" s="162"/>
    </row>
    <row r="827" spans="1:19" x14ac:dyDescent="0.2">
      <c r="A827" s="158"/>
      <c r="B827" s="158"/>
      <c r="C827" s="158"/>
      <c r="D827" s="158"/>
      <c r="G827" s="162"/>
      <c r="H827" s="166"/>
      <c r="I827" s="167"/>
      <c r="J827" s="162"/>
      <c r="K827" s="162"/>
      <c r="L827" s="162"/>
      <c r="M827" s="162"/>
      <c r="N827" s="162"/>
      <c r="O827" s="165"/>
      <c r="P827" s="162"/>
      <c r="Q827" s="162"/>
      <c r="R827" s="162"/>
      <c r="S827" s="162"/>
    </row>
    <row r="828" spans="1:19" x14ac:dyDescent="0.2">
      <c r="A828" s="158"/>
      <c r="B828" s="158"/>
      <c r="C828" s="158"/>
      <c r="D828" s="15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J66"/>
  <sheetViews>
    <sheetView showGridLines="0" showZeros="0" view="pageBreakPreview" zoomScale="90" zoomScaleNormal="100" zoomScaleSheetLayoutView="90" workbookViewId="0">
      <selection sqref="A1:G1"/>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20" style="629" customWidth="1"/>
    <col min="9" max="9" width="12.7109375" style="2" bestFit="1" customWidth="1"/>
    <col min="10" max="10" width="17.28515625" style="2" customWidth="1"/>
    <col min="11" max="16384" width="11.42578125" style="2"/>
  </cols>
  <sheetData>
    <row r="1" spans="1:9" ht="15" customHeight="1" x14ac:dyDescent="0.2">
      <c r="A1" s="666" t="str">
        <f>Obra</f>
        <v>RECRECIMIENTO Y REPARACIÓN CANALES SARMIENTO, 9 DE JULIO Y CHIMBAS</v>
      </c>
      <c r="B1" s="666"/>
      <c r="C1" s="666"/>
      <c r="D1" s="666"/>
      <c r="E1" s="666"/>
      <c r="F1" s="666"/>
      <c r="G1" s="666"/>
    </row>
    <row r="2" spans="1:9" ht="15" customHeight="1" x14ac:dyDescent="0.2">
      <c r="A2" s="669" t="str">
        <f>IF(Tramo=0,"","TRAMO: "&amp;Tramo)</f>
        <v/>
      </c>
      <c r="B2" s="669"/>
      <c r="C2" s="669"/>
      <c r="D2" s="669"/>
      <c r="E2" s="669"/>
      <c r="F2" s="669"/>
      <c r="G2" s="669"/>
    </row>
    <row r="3" spans="1:9" ht="15" customHeight="1" x14ac:dyDescent="0.2">
      <c r="A3" s="669" t="str">
        <f>IF(Sección_I=0,"","SECCIÓN I: "&amp;Sección_I)</f>
        <v/>
      </c>
      <c r="B3" s="669"/>
      <c r="C3" s="669"/>
      <c r="D3" s="669"/>
      <c r="E3" s="669"/>
      <c r="F3" s="669"/>
      <c r="G3" s="669"/>
    </row>
    <row r="4" spans="1:9" ht="15" customHeight="1" x14ac:dyDescent="0.2">
      <c r="A4" s="669" t="str">
        <f>IF(Sección_II=0,"","SECCIÓN II: "&amp;Sección_II)</f>
        <v/>
      </c>
      <c r="B4" s="669"/>
      <c r="C4" s="669"/>
      <c r="D4" s="669"/>
      <c r="E4" s="669"/>
      <c r="F4" s="669"/>
      <c r="G4" s="669"/>
    </row>
    <row r="5" spans="1:9" ht="15" customHeight="1" x14ac:dyDescent="0.2">
      <c r="A5" s="669" t="str">
        <f>IF(Sección_III=0,"","SECCIÓN III: "&amp;Sección_III)</f>
        <v/>
      </c>
      <c r="B5" s="669"/>
      <c r="C5" s="669"/>
      <c r="D5" s="669"/>
      <c r="E5" s="669"/>
      <c r="F5" s="669"/>
      <c r="G5" s="669"/>
    </row>
    <row r="6" spans="1:9" ht="15" customHeight="1" x14ac:dyDescent="0.2">
      <c r="A6" s="669" t="str">
        <f>IF(Ubicación=0,"","DEPARTAMENTO: "&amp;Ubicación)</f>
        <v>DEPARTAMENTO: DEPARTAMENTOS SARMIENTO, 9 DE JULIO Y CHIMBAS</v>
      </c>
      <c r="B6" s="669"/>
      <c r="C6" s="669"/>
      <c r="D6" s="669"/>
      <c r="E6" s="669"/>
      <c r="F6" s="669"/>
      <c r="G6" s="669"/>
    </row>
    <row r="7" spans="1:9" ht="19.5" customHeight="1" x14ac:dyDescent="0.2">
      <c r="A7" s="142"/>
      <c r="B7" s="142"/>
      <c r="C7" s="142"/>
      <c r="D7" s="142"/>
      <c r="E7" s="142"/>
      <c r="F7" s="142"/>
      <c r="G7" s="142"/>
    </row>
    <row r="8" spans="1:9" ht="19.5" customHeight="1" x14ac:dyDescent="0.2">
      <c r="A8" s="143" t="s">
        <v>963</v>
      </c>
      <c r="B8" s="144"/>
      <c r="C8" s="144"/>
      <c r="D8" s="144"/>
      <c r="E8" s="144"/>
      <c r="F8" s="144"/>
      <c r="G8" s="145"/>
      <c r="H8" s="630"/>
    </row>
    <row r="9" spans="1:9" s="147" customFormat="1" ht="30" customHeight="1" x14ac:dyDescent="0.25">
      <c r="A9" s="146"/>
      <c r="C9" s="148"/>
      <c r="D9" s="148"/>
      <c r="E9" s="146" t="str">
        <f>IF(Fecha_Base=0,"San Juan, ______________________"&amp;" de _____","San Juan, "&amp;TEXT(Fecha_Base,"dd")&amp;" de "&amp;TEXT(Fecha_Base,"mmmm")&amp;" de "&amp;TEXT(Fecha_Base,"yyyy"))</f>
        <v>San Juan, ______________________ de _____</v>
      </c>
      <c r="H9" s="631"/>
    </row>
    <row r="10" spans="1:9" s="5" customFormat="1" ht="69.75" customHeight="1" x14ac:dyDescent="0.2">
      <c r="B10" s="149" t="s">
        <v>2013</v>
      </c>
      <c r="C10" s="149"/>
      <c r="D10" s="149"/>
      <c r="E10" s="149"/>
      <c r="F10" s="149"/>
      <c r="G10" s="149"/>
      <c r="H10" s="632"/>
    </row>
    <row r="11" spans="1:9" s="5" customFormat="1" ht="80.099999999999994" customHeight="1" x14ac:dyDescent="0.2">
      <c r="B11" s="67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72"/>
      <c r="D11" s="672"/>
      <c r="E11" s="672"/>
      <c r="F11" s="672"/>
      <c r="G11" s="672"/>
      <c r="H11" s="632"/>
    </row>
    <row r="12" spans="1:9" s="5" customFormat="1" ht="19.5" customHeight="1" x14ac:dyDescent="0.2">
      <c r="A12" s="11"/>
      <c r="B12" s="12"/>
      <c r="H12" s="632"/>
      <c r="I12" s="416" t="s">
        <v>969</v>
      </c>
    </row>
    <row r="13" spans="1:9" ht="20.100000000000001" customHeight="1" x14ac:dyDescent="0.2">
      <c r="A13" s="667" t="s">
        <v>893</v>
      </c>
      <c r="B13" s="668" t="s">
        <v>0</v>
      </c>
      <c r="C13" s="667" t="s">
        <v>1</v>
      </c>
      <c r="D13" s="667" t="s">
        <v>2</v>
      </c>
      <c r="E13" s="668" t="s">
        <v>964</v>
      </c>
      <c r="F13" s="668"/>
      <c r="G13" s="667" t="s">
        <v>915</v>
      </c>
      <c r="I13" s="416"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67"/>
      <c r="B14" s="668"/>
      <c r="C14" s="667"/>
      <c r="D14" s="667"/>
      <c r="E14" s="414" t="s">
        <v>965</v>
      </c>
      <c r="F14" s="414" t="s">
        <v>966</v>
      </c>
      <c r="G14" s="667"/>
      <c r="I14" s="417"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50"/>
      <c r="B15" s="412"/>
      <c r="C15" s="150"/>
      <c r="D15" s="150"/>
      <c r="E15" s="412"/>
      <c r="F15" s="412"/>
    </row>
    <row r="16" spans="1:9" ht="30" customHeight="1" x14ac:dyDescent="0.2">
      <c r="A16" s="49">
        <f ca="1">INDIRECT("Datos!B"&amp;MATCH("RUBRO ITEM",Datos!B:B,0)+ROW()-MATCH("RUBRO ITEM",A:A,0)-1)</f>
        <v>1</v>
      </c>
      <c r="B16" s="380" t="str">
        <f t="shared" ref="B16" ca="1" si="0">IFERROR(VLOOKUP(A16,T_Computo_Presupuesto,2,FALSE),"")</f>
        <v>DPTO. SARMIENTO - CANAL PRIMERO DE COCHAGUAL</v>
      </c>
      <c r="C16" s="151">
        <f t="shared" ref="C16" ca="1" si="1">IFERROR(VLOOKUP(A16,T_Computo_Presupuesto,4,FALSE),"")</f>
        <v>0</v>
      </c>
      <c r="D16" s="381">
        <f t="shared" ref="D16" ca="1" si="2">IFERROR(VLOOKUP(A16,T_Computo_Presupuesto,5,FALSE),"")</f>
        <v>0</v>
      </c>
      <c r="E16" s="382" t="str">
        <f t="shared" ref="E16" ca="1" si="3">IF(F16=0,"",CONVERTIRNUM(F16))</f>
        <v/>
      </c>
      <c r="F16" s="383">
        <f t="shared" ref="F16:F28" ca="1" si="4">IFERROR(VLOOKUP(A16,T_Computo_Presupuesto,7,FALSE),0)</f>
        <v>0</v>
      </c>
      <c r="G16" s="383">
        <f ca="1">ROUND(D16*F16,2)</f>
        <v>0</v>
      </c>
    </row>
    <row r="17" spans="1:10" ht="30" customHeight="1" x14ac:dyDescent="0.2">
      <c r="A17" s="49" t="str">
        <f ca="1">INDIRECT("Datos!B"&amp;MATCH("RUBRO ITEM",Datos!B:B,0)+ROW()-MATCH("RUBRO ITEM",A:A,0)-1)</f>
        <v>1.1</v>
      </c>
      <c r="B17" s="380" t="str">
        <f t="shared" ref="B17:B50" ca="1" si="5">IFERROR(VLOOKUP(A17,T_Computo_Presupuesto,2,FALSE),"")</f>
        <v>TRABAJOS PREPARATORIOS</v>
      </c>
      <c r="C17" s="151">
        <f t="shared" ref="C17:C50" ca="1" si="6">IFERROR(VLOOKUP(A17,T_Computo_Presupuesto,4,FALSE),"")</f>
        <v>0</v>
      </c>
      <c r="D17" s="381">
        <f t="shared" ref="D17:D27" ca="1" si="7">IFERROR(VLOOKUP(A17,T_Computo_Presupuesto,5,FALSE),"")</f>
        <v>0</v>
      </c>
      <c r="E17" s="382" t="str">
        <f t="shared" ref="E17:E28" ca="1" si="8">IF(F17=0,"",CONVERTIRNUM(F17))</f>
        <v/>
      </c>
      <c r="F17" s="383">
        <f t="shared" ca="1" si="4"/>
        <v>0</v>
      </c>
      <c r="G17" s="383">
        <f t="shared" ref="G17:G28" ca="1" si="9">ROUND(D17*F17,2)</f>
        <v>0</v>
      </c>
    </row>
    <row r="18" spans="1:10" ht="30" customHeight="1" x14ac:dyDescent="0.2">
      <c r="A18" s="49" t="str">
        <f ca="1">INDIRECT("Datos!B"&amp;MATCH("RUBRO ITEM",Datos!B:B,0)+ROW()-MATCH("RUBRO ITEM",A:A,0)-1)</f>
        <v>1.1.1</v>
      </c>
      <c r="B18" s="380" t="str">
        <f t="shared" ca="1" si="5"/>
        <v>Preparación y Limpieza de Superf.</v>
      </c>
      <c r="C18" s="151" t="str">
        <f t="shared" ca="1" si="6"/>
        <v>GL</v>
      </c>
      <c r="D18" s="381">
        <f t="shared" ca="1" si="7"/>
        <v>0</v>
      </c>
      <c r="E18" s="382" t="str">
        <f t="shared" ca="1" si="8"/>
        <v/>
      </c>
      <c r="F18" s="383">
        <f ca="1">IFERROR(VLOOKUP(A18,T_Computo_Presupuesto,7,FALSE),0)</f>
        <v>0</v>
      </c>
      <c r="G18" s="383">
        <f t="shared" ca="1" si="9"/>
        <v>0</v>
      </c>
      <c r="I18" s="633"/>
      <c r="J18" s="634"/>
    </row>
    <row r="19" spans="1:10" ht="30" customHeight="1" x14ac:dyDescent="0.2">
      <c r="A19" s="49" t="str">
        <f ca="1">INDIRECT("Datos!B"&amp;MATCH("RUBRO ITEM",Datos!B:B,0)+ROW()-MATCH("RUBRO ITEM",A:A,0)-1)</f>
        <v>1.1.2</v>
      </c>
      <c r="B19" s="380" t="str">
        <f t="shared" ca="1" si="5"/>
        <v>Replanteo</v>
      </c>
      <c r="C19" s="151" t="str">
        <f t="shared" ca="1" si="6"/>
        <v>GL</v>
      </c>
      <c r="D19" s="381">
        <f t="shared" ca="1" si="7"/>
        <v>0</v>
      </c>
      <c r="E19" s="382" t="str">
        <f t="shared" ca="1" si="8"/>
        <v/>
      </c>
      <c r="F19" s="383">
        <f t="shared" ca="1" si="4"/>
        <v>0</v>
      </c>
      <c r="G19" s="383">
        <f t="shared" ca="1" si="9"/>
        <v>0</v>
      </c>
      <c r="I19" s="633"/>
    </row>
    <row r="20" spans="1:10" ht="30" customHeight="1" x14ac:dyDescent="0.2">
      <c r="A20" s="49" t="str">
        <f ca="1">INDIRECT("Datos!B"&amp;MATCH("RUBRO ITEM",Datos!B:B,0)+ROW()-MATCH("RUBRO ITEM",A:A,0)-1)</f>
        <v>1.2</v>
      </c>
      <c r="B20" s="380" t="str">
        <f t="shared" ca="1" si="5"/>
        <v>ESTRUCTURA RESISTENTE</v>
      </c>
      <c r="C20" s="151">
        <f t="shared" ca="1" si="6"/>
        <v>0</v>
      </c>
      <c r="D20" s="381">
        <f t="shared" ca="1" si="7"/>
        <v>0</v>
      </c>
      <c r="E20" s="382" t="str">
        <f t="shared" ca="1" si="8"/>
        <v/>
      </c>
      <c r="F20" s="383">
        <f t="shared" ca="1" si="4"/>
        <v>0</v>
      </c>
      <c r="G20" s="383">
        <f t="shared" ca="1" si="9"/>
        <v>0</v>
      </c>
      <c r="I20" s="633"/>
    </row>
    <row r="21" spans="1:10" ht="30" customHeight="1" x14ac:dyDescent="0.2">
      <c r="A21" s="49" t="str">
        <f ca="1">INDIRECT("Datos!B"&amp;MATCH("RUBRO ITEM",Datos!B:B,0)+ROW()-MATCH("RUBRO ITEM",A:A,0)-1)</f>
        <v>1.2.1</v>
      </c>
      <c r="B21" s="380" t="str">
        <f t="shared" ca="1" si="5"/>
        <v xml:space="preserve">Hormigón H-21  </v>
      </c>
      <c r="C21" s="151" t="str">
        <f t="shared" ca="1" si="6"/>
        <v>M3</v>
      </c>
      <c r="D21" s="381">
        <f t="shared" ca="1" si="7"/>
        <v>0</v>
      </c>
      <c r="E21" s="382" t="str">
        <f t="shared" ca="1" si="8"/>
        <v/>
      </c>
      <c r="F21" s="383">
        <f t="shared" ca="1" si="4"/>
        <v>0</v>
      </c>
      <c r="G21" s="383">
        <f t="shared" ca="1" si="9"/>
        <v>0</v>
      </c>
      <c r="I21" s="633"/>
    </row>
    <row r="22" spans="1:10" ht="30" customHeight="1" x14ac:dyDescent="0.2">
      <c r="A22" s="49" t="str">
        <f ca="1">INDIRECT("Datos!B"&amp;MATCH("RUBRO ITEM",Datos!B:B,0)+ROW()-MATCH("RUBRO ITEM",A:A,0)-1)</f>
        <v>1.2.2</v>
      </c>
      <c r="B22" s="380" t="str">
        <f t="shared" ca="1" si="5"/>
        <v>Armadura puesta en obra</v>
      </c>
      <c r="C22" s="151" t="str">
        <f t="shared" ca="1" si="6"/>
        <v>KG</v>
      </c>
      <c r="D22" s="381">
        <f t="shared" ca="1" si="7"/>
        <v>0</v>
      </c>
      <c r="E22" s="382" t="str">
        <f t="shared" ca="1" si="8"/>
        <v/>
      </c>
      <c r="F22" s="383">
        <f t="shared" ca="1" si="4"/>
        <v>0</v>
      </c>
      <c r="G22" s="383">
        <f t="shared" ca="1" si="9"/>
        <v>0</v>
      </c>
      <c r="I22" s="633"/>
    </row>
    <row r="23" spans="1:10" ht="30" customHeight="1" x14ac:dyDescent="0.2">
      <c r="A23" s="49" t="str">
        <f ca="1">INDIRECT("Datos!B"&amp;MATCH("RUBRO ITEM",Datos!B:B,0)+ROW()-MATCH("RUBRO ITEM",A:A,0)-1)</f>
        <v>1.2.3</v>
      </c>
      <c r="B23" s="380" t="str">
        <f t="shared" ca="1" si="5"/>
        <v>Anclajes Químicos</v>
      </c>
      <c r="C23" s="151" t="str">
        <f t="shared" ca="1" si="6"/>
        <v>GL</v>
      </c>
      <c r="D23" s="381">
        <f t="shared" ca="1" si="7"/>
        <v>0</v>
      </c>
      <c r="E23" s="382" t="str">
        <f t="shared" ca="1" si="8"/>
        <v/>
      </c>
      <c r="F23" s="383">
        <f t="shared" ca="1" si="4"/>
        <v>0</v>
      </c>
      <c r="G23" s="383">
        <f t="shared" ca="1" si="9"/>
        <v>0</v>
      </c>
      <c r="I23" s="633"/>
    </row>
    <row r="24" spans="1:10" ht="30" customHeight="1" x14ac:dyDescent="0.2">
      <c r="A24" s="49" t="str">
        <f ca="1">INDIRECT("Datos!B"&amp;MATCH("RUBRO ITEM",Datos!B:B,0)+ROW()-MATCH("RUBRO ITEM",A:A,0)-1)</f>
        <v>1.2.4</v>
      </c>
      <c r="B24" s="380" t="str">
        <f t="shared" ca="1" si="5"/>
        <v>Puente de Adherencia</v>
      </c>
      <c r="C24" s="151" t="str">
        <f t="shared" ca="1" si="6"/>
        <v>GL</v>
      </c>
      <c r="D24" s="381">
        <f t="shared" ca="1" si="7"/>
        <v>0</v>
      </c>
      <c r="E24" s="382" t="str">
        <f t="shared" ca="1" si="8"/>
        <v/>
      </c>
      <c r="F24" s="383">
        <f t="shared" ca="1" si="4"/>
        <v>0</v>
      </c>
      <c r="G24" s="383">
        <f t="shared" ca="1" si="9"/>
        <v>0</v>
      </c>
      <c r="I24" s="633"/>
    </row>
    <row r="25" spans="1:10" ht="30" customHeight="1" x14ac:dyDescent="0.2">
      <c r="A25" s="49" t="str">
        <f ca="1">INDIRECT("Datos!B"&amp;MATCH("RUBRO ITEM",Datos!B:B,0)+ROW()-MATCH("RUBRO ITEM",A:A,0)-1)</f>
        <v>1.2.5</v>
      </c>
      <c r="B25" s="380" t="str">
        <f t="shared" ca="1" si="5"/>
        <v>Juntas de Contracción y dilatación</v>
      </c>
      <c r="C25" s="151" t="str">
        <f t="shared" ca="1" si="6"/>
        <v>ML</v>
      </c>
      <c r="D25" s="381">
        <f t="shared" ca="1" si="7"/>
        <v>0</v>
      </c>
      <c r="E25" s="382" t="str">
        <f t="shared" ca="1" si="8"/>
        <v/>
      </c>
      <c r="F25" s="383">
        <f t="shared" ca="1" si="4"/>
        <v>0</v>
      </c>
      <c r="G25" s="383">
        <f t="shared" ca="1" si="9"/>
        <v>0</v>
      </c>
      <c r="I25" s="633"/>
    </row>
    <row r="26" spans="1:10" ht="30" customHeight="1" x14ac:dyDescent="0.2">
      <c r="A26" s="49">
        <f ca="1">INDIRECT("Datos!B"&amp;MATCH("RUBRO ITEM",Datos!B:B,0)+ROW()-MATCH("RUBRO ITEM",A:A,0)-1)</f>
        <v>2</v>
      </c>
      <c r="B26" s="380" t="str">
        <f t="shared" ca="1" si="5"/>
        <v>DPTO. 9 DE JULIO (R. BALMACEDA y R. ZUNGRY ALDAY)</v>
      </c>
      <c r="C26" s="151">
        <f t="shared" ca="1" si="6"/>
        <v>0</v>
      </c>
      <c r="D26" s="381">
        <f t="shared" ca="1" si="7"/>
        <v>0</v>
      </c>
      <c r="E26" s="382" t="str">
        <f t="shared" ca="1" si="8"/>
        <v/>
      </c>
      <c r="F26" s="383">
        <f t="shared" ca="1" si="4"/>
        <v>0</v>
      </c>
      <c r="G26" s="383">
        <f t="shared" ca="1" si="9"/>
        <v>0</v>
      </c>
      <c r="I26" s="633"/>
    </row>
    <row r="27" spans="1:10" ht="30" customHeight="1" x14ac:dyDescent="0.2">
      <c r="A27" s="49" t="str">
        <f ca="1">INDIRECT("Datos!B"&amp;MATCH("RUBRO ITEM",Datos!B:B,0)+ROW()-MATCH("RUBRO ITEM",A:A,0)-1)</f>
        <v>2.1</v>
      </c>
      <c r="B27" s="380" t="str">
        <f t="shared" ca="1" si="5"/>
        <v>TRABAJOS PREPARATORIOS</v>
      </c>
      <c r="C27" s="151">
        <f t="shared" ca="1" si="6"/>
        <v>0</v>
      </c>
      <c r="D27" s="381">
        <f t="shared" ca="1" si="7"/>
        <v>0</v>
      </c>
      <c r="E27" s="382" t="str">
        <f t="shared" ca="1" si="8"/>
        <v/>
      </c>
      <c r="F27" s="383">
        <f t="shared" ca="1" si="4"/>
        <v>0</v>
      </c>
      <c r="G27" s="383">
        <f t="shared" ca="1" si="9"/>
        <v>0</v>
      </c>
      <c r="I27" s="633"/>
    </row>
    <row r="28" spans="1:10" ht="30" customHeight="1" x14ac:dyDescent="0.2">
      <c r="A28" s="49" t="str">
        <f ca="1">INDIRECT("Datos!B"&amp;MATCH("RUBRO ITEM",Datos!B:B,0)+ROW()-MATCH("RUBRO ITEM",A:A,0)-1)</f>
        <v>2.1.1</v>
      </c>
      <c r="B28" s="380" t="str">
        <f t="shared" ca="1" si="5"/>
        <v>Preparación y Limpieza de Superf.</v>
      </c>
      <c r="C28" s="151" t="str">
        <f t="shared" ca="1" si="6"/>
        <v>GL</v>
      </c>
      <c r="D28" s="381">
        <f ca="1">IFERROR(VLOOKUP(A28,T_Computo_Presupuesto,5,FALSE),"")</f>
        <v>0</v>
      </c>
      <c r="E28" s="382" t="str">
        <f t="shared" ca="1" si="8"/>
        <v/>
      </c>
      <c r="F28" s="383">
        <f t="shared" ca="1" si="4"/>
        <v>0</v>
      </c>
      <c r="G28" s="383">
        <f t="shared" ca="1" si="9"/>
        <v>0</v>
      </c>
      <c r="I28" s="633"/>
    </row>
    <row r="29" spans="1:10" ht="30" customHeight="1" x14ac:dyDescent="0.2">
      <c r="A29" s="49" t="str">
        <f ca="1">INDIRECT("Datos!B"&amp;MATCH("RUBRO ITEM",Datos!B:B,0)+ROW()-MATCH("RUBRO ITEM",A:A,0)-1)</f>
        <v>2.1.2</v>
      </c>
      <c r="B29" s="380" t="str">
        <f t="shared" ca="1" si="5"/>
        <v>Replanteo</v>
      </c>
      <c r="C29" s="151" t="str">
        <f t="shared" ca="1" si="6"/>
        <v>GL</v>
      </c>
      <c r="D29" s="381">
        <f ca="1">IFERROR(VLOOKUP(A29,T_Computo_Presupuesto,5,FALSE),"")</f>
        <v>0</v>
      </c>
      <c r="E29" s="382" t="str">
        <f t="shared" ref="E29:E50" ca="1" si="10">IF(F29=0,"",CONVERTIRNUM(F29))</f>
        <v/>
      </c>
      <c r="F29" s="383">
        <f t="shared" ref="F29:F50" ca="1" si="11">IFERROR(VLOOKUP(A29,T_Computo_Presupuesto,7,FALSE),0)</f>
        <v>0</v>
      </c>
      <c r="G29" s="383">
        <f t="shared" ref="G29:G50" ca="1" si="12">ROUND(D29*F29,2)</f>
        <v>0</v>
      </c>
      <c r="I29" s="633"/>
    </row>
    <row r="30" spans="1:10" ht="30" customHeight="1" x14ac:dyDescent="0.2">
      <c r="A30" s="49" t="str">
        <f ca="1">INDIRECT("Datos!B"&amp;MATCH("RUBRO ITEM",Datos!B:B,0)+ROW()-MATCH("RUBRO ITEM",A:A,0)-1)</f>
        <v>2.2</v>
      </c>
      <c r="B30" s="380" t="str">
        <f t="shared" ca="1" si="5"/>
        <v>ESTRUCTURA RESISTENTE</v>
      </c>
      <c r="C30" s="151">
        <f t="shared" ca="1" si="6"/>
        <v>0</v>
      </c>
      <c r="D30" s="381">
        <f ca="1">IFERROR(VLOOKUP(A30,T_Computo_Presupuesto,5,FALSE),"")</f>
        <v>0</v>
      </c>
      <c r="E30" s="382" t="str">
        <f t="shared" ca="1" si="10"/>
        <v/>
      </c>
      <c r="F30" s="383">
        <f t="shared" ca="1" si="11"/>
        <v>0</v>
      </c>
      <c r="G30" s="383">
        <f t="shared" ca="1" si="12"/>
        <v>0</v>
      </c>
      <c r="I30" s="633"/>
    </row>
    <row r="31" spans="1:10" ht="30" customHeight="1" x14ac:dyDescent="0.2">
      <c r="A31" s="49" t="str">
        <f ca="1">INDIRECT("Datos!B"&amp;MATCH("RUBRO ITEM",Datos!B:B,0)+ROW()-MATCH("RUBRO ITEM",A:A,0)-1)</f>
        <v>2.2.1</v>
      </c>
      <c r="B31" s="380" t="str">
        <f t="shared" ca="1" si="5"/>
        <v xml:space="preserve">Hormigón H-21  </v>
      </c>
      <c r="C31" s="151" t="str">
        <f t="shared" ca="1" si="6"/>
        <v>M3</v>
      </c>
      <c r="D31" s="381">
        <f ca="1">IFERROR(VLOOKUP(A31,T_Computo_Presupuesto,5,FALSE),"")</f>
        <v>0</v>
      </c>
      <c r="E31" s="382" t="str">
        <f t="shared" ca="1" si="10"/>
        <v/>
      </c>
      <c r="F31" s="383">
        <f t="shared" ca="1" si="11"/>
        <v>0</v>
      </c>
      <c r="G31" s="383">
        <f t="shared" ca="1" si="12"/>
        <v>0</v>
      </c>
      <c r="I31" s="633"/>
    </row>
    <row r="32" spans="1:10" ht="30" customHeight="1" x14ac:dyDescent="0.2">
      <c r="A32" s="49" t="str">
        <f ca="1">INDIRECT("Datos!B"&amp;MATCH("RUBRO ITEM",Datos!B:B,0)+ROW()-MATCH("RUBRO ITEM",A:A,0)-1)</f>
        <v>2.2.2</v>
      </c>
      <c r="B32" s="380" t="str">
        <f t="shared" ca="1" si="5"/>
        <v>Armadura puesta en obra</v>
      </c>
      <c r="C32" s="151" t="str">
        <f t="shared" ca="1" si="6"/>
        <v>KG</v>
      </c>
      <c r="D32" s="381">
        <f ca="1">IFERROR(VLOOKUP(A32,T_Computo_Presupuesto,5,FALSE),"")</f>
        <v>0</v>
      </c>
      <c r="E32" s="382" t="str">
        <f t="shared" ca="1" si="10"/>
        <v/>
      </c>
      <c r="F32" s="383">
        <f t="shared" ca="1" si="11"/>
        <v>0</v>
      </c>
      <c r="G32" s="383">
        <f t="shared" ca="1" si="12"/>
        <v>0</v>
      </c>
      <c r="I32" s="633"/>
    </row>
    <row r="33" spans="1:9" ht="30" customHeight="1" x14ac:dyDescent="0.2">
      <c r="A33" s="49" t="str">
        <f ca="1">INDIRECT("Datos!B"&amp;MATCH("RUBRO ITEM",Datos!B:B,0)+ROW()-MATCH("RUBRO ITEM",A:A,0)-1)</f>
        <v>2.2.3</v>
      </c>
      <c r="B33" s="380" t="str">
        <f t="shared" ca="1" si="5"/>
        <v>Anclajes Químicos</v>
      </c>
      <c r="C33" s="151" t="str">
        <f t="shared" ca="1" si="6"/>
        <v>GL</v>
      </c>
      <c r="D33" s="381">
        <f ca="1">IFERROR(VLOOKUP(A33,T_Computo_Presupuesto,5,FALSE),"")</f>
        <v>0</v>
      </c>
      <c r="E33" s="382" t="str">
        <f t="shared" ca="1" si="10"/>
        <v/>
      </c>
      <c r="F33" s="383">
        <f t="shared" ca="1" si="11"/>
        <v>0</v>
      </c>
      <c r="G33" s="383">
        <f t="shared" ca="1" si="12"/>
        <v>0</v>
      </c>
      <c r="I33" s="633"/>
    </row>
    <row r="34" spans="1:9" ht="30" customHeight="1" x14ac:dyDescent="0.2">
      <c r="A34" s="49" t="str">
        <f ca="1">INDIRECT("Datos!B"&amp;MATCH("RUBRO ITEM",Datos!B:B,0)+ROW()-MATCH("RUBRO ITEM",A:A,0)-1)</f>
        <v>2.2.4</v>
      </c>
      <c r="B34" s="380" t="str">
        <f t="shared" ca="1" si="5"/>
        <v>Puente de Adherencia</v>
      </c>
      <c r="C34" s="151" t="str">
        <f t="shared" ca="1" si="6"/>
        <v>GL</v>
      </c>
      <c r="D34" s="381">
        <f ca="1">IFERROR(VLOOKUP(A34,T_Computo_Presupuesto,5,FALSE),"")</f>
        <v>0</v>
      </c>
      <c r="E34" s="382" t="str">
        <f t="shared" ca="1" si="10"/>
        <v/>
      </c>
      <c r="F34" s="383">
        <f t="shared" ca="1" si="11"/>
        <v>0</v>
      </c>
      <c r="G34" s="383">
        <f t="shared" ca="1" si="12"/>
        <v>0</v>
      </c>
      <c r="I34" s="633"/>
    </row>
    <row r="35" spans="1:9" ht="30" customHeight="1" x14ac:dyDescent="0.2">
      <c r="A35" s="49">
        <f ca="1">INDIRECT("Datos!B"&amp;MATCH("RUBRO ITEM",Datos!B:B,0)+ROW()-MATCH("RUBRO ITEM",A:A,0)-1)</f>
        <v>3</v>
      </c>
      <c r="B35" s="380" t="str">
        <f t="shared" ca="1" si="5"/>
        <v>RECRECIMIENTO C. PASTORIZA-VIDELA</v>
      </c>
      <c r="C35" s="151">
        <f t="shared" ca="1" si="6"/>
        <v>0</v>
      </c>
      <c r="D35" s="381">
        <f ca="1">IFERROR(VLOOKUP(A35,T_Computo_Presupuesto,5,FALSE),"")</f>
        <v>0</v>
      </c>
      <c r="E35" s="382" t="str">
        <f t="shared" ca="1" si="10"/>
        <v/>
      </c>
      <c r="F35" s="383">
        <f t="shared" ca="1" si="11"/>
        <v>0</v>
      </c>
      <c r="G35" s="383">
        <f t="shared" ca="1" si="12"/>
        <v>0</v>
      </c>
      <c r="I35" s="633"/>
    </row>
    <row r="36" spans="1:9" ht="30" customHeight="1" x14ac:dyDescent="0.2">
      <c r="A36" s="49" t="str">
        <f ca="1">INDIRECT("Datos!B"&amp;MATCH("RUBRO ITEM",Datos!B:B,0)+ROW()-MATCH("RUBRO ITEM",A:A,0)-1)</f>
        <v>3.1</v>
      </c>
      <c r="B36" s="380" t="str">
        <f t="shared" ca="1" si="5"/>
        <v>Trabajos Preparatorios</v>
      </c>
      <c r="C36" s="151">
        <f t="shared" ca="1" si="6"/>
        <v>0</v>
      </c>
      <c r="D36" s="381">
        <f ca="1">IFERROR(VLOOKUP(A36,T_Computo_Presupuesto,5,FALSE),"")</f>
        <v>0</v>
      </c>
      <c r="E36" s="382" t="str">
        <f t="shared" ca="1" si="10"/>
        <v/>
      </c>
      <c r="F36" s="383">
        <f t="shared" ca="1" si="11"/>
        <v>0</v>
      </c>
      <c r="G36" s="383">
        <f t="shared" ca="1" si="12"/>
        <v>0</v>
      </c>
      <c r="I36" s="633"/>
    </row>
    <row r="37" spans="1:9" ht="30" customHeight="1" x14ac:dyDescent="0.2">
      <c r="A37" s="49" t="str">
        <f ca="1">INDIRECT("Datos!B"&amp;MATCH("RUBRO ITEM",Datos!B:B,0)+ROW()-MATCH("RUBRO ITEM",A:A,0)-1)</f>
        <v>3.1.1</v>
      </c>
      <c r="B37" s="380" t="str">
        <f t="shared" ca="1" si="5"/>
        <v>Preparación y Limpieza de Superf.</v>
      </c>
      <c r="C37" s="151" t="str">
        <f t="shared" ca="1" si="6"/>
        <v>GL</v>
      </c>
      <c r="D37" s="381">
        <f ca="1">IFERROR(VLOOKUP(A37,T_Computo_Presupuesto,5,FALSE),"")</f>
        <v>0</v>
      </c>
      <c r="E37" s="382" t="str">
        <f t="shared" ca="1" si="10"/>
        <v/>
      </c>
      <c r="F37" s="383">
        <f t="shared" ca="1" si="11"/>
        <v>0</v>
      </c>
      <c r="G37" s="383">
        <f t="shared" ca="1" si="12"/>
        <v>0</v>
      </c>
      <c r="I37" s="633"/>
    </row>
    <row r="38" spans="1:9" ht="30" customHeight="1" x14ac:dyDescent="0.2">
      <c r="A38" s="49" t="str">
        <f ca="1">INDIRECT("Datos!B"&amp;MATCH("RUBRO ITEM",Datos!B:B,0)+ROW()-MATCH("RUBRO ITEM",A:A,0)-1)</f>
        <v>3.1.2</v>
      </c>
      <c r="B38" s="380" t="str">
        <f t="shared" ca="1" si="5"/>
        <v>Replanteo</v>
      </c>
      <c r="C38" s="151" t="str">
        <f t="shared" ca="1" si="6"/>
        <v>GL</v>
      </c>
      <c r="D38" s="381">
        <f ca="1">IFERROR(VLOOKUP(A38,T_Computo_Presupuesto,5,FALSE),"")</f>
        <v>0</v>
      </c>
      <c r="E38" s="382" t="str">
        <f t="shared" ca="1" si="10"/>
        <v/>
      </c>
      <c r="F38" s="383">
        <f t="shared" ca="1" si="11"/>
        <v>0</v>
      </c>
      <c r="G38" s="383">
        <f t="shared" ca="1" si="12"/>
        <v>0</v>
      </c>
      <c r="I38" s="633"/>
    </row>
    <row r="39" spans="1:9" ht="30" customHeight="1" x14ac:dyDescent="0.2">
      <c r="A39" s="49" t="str">
        <f ca="1">INDIRECT("Datos!B"&amp;MATCH("RUBRO ITEM",Datos!B:B,0)+ROW()-MATCH("RUBRO ITEM",A:A,0)-1)</f>
        <v>3.2</v>
      </c>
      <c r="B39" s="380" t="str">
        <f t="shared" ca="1" si="5"/>
        <v>Estructura Resistente Recrecimiento</v>
      </c>
      <c r="C39" s="151">
        <f t="shared" ca="1" si="6"/>
        <v>0</v>
      </c>
      <c r="D39" s="381">
        <f ca="1">IFERROR(VLOOKUP(A39,T_Computo_Presupuesto,5,FALSE),"")</f>
        <v>0</v>
      </c>
      <c r="E39" s="382" t="str">
        <f t="shared" ca="1" si="10"/>
        <v/>
      </c>
      <c r="F39" s="383">
        <f t="shared" ca="1" si="11"/>
        <v>0</v>
      </c>
      <c r="G39" s="383">
        <f t="shared" ca="1" si="12"/>
        <v>0</v>
      </c>
      <c r="I39" s="633"/>
    </row>
    <row r="40" spans="1:9" ht="30" customHeight="1" x14ac:dyDescent="0.2">
      <c r="A40" s="49" t="str">
        <f ca="1">INDIRECT("Datos!B"&amp;MATCH("RUBRO ITEM",Datos!B:B,0)+ROW()-MATCH("RUBRO ITEM",A:A,0)-1)</f>
        <v>3.2.1</v>
      </c>
      <c r="B40" s="380" t="str">
        <f t="shared" ca="1" si="5"/>
        <v xml:space="preserve">Hormigón H-21  </v>
      </c>
      <c r="C40" s="151" t="str">
        <f t="shared" ca="1" si="6"/>
        <v>M3</v>
      </c>
      <c r="D40" s="381">
        <f ca="1">IFERROR(VLOOKUP(A40,T_Computo_Presupuesto,5,FALSE),"")</f>
        <v>0</v>
      </c>
      <c r="E40" s="382" t="str">
        <f t="shared" ca="1" si="10"/>
        <v/>
      </c>
      <c r="F40" s="383">
        <f t="shared" ca="1" si="11"/>
        <v>0</v>
      </c>
      <c r="G40" s="383">
        <f t="shared" ca="1" si="12"/>
        <v>0</v>
      </c>
      <c r="I40" s="633"/>
    </row>
    <row r="41" spans="1:9" ht="30" customHeight="1" x14ac:dyDescent="0.2">
      <c r="A41" s="49" t="str">
        <f ca="1">INDIRECT("Datos!B"&amp;MATCH("RUBRO ITEM",Datos!B:B,0)+ROW()-MATCH("RUBRO ITEM",A:A,0)-1)</f>
        <v>3.2.2</v>
      </c>
      <c r="B41" s="380" t="str">
        <f t="shared" ca="1" si="5"/>
        <v>Armadura puesta en obra</v>
      </c>
      <c r="C41" s="151" t="str">
        <f t="shared" ca="1" si="6"/>
        <v>KG</v>
      </c>
      <c r="D41" s="381">
        <f ca="1">IFERROR(VLOOKUP(A41,T_Computo_Presupuesto,5,FALSE),"")</f>
        <v>0</v>
      </c>
      <c r="E41" s="382" t="str">
        <f t="shared" ca="1" si="10"/>
        <v/>
      </c>
      <c r="F41" s="383">
        <f t="shared" ca="1" si="11"/>
        <v>0</v>
      </c>
      <c r="G41" s="383">
        <f t="shared" ca="1" si="12"/>
        <v>0</v>
      </c>
      <c r="I41" s="633"/>
    </row>
    <row r="42" spans="1:9" ht="30" customHeight="1" x14ac:dyDescent="0.2">
      <c r="A42" s="49" t="str">
        <f ca="1">INDIRECT("Datos!B"&amp;MATCH("RUBRO ITEM",Datos!B:B,0)+ROW()-MATCH("RUBRO ITEM",A:A,0)-1)</f>
        <v>3.2.3</v>
      </c>
      <c r="B42" s="380" t="str">
        <f t="shared" ca="1" si="5"/>
        <v>Anclajes Químicos</v>
      </c>
      <c r="C42" s="151" t="str">
        <f t="shared" ca="1" si="6"/>
        <v>GL</v>
      </c>
      <c r="D42" s="381">
        <f ca="1">IFERROR(VLOOKUP(A42,T_Computo_Presupuesto,5,FALSE),"")</f>
        <v>0</v>
      </c>
      <c r="E42" s="382" t="str">
        <f t="shared" ca="1" si="10"/>
        <v/>
      </c>
      <c r="F42" s="383">
        <f t="shared" ca="1" si="11"/>
        <v>0</v>
      </c>
      <c r="G42" s="383">
        <f t="shared" ca="1" si="12"/>
        <v>0</v>
      </c>
      <c r="I42" s="633"/>
    </row>
    <row r="43" spans="1:9" ht="30" customHeight="1" x14ac:dyDescent="0.2">
      <c r="A43" s="49" t="str">
        <f ca="1">INDIRECT("Datos!B"&amp;MATCH("RUBRO ITEM",Datos!B:B,0)+ROW()-MATCH("RUBRO ITEM",A:A,0)-1)</f>
        <v>3.2.4</v>
      </c>
      <c r="B43" s="380" t="str">
        <f t="shared" ca="1" si="5"/>
        <v>Puente de Adherencia</v>
      </c>
      <c r="C43" s="151" t="str">
        <f t="shared" ca="1" si="6"/>
        <v>GL</v>
      </c>
      <c r="D43" s="381">
        <f ca="1">IFERROR(VLOOKUP(A43,T_Computo_Presupuesto,5,FALSE),"")</f>
        <v>0</v>
      </c>
      <c r="E43" s="382" t="str">
        <f t="shared" ca="1" si="10"/>
        <v/>
      </c>
      <c r="F43" s="383">
        <f t="shared" ca="1" si="11"/>
        <v>0</v>
      </c>
      <c r="G43" s="383">
        <f t="shared" ca="1" si="12"/>
        <v>0</v>
      </c>
      <c r="I43" s="633"/>
    </row>
    <row r="44" spans="1:9" ht="30" customHeight="1" x14ac:dyDescent="0.2">
      <c r="A44" s="49" t="str">
        <f ca="1">INDIRECT("Datos!B"&amp;MATCH("RUBRO ITEM",Datos!B:B,0)+ROW()-MATCH("RUBRO ITEM",A:A,0)-1)</f>
        <v>3.3</v>
      </c>
      <c r="B44" s="380" t="str">
        <f t="shared" ca="1" si="5"/>
        <v>REEMPLAZO DE PAÑOS DE H° C. PASTORIZA-VIDELA</v>
      </c>
      <c r="C44" s="151">
        <f t="shared" ca="1" si="6"/>
        <v>0</v>
      </c>
      <c r="D44" s="381">
        <f ca="1">IFERROR(VLOOKUP(A44,T_Computo_Presupuesto,5,FALSE),"")</f>
        <v>0</v>
      </c>
      <c r="E44" s="382" t="str">
        <f t="shared" ca="1" si="10"/>
        <v/>
      </c>
      <c r="F44" s="383">
        <f t="shared" ca="1" si="11"/>
        <v>0</v>
      </c>
      <c r="G44" s="383">
        <f t="shared" ca="1" si="12"/>
        <v>0</v>
      </c>
      <c r="I44" s="633"/>
    </row>
    <row r="45" spans="1:9" ht="30" customHeight="1" x14ac:dyDescent="0.2">
      <c r="A45" s="49" t="str">
        <f ca="1">INDIRECT("Datos!B"&amp;MATCH("RUBRO ITEM",Datos!B:B,0)+ROW()-MATCH("RUBRO ITEM",A:A,0)-1)</f>
        <v>3.3.1</v>
      </c>
      <c r="B45" s="380" t="str">
        <f t="shared" ca="1" si="5"/>
        <v>Demolicion</v>
      </c>
      <c r="C45" s="151" t="str">
        <f t="shared" ca="1" si="6"/>
        <v>M3</v>
      </c>
      <c r="D45" s="381">
        <f ca="1">IFERROR(VLOOKUP(A45,T_Computo_Presupuesto,5,FALSE),"")</f>
        <v>0</v>
      </c>
      <c r="E45" s="382" t="str">
        <f t="shared" ca="1" si="10"/>
        <v/>
      </c>
      <c r="F45" s="383">
        <f t="shared" ca="1" si="11"/>
        <v>0</v>
      </c>
      <c r="G45" s="383">
        <f t="shared" ca="1" si="12"/>
        <v>0</v>
      </c>
      <c r="I45" s="633"/>
    </row>
    <row r="46" spans="1:9" ht="30" customHeight="1" x14ac:dyDescent="0.2">
      <c r="A46" s="49" t="str">
        <f ca="1">INDIRECT("Datos!B"&amp;MATCH("RUBRO ITEM",Datos!B:B,0)+ROW()-MATCH("RUBRO ITEM",A:A,0)-1)</f>
        <v>3.3.2</v>
      </c>
      <c r="B46" s="380" t="str">
        <f t="shared" ca="1" si="5"/>
        <v>Relleno y Compactacion</v>
      </c>
      <c r="C46" s="151" t="str">
        <f t="shared" ca="1" si="6"/>
        <v>M3</v>
      </c>
      <c r="D46" s="381">
        <f ca="1">IFERROR(VLOOKUP(A46,T_Computo_Presupuesto,5,FALSE),"")</f>
        <v>0</v>
      </c>
      <c r="E46" s="382" t="str">
        <f t="shared" ca="1" si="10"/>
        <v/>
      </c>
      <c r="F46" s="383">
        <f t="shared" ca="1" si="11"/>
        <v>0</v>
      </c>
      <c r="G46" s="383">
        <f t="shared" ca="1" si="12"/>
        <v>0</v>
      </c>
      <c r="I46" s="633"/>
    </row>
    <row r="47" spans="1:9" ht="30" customHeight="1" x14ac:dyDescent="0.2">
      <c r="A47" s="49" t="str">
        <f ca="1">INDIRECT("Datos!B"&amp;MATCH("RUBRO ITEM",Datos!B:B,0)+ROW()-MATCH("RUBRO ITEM",A:A,0)-1)</f>
        <v>3.3.3</v>
      </c>
      <c r="B47" s="380" t="str">
        <f t="shared" ca="1" si="5"/>
        <v xml:space="preserve">Hormigón H-21  </v>
      </c>
      <c r="C47" s="151" t="str">
        <f t="shared" ca="1" si="6"/>
        <v>M3</v>
      </c>
      <c r="D47" s="381">
        <f ca="1">IFERROR(VLOOKUP(A47,T_Computo_Presupuesto,5,FALSE),"")</f>
        <v>0</v>
      </c>
      <c r="E47" s="382" t="str">
        <f t="shared" ca="1" si="10"/>
        <v/>
      </c>
      <c r="F47" s="383">
        <f t="shared" ca="1" si="11"/>
        <v>0</v>
      </c>
      <c r="G47" s="383">
        <f t="shared" ca="1" si="12"/>
        <v>0</v>
      </c>
      <c r="I47" s="633"/>
    </row>
    <row r="48" spans="1:9" ht="30" customHeight="1" x14ac:dyDescent="0.2">
      <c r="A48" s="49" t="str">
        <f ca="1">INDIRECT("Datos!B"&amp;MATCH("RUBRO ITEM",Datos!B:B,0)+ROW()-MATCH("RUBRO ITEM",A:A,0)-1)</f>
        <v>3.3.4</v>
      </c>
      <c r="B48" s="380" t="str">
        <f t="shared" ca="1" si="5"/>
        <v>Armadura puesta en obra</v>
      </c>
      <c r="C48" s="151" t="str">
        <f t="shared" ca="1" si="6"/>
        <v>KG</v>
      </c>
      <c r="D48" s="381">
        <f ca="1">IFERROR(VLOOKUP(A48,T_Computo_Presupuesto,5,FALSE),"")</f>
        <v>0</v>
      </c>
      <c r="E48" s="382" t="str">
        <f t="shared" ca="1" si="10"/>
        <v/>
      </c>
      <c r="F48" s="383">
        <f t="shared" ca="1" si="11"/>
        <v>0</v>
      </c>
      <c r="G48" s="383">
        <f t="shared" ca="1" si="12"/>
        <v>0</v>
      </c>
      <c r="I48" s="633"/>
    </row>
    <row r="49" spans="1:9" ht="30" customHeight="1" x14ac:dyDescent="0.2">
      <c r="A49" s="49" t="str">
        <f ca="1">INDIRECT("Datos!B"&amp;MATCH("RUBRO ITEM",Datos!B:B,0)+ROW()-MATCH("RUBRO ITEM",A:A,0)-1)</f>
        <v>3.3.5</v>
      </c>
      <c r="B49" s="380" t="str">
        <f t="shared" ca="1" si="5"/>
        <v>Puente de Adherencia</v>
      </c>
      <c r="C49" s="151" t="str">
        <f t="shared" ca="1" si="6"/>
        <v>GL</v>
      </c>
      <c r="D49" s="381">
        <f ca="1">IFERROR(VLOOKUP(A49,T_Computo_Presupuesto,5,FALSE),"")</f>
        <v>0</v>
      </c>
      <c r="E49" s="382" t="str">
        <f t="shared" ca="1" si="10"/>
        <v/>
      </c>
      <c r="F49" s="383">
        <f t="shared" ca="1" si="11"/>
        <v>0</v>
      </c>
      <c r="G49" s="383">
        <f t="shared" ca="1" si="12"/>
        <v>0</v>
      </c>
      <c r="I49" s="633"/>
    </row>
    <row r="50" spans="1:9" ht="30" customHeight="1" x14ac:dyDescent="0.2">
      <c r="A50" s="49" t="str">
        <f ca="1">INDIRECT("Datos!B"&amp;MATCH("RUBRO ITEM",Datos!B:B,0)+ROW()-MATCH("RUBRO ITEM",A:A,0)-1)</f>
        <v>3.3.6</v>
      </c>
      <c r="B50" s="380" t="str">
        <f t="shared" ca="1" si="5"/>
        <v>Juntas de Construccion y Dilatacion</v>
      </c>
      <c r="C50" s="151" t="str">
        <f t="shared" ca="1" si="6"/>
        <v>ML</v>
      </c>
      <c r="D50" s="381">
        <f ca="1">IFERROR(VLOOKUP(A50,T_Computo_Presupuesto,5,FALSE),"")</f>
        <v>0</v>
      </c>
      <c r="E50" s="382" t="str">
        <f t="shared" ca="1" si="10"/>
        <v/>
      </c>
      <c r="F50" s="383">
        <f t="shared" ca="1" si="11"/>
        <v>0</v>
      </c>
      <c r="G50" s="383">
        <f t="shared" ca="1" si="12"/>
        <v>0</v>
      </c>
      <c r="I50" s="633"/>
    </row>
    <row r="51" spans="1:9" ht="19.5" customHeight="1" x14ac:dyDescent="0.2">
      <c r="A51" s="386"/>
      <c r="B51" s="670" t="s">
        <v>967</v>
      </c>
      <c r="C51" s="670"/>
      <c r="D51" s="670"/>
      <c r="E51" s="670"/>
      <c r="F51" s="387"/>
      <c r="G51" s="152">
        <f ca="1">ROUND(SUM(G16:G50),2)</f>
        <v>0</v>
      </c>
    </row>
    <row r="52" spans="1:9" ht="19.5" customHeight="1" x14ac:dyDescent="0.2">
      <c r="A52" s="153" t="s">
        <v>3</v>
      </c>
      <c r="F52" s="154"/>
    </row>
    <row r="53" spans="1:9" ht="37.5" customHeight="1" x14ac:dyDescent="0.2">
      <c r="A53" s="673" t="str">
        <f ca="1">IF(Monto_Oferta=0,"IMPORTA LA PRESENTE PROPUESTA EN LA SUMA DE: _____________________","IMPORTA LA PRESENTE PROPUESTA EN LA SUMA DE: "&amp;CONVERTIRNUM(Monto_Oferta))</f>
        <v>IMPORTA LA PRESENTE PROPUESTA EN LA SUMA DE: _____________________</v>
      </c>
      <c r="B53" s="673"/>
      <c r="C53" s="673"/>
      <c r="D53" s="673"/>
      <c r="E53" s="673"/>
      <c r="F53" s="673"/>
      <c r="G53" s="673"/>
    </row>
    <row r="54" spans="1:9" ht="19.5" customHeight="1" x14ac:dyDescent="0.2">
      <c r="A54" s="155"/>
    </row>
    <row r="55" spans="1:9" ht="19.5" customHeight="1" x14ac:dyDescent="0.2">
      <c r="B55" s="671" t="s">
        <v>972</v>
      </c>
      <c r="C55" s="671"/>
      <c r="D55" s="671"/>
      <c r="E55" s="671"/>
      <c r="F55" s="671"/>
      <c r="G55" s="671"/>
    </row>
    <row r="56" spans="1:9" ht="19.5" customHeight="1" x14ac:dyDescent="0.2">
      <c r="B56" s="671" t="s">
        <v>968</v>
      </c>
      <c r="C56" s="671"/>
      <c r="D56" s="671"/>
      <c r="E56" s="671"/>
      <c r="F56" s="671"/>
      <c r="G56" s="671"/>
    </row>
    <row r="57" spans="1:9" ht="19.5" customHeight="1" x14ac:dyDescent="0.2">
      <c r="B57" s="413"/>
      <c r="C57" s="413"/>
      <c r="D57" s="413"/>
      <c r="E57" s="413"/>
      <c r="F57" s="413"/>
      <c r="G57" s="413"/>
    </row>
    <row r="58" spans="1:9" ht="19.5" customHeight="1" x14ac:dyDescent="0.2">
      <c r="B58" s="413"/>
      <c r="C58" s="413"/>
      <c r="D58" s="413"/>
      <c r="E58" s="413"/>
      <c r="F58" s="413"/>
      <c r="G58" s="413"/>
    </row>
    <row r="59" spans="1:9" ht="19.5" customHeight="1" x14ac:dyDescent="0.2">
      <c r="B59" s="384" t="str">
        <f>"ACLARACIÓN DE LAS FIRMAS SIN ABREVIATURAS:                                               "&amp;Contratista_Firma1&amp;"                                                               "&amp;Contratista_Firma2</f>
        <v xml:space="preserve">ACLARACIÓN DE LAS FIRMAS SIN ABREVIATURAS:                                                                                                              </v>
      </c>
      <c r="C59" s="384"/>
      <c r="D59" s="385"/>
      <c r="E59" s="384"/>
      <c r="F59" s="385"/>
      <c r="G59" s="384"/>
    </row>
    <row r="60" spans="1:9" ht="19.5" customHeight="1" x14ac:dyDescent="0.2">
      <c r="D60" s="156">
        <v>0</v>
      </c>
      <c r="F60" s="156">
        <v>0</v>
      </c>
    </row>
    <row r="64" spans="1:9" ht="19.5" customHeight="1" x14ac:dyDescent="0.2">
      <c r="A64" s="15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65" spans="1:1" ht="19.5" customHeight="1" x14ac:dyDescent="0.2">
      <c r="A65" s="157" t="s">
        <v>971</v>
      </c>
    </row>
    <row r="66" spans="1:1" ht="19.5" customHeight="1" x14ac:dyDescent="0.2">
      <c r="A66" s="157" t="s">
        <v>970</v>
      </c>
    </row>
  </sheetData>
  <sheetProtection formatCells="0" selectLockedCells="1"/>
  <mergeCells count="17">
    <mergeCell ref="B51:E51"/>
    <mergeCell ref="B55:G55"/>
    <mergeCell ref="B56:G56"/>
    <mergeCell ref="B11:G11"/>
    <mergeCell ref="G13:G14"/>
    <mergeCell ref="A53:G53"/>
    <mergeCell ref="A1:G1"/>
    <mergeCell ref="A13:A14"/>
    <mergeCell ref="B13:B14"/>
    <mergeCell ref="C13:C14"/>
    <mergeCell ref="D13:D14"/>
    <mergeCell ref="E13:F13"/>
    <mergeCell ref="A2:G2"/>
    <mergeCell ref="A3:G3"/>
    <mergeCell ref="A4:G4"/>
    <mergeCell ref="A5:G5"/>
    <mergeCell ref="A6:G6"/>
  </mergeCells>
  <conditionalFormatting sqref="A16:A52">
    <cfRule type="expression" dxfId="132" priority="28" stopIfTrue="1">
      <formula>#REF!&gt;0</formula>
    </cfRule>
    <cfRule type="expression" dxfId="131" priority="29" stopIfTrue="1">
      <formula>#REF!&gt;0</formula>
    </cfRule>
    <cfRule type="expression" dxfId="130" priority="30" stopIfTrue="1">
      <formula>#REF!&gt;0</formula>
    </cfRule>
  </conditionalFormatting>
  <conditionalFormatting sqref="B16:B50">
    <cfRule type="expression" dxfId="129" priority="1" stopIfTrue="1">
      <formula>#REF!&gt;0</formula>
    </cfRule>
    <cfRule type="expression" dxfId="128" priority="2" stopIfTrue="1">
      <formula>#REF!&gt;0</formula>
    </cfRule>
    <cfRule type="expression" dxfId="12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N66"/>
  <sheetViews>
    <sheetView showGridLines="0" showZeros="0" view="pageBreakPreview" topLeftCell="A37" zoomScale="80" zoomScaleNormal="90" zoomScaleSheetLayoutView="80" workbookViewId="0">
      <selection activeCell="L15" sqref="L15"/>
    </sheetView>
  </sheetViews>
  <sheetFormatPr baseColWidth="10" defaultColWidth="11.42578125" defaultRowHeight="12.75" x14ac:dyDescent="0.2"/>
  <cols>
    <col min="1" max="1" width="8.7109375" style="102" customWidth="1"/>
    <col min="2" max="3" width="30.7109375" style="102" customWidth="1"/>
    <col min="4" max="4" width="6.7109375" style="102" customWidth="1"/>
    <col min="5" max="5" width="15.28515625" style="102" customWidth="1"/>
    <col min="6" max="7" width="17.7109375" style="102" customWidth="1"/>
    <col min="8" max="8" width="22.7109375" style="102" customWidth="1"/>
    <col min="9" max="9" width="14.7109375" style="102" customWidth="1"/>
    <col min="10" max="10" width="6.42578125" style="102" customWidth="1"/>
    <col min="11" max="12" width="14.5703125" style="102" bestFit="1" customWidth="1"/>
    <col min="13" max="16384" width="11.42578125" style="102"/>
  </cols>
  <sheetData>
    <row r="1" spans="1:9" ht="20.100000000000001" customHeight="1" x14ac:dyDescent="0.2">
      <c r="A1" s="101" t="s">
        <v>8</v>
      </c>
      <c r="B1" s="101"/>
      <c r="C1" s="101" t="str">
        <f>Comitente</f>
        <v>DEPARTAMENTO DE HIDRÁULICA</v>
      </c>
      <c r="D1" s="101"/>
      <c r="E1" s="101"/>
      <c r="F1" s="101"/>
      <c r="G1" s="101"/>
      <c r="I1" s="103"/>
    </row>
    <row r="2" spans="1:9" s="75" customFormat="1" ht="20.100000000000001" customHeight="1" x14ac:dyDescent="0.2">
      <c r="A2" s="104" t="s">
        <v>9</v>
      </c>
      <c r="B2" s="104"/>
      <c r="C2" s="101" t="str">
        <f>Obra</f>
        <v>RECRECIMIENTO Y REPARACIÓN CANALES SARMIENTO, 9 DE JULIO Y CHIMBAS</v>
      </c>
      <c r="D2" s="105"/>
      <c r="E2" s="105"/>
      <c r="F2" s="105"/>
      <c r="G2" s="105"/>
      <c r="I2" s="105"/>
    </row>
    <row r="3" spans="1:9" s="75" customFormat="1" ht="20.100000000000001" customHeight="1" x14ac:dyDescent="0.2">
      <c r="A3" s="104" t="s">
        <v>13</v>
      </c>
      <c r="B3" s="104"/>
      <c r="C3" s="101" t="str">
        <f>Ubicación</f>
        <v>DEPARTAMENTOS SARMIENTO, 9 DE JULIO Y CHIMBAS</v>
      </c>
      <c r="D3" s="106"/>
      <c r="E3" s="106"/>
      <c r="F3" s="106"/>
      <c r="G3" s="106"/>
      <c r="I3" s="106"/>
    </row>
    <row r="4" spans="1:9" s="75" customFormat="1" ht="20.100000000000001" customHeight="1" x14ac:dyDescent="0.2">
      <c r="A4" s="104" t="s">
        <v>12</v>
      </c>
      <c r="B4" s="107"/>
      <c r="C4" s="108" t="str">
        <f>Licitación_N°</f>
        <v>____/23</v>
      </c>
    </row>
    <row r="5" spans="1:9" s="75" customFormat="1" ht="20.100000000000001" customHeight="1" x14ac:dyDescent="0.2">
      <c r="A5" s="104" t="s">
        <v>30</v>
      </c>
      <c r="B5" s="107"/>
      <c r="C5" s="109" t="str">
        <f>Expediente_N°</f>
        <v>506-000001-2023</v>
      </c>
    </row>
    <row r="6" spans="1:9" s="75" customFormat="1" ht="20.100000000000001" customHeight="1" x14ac:dyDescent="0.2">
      <c r="A6" s="104" t="s">
        <v>15</v>
      </c>
      <c r="B6" s="107"/>
      <c r="C6" s="110">
        <f>P_Oficial</f>
        <v>58878000</v>
      </c>
    </row>
    <row r="7" spans="1:9" s="75" customFormat="1" ht="20.100000000000001" customHeight="1" x14ac:dyDescent="0.2">
      <c r="A7" s="104" t="s">
        <v>892</v>
      </c>
      <c r="B7" s="107"/>
      <c r="C7" s="111">
        <f>Anticipo_Financiero</f>
        <v>0.3</v>
      </c>
      <c r="F7" s="75" t="e">
        <f ca="1">INDIRECT("Datos!"&amp;MATCH("RUBRO ITEM",Datos!C:C,0)+2)</f>
        <v>#N/A</v>
      </c>
    </row>
    <row r="8" spans="1:9" s="75" customFormat="1" ht="20.100000000000001" customHeight="1" x14ac:dyDescent="0.2">
      <c r="A8" s="104" t="s">
        <v>891</v>
      </c>
      <c r="B8" s="107"/>
      <c r="C8" s="112">
        <f>Fecha_Base</f>
        <v>0</v>
      </c>
    </row>
    <row r="9" spans="1:9" s="75" customFormat="1" ht="20.100000000000001" customHeight="1" x14ac:dyDescent="0.2">
      <c r="A9" s="104" t="s">
        <v>14</v>
      </c>
      <c r="B9" s="107"/>
      <c r="C9" s="113">
        <f>Plazo_Obra</f>
        <v>60</v>
      </c>
    </row>
    <row r="10" spans="1:9" s="75" customFormat="1" ht="20.100000000000001" customHeight="1" x14ac:dyDescent="0.2">
      <c r="A10" s="104" t="s">
        <v>10</v>
      </c>
      <c r="B10" s="107"/>
      <c r="C10" s="104">
        <f>Contratista</f>
        <v>0</v>
      </c>
      <c r="F10" s="75" t="e">
        <f>MATCH("RUBRO ITEM",Datos!C:C,0)</f>
        <v>#N/A</v>
      </c>
    </row>
    <row r="11" spans="1:9" s="75" customFormat="1" ht="20.100000000000001" customHeight="1" x14ac:dyDescent="0.2">
      <c r="A11" s="104" t="s">
        <v>41</v>
      </c>
      <c r="B11" s="107"/>
      <c r="C11" s="114">
        <f ca="1">Monto_Oferta</f>
        <v>0</v>
      </c>
    </row>
    <row r="12" spans="1:9" ht="20.100000000000001" customHeight="1" x14ac:dyDescent="0.2"/>
    <row r="13" spans="1:9" ht="20.100000000000001" customHeight="1" x14ac:dyDescent="0.2">
      <c r="A13" s="115" t="s">
        <v>40</v>
      </c>
      <c r="B13" s="116"/>
      <c r="C13" s="116"/>
      <c r="D13" s="116"/>
      <c r="E13" s="116"/>
      <c r="F13" s="116"/>
      <c r="G13" s="116"/>
      <c r="H13" s="117"/>
      <c r="I13" s="118"/>
    </row>
    <row r="14" spans="1:9" ht="20.100000000000001" customHeight="1" x14ac:dyDescent="0.2"/>
    <row r="15" spans="1:9" ht="42.75" customHeight="1" x14ac:dyDescent="0.2">
      <c r="A15" s="432" t="s">
        <v>893</v>
      </c>
      <c r="B15" s="674" t="s">
        <v>0</v>
      </c>
      <c r="C15" s="675"/>
      <c r="D15" s="432" t="s">
        <v>1</v>
      </c>
      <c r="E15" s="432" t="s">
        <v>2</v>
      </c>
      <c r="F15" s="430" t="s">
        <v>936</v>
      </c>
      <c r="G15" s="430" t="s">
        <v>937</v>
      </c>
      <c r="H15" s="430" t="s">
        <v>915</v>
      </c>
      <c r="I15" s="430" t="s">
        <v>11</v>
      </c>
    </row>
    <row r="16" spans="1:9" ht="20.100000000000001" customHeight="1" x14ac:dyDescent="0.2">
      <c r="A16" s="62"/>
      <c r="B16" s="421"/>
      <c r="C16" s="421"/>
      <c r="D16" s="62"/>
      <c r="E16" s="62"/>
      <c r="F16" s="421"/>
      <c r="G16" s="421"/>
      <c r="H16" s="65"/>
      <c r="I16" s="119"/>
    </row>
    <row r="17" spans="1:14" ht="20.100000000000001" customHeight="1" x14ac:dyDescent="0.2">
      <c r="A17" s="100">
        <f ca="1">INDIRECT("Datos!B"&amp;MATCH("RUBRO ITEM",Datos!B:B,0)+ROW()-MATCH("RUBRO ITEM",A:A,0))</f>
        <v>1</v>
      </c>
      <c r="B17" s="63" t="str">
        <f t="shared" ref="B17:B29" ca="1" si="0">IFERROR(VLOOKUP(A17,T_Datos,2,FALSE),"")</f>
        <v>DPTO. SARMIENTO - CANAL PRIMERO DE COCHAGUAL</v>
      </c>
      <c r="C17" s="120"/>
      <c r="D17" s="121">
        <f t="shared" ref="D17:D29" ca="1" si="1">IFERROR(VLOOKUP(A17,T_Datos,3,FALSE),"")</f>
        <v>0</v>
      </c>
      <c r="E17" s="122">
        <f t="shared" ref="E17:E28" ca="1" si="2">IFERROR(VLOOKUP(A17,T_Datos,4,FALSE),0)</f>
        <v>0</v>
      </c>
      <c r="F17" s="123">
        <f t="shared" ref="F17" ca="1" si="3">IFERROR(VLOOKUP(A17,T_Analisis_Precios,7,FALSE),0)</f>
        <v>0</v>
      </c>
      <c r="G17" s="508"/>
      <c r="H17" s="508">
        <f ca="1">ROUND(E17*G17,2)</f>
        <v>0</v>
      </c>
      <c r="I17" s="124">
        <f t="shared" ref="I17" ca="1" si="4">IFERROR(H17/Monto_Oferta,0)</f>
        <v>0</v>
      </c>
    </row>
    <row r="18" spans="1:14" ht="20.100000000000001" customHeight="1" x14ac:dyDescent="0.2">
      <c r="A18" s="100" t="str">
        <f ca="1">INDIRECT("Datos!B"&amp;MATCH("RUBRO ITEM",Datos!B:B,0)+ROW()-MATCH("RUBRO ITEM",A:A,0))</f>
        <v>1.1</v>
      </c>
      <c r="B18" s="63" t="str">
        <f t="shared" ca="1" si="0"/>
        <v>TRABAJOS PREPARATORIOS</v>
      </c>
      <c r="C18" s="120"/>
      <c r="D18" s="121">
        <f t="shared" ca="1" si="1"/>
        <v>0</v>
      </c>
      <c r="E18" s="122">
        <f t="shared" ca="1" si="2"/>
        <v>0</v>
      </c>
      <c r="F18" s="123">
        <f t="shared" ref="F18:F29" ca="1" si="5">IFERROR(VLOOKUP(A18,T_Analisis_Precios,7,FALSE),0)</f>
        <v>0</v>
      </c>
      <c r="G18" s="508">
        <f t="shared" ref="G18:G29" ca="1" si="6">ROUND(F18*Coeficiente_Paso,2)</f>
        <v>0</v>
      </c>
      <c r="H18" s="508">
        <f t="shared" ref="H18:H29" ca="1" si="7">ROUND(E18*G18,2)</f>
        <v>0</v>
      </c>
      <c r="I18" s="124">
        <f t="shared" ref="I18:I29" ca="1" si="8">IFERROR(H18/Monto_Oferta,0)</f>
        <v>0</v>
      </c>
    </row>
    <row r="19" spans="1:14" ht="20.100000000000001" customHeight="1" x14ac:dyDescent="0.2">
      <c r="A19" s="100" t="str">
        <f ca="1">INDIRECT("Datos!B"&amp;MATCH("RUBRO ITEM",Datos!B:B,0)+ROW()-MATCH("RUBRO ITEM",A:A,0))</f>
        <v>1.1.1</v>
      </c>
      <c r="B19" s="63" t="str">
        <f t="shared" ca="1" si="0"/>
        <v>Preparación y Limpieza de Superf.</v>
      </c>
      <c r="C19" s="120"/>
      <c r="D19" s="121" t="str">
        <f t="shared" ca="1" si="1"/>
        <v>GL</v>
      </c>
      <c r="E19" s="122">
        <f ca="1">IFERROR(VLOOKUP(A19,T_Datos,4,FALSE),0)</f>
        <v>0</v>
      </c>
      <c r="F19" s="123">
        <f ca="1">IFERROR(VLOOKUP(A19,T_Analisis_Precios,7,FALSE),0)</f>
        <v>0</v>
      </c>
      <c r="G19" s="508">
        <f ca="1">ROUND(F19*Coeficiente_Paso,2)</f>
        <v>0</v>
      </c>
      <c r="H19" s="508">
        <f t="shared" ca="1" si="7"/>
        <v>0</v>
      </c>
      <c r="I19" s="124">
        <f t="shared" ca="1" si="8"/>
        <v>0</v>
      </c>
      <c r="K19" s="638"/>
      <c r="L19" s="628"/>
      <c r="N19" s="628"/>
    </row>
    <row r="20" spans="1:14" ht="20.100000000000001" customHeight="1" x14ac:dyDescent="0.2">
      <c r="A20" s="100" t="str">
        <f ca="1">INDIRECT("Datos!B"&amp;MATCH("RUBRO ITEM",Datos!B:B,0)+ROW()-MATCH("RUBRO ITEM",A:A,0))</f>
        <v>1.1.2</v>
      </c>
      <c r="B20" s="63" t="str">
        <f t="shared" ca="1" si="0"/>
        <v>Replanteo</v>
      </c>
      <c r="C20" s="120"/>
      <c r="D20" s="121" t="str">
        <f t="shared" ca="1" si="1"/>
        <v>GL</v>
      </c>
      <c r="E20" s="122">
        <f t="shared" ca="1" si="2"/>
        <v>0</v>
      </c>
      <c r="F20" s="123">
        <f t="shared" ca="1" si="5"/>
        <v>0</v>
      </c>
      <c r="G20" s="508">
        <f t="shared" ca="1" si="6"/>
        <v>0</v>
      </c>
      <c r="H20" s="508">
        <f t="shared" ca="1" si="7"/>
        <v>0</v>
      </c>
      <c r="I20" s="124">
        <f t="shared" ca="1" si="8"/>
        <v>0</v>
      </c>
      <c r="K20" s="638"/>
    </row>
    <row r="21" spans="1:14" ht="20.100000000000001" customHeight="1" x14ac:dyDescent="0.2">
      <c r="A21" s="100" t="str">
        <f ca="1">INDIRECT("Datos!B"&amp;MATCH("RUBRO ITEM",Datos!B:B,0)+ROW()-MATCH("RUBRO ITEM",A:A,0))</f>
        <v>1.2</v>
      </c>
      <c r="B21" s="63" t="str">
        <f t="shared" ca="1" si="0"/>
        <v>ESTRUCTURA RESISTENTE</v>
      </c>
      <c r="C21" s="120"/>
      <c r="D21" s="121">
        <f t="shared" ca="1" si="1"/>
        <v>0</v>
      </c>
      <c r="E21" s="122">
        <f t="shared" ca="1" si="2"/>
        <v>0</v>
      </c>
      <c r="F21" s="123">
        <f t="shared" ca="1" si="5"/>
        <v>0</v>
      </c>
      <c r="G21" s="508">
        <f t="shared" ca="1" si="6"/>
        <v>0</v>
      </c>
      <c r="H21" s="508">
        <f t="shared" ca="1" si="7"/>
        <v>0</v>
      </c>
      <c r="I21" s="124">
        <f t="shared" ca="1" si="8"/>
        <v>0</v>
      </c>
      <c r="K21" s="638"/>
    </row>
    <row r="22" spans="1:14" ht="20.100000000000001" customHeight="1" x14ac:dyDescent="0.2">
      <c r="A22" s="100" t="str">
        <f ca="1">INDIRECT("Datos!B"&amp;MATCH("RUBRO ITEM",Datos!B:B,0)+ROW()-MATCH("RUBRO ITEM",A:A,0))</f>
        <v>1.2.1</v>
      </c>
      <c r="B22" s="63" t="str">
        <f t="shared" ca="1" si="0"/>
        <v xml:space="preserve">Hormigón H-21  </v>
      </c>
      <c r="C22" s="120"/>
      <c r="D22" s="121" t="str">
        <f t="shared" ca="1" si="1"/>
        <v>M3</v>
      </c>
      <c r="E22" s="122">
        <f t="shared" ca="1" si="2"/>
        <v>0</v>
      </c>
      <c r="F22" s="123">
        <f t="shared" ca="1" si="5"/>
        <v>0</v>
      </c>
      <c r="G22" s="508">
        <f t="shared" ca="1" si="6"/>
        <v>0</v>
      </c>
      <c r="H22" s="508">
        <f t="shared" ca="1" si="7"/>
        <v>0</v>
      </c>
      <c r="I22" s="124">
        <f t="shared" ca="1" si="8"/>
        <v>0</v>
      </c>
      <c r="K22" s="638"/>
    </row>
    <row r="23" spans="1:14" ht="20.100000000000001" customHeight="1" x14ac:dyDescent="0.2">
      <c r="A23" s="100" t="str">
        <f ca="1">INDIRECT("Datos!B"&amp;MATCH("RUBRO ITEM",Datos!B:B,0)+ROW()-MATCH("RUBRO ITEM",A:A,0))</f>
        <v>1.2.2</v>
      </c>
      <c r="B23" s="63" t="str">
        <f t="shared" ca="1" si="0"/>
        <v>Armadura puesta en obra</v>
      </c>
      <c r="C23" s="120"/>
      <c r="D23" s="121" t="str">
        <f t="shared" ca="1" si="1"/>
        <v>KG</v>
      </c>
      <c r="E23" s="122">
        <f t="shared" ca="1" si="2"/>
        <v>0</v>
      </c>
      <c r="F23" s="123">
        <f t="shared" ca="1" si="5"/>
        <v>0</v>
      </c>
      <c r="G23" s="508">
        <f t="shared" ca="1" si="6"/>
        <v>0</v>
      </c>
      <c r="H23" s="508">
        <f t="shared" ca="1" si="7"/>
        <v>0</v>
      </c>
      <c r="I23" s="124">
        <f t="shared" ca="1" si="8"/>
        <v>0</v>
      </c>
      <c r="K23" s="638"/>
    </row>
    <row r="24" spans="1:14" ht="20.100000000000001" customHeight="1" x14ac:dyDescent="0.2">
      <c r="A24" s="100" t="str">
        <f ca="1">INDIRECT("Datos!B"&amp;MATCH("RUBRO ITEM",Datos!B:B,0)+ROW()-MATCH("RUBRO ITEM",A:A,0))</f>
        <v>1.2.3</v>
      </c>
      <c r="B24" s="63" t="str">
        <f t="shared" ca="1" si="0"/>
        <v>Anclajes Químicos</v>
      </c>
      <c r="C24" s="120"/>
      <c r="D24" s="121" t="str">
        <f t="shared" ca="1" si="1"/>
        <v>GL</v>
      </c>
      <c r="E24" s="122">
        <f ca="1">IFERROR(VLOOKUP(A24,T_Datos,4,FALSE),0)</f>
        <v>0</v>
      </c>
      <c r="F24" s="123">
        <f t="shared" ca="1" si="5"/>
        <v>0</v>
      </c>
      <c r="G24" s="508">
        <f t="shared" ca="1" si="6"/>
        <v>0</v>
      </c>
      <c r="H24" s="508">
        <f t="shared" ca="1" si="7"/>
        <v>0</v>
      </c>
      <c r="I24" s="124">
        <f t="shared" ca="1" si="8"/>
        <v>0</v>
      </c>
      <c r="K24" s="638"/>
      <c r="L24" s="628"/>
      <c r="N24" s="628"/>
    </row>
    <row r="25" spans="1:14" ht="20.100000000000001" customHeight="1" x14ac:dyDescent="0.2">
      <c r="A25" s="100" t="str">
        <f ca="1">INDIRECT("Datos!B"&amp;MATCH("RUBRO ITEM",Datos!B:B,0)+ROW()-MATCH("RUBRO ITEM",A:A,0))</f>
        <v>1.2.4</v>
      </c>
      <c r="B25" s="63" t="str">
        <f t="shared" ca="1" si="0"/>
        <v>Puente de Adherencia</v>
      </c>
      <c r="C25" s="120"/>
      <c r="D25" s="121" t="str">
        <f t="shared" ca="1" si="1"/>
        <v>GL</v>
      </c>
      <c r="E25" s="122">
        <f t="shared" ca="1" si="2"/>
        <v>0</v>
      </c>
      <c r="F25" s="123">
        <f t="shared" ca="1" si="5"/>
        <v>0</v>
      </c>
      <c r="G25" s="508">
        <f t="shared" ca="1" si="6"/>
        <v>0</v>
      </c>
      <c r="H25" s="508">
        <f t="shared" ca="1" si="7"/>
        <v>0</v>
      </c>
      <c r="I25" s="124">
        <f t="shared" ca="1" si="8"/>
        <v>0</v>
      </c>
      <c r="K25" s="638"/>
    </row>
    <row r="26" spans="1:14" ht="20.100000000000001" customHeight="1" x14ac:dyDescent="0.2">
      <c r="A26" s="100" t="str">
        <f ca="1">INDIRECT("Datos!B"&amp;MATCH("RUBRO ITEM",Datos!B:B,0)+ROW()-MATCH("RUBRO ITEM",A:A,0))</f>
        <v>1.2.5</v>
      </c>
      <c r="B26" s="63" t="str">
        <f t="shared" ca="1" si="0"/>
        <v>Juntas de Contracción y dilatación</v>
      </c>
      <c r="C26" s="120"/>
      <c r="D26" s="121" t="str">
        <f t="shared" ca="1" si="1"/>
        <v>ML</v>
      </c>
      <c r="E26" s="122">
        <f t="shared" ca="1" si="2"/>
        <v>0</v>
      </c>
      <c r="F26" s="123">
        <f t="shared" ca="1" si="5"/>
        <v>0</v>
      </c>
      <c r="G26" s="508">
        <f t="shared" ca="1" si="6"/>
        <v>0</v>
      </c>
      <c r="H26" s="508">
        <f t="shared" ca="1" si="7"/>
        <v>0</v>
      </c>
      <c r="I26" s="124">
        <f t="shared" ca="1" si="8"/>
        <v>0</v>
      </c>
      <c r="K26" s="638"/>
    </row>
    <row r="27" spans="1:14" ht="20.100000000000001" customHeight="1" x14ac:dyDescent="0.2">
      <c r="A27" s="100">
        <f ca="1">INDIRECT("Datos!B"&amp;MATCH("RUBRO ITEM",Datos!B:B,0)+ROW()-MATCH("RUBRO ITEM",A:A,0))</f>
        <v>2</v>
      </c>
      <c r="B27" s="63" t="str">
        <f t="shared" ca="1" si="0"/>
        <v>DPTO. 9 DE JULIO (R. BALMACEDA y R. ZUNGRY ALDAY)</v>
      </c>
      <c r="C27" s="120"/>
      <c r="D27" s="121">
        <f t="shared" ca="1" si="1"/>
        <v>0</v>
      </c>
      <c r="E27" s="122">
        <f t="shared" ca="1" si="2"/>
        <v>0</v>
      </c>
      <c r="F27" s="123">
        <f t="shared" ca="1" si="5"/>
        <v>0</v>
      </c>
      <c r="G27" s="508">
        <f t="shared" ca="1" si="6"/>
        <v>0</v>
      </c>
      <c r="H27" s="508">
        <f t="shared" ca="1" si="7"/>
        <v>0</v>
      </c>
      <c r="I27" s="124">
        <f t="shared" ca="1" si="8"/>
        <v>0</v>
      </c>
      <c r="K27" s="638"/>
    </row>
    <row r="28" spans="1:14" ht="20.100000000000001" customHeight="1" x14ac:dyDescent="0.2">
      <c r="A28" s="100" t="str">
        <f ca="1">INDIRECT("Datos!B"&amp;MATCH("RUBRO ITEM",Datos!B:B,0)+ROW()-MATCH("RUBRO ITEM",A:A,0))</f>
        <v>2.1</v>
      </c>
      <c r="B28" s="63" t="str">
        <f t="shared" ca="1" si="0"/>
        <v>TRABAJOS PREPARATORIOS</v>
      </c>
      <c r="C28" s="120"/>
      <c r="D28" s="121">
        <f t="shared" ca="1" si="1"/>
        <v>0</v>
      </c>
      <c r="E28" s="122">
        <f t="shared" ca="1" si="2"/>
        <v>0</v>
      </c>
      <c r="F28" s="123">
        <f t="shared" ca="1" si="5"/>
        <v>0</v>
      </c>
      <c r="G28" s="508">
        <f t="shared" ca="1" si="6"/>
        <v>0</v>
      </c>
      <c r="H28" s="508">
        <f t="shared" ca="1" si="7"/>
        <v>0</v>
      </c>
      <c r="I28" s="124">
        <f t="shared" ca="1" si="8"/>
        <v>0</v>
      </c>
      <c r="K28" s="638"/>
    </row>
    <row r="29" spans="1:14" ht="20.100000000000001" customHeight="1" x14ac:dyDescent="0.2">
      <c r="A29" s="100" t="str">
        <f ca="1">INDIRECT("Datos!B"&amp;MATCH("RUBRO ITEM",Datos!B:B,0)+ROW()-MATCH("RUBRO ITEM",A:A,0))</f>
        <v>2.1.1</v>
      </c>
      <c r="B29" s="63" t="str">
        <f t="shared" ca="1" si="0"/>
        <v>Preparación y Limpieza de Superf.</v>
      </c>
      <c r="C29" s="120"/>
      <c r="D29" s="121" t="str">
        <f t="shared" ca="1" si="1"/>
        <v>GL</v>
      </c>
      <c r="E29" s="122">
        <f ca="1">IFERROR(VLOOKUP(A29,T_Datos,4,FALSE),0)</f>
        <v>0</v>
      </c>
      <c r="F29" s="123">
        <f t="shared" ca="1" si="5"/>
        <v>0</v>
      </c>
      <c r="G29" s="508">
        <f t="shared" ca="1" si="6"/>
        <v>0</v>
      </c>
      <c r="H29" s="508">
        <f t="shared" ca="1" si="7"/>
        <v>0</v>
      </c>
      <c r="I29" s="124">
        <f t="shared" ca="1" si="8"/>
        <v>0</v>
      </c>
      <c r="K29" s="638"/>
      <c r="L29" s="628"/>
      <c r="N29" s="628"/>
    </row>
    <row r="30" spans="1:14" ht="20.100000000000001" customHeight="1" x14ac:dyDescent="0.2">
      <c r="A30" s="100" t="str">
        <f ca="1">INDIRECT("Datos!B"&amp;MATCH("RUBRO ITEM",Datos!B:B,0)+ROW()-MATCH("RUBRO ITEM",A:A,0))</f>
        <v>2.1.2</v>
      </c>
      <c r="B30" s="63" t="str">
        <f t="shared" ref="B30:B51" ca="1" si="9">IFERROR(VLOOKUP(A30,T_Datos,2,FALSE),"")</f>
        <v>Replanteo</v>
      </c>
      <c r="C30" s="120"/>
      <c r="D30" s="121" t="str">
        <f t="shared" ref="D30:D51" ca="1" si="10">IFERROR(VLOOKUP(A30,T_Datos,3,FALSE),"")</f>
        <v>GL</v>
      </c>
      <c r="E30" s="122">
        <f ca="1">IFERROR(VLOOKUP(A30,T_Datos,4,FALSE),0)</f>
        <v>0</v>
      </c>
      <c r="F30" s="123">
        <f t="shared" ref="F30:F51" ca="1" si="11">IFERROR(VLOOKUP(A30,T_Analisis_Precios,7,FALSE),0)</f>
        <v>0</v>
      </c>
      <c r="G30" s="508">
        <f t="shared" ref="G30:G51" ca="1" si="12">ROUND(F30*Coeficiente_Paso,2)</f>
        <v>0</v>
      </c>
      <c r="H30" s="508">
        <f t="shared" ref="H30:H51" ca="1" si="13">ROUND(E30*G30,2)</f>
        <v>0</v>
      </c>
      <c r="I30" s="124">
        <f t="shared" ref="I30:I51" ca="1" si="14">IFERROR(H30/Monto_Oferta,0)</f>
        <v>0</v>
      </c>
      <c r="K30" s="638"/>
    </row>
    <row r="31" spans="1:14" ht="20.100000000000001" customHeight="1" x14ac:dyDescent="0.2">
      <c r="A31" s="100" t="str">
        <f ca="1">INDIRECT("Datos!B"&amp;MATCH("RUBRO ITEM",Datos!B:B,0)+ROW()-MATCH("RUBRO ITEM",A:A,0))</f>
        <v>2.2</v>
      </c>
      <c r="B31" s="63" t="str">
        <f t="shared" ca="1" si="9"/>
        <v>ESTRUCTURA RESISTENTE</v>
      </c>
      <c r="C31" s="120"/>
      <c r="D31" s="121">
        <f t="shared" ca="1" si="10"/>
        <v>0</v>
      </c>
      <c r="E31" s="122">
        <f ca="1">IFERROR(VLOOKUP(A31,T_Datos,4,FALSE),0)</f>
        <v>0</v>
      </c>
      <c r="F31" s="123">
        <f t="shared" ca="1" si="11"/>
        <v>0</v>
      </c>
      <c r="G31" s="508">
        <f t="shared" ca="1" si="12"/>
        <v>0</v>
      </c>
      <c r="H31" s="508">
        <f t="shared" ca="1" si="13"/>
        <v>0</v>
      </c>
      <c r="I31" s="124">
        <f t="shared" ca="1" si="14"/>
        <v>0</v>
      </c>
      <c r="K31" s="638"/>
    </row>
    <row r="32" spans="1:14" ht="20.100000000000001" customHeight="1" x14ac:dyDescent="0.2">
      <c r="A32" s="100" t="str">
        <f ca="1">INDIRECT("Datos!B"&amp;MATCH("RUBRO ITEM",Datos!B:B,0)+ROW()-MATCH("RUBRO ITEM",A:A,0))</f>
        <v>2.2.1</v>
      </c>
      <c r="B32" s="63" t="str">
        <f t="shared" ca="1" si="9"/>
        <v xml:space="preserve">Hormigón H-21  </v>
      </c>
      <c r="C32" s="120"/>
      <c r="D32" s="121" t="str">
        <f t="shared" ca="1" si="10"/>
        <v>M3</v>
      </c>
      <c r="E32" s="122">
        <f ca="1">IFERROR(VLOOKUP(A32,T_Datos,4,FALSE),0)</f>
        <v>0</v>
      </c>
      <c r="F32" s="123">
        <f t="shared" ca="1" si="11"/>
        <v>0</v>
      </c>
      <c r="G32" s="508">
        <f t="shared" ca="1" si="12"/>
        <v>0</v>
      </c>
      <c r="H32" s="508">
        <f t="shared" ca="1" si="13"/>
        <v>0</v>
      </c>
      <c r="I32" s="124">
        <f t="shared" ca="1" si="14"/>
        <v>0</v>
      </c>
      <c r="K32" s="638"/>
    </row>
    <row r="33" spans="1:11" ht="20.100000000000001" customHeight="1" x14ac:dyDescent="0.2">
      <c r="A33" s="100" t="str">
        <f ca="1">INDIRECT("Datos!B"&amp;MATCH("RUBRO ITEM",Datos!B:B,0)+ROW()-MATCH("RUBRO ITEM",A:A,0))</f>
        <v>2.2.2</v>
      </c>
      <c r="B33" s="63" t="str">
        <f t="shared" ca="1" si="9"/>
        <v>Armadura puesta en obra</v>
      </c>
      <c r="C33" s="120"/>
      <c r="D33" s="121" t="str">
        <f t="shared" ca="1" si="10"/>
        <v>KG</v>
      </c>
      <c r="E33" s="122">
        <f ca="1">IFERROR(VLOOKUP(A33,T_Datos,4,FALSE),0)</f>
        <v>0</v>
      </c>
      <c r="F33" s="123">
        <f t="shared" ca="1" si="11"/>
        <v>0</v>
      </c>
      <c r="G33" s="508">
        <f t="shared" ca="1" si="12"/>
        <v>0</v>
      </c>
      <c r="H33" s="508">
        <f t="shared" ca="1" si="13"/>
        <v>0</v>
      </c>
      <c r="I33" s="124">
        <f t="shared" ca="1" si="14"/>
        <v>0</v>
      </c>
      <c r="K33" s="638"/>
    </row>
    <row r="34" spans="1:11" ht="20.100000000000001" customHeight="1" x14ac:dyDescent="0.2">
      <c r="A34" s="100" t="str">
        <f ca="1">INDIRECT("Datos!B"&amp;MATCH("RUBRO ITEM",Datos!B:B,0)+ROW()-MATCH("RUBRO ITEM",A:A,0))</f>
        <v>2.2.3</v>
      </c>
      <c r="B34" s="63" t="str">
        <f t="shared" ca="1" si="9"/>
        <v>Anclajes Químicos</v>
      </c>
      <c r="C34" s="120"/>
      <c r="D34" s="121" t="str">
        <f t="shared" ca="1" si="10"/>
        <v>GL</v>
      </c>
      <c r="E34" s="122">
        <f ca="1">IFERROR(VLOOKUP(A34,T_Datos,4,FALSE),0)</f>
        <v>0</v>
      </c>
      <c r="F34" s="123">
        <f t="shared" ca="1" si="11"/>
        <v>0</v>
      </c>
      <c r="G34" s="508">
        <f t="shared" ca="1" si="12"/>
        <v>0</v>
      </c>
      <c r="H34" s="508">
        <f t="shared" ca="1" si="13"/>
        <v>0</v>
      </c>
      <c r="I34" s="124">
        <f t="shared" ca="1" si="14"/>
        <v>0</v>
      </c>
      <c r="K34" s="638"/>
    </row>
    <row r="35" spans="1:11" ht="20.100000000000001" customHeight="1" x14ac:dyDescent="0.2">
      <c r="A35" s="100" t="str">
        <f ca="1">INDIRECT("Datos!B"&amp;MATCH("RUBRO ITEM",Datos!B:B,0)+ROW()-MATCH("RUBRO ITEM",A:A,0))</f>
        <v>2.2.4</v>
      </c>
      <c r="B35" s="63" t="str">
        <f t="shared" ca="1" si="9"/>
        <v>Puente de Adherencia</v>
      </c>
      <c r="C35" s="120"/>
      <c r="D35" s="121" t="str">
        <f t="shared" ca="1" si="10"/>
        <v>GL</v>
      </c>
      <c r="E35" s="122">
        <f ca="1">IFERROR(VLOOKUP(A35,T_Datos,4,FALSE),0)</f>
        <v>0</v>
      </c>
      <c r="F35" s="123">
        <f t="shared" ca="1" si="11"/>
        <v>0</v>
      </c>
      <c r="G35" s="508">
        <f t="shared" ca="1" si="12"/>
        <v>0</v>
      </c>
      <c r="H35" s="508">
        <f t="shared" ca="1" si="13"/>
        <v>0</v>
      </c>
      <c r="I35" s="124">
        <f t="shared" ca="1" si="14"/>
        <v>0</v>
      </c>
      <c r="K35" s="638"/>
    </row>
    <row r="36" spans="1:11" ht="20.100000000000001" customHeight="1" x14ac:dyDescent="0.2">
      <c r="A36" s="100">
        <f ca="1">INDIRECT("Datos!B"&amp;MATCH("RUBRO ITEM",Datos!B:B,0)+ROW()-MATCH("RUBRO ITEM",A:A,0))</f>
        <v>3</v>
      </c>
      <c r="B36" s="63" t="str">
        <f t="shared" ca="1" si="9"/>
        <v>RECRECIMIENTO C. PASTORIZA-VIDELA</v>
      </c>
      <c r="C36" s="120"/>
      <c r="D36" s="121">
        <f t="shared" ca="1" si="10"/>
        <v>0</v>
      </c>
      <c r="E36" s="122">
        <f ca="1">IFERROR(VLOOKUP(A36,T_Datos,4,FALSE),0)</f>
        <v>0</v>
      </c>
      <c r="F36" s="123">
        <f t="shared" ca="1" si="11"/>
        <v>0</v>
      </c>
      <c r="G36" s="508">
        <f t="shared" ca="1" si="12"/>
        <v>0</v>
      </c>
      <c r="H36" s="508">
        <f t="shared" ca="1" si="13"/>
        <v>0</v>
      </c>
      <c r="I36" s="124">
        <f t="shared" ca="1" si="14"/>
        <v>0</v>
      </c>
      <c r="K36" s="638"/>
    </row>
    <row r="37" spans="1:11" ht="20.100000000000001" customHeight="1" x14ac:dyDescent="0.2">
      <c r="A37" s="100" t="str">
        <f ca="1">INDIRECT("Datos!B"&amp;MATCH("RUBRO ITEM",Datos!B:B,0)+ROW()-MATCH("RUBRO ITEM",A:A,0))</f>
        <v>3.1</v>
      </c>
      <c r="B37" s="63" t="str">
        <f t="shared" ca="1" si="9"/>
        <v>Trabajos Preparatorios</v>
      </c>
      <c r="C37" s="120"/>
      <c r="D37" s="121">
        <f t="shared" ca="1" si="10"/>
        <v>0</v>
      </c>
      <c r="E37" s="122">
        <f ca="1">IFERROR(VLOOKUP(A37,T_Datos,4,FALSE),0)</f>
        <v>0</v>
      </c>
      <c r="F37" s="123">
        <f t="shared" ca="1" si="11"/>
        <v>0</v>
      </c>
      <c r="G37" s="508">
        <f t="shared" ca="1" si="12"/>
        <v>0</v>
      </c>
      <c r="H37" s="508">
        <f t="shared" ca="1" si="13"/>
        <v>0</v>
      </c>
      <c r="I37" s="124">
        <f t="shared" ca="1" si="14"/>
        <v>0</v>
      </c>
      <c r="K37" s="638"/>
    </row>
    <row r="38" spans="1:11" ht="20.100000000000001" customHeight="1" x14ac:dyDescent="0.2">
      <c r="A38" s="100" t="str">
        <f ca="1">INDIRECT("Datos!B"&amp;MATCH("RUBRO ITEM",Datos!B:B,0)+ROW()-MATCH("RUBRO ITEM",A:A,0))</f>
        <v>3.1.1</v>
      </c>
      <c r="B38" s="63" t="str">
        <f t="shared" ca="1" si="9"/>
        <v>Preparación y Limpieza de Superf.</v>
      </c>
      <c r="C38" s="120"/>
      <c r="D38" s="121" t="str">
        <f t="shared" ca="1" si="10"/>
        <v>GL</v>
      </c>
      <c r="E38" s="122">
        <f ca="1">IFERROR(VLOOKUP(A38,T_Datos,4,FALSE),0)</f>
        <v>0</v>
      </c>
      <c r="F38" s="123">
        <f t="shared" ca="1" si="11"/>
        <v>0</v>
      </c>
      <c r="G38" s="508">
        <f t="shared" ca="1" si="12"/>
        <v>0</v>
      </c>
      <c r="H38" s="508">
        <f t="shared" ca="1" si="13"/>
        <v>0</v>
      </c>
      <c r="I38" s="124">
        <f t="shared" ca="1" si="14"/>
        <v>0</v>
      </c>
      <c r="K38" s="638"/>
    </row>
    <row r="39" spans="1:11" ht="20.100000000000001" customHeight="1" x14ac:dyDescent="0.2">
      <c r="A39" s="100" t="str">
        <f ca="1">INDIRECT("Datos!B"&amp;MATCH("RUBRO ITEM",Datos!B:B,0)+ROW()-MATCH("RUBRO ITEM",A:A,0))</f>
        <v>3.1.2</v>
      </c>
      <c r="B39" s="63" t="str">
        <f t="shared" ca="1" si="9"/>
        <v>Replanteo</v>
      </c>
      <c r="C39" s="120"/>
      <c r="D39" s="121" t="str">
        <f t="shared" ca="1" si="10"/>
        <v>GL</v>
      </c>
      <c r="E39" s="122">
        <f ca="1">IFERROR(VLOOKUP(A39,T_Datos,4,FALSE),0)</f>
        <v>0</v>
      </c>
      <c r="F39" s="123">
        <f t="shared" ca="1" si="11"/>
        <v>0</v>
      </c>
      <c r="G39" s="508">
        <f t="shared" ca="1" si="12"/>
        <v>0</v>
      </c>
      <c r="H39" s="508">
        <f t="shared" ca="1" si="13"/>
        <v>0</v>
      </c>
      <c r="I39" s="124">
        <f t="shared" ca="1" si="14"/>
        <v>0</v>
      </c>
      <c r="K39" s="638"/>
    </row>
    <row r="40" spans="1:11" ht="20.100000000000001" customHeight="1" x14ac:dyDescent="0.2">
      <c r="A40" s="100" t="str">
        <f ca="1">INDIRECT("Datos!B"&amp;MATCH("RUBRO ITEM",Datos!B:B,0)+ROW()-MATCH("RUBRO ITEM",A:A,0))</f>
        <v>3.2</v>
      </c>
      <c r="B40" s="63" t="str">
        <f t="shared" ca="1" si="9"/>
        <v>Estructura Resistente Recrecimiento</v>
      </c>
      <c r="C40" s="120"/>
      <c r="D40" s="121">
        <f t="shared" ca="1" si="10"/>
        <v>0</v>
      </c>
      <c r="E40" s="122">
        <f ca="1">IFERROR(VLOOKUP(A40,T_Datos,4,FALSE),0)</f>
        <v>0</v>
      </c>
      <c r="F40" s="123">
        <f t="shared" ca="1" si="11"/>
        <v>0</v>
      </c>
      <c r="G40" s="508">
        <f t="shared" ca="1" si="12"/>
        <v>0</v>
      </c>
      <c r="H40" s="508">
        <f t="shared" ca="1" si="13"/>
        <v>0</v>
      </c>
      <c r="I40" s="124">
        <f t="shared" ca="1" si="14"/>
        <v>0</v>
      </c>
      <c r="K40" s="638"/>
    </row>
    <row r="41" spans="1:11" ht="20.100000000000001" customHeight="1" x14ac:dyDescent="0.2">
      <c r="A41" s="100" t="str">
        <f ca="1">INDIRECT("Datos!B"&amp;MATCH("RUBRO ITEM",Datos!B:B,0)+ROW()-MATCH("RUBRO ITEM",A:A,0))</f>
        <v>3.2.1</v>
      </c>
      <c r="B41" s="63" t="str">
        <f t="shared" ca="1" si="9"/>
        <v xml:space="preserve">Hormigón H-21  </v>
      </c>
      <c r="C41" s="120"/>
      <c r="D41" s="121" t="str">
        <f t="shared" ca="1" si="10"/>
        <v>M3</v>
      </c>
      <c r="E41" s="122">
        <f ca="1">IFERROR(VLOOKUP(A41,T_Datos,4,FALSE),0)</f>
        <v>0</v>
      </c>
      <c r="F41" s="123">
        <f t="shared" ca="1" si="11"/>
        <v>0</v>
      </c>
      <c r="G41" s="508">
        <f t="shared" ca="1" si="12"/>
        <v>0</v>
      </c>
      <c r="H41" s="508">
        <f t="shared" ca="1" si="13"/>
        <v>0</v>
      </c>
      <c r="I41" s="124">
        <f t="shared" ca="1" si="14"/>
        <v>0</v>
      </c>
      <c r="K41" s="638"/>
    </row>
    <row r="42" spans="1:11" ht="20.100000000000001" customHeight="1" x14ac:dyDescent="0.2">
      <c r="A42" s="100" t="str">
        <f ca="1">INDIRECT("Datos!B"&amp;MATCH("RUBRO ITEM",Datos!B:B,0)+ROW()-MATCH("RUBRO ITEM",A:A,0))</f>
        <v>3.2.2</v>
      </c>
      <c r="B42" s="63" t="str">
        <f t="shared" ca="1" si="9"/>
        <v>Armadura puesta en obra</v>
      </c>
      <c r="C42" s="120"/>
      <c r="D42" s="121" t="str">
        <f t="shared" ca="1" si="10"/>
        <v>KG</v>
      </c>
      <c r="E42" s="122">
        <f ca="1">IFERROR(VLOOKUP(A42,T_Datos,4,FALSE),0)</f>
        <v>0</v>
      </c>
      <c r="F42" s="123">
        <f t="shared" ca="1" si="11"/>
        <v>0</v>
      </c>
      <c r="G42" s="508">
        <f t="shared" ca="1" si="12"/>
        <v>0</v>
      </c>
      <c r="H42" s="508">
        <f t="shared" ca="1" si="13"/>
        <v>0</v>
      </c>
      <c r="I42" s="124">
        <f t="shared" ca="1" si="14"/>
        <v>0</v>
      </c>
      <c r="K42" s="638"/>
    </row>
    <row r="43" spans="1:11" ht="20.100000000000001" customHeight="1" x14ac:dyDescent="0.2">
      <c r="A43" s="100" t="str">
        <f ca="1">INDIRECT("Datos!B"&amp;MATCH("RUBRO ITEM",Datos!B:B,0)+ROW()-MATCH("RUBRO ITEM",A:A,0))</f>
        <v>3.2.3</v>
      </c>
      <c r="B43" s="63" t="str">
        <f t="shared" ca="1" si="9"/>
        <v>Anclajes Químicos</v>
      </c>
      <c r="C43" s="120"/>
      <c r="D43" s="121" t="str">
        <f t="shared" ca="1" si="10"/>
        <v>GL</v>
      </c>
      <c r="E43" s="122">
        <f ca="1">IFERROR(VLOOKUP(A43,T_Datos,4,FALSE),0)</f>
        <v>0</v>
      </c>
      <c r="F43" s="123">
        <f t="shared" ca="1" si="11"/>
        <v>0</v>
      </c>
      <c r="G43" s="508">
        <f t="shared" ca="1" si="12"/>
        <v>0</v>
      </c>
      <c r="H43" s="508">
        <f t="shared" ca="1" si="13"/>
        <v>0</v>
      </c>
      <c r="I43" s="124">
        <f t="shared" ca="1" si="14"/>
        <v>0</v>
      </c>
      <c r="K43" s="638"/>
    </row>
    <row r="44" spans="1:11" ht="20.100000000000001" customHeight="1" x14ac:dyDescent="0.2">
      <c r="A44" s="100" t="str">
        <f ca="1">INDIRECT("Datos!B"&amp;MATCH("RUBRO ITEM",Datos!B:B,0)+ROW()-MATCH("RUBRO ITEM",A:A,0))</f>
        <v>3.2.4</v>
      </c>
      <c r="B44" s="63" t="str">
        <f t="shared" ca="1" si="9"/>
        <v>Puente de Adherencia</v>
      </c>
      <c r="C44" s="120"/>
      <c r="D44" s="121" t="str">
        <f t="shared" ca="1" si="10"/>
        <v>GL</v>
      </c>
      <c r="E44" s="122">
        <f ca="1">IFERROR(VLOOKUP(A44,T_Datos,4,FALSE),0)</f>
        <v>0</v>
      </c>
      <c r="F44" s="123">
        <f t="shared" ca="1" si="11"/>
        <v>0</v>
      </c>
      <c r="G44" s="508">
        <f t="shared" ca="1" si="12"/>
        <v>0</v>
      </c>
      <c r="H44" s="508">
        <f t="shared" ca="1" si="13"/>
        <v>0</v>
      </c>
      <c r="I44" s="124">
        <f t="shared" ca="1" si="14"/>
        <v>0</v>
      </c>
      <c r="K44" s="638"/>
    </row>
    <row r="45" spans="1:11" ht="20.100000000000001" customHeight="1" x14ac:dyDescent="0.2">
      <c r="A45" s="100" t="str">
        <f ca="1">INDIRECT("Datos!B"&amp;MATCH("RUBRO ITEM",Datos!B:B,0)+ROW()-MATCH("RUBRO ITEM",A:A,0))</f>
        <v>3.3</v>
      </c>
      <c r="B45" s="63" t="str">
        <f t="shared" ca="1" si="9"/>
        <v>REEMPLAZO DE PAÑOS DE H° C. PASTORIZA-VIDELA</v>
      </c>
      <c r="C45" s="120"/>
      <c r="D45" s="121">
        <f t="shared" ca="1" si="10"/>
        <v>0</v>
      </c>
      <c r="E45" s="122">
        <f ca="1">IFERROR(VLOOKUP(A45,T_Datos,4,FALSE),0)</f>
        <v>0</v>
      </c>
      <c r="F45" s="123">
        <f t="shared" ca="1" si="11"/>
        <v>0</v>
      </c>
      <c r="G45" s="508">
        <f t="shared" ca="1" si="12"/>
        <v>0</v>
      </c>
      <c r="H45" s="508">
        <f t="shared" ca="1" si="13"/>
        <v>0</v>
      </c>
      <c r="I45" s="124">
        <f t="shared" ca="1" si="14"/>
        <v>0</v>
      </c>
      <c r="K45" s="638"/>
    </row>
    <row r="46" spans="1:11" ht="20.100000000000001" customHeight="1" x14ac:dyDescent="0.2">
      <c r="A46" s="100" t="str">
        <f ca="1">INDIRECT("Datos!B"&amp;MATCH("RUBRO ITEM",Datos!B:B,0)+ROW()-MATCH("RUBRO ITEM",A:A,0))</f>
        <v>3.3.1</v>
      </c>
      <c r="B46" s="63" t="str">
        <f t="shared" ca="1" si="9"/>
        <v>Demolicion</v>
      </c>
      <c r="C46" s="120"/>
      <c r="D46" s="121" t="str">
        <f t="shared" ca="1" si="10"/>
        <v>M3</v>
      </c>
      <c r="E46" s="122">
        <f ca="1">IFERROR(VLOOKUP(A46,T_Datos,4,FALSE),0)</f>
        <v>0</v>
      </c>
      <c r="F46" s="123">
        <f t="shared" ca="1" si="11"/>
        <v>0</v>
      </c>
      <c r="G46" s="508">
        <f t="shared" ca="1" si="12"/>
        <v>0</v>
      </c>
      <c r="H46" s="508">
        <f t="shared" ca="1" si="13"/>
        <v>0</v>
      </c>
      <c r="I46" s="124">
        <f t="shared" ca="1" si="14"/>
        <v>0</v>
      </c>
      <c r="K46" s="638"/>
    </row>
    <row r="47" spans="1:11" ht="20.100000000000001" customHeight="1" x14ac:dyDescent="0.2">
      <c r="A47" s="100" t="str">
        <f ca="1">INDIRECT("Datos!B"&amp;MATCH("RUBRO ITEM",Datos!B:B,0)+ROW()-MATCH("RUBRO ITEM",A:A,0))</f>
        <v>3.3.2</v>
      </c>
      <c r="B47" s="63" t="str">
        <f t="shared" ca="1" si="9"/>
        <v>Relleno y Compactacion</v>
      </c>
      <c r="C47" s="120"/>
      <c r="D47" s="121" t="str">
        <f t="shared" ca="1" si="10"/>
        <v>M3</v>
      </c>
      <c r="E47" s="122">
        <f ca="1">IFERROR(VLOOKUP(A47,T_Datos,4,FALSE),0)</f>
        <v>0</v>
      </c>
      <c r="F47" s="123">
        <f t="shared" ca="1" si="11"/>
        <v>0</v>
      </c>
      <c r="G47" s="508">
        <f t="shared" ca="1" si="12"/>
        <v>0</v>
      </c>
      <c r="H47" s="508">
        <f t="shared" ca="1" si="13"/>
        <v>0</v>
      </c>
      <c r="I47" s="124">
        <f t="shared" ca="1" si="14"/>
        <v>0</v>
      </c>
      <c r="K47" s="638"/>
    </row>
    <row r="48" spans="1:11" ht="20.100000000000001" customHeight="1" x14ac:dyDescent="0.2">
      <c r="A48" s="100" t="str">
        <f ca="1">INDIRECT("Datos!B"&amp;MATCH("RUBRO ITEM",Datos!B:B,0)+ROW()-MATCH("RUBRO ITEM",A:A,0))</f>
        <v>3.3.3</v>
      </c>
      <c r="B48" s="63" t="str">
        <f t="shared" ca="1" si="9"/>
        <v xml:space="preserve">Hormigón H-21  </v>
      </c>
      <c r="C48" s="120"/>
      <c r="D48" s="121" t="str">
        <f t="shared" ca="1" si="10"/>
        <v>M3</v>
      </c>
      <c r="E48" s="122">
        <f ca="1">IFERROR(VLOOKUP(A48,T_Datos,4,FALSE),0)</f>
        <v>0</v>
      </c>
      <c r="F48" s="123">
        <f t="shared" ca="1" si="11"/>
        <v>0</v>
      </c>
      <c r="G48" s="508">
        <f t="shared" ca="1" si="12"/>
        <v>0</v>
      </c>
      <c r="H48" s="508">
        <f t="shared" ca="1" si="13"/>
        <v>0</v>
      </c>
      <c r="I48" s="124">
        <f t="shared" ca="1" si="14"/>
        <v>0</v>
      </c>
      <c r="K48" s="638"/>
    </row>
    <row r="49" spans="1:14" ht="20.100000000000001" customHeight="1" x14ac:dyDescent="0.2">
      <c r="A49" s="100" t="str">
        <f ca="1">INDIRECT("Datos!B"&amp;MATCH("RUBRO ITEM",Datos!B:B,0)+ROW()-MATCH("RUBRO ITEM",A:A,0))</f>
        <v>3.3.4</v>
      </c>
      <c r="B49" s="63" t="str">
        <f t="shared" ca="1" si="9"/>
        <v>Armadura puesta en obra</v>
      </c>
      <c r="C49" s="120"/>
      <c r="D49" s="121" t="str">
        <f t="shared" ca="1" si="10"/>
        <v>KG</v>
      </c>
      <c r="E49" s="122">
        <f ca="1">IFERROR(VLOOKUP(A49,T_Datos,4,FALSE),0)</f>
        <v>0</v>
      </c>
      <c r="F49" s="123">
        <f t="shared" ca="1" si="11"/>
        <v>0</v>
      </c>
      <c r="G49" s="508">
        <f t="shared" ca="1" si="12"/>
        <v>0</v>
      </c>
      <c r="H49" s="508">
        <f t="shared" ca="1" si="13"/>
        <v>0</v>
      </c>
      <c r="I49" s="124">
        <f t="shared" ca="1" si="14"/>
        <v>0</v>
      </c>
      <c r="K49" s="638"/>
    </row>
    <row r="50" spans="1:14" ht="20.100000000000001" customHeight="1" x14ac:dyDescent="0.2">
      <c r="A50" s="100" t="str">
        <f ca="1">INDIRECT("Datos!B"&amp;MATCH("RUBRO ITEM",Datos!B:B,0)+ROW()-MATCH("RUBRO ITEM",A:A,0))</f>
        <v>3.3.5</v>
      </c>
      <c r="B50" s="63" t="str">
        <f t="shared" ca="1" si="9"/>
        <v>Puente de Adherencia</v>
      </c>
      <c r="C50" s="120"/>
      <c r="D50" s="121" t="str">
        <f t="shared" ca="1" si="10"/>
        <v>GL</v>
      </c>
      <c r="E50" s="122">
        <f ca="1">IFERROR(VLOOKUP(A50,T_Datos,4,FALSE),0)</f>
        <v>0</v>
      </c>
      <c r="F50" s="123">
        <f t="shared" ca="1" si="11"/>
        <v>0</v>
      </c>
      <c r="G50" s="508">
        <f t="shared" ca="1" si="12"/>
        <v>0</v>
      </c>
      <c r="H50" s="508">
        <f t="shared" ca="1" si="13"/>
        <v>0</v>
      </c>
      <c r="I50" s="124">
        <f t="shared" ca="1" si="14"/>
        <v>0</v>
      </c>
      <c r="K50" s="638"/>
    </row>
    <row r="51" spans="1:14" ht="20.100000000000001" customHeight="1" x14ac:dyDescent="0.2">
      <c r="A51" s="100" t="str">
        <f ca="1">INDIRECT("Datos!B"&amp;MATCH("RUBRO ITEM",Datos!B:B,0)+ROW()-MATCH("RUBRO ITEM",A:A,0))</f>
        <v>3.3.6</v>
      </c>
      <c r="B51" s="63" t="str">
        <f t="shared" ca="1" si="9"/>
        <v>Juntas de Construccion y Dilatacion</v>
      </c>
      <c r="C51" s="120"/>
      <c r="D51" s="121" t="str">
        <f t="shared" ca="1" si="10"/>
        <v>ML</v>
      </c>
      <c r="E51" s="122">
        <f ca="1">IFERROR(VLOOKUP(A51,T_Datos,4,FALSE),0)</f>
        <v>0</v>
      </c>
      <c r="F51" s="123">
        <f t="shared" ca="1" si="11"/>
        <v>0</v>
      </c>
      <c r="G51" s="508">
        <f t="shared" ca="1" si="12"/>
        <v>0</v>
      </c>
      <c r="H51" s="508">
        <f t="shared" ca="1" si="13"/>
        <v>0</v>
      </c>
      <c r="I51" s="124">
        <f t="shared" ca="1" si="14"/>
        <v>0</v>
      </c>
      <c r="K51" s="638"/>
    </row>
    <row r="52" spans="1:14" ht="20.100000000000001" customHeight="1" x14ac:dyDescent="0.2">
      <c r="A52" s="509" t="s">
        <v>3</v>
      </c>
      <c r="B52" s="419" t="s">
        <v>1713</v>
      </c>
      <c r="C52" s="125"/>
      <c r="D52" s="125"/>
      <c r="E52" s="428" t="s">
        <v>942</v>
      </c>
      <c r="F52" s="420"/>
      <c r="G52" s="429">
        <v>0</v>
      </c>
      <c r="H52" s="345">
        <f ca="1">SUM(H17:H29)</f>
        <v>0</v>
      </c>
      <c r="I52" s="126">
        <f ca="1">SUM(I17:I30)</f>
        <v>0</v>
      </c>
      <c r="K52" s="638"/>
    </row>
    <row r="53" spans="1:14" ht="20.100000000000001" customHeight="1" x14ac:dyDescent="0.2">
      <c r="A53" s="65"/>
      <c r="B53" s="65"/>
      <c r="C53" s="65"/>
      <c r="D53" s="65"/>
      <c r="E53" s="65"/>
      <c r="F53" s="65"/>
      <c r="G53" s="510"/>
      <c r="H53" s="65"/>
      <c r="K53" s="638"/>
    </row>
    <row r="54" spans="1:14" ht="20.100000000000001" customHeight="1" x14ac:dyDescent="0.2">
      <c r="A54" s="470" t="s">
        <v>894</v>
      </c>
      <c r="B54" s="471" t="s">
        <v>1725</v>
      </c>
      <c r="C54" s="471"/>
      <c r="D54" s="472"/>
      <c r="E54" s="511"/>
      <c r="F54" s="473"/>
      <c r="G54" s="511"/>
      <c r="H54" s="474">
        <f ca="1">ROUND(Monto_Oferta/Coeficiente_Paso,2)</f>
        <v>0</v>
      </c>
      <c r="I54" s="127"/>
      <c r="K54" s="638"/>
    </row>
    <row r="55" spans="1:14" ht="20.100000000000001" customHeight="1" x14ac:dyDescent="0.2">
      <c r="A55" s="475" t="s">
        <v>895</v>
      </c>
      <c r="B55" s="131" t="str">
        <f>"COSTO FINANCIERO  "&amp;ROUND(Costo_Financiero*100,2)&amp;" % de ( 1 )"</f>
        <v>COSTO FINANCIERO  0 % de ( 1 )</v>
      </c>
      <c r="C55" s="131"/>
      <c r="D55" s="476"/>
      <c r="E55" s="512">
        <f>Costo_Financiero</f>
        <v>0</v>
      </c>
      <c r="F55" s="64"/>
      <c r="G55" s="65"/>
      <c r="H55" s="477">
        <f ca="1">ROUND(H54*Costo_Financiero,2)</f>
        <v>0</v>
      </c>
      <c r="I55" s="127"/>
      <c r="K55" s="638"/>
    </row>
    <row r="56" spans="1:14" ht="20.100000000000001" customHeight="1" x14ac:dyDescent="0.2">
      <c r="A56" s="475" t="s">
        <v>896</v>
      </c>
      <c r="B56" s="131" t="s">
        <v>1726</v>
      </c>
      <c r="C56" s="131"/>
      <c r="D56" s="476"/>
      <c r="E56" s="65"/>
      <c r="F56" s="64"/>
      <c r="G56" s="65"/>
      <c r="H56" s="477">
        <f ca="1">H54+H55</f>
        <v>0</v>
      </c>
      <c r="I56" s="127"/>
      <c r="K56" s="638"/>
    </row>
    <row r="57" spans="1:14" ht="20.100000000000001" customHeight="1" x14ac:dyDescent="0.2">
      <c r="A57" s="475" t="s">
        <v>897</v>
      </c>
      <c r="B57" s="128" t="str">
        <f>CONCATENATE("GASTOS GENERALES  ",ROUND(Gasto_Generales_Porcentaje,3)," % de ( 3 )")</f>
        <v>GASTOS GENERALES  0 % de ( 3 )</v>
      </c>
      <c r="C57" s="128"/>
      <c r="D57" s="129"/>
      <c r="E57" s="512">
        <f>Gasto_Generales_Porcentaje</f>
        <v>0</v>
      </c>
      <c r="F57" s="64"/>
      <c r="G57" s="65"/>
      <c r="H57" s="477">
        <f ca="1">ROUND(H56*E57,2)</f>
        <v>0</v>
      </c>
      <c r="I57" s="129"/>
      <c r="K57" s="638"/>
    </row>
    <row r="58" spans="1:14" ht="20.100000000000001" customHeight="1" x14ac:dyDescent="0.2">
      <c r="A58" s="475" t="s">
        <v>898</v>
      </c>
      <c r="B58" s="128" t="str">
        <f>CONCATENATE("BENEFICIOS  ",ROUND(Beneficio*100,2)," % de ( 3 )")</f>
        <v>BENEFICIOS  0 % de ( 3 )</v>
      </c>
      <c r="C58" s="128"/>
      <c r="D58" s="129"/>
      <c r="E58" s="512">
        <f>Beneficio</f>
        <v>0</v>
      </c>
      <c r="F58" s="64"/>
      <c r="G58" s="65"/>
      <c r="H58" s="477">
        <f ca="1">ROUND(H56*Beneficio,2)</f>
        <v>0</v>
      </c>
      <c r="I58" s="129"/>
      <c r="K58" s="638"/>
    </row>
    <row r="59" spans="1:14" ht="20.100000000000001" customHeight="1" x14ac:dyDescent="0.2">
      <c r="A59" s="475">
        <v>6</v>
      </c>
      <c r="B59" s="131" t="s">
        <v>1727</v>
      </c>
      <c r="C59" s="131"/>
      <c r="D59" s="129"/>
      <c r="E59" s="65"/>
      <c r="F59" s="64"/>
      <c r="G59" s="65"/>
      <c r="H59" s="477">
        <f ca="1">H56+H57+H58</f>
        <v>0</v>
      </c>
      <c r="I59" s="129"/>
      <c r="K59" s="638"/>
    </row>
    <row r="60" spans="1:14" ht="20.100000000000001" customHeight="1" x14ac:dyDescent="0.2">
      <c r="A60" s="475" t="s">
        <v>1728</v>
      </c>
      <c r="B60" s="128" t="str">
        <f>CONCATENATE("INGRESOS BRUTOS Y LOTE HOGAR  ",ROUND(Ingresos_Brutos*100,2)," % de ( 6 )")</f>
        <v>INGRESOS BRUTOS Y LOTE HOGAR  0 % de ( 6 )</v>
      </c>
      <c r="C60" s="128"/>
      <c r="D60" s="129"/>
      <c r="E60" s="512">
        <f>Ingresos_Brutos</f>
        <v>0</v>
      </c>
      <c r="F60" s="64"/>
      <c r="G60" s="65"/>
      <c r="H60" s="477">
        <f ca="1">ROUND(Ingresos_Brutos*H59,2)</f>
        <v>0</v>
      </c>
      <c r="I60" s="129"/>
      <c r="K60" s="638"/>
    </row>
    <row r="61" spans="1:14" ht="20.100000000000001" customHeight="1" x14ac:dyDescent="0.2">
      <c r="A61" s="478" t="s">
        <v>1729</v>
      </c>
      <c r="B61" s="479" t="str">
        <f>CONCATENATE("IMPUESTO AL VALOR AGREGADO ",IVA*100," % de ( 6 )")</f>
        <v>IMPUESTO AL VALOR AGREGADO 0 % de ( 6 )</v>
      </c>
      <c r="C61" s="479"/>
      <c r="D61" s="480"/>
      <c r="E61" s="513">
        <f>IVA</f>
        <v>0</v>
      </c>
      <c r="F61" s="481"/>
      <c r="G61" s="514"/>
      <c r="H61" s="482">
        <f ca="1">ROUND(IVA*H59,2)</f>
        <v>0</v>
      </c>
      <c r="I61" s="129"/>
    </row>
    <row r="62" spans="1:14" ht="20.100000000000001" customHeight="1" x14ac:dyDescent="0.2">
      <c r="A62" s="132"/>
      <c r="B62" s="128"/>
      <c r="C62" s="128"/>
      <c r="D62" s="129"/>
      <c r="E62" s="130"/>
      <c r="F62" s="64"/>
      <c r="H62" s="133"/>
      <c r="I62" s="129"/>
    </row>
    <row r="63" spans="1:14" ht="20.100000000000001" customHeight="1" x14ac:dyDescent="0.2">
      <c r="A63" s="134"/>
      <c r="B63" s="134" t="s">
        <v>1730</v>
      </c>
      <c r="C63" s="134"/>
      <c r="D63" s="129"/>
      <c r="F63" s="64"/>
      <c r="H63" s="515">
        <f ca="1">Monto_Oferta</f>
        <v>0</v>
      </c>
      <c r="I63" s="129"/>
      <c r="J63" s="628"/>
      <c r="K63" s="638"/>
      <c r="L63" s="638"/>
      <c r="N63" s="628"/>
    </row>
    <row r="64" spans="1:14" ht="20.100000000000001" customHeight="1" x14ac:dyDescent="0.2">
      <c r="I64" s="135"/>
    </row>
    <row r="65" spans="1:9" ht="60" customHeight="1" x14ac:dyDescent="0.2">
      <c r="A65" s="676" t="str">
        <f ca="1">"El presente presupuesto asciende a la suma de: " &amp; UPPER(CONVERTIRNUM(Monto_Oferta))</f>
        <v>El presente presupuesto asciende a la suma de: CERO PESOS CON 00/100</v>
      </c>
      <c r="B65" s="676"/>
      <c r="C65" s="676"/>
      <c r="D65" s="676"/>
      <c r="E65" s="676"/>
      <c r="F65" s="676"/>
      <c r="G65" s="676"/>
      <c r="H65" s="676"/>
      <c r="I65" s="676"/>
    </row>
    <row r="66" spans="1:9" x14ac:dyDescent="0.2">
      <c r="A66" s="65" t="s">
        <v>917</v>
      </c>
    </row>
  </sheetData>
  <mergeCells count="2">
    <mergeCell ref="B15:C15"/>
    <mergeCell ref="A65:I65"/>
  </mergeCells>
  <conditionalFormatting sqref="I64 A62:D63">
    <cfRule type="expression" dxfId="126" priority="316" stopIfTrue="1">
      <formula>#REF!=1</formula>
    </cfRule>
  </conditionalFormatting>
  <conditionalFormatting sqref="C17:C51">
    <cfRule type="expression" dxfId="125" priority="320" stopIfTrue="1">
      <formula>#REF!&gt;0</formula>
    </cfRule>
    <cfRule type="expression" dxfId="124" priority="321" stopIfTrue="1">
      <formula>#REF!&gt;0</formula>
    </cfRule>
    <cfRule type="expression" dxfId="123" priority="322" stopIfTrue="1">
      <formula>#REF!&gt;0</formula>
    </cfRule>
  </conditionalFormatting>
  <conditionalFormatting sqref="B62:C63 A62">
    <cfRule type="expression" dxfId="122" priority="323" stopIfTrue="1">
      <formula>#REF!=1</formula>
    </cfRule>
  </conditionalFormatting>
  <conditionalFormatting sqref="F62:F63 H62:I63 A62:D63">
    <cfRule type="expression" dxfId="121" priority="324" stopIfTrue="1">
      <formula>#REF!=1</formula>
    </cfRule>
  </conditionalFormatting>
  <conditionalFormatting sqref="I62 A62">
    <cfRule type="expression" dxfId="120" priority="314" stopIfTrue="1">
      <formula>#REF!=1</formula>
    </cfRule>
  </conditionalFormatting>
  <conditionalFormatting sqref="I63">
    <cfRule type="expression" dxfId="119" priority="311" stopIfTrue="1">
      <formula>#REF!=1</formula>
    </cfRule>
  </conditionalFormatting>
  <conditionalFormatting sqref="B17:B51 E17:E51">
    <cfRule type="expression" dxfId="118" priority="71" stopIfTrue="1">
      <formula>#REF!&gt;0</formula>
    </cfRule>
    <cfRule type="expression" dxfId="117" priority="72" stopIfTrue="1">
      <formula>#REF!&gt;0</formula>
    </cfRule>
    <cfRule type="expression" dxfId="116" priority="73" stopIfTrue="1">
      <formula>#REF!&gt;0</formula>
    </cfRule>
  </conditionalFormatting>
  <conditionalFormatting sqref="A30:A52">
    <cfRule type="expression" dxfId="115" priority="47" stopIfTrue="1">
      <formula>#REF!&gt;0</formula>
    </cfRule>
    <cfRule type="expression" dxfId="114" priority="48" stopIfTrue="1">
      <formula>#REF!&gt;0</formula>
    </cfRule>
    <cfRule type="expression" dxfId="113" priority="49" stopIfTrue="1">
      <formula>#REF!&gt;0</formula>
    </cfRule>
  </conditionalFormatting>
  <conditionalFormatting sqref="A17:A29">
    <cfRule type="expression" dxfId="112" priority="42" stopIfTrue="1">
      <formula>#REF!&gt;0</formula>
    </cfRule>
    <cfRule type="expression" dxfId="111" priority="43" stopIfTrue="1">
      <formula>#REF!&gt;0</formula>
    </cfRule>
    <cfRule type="expression" dxfId="110" priority="44" stopIfTrue="1">
      <formula>#REF!&gt;0</formula>
    </cfRule>
  </conditionalFormatting>
  <conditionalFormatting sqref="A57:D61">
    <cfRule type="expression" dxfId="109" priority="39" stopIfTrue="1">
      <formula>#REF!=1</formula>
    </cfRule>
  </conditionalFormatting>
  <conditionalFormatting sqref="A56:D56 B57:C58 B60:C61 A58 A60">
    <cfRule type="expression" dxfId="108" priority="40" stopIfTrue="1">
      <formula>#REF!=1</formula>
    </cfRule>
  </conditionalFormatting>
  <conditionalFormatting sqref="D56:D61 B56:C58 B60:C61 A56:A61 F56:F61 H57:I58 H60:I61 I59 I56">
    <cfRule type="expression" dxfId="107" priority="41" stopIfTrue="1">
      <formula>#REF!=1</formula>
    </cfRule>
  </conditionalFormatting>
  <conditionalFormatting sqref="I57">
    <cfRule type="expression" dxfId="106" priority="38" stopIfTrue="1">
      <formula>#REF!=1</formula>
    </cfRule>
  </conditionalFormatting>
  <conditionalFormatting sqref="I59">
    <cfRule type="expression" dxfId="105" priority="37" stopIfTrue="1">
      <formula>#REF!=1</formula>
    </cfRule>
  </conditionalFormatting>
  <conditionalFormatting sqref="I61">
    <cfRule type="expression" dxfId="104" priority="36" stopIfTrue="1">
      <formula>#REF!=1</formula>
    </cfRule>
  </conditionalFormatting>
  <conditionalFormatting sqref="I60">
    <cfRule type="expression" dxfId="103" priority="35" stopIfTrue="1">
      <formula>#REF!=1</formula>
    </cfRule>
  </conditionalFormatting>
  <conditionalFormatting sqref="I58">
    <cfRule type="expression" dxfId="102" priority="34" stopIfTrue="1">
      <formula>#REF!=1</formula>
    </cfRule>
  </conditionalFormatting>
  <conditionalFormatting sqref="A56 A58 A60">
    <cfRule type="expression" dxfId="101" priority="33" stopIfTrue="1">
      <formula>#REF!=1</formula>
    </cfRule>
  </conditionalFormatting>
  <conditionalFormatting sqref="B56:C56">
    <cfRule type="expression" dxfId="100" priority="32" stopIfTrue="1">
      <formula>#REF!=1</formula>
    </cfRule>
  </conditionalFormatting>
  <conditionalFormatting sqref="B59:C59">
    <cfRule type="expression" dxfId="99" priority="31" stopIfTrue="1">
      <formula>#REF!=1</formula>
    </cfRule>
  </conditionalFormatting>
  <conditionalFormatting sqref="B61:C61">
    <cfRule type="expression" dxfId="98" priority="30" stopIfTrue="1">
      <formula>#REF!=1</formula>
    </cfRule>
  </conditionalFormatting>
  <conditionalFormatting sqref="A57 A59 A61">
    <cfRule type="expression" dxfId="97" priority="29" stopIfTrue="1">
      <formula>#REF!=1</formula>
    </cfRule>
  </conditionalFormatting>
  <conditionalFormatting sqref="A57 A59 A61">
    <cfRule type="expression" dxfId="96" priority="28" stopIfTrue="1">
      <formula>#REF!=1</formula>
    </cfRule>
  </conditionalFormatting>
  <conditionalFormatting sqref="B60:C60">
    <cfRule type="expression" dxfId="95" priority="27" stopIfTrue="1">
      <formula>#REF!=1</formula>
    </cfRule>
  </conditionalFormatting>
  <conditionalFormatting sqref="H59">
    <cfRule type="expression" dxfId="94" priority="26" stopIfTrue="1">
      <formula>#REF!=1</formula>
    </cfRule>
  </conditionalFormatting>
  <conditionalFormatting sqref="H56">
    <cfRule type="expression" dxfId="93" priority="25" stopIfTrue="1">
      <formula>#REF!=1</formula>
    </cfRule>
  </conditionalFormatting>
  <conditionalFormatting sqref="A54:D55">
    <cfRule type="expression" dxfId="92" priority="23" stopIfTrue="1">
      <formula>#REF!=1</formula>
    </cfRule>
  </conditionalFormatting>
  <conditionalFormatting sqref="A54:D55 F54:F55 I54:I55 A56">
    <cfRule type="expression" dxfId="91" priority="24" stopIfTrue="1">
      <formula>#REF!=1</formula>
    </cfRule>
  </conditionalFormatting>
  <conditionalFormatting sqref="A54:A56">
    <cfRule type="expression" dxfId="90" priority="22" stopIfTrue="1">
      <formula>#REF!=1</formula>
    </cfRule>
  </conditionalFormatting>
  <conditionalFormatting sqref="B54:C55">
    <cfRule type="expression" dxfId="89" priority="21" stopIfTrue="1">
      <formula>#REF!=1</formula>
    </cfRule>
  </conditionalFormatting>
  <conditionalFormatting sqref="H54">
    <cfRule type="expression" dxfId="88" priority="20" stopIfTrue="1">
      <formula>#REF!=1</formula>
    </cfRule>
  </conditionalFormatting>
  <conditionalFormatting sqref="H55">
    <cfRule type="expression" dxfId="87" priority="19"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J1857"/>
  <sheetViews>
    <sheetView showGridLines="0" showZeros="0" view="pageBreakPreview" topLeftCell="A1836" zoomScaleNormal="120" zoomScaleSheetLayoutView="100" workbookViewId="0">
      <selection activeCell="I654" sqref="I654"/>
    </sheetView>
  </sheetViews>
  <sheetFormatPr baseColWidth="10" defaultColWidth="11.42578125" defaultRowHeight="19.899999999999999" customHeight="1" x14ac:dyDescent="0.2"/>
  <cols>
    <col min="1" max="1" width="20.7109375" style="433" customWidth="1"/>
    <col min="2" max="2" width="25.7109375" style="433" customWidth="1"/>
    <col min="3" max="3" width="40.7109375" style="433" customWidth="1"/>
    <col min="4" max="4" width="10.7109375" style="433" customWidth="1"/>
    <col min="5" max="5" width="12.7109375" style="433" customWidth="1"/>
    <col min="6" max="7" width="15.7109375" style="468" customWidth="1"/>
    <col min="8" max="8" width="11.7109375" style="433" bestFit="1" customWidth="1"/>
    <col min="9" max="16384" width="11.42578125" style="433"/>
  </cols>
  <sheetData>
    <row r="1" spans="1:8" ht="19.899999999999999" customHeight="1" x14ac:dyDescent="0.2">
      <c r="A1" s="687" t="s">
        <v>31</v>
      </c>
      <c r="B1" s="688"/>
      <c r="C1" s="688"/>
      <c r="D1" s="688"/>
      <c r="E1" s="688"/>
      <c r="F1" s="688"/>
      <c r="G1" s="689"/>
      <c r="H1" s="58"/>
    </row>
    <row r="2" spans="1:8" ht="19.899999999999999" customHeight="1" x14ac:dyDescent="0.2">
      <c r="A2" s="483" t="s">
        <v>711</v>
      </c>
      <c r="B2" s="434" t="str">
        <f>Comitente</f>
        <v>DEPARTAMENTO DE HIDRÁULICA</v>
      </c>
      <c r="C2" s="435"/>
      <c r="D2" s="436"/>
      <c r="E2" s="436"/>
      <c r="F2" s="437"/>
      <c r="G2" s="484"/>
      <c r="H2" s="58"/>
    </row>
    <row r="3" spans="1:8" ht="19.899999999999999" customHeight="1" x14ac:dyDescent="0.2">
      <c r="A3" s="483" t="s">
        <v>712</v>
      </c>
      <c r="B3" s="434">
        <f>Contratista</f>
        <v>0</v>
      </c>
      <c r="C3" s="438"/>
      <c r="D3" s="438"/>
      <c r="E3" s="438"/>
      <c r="F3" s="434"/>
      <c r="G3" s="485"/>
      <c r="H3" s="58"/>
    </row>
    <row r="4" spans="1:8" ht="19.899999999999999" customHeight="1" x14ac:dyDescent="0.2">
      <c r="A4" s="483" t="s">
        <v>21</v>
      </c>
      <c r="B4" s="434" t="str">
        <f>Obra</f>
        <v>RECRECIMIENTO Y REPARACIÓN CANALES SARMIENTO, 9 DE JULIO Y CHIMBAS</v>
      </c>
      <c r="C4" s="438"/>
      <c r="D4" s="438"/>
      <c r="E4" s="438"/>
      <c r="F4" s="434" t="s">
        <v>32</v>
      </c>
      <c r="G4" s="485">
        <f>Fecha_Base</f>
        <v>0</v>
      </c>
      <c r="H4" s="58"/>
    </row>
    <row r="5" spans="1:8" ht="19.899999999999999" customHeight="1" x14ac:dyDescent="0.2">
      <c r="A5" s="486" t="s">
        <v>710</v>
      </c>
      <c r="B5" s="439" t="str">
        <f>Ubicación</f>
        <v>DEPARTAMENTOS SARMIENTO, 9 DE JULIO Y CHIMBAS</v>
      </c>
      <c r="C5" s="439"/>
      <c r="D5" s="440"/>
      <c r="E5" s="441"/>
      <c r="F5" s="442"/>
      <c r="G5" s="487"/>
      <c r="H5" s="58"/>
    </row>
    <row r="6" spans="1:8" ht="19.899999999999999" customHeight="1" x14ac:dyDescent="0.2">
      <c r="A6" s="486" t="s">
        <v>33</v>
      </c>
      <c r="B6" s="443">
        <f>IFERROR(VALUE(LEFT(B7,FIND(".",B7)-1)),"")</f>
        <v>1</v>
      </c>
      <c r="C6" s="155" t="str">
        <f ca="1">IFERROR(VLOOKUP(B6,T_Computo_Presupuesto,2,FALSE),0)</f>
        <v>DPTO. SARMIENTO - CANAL PRIMERO DE COCHAGUAL</v>
      </c>
      <c r="D6" s="155"/>
      <c r="E6" s="441"/>
      <c r="F6" s="442"/>
      <c r="G6" s="487"/>
      <c r="H6" s="58"/>
    </row>
    <row r="7" spans="1:8" ht="19.899999999999999" customHeight="1" x14ac:dyDescent="0.2">
      <c r="A7" s="486" t="s">
        <v>22</v>
      </c>
      <c r="B7" s="444" t="str">
        <f>IFERROR(VLOOKUP(COUNTIF($A$1:A7,"ANALISIS DE PRECIOS"),T_NumeroItem,2,FALSE),"")</f>
        <v>1.1.1</v>
      </c>
      <c r="C7" s="690" t="str">
        <f ca="1">IFERROR(VLOOKUP(B7,T_Computo_Presupuesto,2,FALSE),0)</f>
        <v>Preparación y Limpieza de Superf.</v>
      </c>
      <c r="D7" s="690"/>
      <c r="E7" s="690"/>
      <c r="F7" s="439" t="s">
        <v>23</v>
      </c>
      <c r="G7" s="488" t="str">
        <f ca="1">IFERROR(VLOOKUP(B7,T_Computo_Presupuesto,4,FALSE),0)</f>
        <v>GL</v>
      </c>
      <c r="H7" s="58"/>
    </row>
    <row r="8" spans="1:8" ht="19.899999999999999" customHeight="1" x14ac:dyDescent="0.2">
      <c r="A8" s="486"/>
      <c r="B8" s="439"/>
      <c r="C8" s="155"/>
      <c r="D8" s="440"/>
      <c r="E8" s="441"/>
      <c r="F8" s="155"/>
      <c r="G8" s="489"/>
      <c r="H8" s="58"/>
    </row>
    <row r="9" spans="1:8" ht="19.899999999999999" customHeight="1" x14ac:dyDescent="0.2">
      <c r="A9" s="490"/>
      <c r="B9" s="445"/>
      <c r="C9" s="446" t="s">
        <v>975</v>
      </c>
      <c r="D9" s="445"/>
      <c r="E9" s="445"/>
      <c r="F9" s="445"/>
      <c r="G9" s="491"/>
      <c r="H9" s="58"/>
    </row>
    <row r="10" spans="1:8" ht="19.899999999999999" customHeight="1" x14ac:dyDescent="0.2">
      <c r="A10" s="486"/>
      <c r="B10" s="447"/>
      <c r="C10" s="155"/>
      <c r="D10" s="440"/>
      <c r="E10" s="441"/>
      <c r="F10" s="439"/>
      <c r="G10" s="488"/>
      <c r="H10" s="58"/>
    </row>
    <row r="11" spans="1:8" ht="19.899999999999999" customHeight="1" x14ac:dyDescent="0.2">
      <c r="A11" s="486"/>
      <c r="B11" s="447"/>
      <c r="C11" s="448" t="s">
        <v>976</v>
      </c>
      <c r="D11" s="449" t="s">
        <v>24</v>
      </c>
      <c r="E11" s="449" t="s">
        <v>977</v>
      </c>
      <c r="F11" s="449" t="s">
        <v>978</v>
      </c>
      <c r="G11" s="448" t="s">
        <v>979</v>
      </c>
    </row>
    <row r="12" spans="1:8" ht="19.899999999999999" customHeight="1" x14ac:dyDescent="0.2">
      <c r="A12" s="486"/>
      <c r="B12" s="447"/>
      <c r="C12" s="450">
        <f>+Equipos!A14</f>
        <v>0</v>
      </c>
      <c r="D12" s="451"/>
      <c r="E12" s="452">
        <f t="shared" ref="E12:E21" si="0">IFERROR(VLOOKUP(C12,T_Equipos,4,FALSE),0)</f>
        <v>0</v>
      </c>
      <c r="F12" s="453">
        <f t="shared" ref="F12:F21" si="1">IFERROR(VLOOKUP(C12,T_Equipos,5,FALSE),0)</f>
        <v>0</v>
      </c>
      <c r="G12" s="453">
        <f>ROUND(D12*F12,2)</f>
        <v>0</v>
      </c>
    </row>
    <row r="13" spans="1:8" ht="19.899999999999999" customHeight="1" x14ac:dyDescent="0.2">
      <c r="A13" s="486"/>
      <c r="B13" s="447"/>
      <c r="C13" s="450">
        <f>+Equipos!A19</f>
        <v>0</v>
      </c>
      <c r="D13" s="451"/>
      <c r="E13" s="452">
        <f t="shared" si="0"/>
        <v>0</v>
      </c>
      <c r="F13" s="453">
        <f t="shared" si="1"/>
        <v>0</v>
      </c>
      <c r="G13" s="453">
        <f>ROUND(D13*F13,2)</f>
        <v>0</v>
      </c>
    </row>
    <row r="14" spans="1:8" ht="19.899999999999999" customHeight="1" x14ac:dyDescent="0.2">
      <c r="A14" s="486"/>
      <c r="B14" s="447"/>
      <c r="C14" s="450">
        <f>+Equipos!A13</f>
        <v>0</v>
      </c>
      <c r="D14" s="451"/>
      <c r="E14" s="452">
        <f t="shared" si="0"/>
        <v>0</v>
      </c>
      <c r="F14" s="453">
        <f t="shared" si="1"/>
        <v>0</v>
      </c>
      <c r="G14" s="453">
        <f>ROUND(D14*F14,2)</f>
        <v>0</v>
      </c>
    </row>
    <row r="15" spans="1:8" ht="19.899999999999999" customHeight="1" x14ac:dyDescent="0.2">
      <c r="A15" s="486"/>
      <c r="B15" s="447"/>
      <c r="C15" s="450">
        <f>+Equipos!A22</f>
        <v>0</v>
      </c>
      <c r="D15" s="451"/>
      <c r="E15" s="452">
        <f t="shared" si="0"/>
        <v>0</v>
      </c>
      <c r="F15" s="453">
        <f t="shared" si="1"/>
        <v>0</v>
      </c>
      <c r="G15" s="453">
        <f>ROUND(D15*F15,2)</f>
        <v>0</v>
      </c>
    </row>
    <row r="16" spans="1:8" ht="19.899999999999999" customHeight="1" x14ac:dyDescent="0.2">
      <c r="A16" s="486"/>
      <c r="B16" s="447"/>
      <c r="C16" s="450"/>
      <c r="D16" s="451"/>
      <c r="E16" s="452">
        <f t="shared" si="0"/>
        <v>0</v>
      </c>
      <c r="F16" s="453">
        <f t="shared" si="1"/>
        <v>0</v>
      </c>
      <c r="G16" s="453">
        <f t="shared" ref="G16:G21" si="2">ROUND(D16*F16,2)</f>
        <v>0</v>
      </c>
    </row>
    <row r="17" spans="1:7" ht="19.899999999999999" customHeight="1" x14ac:dyDescent="0.2">
      <c r="A17" s="486"/>
      <c r="B17" s="447"/>
      <c r="C17" s="450"/>
      <c r="D17" s="451"/>
      <c r="E17" s="452">
        <f t="shared" si="0"/>
        <v>0</v>
      </c>
      <c r="F17" s="453">
        <f t="shared" si="1"/>
        <v>0</v>
      </c>
      <c r="G17" s="453">
        <f t="shared" si="2"/>
        <v>0</v>
      </c>
    </row>
    <row r="18" spans="1:7" ht="19.899999999999999" customHeight="1" x14ac:dyDescent="0.2">
      <c r="A18" s="486"/>
      <c r="B18" s="447"/>
      <c r="C18" s="450"/>
      <c r="D18" s="451"/>
      <c r="E18" s="452">
        <f t="shared" si="0"/>
        <v>0</v>
      </c>
      <c r="F18" s="453">
        <f t="shared" si="1"/>
        <v>0</v>
      </c>
      <c r="G18" s="453">
        <f t="shared" si="2"/>
        <v>0</v>
      </c>
    </row>
    <row r="19" spans="1:7" ht="19.899999999999999" customHeight="1" x14ac:dyDescent="0.2">
      <c r="A19" s="486"/>
      <c r="B19" s="447"/>
      <c r="C19" s="450"/>
      <c r="D19" s="451"/>
      <c r="E19" s="452">
        <f t="shared" si="0"/>
        <v>0</v>
      </c>
      <c r="F19" s="453">
        <f t="shared" si="1"/>
        <v>0</v>
      </c>
      <c r="G19" s="453">
        <f t="shared" si="2"/>
        <v>0</v>
      </c>
    </row>
    <row r="20" spans="1:7" ht="19.899999999999999" customHeight="1" x14ac:dyDescent="0.2">
      <c r="A20" s="486"/>
      <c r="B20" s="447"/>
      <c r="C20" s="450"/>
      <c r="D20" s="451"/>
      <c r="E20" s="452">
        <f t="shared" si="0"/>
        <v>0</v>
      </c>
      <c r="F20" s="453">
        <f t="shared" si="1"/>
        <v>0</v>
      </c>
      <c r="G20" s="453">
        <f t="shared" si="2"/>
        <v>0</v>
      </c>
    </row>
    <row r="21" spans="1:7" ht="19.899999999999999" customHeight="1" x14ac:dyDescent="0.2">
      <c r="A21" s="486"/>
      <c r="B21" s="447"/>
      <c r="C21" s="450"/>
      <c r="D21" s="451"/>
      <c r="E21" s="452">
        <f t="shared" si="0"/>
        <v>0</v>
      </c>
      <c r="F21" s="453">
        <f t="shared" si="1"/>
        <v>0</v>
      </c>
      <c r="G21" s="453">
        <f t="shared" si="2"/>
        <v>0</v>
      </c>
    </row>
    <row r="22" spans="1:7" ht="19.899999999999999" customHeight="1" x14ac:dyDescent="0.2">
      <c r="A22" s="486"/>
      <c r="B22" s="447"/>
      <c r="C22" s="155"/>
      <c r="D22" s="155"/>
      <c r="E22" s="454"/>
      <c r="F22" s="439"/>
      <c r="G22" s="488"/>
    </row>
    <row r="23" spans="1:7" ht="19.899999999999999" customHeight="1" x14ac:dyDescent="0.2">
      <c r="A23" s="486"/>
      <c r="B23" s="155"/>
      <c r="C23" s="436" t="s">
        <v>980</v>
      </c>
      <c r="D23" s="439" t="s">
        <v>977</v>
      </c>
      <c r="E23" s="505">
        <f>SUMPRODUCT(D12:D21,E12:E21)</f>
        <v>0</v>
      </c>
      <c r="F23" s="439" t="s">
        <v>981</v>
      </c>
      <c r="G23" s="506">
        <f>SUM(G12:G21)</f>
        <v>0</v>
      </c>
    </row>
    <row r="24" spans="1:7" ht="19.899999999999999" customHeight="1" x14ac:dyDescent="0.2">
      <c r="A24" s="486"/>
      <c r="B24" s="447"/>
      <c r="C24" s="455"/>
      <c r="D24" s="454"/>
      <c r="E24" s="441"/>
      <c r="F24" s="439"/>
      <c r="G24" s="492"/>
    </row>
    <row r="25" spans="1:7" ht="19.899999999999999" customHeight="1" x14ac:dyDescent="0.2">
      <c r="A25" s="493"/>
      <c r="B25" s="447"/>
      <c r="C25" s="439" t="s">
        <v>982</v>
      </c>
      <c r="D25" s="456">
        <f>IFERROR(VLOOKUP(COUNTIF($A$1:A25,"ANALISIS DE PRECIOS"),T_Rendimiento_Equipo,5,FALSE),0)</f>
        <v>0</v>
      </c>
      <c r="E25" s="457" t="str">
        <f ca="1">G7&amp;"/día"</f>
        <v>GL/día</v>
      </c>
      <c r="F25" s="433"/>
      <c r="G25" s="488"/>
    </row>
    <row r="26" spans="1:7" ht="19.899999999999999" customHeight="1" x14ac:dyDescent="0.2">
      <c r="A26" s="486"/>
      <c r="B26" s="447"/>
      <c r="C26" s="155"/>
      <c r="D26" s="440"/>
      <c r="E26" s="441"/>
      <c r="F26" s="439"/>
      <c r="G26" s="488"/>
    </row>
    <row r="27" spans="1:7" ht="19.899999999999999" customHeight="1" x14ac:dyDescent="0.2">
      <c r="A27" s="677" t="s">
        <v>576</v>
      </c>
      <c r="B27" s="678"/>
      <c r="C27" s="679" t="s">
        <v>0</v>
      </c>
      <c r="D27" s="691" t="s">
        <v>1732</v>
      </c>
      <c r="E27" s="691" t="s">
        <v>1731</v>
      </c>
      <c r="F27" s="683" t="s">
        <v>983</v>
      </c>
      <c r="G27" s="685" t="s">
        <v>26</v>
      </c>
    </row>
    <row r="28" spans="1:7" ht="19.899999999999999" customHeight="1" x14ac:dyDescent="0.2">
      <c r="A28" s="458" t="s">
        <v>577</v>
      </c>
      <c r="B28" s="458" t="s">
        <v>578</v>
      </c>
      <c r="C28" s="680"/>
      <c r="D28" s="692"/>
      <c r="E28" s="682"/>
      <c r="F28" s="684"/>
      <c r="G28" s="686"/>
    </row>
    <row r="29" spans="1:7" ht="19.899999999999999" customHeight="1" x14ac:dyDescent="0.2">
      <c r="A29" s="494"/>
      <c r="B29" s="155"/>
      <c r="C29" s="436" t="s">
        <v>984</v>
      </c>
      <c r="D29" s="441"/>
      <c r="E29" s="441"/>
      <c r="F29" s="155"/>
      <c r="G29" s="495"/>
    </row>
    <row r="30" spans="1:7" ht="19.899999999999999" customHeight="1" x14ac:dyDescent="0.2">
      <c r="A30" s="496">
        <f t="shared" ref="A30:A38" si="3">IFERROR(VLOOKUP(C30,T_Insumos,4,FALSE),0)</f>
        <v>0</v>
      </c>
      <c r="B30" s="459">
        <f t="shared" ref="B30:B38" si="4">IFERROR(VLOOKUP(C30,T_Insumos,5,FALSE),0)</f>
        <v>0</v>
      </c>
      <c r="C30" s="450">
        <f>+Insumos!A15</f>
        <v>0</v>
      </c>
      <c r="D30" s="460">
        <f t="shared" ref="D30:D38" si="5">IFERROR(VLOOKUP(C30,T_Insumos,3,FALSE),0)</f>
        <v>0</v>
      </c>
      <c r="E30" s="453">
        <f>D30*$G$23</f>
        <v>0</v>
      </c>
      <c r="F30" s="456">
        <f>IF(C30="",0,IFERROR(VLOOKUP(COUNTIF($A$1:A30,"ANALISIS DE PRECIOS"),T_Rendimiento_Equipo,5,FALSE),0))</f>
        <v>0</v>
      </c>
      <c r="G30" s="453">
        <f>IFERROR(ROUND(E30/F30,2),0)</f>
        <v>0</v>
      </c>
    </row>
    <row r="31" spans="1:7" ht="19.899999999999999" customHeight="1" x14ac:dyDescent="0.2">
      <c r="A31" s="496">
        <f t="shared" si="3"/>
        <v>0</v>
      </c>
      <c r="B31" s="459">
        <f t="shared" si="4"/>
        <v>0</v>
      </c>
      <c r="C31" s="450">
        <f>+Insumos!A16</f>
        <v>0</v>
      </c>
      <c r="D31" s="460">
        <f t="shared" si="5"/>
        <v>0</v>
      </c>
      <c r="E31" s="453">
        <f t="shared" ref="E31:E32" si="6">D31*$G$23</f>
        <v>0</v>
      </c>
      <c r="F31" s="456">
        <f>IF(C31="",0,IFERROR(VLOOKUP(COUNTIF($A$1:A31,"ANALISIS DE PRECIOS"),T_Rendimiento_Equipo,5,FALSE),0))</f>
        <v>0</v>
      </c>
      <c r="G31" s="453">
        <f t="shared" ref="G31:G38" si="7">IFERROR(ROUND(E31/F31,2),0)</f>
        <v>0</v>
      </c>
    </row>
    <row r="32" spans="1:7" ht="19.899999999999999" customHeight="1" x14ac:dyDescent="0.2">
      <c r="A32" s="496">
        <f t="shared" si="3"/>
        <v>0</v>
      </c>
      <c r="B32" s="459">
        <f t="shared" si="4"/>
        <v>0</v>
      </c>
      <c r="C32" s="450">
        <f>+Insumos!A17</f>
        <v>0</v>
      </c>
      <c r="D32" s="460">
        <f t="shared" si="5"/>
        <v>0</v>
      </c>
      <c r="E32" s="453">
        <f t="shared" si="6"/>
        <v>0</v>
      </c>
      <c r="F32" s="456">
        <f>IF(C32="",0,IFERROR(VLOOKUP(COUNTIF($A$1:A32,"ANALISIS DE PRECIOS"),T_Rendimiento_Equipo,5,FALSE),0))</f>
        <v>0</v>
      </c>
      <c r="G32" s="453">
        <f t="shared" si="7"/>
        <v>0</v>
      </c>
    </row>
    <row r="33" spans="1:7" ht="19.899999999999999" customHeight="1" x14ac:dyDescent="0.2">
      <c r="A33" s="496">
        <f t="shared" si="3"/>
        <v>0</v>
      </c>
      <c r="B33" s="459">
        <f t="shared" si="4"/>
        <v>0</v>
      </c>
      <c r="C33" s="450">
        <f>+Insumos!A18</f>
        <v>0</v>
      </c>
      <c r="D33" s="460">
        <f t="shared" si="5"/>
        <v>0</v>
      </c>
      <c r="E33" s="453">
        <f>D33*$E$23</f>
        <v>0</v>
      </c>
      <c r="F33" s="456">
        <f>IF(C33="",0,IFERROR(VLOOKUP(COUNTIF($A$1:A33,"ANALISIS DE PRECIOS"),T_Rendimiento_Equipo,5,FALSE),0))</f>
        <v>0</v>
      </c>
      <c r="G33" s="453">
        <f t="shared" si="7"/>
        <v>0</v>
      </c>
    </row>
    <row r="34" spans="1:7" ht="19.899999999999999" customHeight="1" x14ac:dyDescent="0.2">
      <c r="A34" s="496">
        <f t="shared" si="3"/>
        <v>0</v>
      </c>
      <c r="B34" s="459">
        <f t="shared" si="4"/>
        <v>0</v>
      </c>
      <c r="C34" s="461"/>
      <c r="D34" s="460">
        <f t="shared" si="5"/>
        <v>0</v>
      </c>
      <c r="E34" s="453"/>
      <c r="F34" s="456">
        <f>IF(C34="",0,IFERROR(VLOOKUP(COUNTIF($A$1:A34,"ANALISIS DE PRECIOS"),T_Rendimiento_Equipo,5,FALSE),0))</f>
        <v>0</v>
      </c>
      <c r="G34" s="453">
        <f t="shared" si="7"/>
        <v>0</v>
      </c>
    </row>
    <row r="35" spans="1:7" ht="19.899999999999999" customHeight="1" x14ac:dyDescent="0.2">
      <c r="A35" s="496">
        <f t="shared" si="3"/>
        <v>0</v>
      </c>
      <c r="B35" s="459">
        <f t="shared" si="4"/>
        <v>0</v>
      </c>
      <c r="C35" s="461"/>
      <c r="D35" s="460">
        <f t="shared" si="5"/>
        <v>0</v>
      </c>
      <c r="E35" s="453"/>
      <c r="F35" s="456">
        <f>IF(C35="",0,IFERROR(VLOOKUP(COUNTIF($A$1:A35,"ANALISIS DE PRECIOS"),T_Rendimiento_Equipo,5,FALSE),0))</f>
        <v>0</v>
      </c>
      <c r="G35" s="453">
        <f t="shared" si="7"/>
        <v>0</v>
      </c>
    </row>
    <row r="36" spans="1:7" ht="19.899999999999999" customHeight="1" x14ac:dyDescent="0.2">
      <c r="A36" s="496">
        <f t="shared" si="3"/>
        <v>0</v>
      </c>
      <c r="B36" s="459">
        <f t="shared" si="4"/>
        <v>0</v>
      </c>
      <c r="C36" s="461"/>
      <c r="D36" s="460">
        <f t="shared" si="5"/>
        <v>0</v>
      </c>
      <c r="E36" s="453"/>
      <c r="F36" s="456">
        <f>IF(C36="",0,IFERROR(VLOOKUP(COUNTIF($A$1:A36,"ANALISIS DE PRECIOS"),T_Rendimiento_Equipo,5,FALSE),0))</f>
        <v>0</v>
      </c>
      <c r="G36" s="453">
        <f t="shared" si="7"/>
        <v>0</v>
      </c>
    </row>
    <row r="37" spans="1:7" ht="19.899999999999999" customHeight="1" x14ac:dyDescent="0.2">
      <c r="A37" s="496">
        <f t="shared" si="3"/>
        <v>0</v>
      </c>
      <c r="B37" s="459">
        <f t="shared" si="4"/>
        <v>0</v>
      </c>
      <c r="C37" s="461"/>
      <c r="D37" s="460">
        <f t="shared" si="5"/>
        <v>0</v>
      </c>
      <c r="E37" s="453"/>
      <c r="F37" s="456">
        <f>IF(C37="",0,IFERROR(VLOOKUP(COUNTIF($A$1:A37,"ANALISIS DE PRECIOS"),T_Rendimiento_Equipo,5,FALSE),0))</f>
        <v>0</v>
      </c>
      <c r="G37" s="453">
        <f t="shared" si="7"/>
        <v>0</v>
      </c>
    </row>
    <row r="38" spans="1:7" ht="19.899999999999999" customHeight="1" x14ac:dyDescent="0.2">
      <c r="A38" s="496">
        <f t="shared" si="3"/>
        <v>0</v>
      </c>
      <c r="B38" s="459">
        <f t="shared" si="4"/>
        <v>0</v>
      </c>
      <c r="C38" s="450"/>
      <c r="D38" s="460">
        <f t="shared" si="5"/>
        <v>0</v>
      </c>
      <c r="E38" s="453"/>
      <c r="F38" s="456">
        <f>IF(C38="",0,IFERROR(VLOOKUP(COUNTIF($A$1:A38,"ANALISIS DE PRECIOS"),T_Rendimiento_Equipo,5,FALSE),0))</f>
        <v>0</v>
      </c>
      <c r="G38" s="453">
        <f t="shared" si="7"/>
        <v>0</v>
      </c>
    </row>
    <row r="39" spans="1:7" ht="19.899999999999999" customHeight="1" x14ac:dyDescent="0.2">
      <c r="A39" s="497"/>
      <c r="B39" s="440"/>
      <c r="C39" s="155"/>
      <c r="D39" s="440"/>
      <c r="E39" s="441"/>
      <c r="F39" s="462" t="s">
        <v>27</v>
      </c>
      <c r="G39" s="498">
        <f>SUBTOTAL(9,G30:G38)</f>
        <v>0</v>
      </c>
    </row>
    <row r="40" spans="1:7" ht="19.899999999999999" customHeight="1" x14ac:dyDescent="0.2">
      <c r="A40" s="494"/>
      <c r="B40" s="155"/>
      <c r="C40" s="436" t="s">
        <v>713</v>
      </c>
      <c r="D40" s="440"/>
      <c r="E40" s="441"/>
      <c r="F40" s="442"/>
      <c r="G40" s="495"/>
    </row>
    <row r="41" spans="1:7" ht="19.899999999999999" customHeight="1" x14ac:dyDescent="0.2">
      <c r="A41" s="677" t="s">
        <v>576</v>
      </c>
      <c r="B41" s="678"/>
      <c r="C41" s="679" t="s">
        <v>0</v>
      </c>
      <c r="D41" s="681" t="s">
        <v>24</v>
      </c>
      <c r="E41" s="681" t="s">
        <v>1711</v>
      </c>
      <c r="F41" s="683" t="s">
        <v>983</v>
      </c>
      <c r="G41" s="685" t="s">
        <v>26</v>
      </c>
    </row>
    <row r="42" spans="1:7" ht="19.899999999999999" customHeight="1" x14ac:dyDescent="0.2">
      <c r="A42" s="458" t="s">
        <v>577</v>
      </c>
      <c r="B42" s="458" t="s">
        <v>578</v>
      </c>
      <c r="C42" s="680"/>
      <c r="D42" s="682"/>
      <c r="E42" s="682"/>
      <c r="F42" s="684"/>
      <c r="G42" s="686"/>
    </row>
    <row r="43" spans="1:7" ht="19.899999999999999" customHeight="1" x14ac:dyDescent="0.2">
      <c r="A43" s="496">
        <f t="shared" ref="A43:A49" si="8">IFERROR(VLOOKUP(C43,T_Insumos,4,FALSE),0)</f>
        <v>0</v>
      </c>
      <c r="B43" s="459">
        <f t="shared" ref="B43:B49" si="9">IFERROR(VLOOKUP(C43,T_Insumos,5,FALSE),0)</f>
        <v>0</v>
      </c>
      <c r="C43" s="463"/>
      <c r="D43" s="456"/>
      <c r="E43" s="453">
        <f t="shared" ref="E43:E49" si="10">IFERROR(VLOOKUP(C43,T_Insumos,3,FALSE),0)</f>
        <v>0</v>
      </c>
      <c r="F43" s="456">
        <f>IF(C43="",0,IFERROR(VLOOKUP(COUNTIF($A$1:A43,"ANALISIS DE PRECIOS"),T_Rendimiento_Equipo,5,FALSE),0))</f>
        <v>0</v>
      </c>
      <c r="G43" s="453">
        <f>IFERROR(ROUND(D43*E43/F43,2),0)</f>
        <v>0</v>
      </c>
    </row>
    <row r="44" spans="1:7" ht="19.899999999999999" customHeight="1" x14ac:dyDescent="0.2">
      <c r="A44" s="496">
        <f t="shared" si="8"/>
        <v>0</v>
      </c>
      <c r="B44" s="459">
        <f t="shared" si="9"/>
        <v>0</v>
      </c>
      <c r="C44" s="463"/>
      <c r="D44" s="456"/>
      <c r="E44" s="453">
        <f t="shared" si="10"/>
        <v>0</v>
      </c>
      <c r="F44" s="456">
        <f>IF(C44="",0,IFERROR(VLOOKUP(COUNTIF($A$1:A44,"ANALISIS DE PRECIOS"),T_Rendimiento_Equipo,5,FALSE),0))</f>
        <v>0</v>
      </c>
      <c r="G44" s="453">
        <f t="shared" ref="G44:G49" si="11">IFERROR(ROUND(D44*E44/F44,2),0)</f>
        <v>0</v>
      </c>
    </row>
    <row r="45" spans="1:7" ht="19.899999999999999" customHeight="1" x14ac:dyDescent="0.2">
      <c r="A45" s="496">
        <f t="shared" si="8"/>
        <v>0</v>
      </c>
      <c r="B45" s="459">
        <f t="shared" si="9"/>
        <v>0</v>
      </c>
      <c r="C45" s="463"/>
      <c r="D45" s="456"/>
      <c r="E45" s="453">
        <f t="shared" si="10"/>
        <v>0</v>
      </c>
      <c r="F45" s="456">
        <f>IF(C45="",0,IFERROR(VLOOKUP(COUNTIF($A$1:A45,"ANALISIS DE PRECIOS"),T_Rendimiento_Equipo,5,FALSE),0))</f>
        <v>0</v>
      </c>
      <c r="G45" s="453">
        <f t="shared" si="11"/>
        <v>0</v>
      </c>
    </row>
    <row r="46" spans="1:7" ht="19.899999999999999" customHeight="1" x14ac:dyDescent="0.2">
      <c r="A46" s="496">
        <f t="shared" si="8"/>
        <v>0</v>
      </c>
      <c r="B46" s="459">
        <f t="shared" si="9"/>
        <v>0</v>
      </c>
      <c r="C46" s="463"/>
      <c r="D46" s="456"/>
      <c r="E46" s="453">
        <f t="shared" si="10"/>
        <v>0</v>
      </c>
      <c r="F46" s="456">
        <f>IF(C46="",0,IFERROR(VLOOKUP(COUNTIF($A$1:A46,"ANALISIS DE PRECIOS"),T_Rendimiento_Equipo,5,FALSE),0))</f>
        <v>0</v>
      </c>
      <c r="G46" s="453">
        <f t="shared" si="11"/>
        <v>0</v>
      </c>
    </row>
    <row r="47" spans="1:7" ht="19.899999999999999" customHeight="1" x14ac:dyDescent="0.2">
      <c r="A47" s="496">
        <f t="shared" si="8"/>
        <v>0</v>
      </c>
      <c r="B47" s="459">
        <f t="shared" si="9"/>
        <v>0</v>
      </c>
      <c r="C47" s="450"/>
      <c r="D47" s="456"/>
      <c r="E47" s="453">
        <f t="shared" si="10"/>
        <v>0</v>
      </c>
      <c r="F47" s="456">
        <f>IF(C47="",0,IFERROR(VLOOKUP(COUNTIF($A$1:A47,"ANALISIS DE PRECIOS"),T_Rendimiento_Equipo,5,FALSE),0))</f>
        <v>0</v>
      </c>
      <c r="G47" s="453">
        <f t="shared" si="11"/>
        <v>0</v>
      </c>
    </row>
    <row r="48" spans="1:7" ht="19.899999999999999" customHeight="1" x14ac:dyDescent="0.2">
      <c r="A48" s="496">
        <f t="shared" si="8"/>
        <v>0</v>
      </c>
      <c r="B48" s="459">
        <f t="shared" si="9"/>
        <v>0</v>
      </c>
      <c r="C48" s="450"/>
      <c r="D48" s="464"/>
      <c r="E48" s="453">
        <f t="shared" si="10"/>
        <v>0</v>
      </c>
      <c r="F48" s="456">
        <f>IF(C48="",0,IFERROR(VLOOKUP(COUNTIF($A$1:A48,"ANALISIS DE PRECIOS"),T_Rendimiento_Equipo,5,FALSE),0))</f>
        <v>0</v>
      </c>
      <c r="G48" s="453">
        <f t="shared" si="11"/>
        <v>0</v>
      </c>
    </row>
    <row r="49" spans="1:8" ht="19.899999999999999" customHeight="1" x14ac:dyDescent="0.2">
      <c r="A49" s="496">
        <f t="shared" si="8"/>
        <v>0</v>
      </c>
      <c r="B49" s="459">
        <f t="shared" si="9"/>
        <v>0</v>
      </c>
      <c r="C49" s="459"/>
      <c r="D49" s="465"/>
      <c r="E49" s="453">
        <f t="shared" si="10"/>
        <v>0</v>
      </c>
      <c r="F49" s="456">
        <f>IF(C49="",0,IFERROR(VLOOKUP(COUNTIF($A$1:A49,"ANALISIS DE PRECIOS"),T_Rendimiento_Equipo,5,FALSE),0))</f>
        <v>0</v>
      </c>
      <c r="G49" s="453">
        <f t="shared" si="11"/>
        <v>0</v>
      </c>
    </row>
    <row r="50" spans="1:8" ht="19.899999999999999" customHeight="1" x14ac:dyDescent="0.2">
      <c r="A50" s="497"/>
      <c r="B50" s="440"/>
      <c r="C50" s="155"/>
      <c r="D50" s="440"/>
      <c r="E50" s="441"/>
      <c r="F50" s="462" t="s">
        <v>28</v>
      </c>
      <c r="G50" s="499">
        <f>SUBTOTAL(9,G43:G49)</f>
        <v>0</v>
      </c>
      <c r="H50" s="623"/>
    </row>
    <row r="51" spans="1:8" ht="19.899999999999999" customHeight="1" x14ac:dyDescent="0.2">
      <c r="A51" s="494"/>
      <c r="B51" s="155"/>
      <c r="C51" s="436" t="s">
        <v>990</v>
      </c>
      <c r="D51" s="440"/>
      <c r="E51" s="441"/>
      <c r="F51" s="442"/>
      <c r="G51" s="495"/>
    </row>
    <row r="52" spans="1:8" ht="19.899999999999999" customHeight="1" x14ac:dyDescent="0.2">
      <c r="A52" s="677" t="s">
        <v>576</v>
      </c>
      <c r="B52" s="678"/>
      <c r="C52" s="679" t="s">
        <v>0</v>
      </c>
      <c r="D52" s="679" t="s">
        <v>1733</v>
      </c>
      <c r="E52" s="681" t="s">
        <v>24</v>
      </c>
      <c r="F52" s="683" t="s">
        <v>25</v>
      </c>
      <c r="G52" s="685" t="s">
        <v>26</v>
      </c>
    </row>
    <row r="53" spans="1:8" ht="19.899999999999999" customHeight="1" x14ac:dyDescent="0.2">
      <c r="A53" s="458" t="s">
        <v>577</v>
      </c>
      <c r="B53" s="458" t="s">
        <v>578</v>
      </c>
      <c r="C53" s="680"/>
      <c r="D53" s="680"/>
      <c r="E53" s="682"/>
      <c r="F53" s="684"/>
      <c r="G53" s="686"/>
    </row>
    <row r="54" spans="1:8" ht="19.899999999999999" customHeight="1" x14ac:dyDescent="0.2">
      <c r="A54" s="496">
        <f t="shared" ref="A54:A64" si="12">IFERROR(VLOOKUP(C54,T_Insumos,4,FALSE),0)</f>
        <v>0</v>
      </c>
      <c r="B54" s="459">
        <f t="shared" ref="B54:B64" si="13">IFERROR(VLOOKUP(C54,T_Insumos,5,FALSE),0)</f>
        <v>0</v>
      </c>
      <c r="C54" s="459"/>
      <c r="D54" s="507">
        <f t="shared" ref="D54:D64" si="14">IFERROR(VLOOKUP(C54,T_Insumos,2,FALSE),0)</f>
        <v>0</v>
      </c>
      <c r="E54" s="451"/>
      <c r="F54" s="453">
        <f t="shared" ref="F54:F64" si="15">IFERROR(VLOOKUP(C54,T_Insumos,3,FALSE),0)</f>
        <v>0</v>
      </c>
      <c r="G54" s="453">
        <f>ROUND(E54*F54,2)</f>
        <v>0</v>
      </c>
    </row>
    <row r="55" spans="1:8" s="466" customFormat="1" ht="19.899999999999999" customHeight="1" x14ac:dyDescent="0.2">
      <c r="A55" s="496">
        <f t="shared" si="12"/>
        <v>0</v>
      </c>
      <c r="B55" s="459">
        <f t="shared" si="13"/>
        <v>0</v>
      </c>
      <c r="C55" s="459"/>
      <c r="D55" s="507">
        <f t="shared" si="14"/>
        <v>0</v>
      </c>
      <c r="E55" s="451"/>
      <c r="F55" s="453">
        <f t="shared" si="15"/>
        <v>0</v>
      </c>
      <c r="G55" s="453">
        <f t="shared" ref="G55:G64" si="16">ROUND(E55*F55,2)</f>
        <v>0</v>
      </c>
    </row>
    <row r="56" spans="1:8" ht="19.899999999999999" customHeight="1" x14ac:dyDescent="0.2">
      <c r="A56" s="496">
        <f t="shared" si="12"/>
        <v>0</v>
      </c>
      <c r="B56" s="459">
        <f t="shared" si="13"/>
        <v>0</v>
      </c>
      <c r="C56" s="459"/>
      <c r="D56" s="507">
        <f t="shared" si="14"/>
        <v>0</v>
      </c>
      <c r="E56" s="451"/>
      <c r="F56" s="453">
        <f t="shared" si="15"/>
        <v>0</v>
      </c>
      <c r="G56" s="453">
        <f t="shared" si="16"/>
        <v>0</v>
      </c>
    </row>
    <row r="57" spans="1:8" ht="19.899999999999999" customHeight="1" x14ac:dyDescent="0.2">
      <c r="A57" s="496">
        <f t="shared" si="12"/>
        <v>0</v>
      </c>
      <c r="B57" s="459">
        <f t="shared" si="13"/>
        <v>0</v>
      </c>
      <c r="C57" s="459"/>
      <c r="D57" s="507">
        <f t="shared" si="14"/>
        <v>0</v>
      </c>
      <c r="E57" s="451"/>
      <c r="F57" s="453">
        <f t="shared" si="15"/>
        <v>0</v>
      </c>
      <c r="G57" s="453">
        <f t="shared" si="16"/>
        <v>0</v>
      </c>
    </row>
    <row r="58" spans="1:8" ht="19.899999999999999" customHeight="1" x14ac:dyDescent="0.2">
      <c r="A58" s="496">
        <f t="shared" si="12"/>
        <v>0</v>
      </c>
      <c r="B58" s="459">
        <f t="shared" si="13"/>
        <v>0</v>
      </c>
      <c r="C58" s="459"/>
      <c r="D58" s="507">
        <f t="shared" si="14"/>
        <v>0</v>
      </c>
      <c r="E58" s="451"/>
      <c r="F58" s="453">
        <f t="shared" si="15"/>
        <v>0</v>
      </c>
      <c r="G58" s="453">
        <f t="shared" si="16"/>
        <v>0</v>
      </c>
    </row>
    <row r="59" spans="1:8" ht="19.899999999999999" customHeight="1" x14ac:dyDescent="0.2">
      <c r="A59" s="496">
        <f t="shared" si="12"/>
        <v>0</v>
      </c>
      <c r="B59" s="459">
        <f t="shared" si="13"/>
        <v>0</v>
      </c>
      <c r="C59" s="459"/>
      <c r="D59" s="507">
        <f t="shared" si="14"/>
        <v>0</v>
      </c>
      <c r="E59" s="451"/>
      <c r="F59" s="453">
        <f t="shared" si="15"/>
        <v>0</v>
      </c>
      <c r="G59" s="453">
        <f t="shared" si="16"/>
        <v>0</v>
      </c>
    </row>
    <row r="60" spans="1:8" ht="19.899999999999999" customHeight="1" x14ac:dyDescent="0.2">
      <c r="A60" s="496">
        <f t="shared" si="12"/>
        <v>0</v>
      </c>
      <c r="B60" s="459">
        <f t="shared" si="13"/>
        <v>0</v>
      </c>
      <c r="C60" s="459"/>
      <c r="D60" s="507">
        <f t="shared" si="14"/>
        <v>0</v>
      </c>
      <c r="E60" s="451"/>
      <c r="F60" s="453">
        <f t="shared" si="15"/>
        <v>0</v>
      </c>
      <c r="G60" s="453">
        <f t="shared" si="16"/>
        <v>0</v>
      </c>
    </row>
    <row r="61" spans="1:8" ht="19.899999999999999" customHeight="1" x14ac:dyDescent="0.2">
      <c r="A61" s="496">
        <f t="shared" si="12"/>
        <v>0</v>
      </c>
      <c r="B61" s="459">
        <f t="shared" si="13"/>
        <v>0</v>
      </c>
      <c r="C61" s="459"/>
      <c r="D61" s="507">
        <f t="shared" si="14"/>
        <v>0</v>
      </c>
      <c r="E61" s="451"/>
      <c r="F61" s="453">
        <f t="shared" si="15"/>
        <v>0</v>
      </c>
      <c r="G61" s="453">
        <f t="shared" si="16"/>
        <v>0</v>
      </c>
    </row>
    <row r="62" spans="1:8" ht="19.899999999999999" customHeight="1" x14ac:dyDescent="0.2">
      <c r="A62" s="496">
        <f t="shared" si="12"/>
        <v>0</v>
      </c>
      <c r="B62" s="459">
        <f t="shared" si="13"/>
        <v>0</v>
      </c>
      <c r="C62" s="459"/>
      <c r="D62" s="507">
        <f t="shared" si="14"/>
        <v>0</v>
      </c>
      <c r="E62" s="451"/>
      <c r="F62" s="453">
        <f t="shared" si="15"/>
        <v>0</v>
      </c>
      <c r="G62" s="453">
        <f t="shared" si="16"/>
        <v>0</v>
      </c>
    </row>
    <row r="63" spans="1:8" ht="19.899999999999999" customHeight="1" x14ac:dyDescent="0.2">
      <c r="A63" s="496">
        <f t="shared" si="12"/>
        <v>0</v>
      </c>
      <c r="B63" s="459">
        <f t="shared" si="13"/>
        <v>0</v>
      </c>
      <c r="C63" s="459"/>
      <c r="D63" s="507">
        <f t="shared" si="14"/>
        <v>0</v>
      </c>
      <c r="E63" s="451"/>
      <c r="F63" s="453">
        <f t="shared" si="15"/>
        <v>0</v>
      </c>
      <c r="G63" s="453">
        <f t="shared" si="16"/>
        <v>0</v>
      </c>
    </row>
    <row r="64" spans="1:8" ht="19.899999999999999" customHeight="1" x14ac:dyDescent="0.2">
      <c r="A64" s="496">
        <f t="shared" si="12"/>
        <v>0</v>
      </c>
      <c r="B64" s="459">
        <f t="shared" si="13"/>
        <v>0</v>
      </c>
      <c r="C64" s="459"/>
      <c r="D64" s="507">
        <f t="shared" si="14"/>
        <v>0</v>
      </c>
      <c r="E64" s="451"/>
      <c r="F64" s="453">
        <f t="shared" si="15"/>
        <v>0</v>
      </c>
      <c r="G64" s="453">
        <f t="shared" si="16"/>
        <v>0</v>
      </c>
    </row>
    <row r="65" spans="1:8" ht="19.899999999999999" customHeight="1" x14ac:dyDescent="0.2">
      <c r="A65" s="494"/>
      <c r="B65" s="155"/>
      <c r="C65" s="155"/>
      <c r="D65" s="440"/>
      <c r="E65" s="441"/>
      <c r="F65" s="462" t="s">
        <v>29</v>
      </c>
      <c r="G65" s="499">
        <f>SUBTOTAL(9,G54:G64)</f>
        <v>0</v>
      </c>
    </row>
    <row r="66" spans="1:8" ht="19.899999999999999" customHeight="1" x14ac:dyDescent="0.2">
      <c r="A66" s="494"/>
      <c r="B66" s="155"/>
      <c r="C66" s="436" t="s">
        <v>991</v>
      </c>
      <c r="D66" s="440"/>
      <c r="E66" s="441"/>
      <c r="F66" s="442"/>
      <c r="G66" s="495"/>
    </row>
    <row r="67" spans="1:8" ht="19.899999999999999" customHeight="1" x14ac:dyDescent="0.2">
      <c r="A67" s="677" t="s">
        <v>576</v>
      </c>
      <c r="B67" s="678"/>
      <c r="C67" s="679" t="s">
        <v>0</v>
      </c>
      <c r="D67" s="679" t="s">
        <v>1733</v>
      </c>
      <c r="E67" s="681" t="s">
        <v>24</v>
      </c>
      <c r="F67" s="683" t="s">
        <v>25</v>
      </c>
      <c r="G67" s="685" t="s">
        <v>26</v>
      </c>
    </row>
    <row r="68" spans="1:8" ht="19.899999999999999" customHeight="1" x14ac:dyDescent="0.2">
      <c r="A68" s="458" t="s">
        <v>577</v>
      </c>
      <c r="B68" s="458" t="s">
        <v>578</v>
      </c>
      <c r="C68" s="680"/>
      <c r="D68" s="680"/>
      <c r="E68" s="682"/>
      <c r="F68" s="684"/>
      <c r="G68" s="686"/>
    </row>
    <row r="69" spans="1:8" ht="19.899999999999999" customHeight="1" x14ac:dyDescent="0.2">
      <c r="A69" s="496">
        <f>IFERROR(VLOOKUP(C69,T_Insumos,4,FALSE),0)</f>
        <v>0</v>
      </c>
      <c r="B69" s="459">
        <f>IFERROR(VLOOKUP(C69,T_Insumos,5,FALSE),0)</f>
        <v>0</v>
      </c>
      <c r="C69" s="450"/>
      <c r="D69" s="507">
        <f>IF(C69=0,0,"$/tnkm")</f>
        <v>0</v>
      </c>
      <c r="E69" s="451"/>
      <c r="F69" s="453">
        <f>IFERROR(VLOOKUP(C69,T_Insumos,3,FALSE),0)</f>
        <v>0</v>
      </c>
      <c r="G69" s="453">
        <f>ROUND(E69*F69,2)</f>
        <v>0</v>
      </c>
    </row>
    <row r="70" spans="1:8" ht="19.899999999999999" customHeight="1" x14ac:dyDescent="0.2">
      <c r="A70" s="496">
        <f>IFERROR(VLOOKUP(C70,T_Insumos,4,FALSE),0)</f>
        <v>0</v>
      </c>
      <c r="B70" s="459">
        <f>IFERROR(VLOOKUP(C70,T_Insumos,5,FALSE),0)</f>
        <v>0</v>
      </c>
      <c r="C70" s="450"/>
      <c r="D70" s="507">
        <f>IF(C70=0,0,"$/tnkm")</f>
        <v>0</v>
      </c>
      <c r="E70" s="467"/>
      <c r="F70" s="453">
        <f>IFERROR(VLOOKUP(C70,T_Insumos,3,FALSE),0)</f>
        <v>0</v>
      </c>
      <c r="G70" s="453">
        <f t="shared" ref="G70" si="17">ROUND(E70*F70,2)</f>
        <v>0</v>
      </c>
    </row>
    <row r="71" spans="1:8" ht="19.899999999999999" customHeight="1" x14ac:dyDescent="0.2">
      <c r="A71" s="494"/>
      <c r="B71" s="155"/>
      <c r="C71" s="155"/>
      <c r="D71" s="440"/>
      <c r="E71" s="441"/>
      <c r="F71" s="462" t="s">
        <v>992</v>
      </c>
      <c r="G71" s="499">
        <f>SUBTOTAL(9,G69:G70)</f>
        <v>0</v>
      </c>
      <c r="H71" s="58"/>
    </row>
    <row r="72" spans="1:8" ht="19.899999999999999" customHeight="1" x14ac:dyDescent="0.2">
      <c r="A72" s="497"/>
      <c r="B72" s="440"/>
      <c r="C72" s="155"/>
      <c r="D72" s="440"/>
      <c r="E72" s="441"/>
      <c r="F72" s="442"/>
      <c r="G72" s="495"/>
      <c r="H72" s="58"/>
    </row>
    <row r="73" spans="1:8" ht="19.899999999999999" customHeight="1" x14ac:dyDescent="0.2">
      <c r="A73" s="555" t="str">
        <f>B7</f>
        <v>1.1.1</v>
      </c>
      <c r="B73" s="552" t="str">
        <f ca="1">C7</f>
        <v>Preparación y Limpieza de Superf.</v>
      </c>
      <c r="C73" s="440"/>
      <c r="D73" s="440" t="s">
        <v>1712</v>
      </c>
      <c r="E73" s="553"/>
      <c r="F73" s="554" t="str">
        <f ca="1">"$/"&amp;G7</f>
        <v>$/GL</v>
      </c>
      <c r="G73" s="504">
        <f>SUBTOTAL(9,G30:G72)</f>
        <v>0</v>
      </c>
      <c r="H73" s="58"/>
    </row>
    <row r="74" spans="1:8" ht="19.899999999999999" customHeight="1" x14ac:dyDescent="0.2">
      <c r="A74" s="500"/>
      <c r="B74" s="501"/>
      <c r="C74" s="502"/>
      <c r="D74" s="502" t="s">
        <v>1908</v>
      </c>
      <c r="E74" s="503"/>
      <c r="F74" s="556" t="str">
        <f ca="1">"$/"&amp;G7</f>
        <v>$/GL</v>
      </c>
      <c r="G74" s="504">
        <f>ROUND(G73*Coeficiente_Paso,2)</f>
        <v>0</v>
      </c>
      <c r="H74" s="58"/>
    </row>
    <row r="75" spans="1:8" ht="19.899999999999999" customHeight="1" x14ac:dyDescent="0.2">
      <c r="A75" s="155"/>
      <c r="B75" s="155"/>
      <c r="C75" s="155"/>
      <c r="D75" s="155"/>
      <c r="E75" s="155"/>
      <c r="F75" s="155"/>
      <c r="G75" s="155"/>
      <c r="H75" s="58"/>
    </row>
    <row r="76" spans="1:8" ht="19.899999999999999" customHeight="1" x14ac:dyDescent="0.2">
      <c r="A76" s="687" t="s">
        <v>31</v>
      </c>
      <c r="B76" s="688"/>
      <c r="C76" s="688"/>
      <c r="D76" s="688"/>
      <c r="E76" s="688"/>
      <c r="F76" s="688"/>
      <c r="G76" s="689"/>
    </row>
    <row r="77" spans="1:8" ht="19.899999999999999" customHeight="1" x14ac:dyDescent="0.2">
      <c r="A77" s="483" t="s">
        <v>711</v>
      </c>
      <c r="B77" s="434" t="str">
        <f>Comitente</f>
        <v>DEPARTAMENTO DE HIDRÁULICA</v>
      </c>
      <c r="C77" s="435"/>
      <c r="D77" s="436"/>
      <c r="E77" s="436"/>
      <c r="F77" s="437"/>
      <c r="G77" s="484"/>
    </row>
    <row r="78" spans="1:8" ht="19.899999999999999" customHeight="1" x14ac:dyDescent="0.2">
      <c r="A78" s="483" t="s">
        <v>712</v>
      </c>
      <c r="B78" s="434">
        <f>Contratista</f>
        <v>0</v>
      </c>
      <c r="C78" s="438"/>
      <c r="D78" s="438"/>
      <c r="E78" s="438"/>
      <c r="F78" s="434"/>
      <c r="G78" s="485"/>
    </row>
    <row r="79" spans="1:8" ht="19.899999999999999" customHeight="1" x14ac:dyDescent="0.2">
      <c r="A79" s="483" t="s">
        <v>21</v>
      </c>
      <c r="B79" s="434" t="str">
        <f>Obra</f>
        <v>RECRECIMIENTO Y REPARACIÓN CANALES SARMIENTO, 9 DE JULIO Y CHIMBAS</v>
      </c>
      <c r="C79" s="438"/>
      <c r="D79" s="438"/>
      <c r="E79" s="438"/>
      <c r="F79" s="434" t="s">
        <v>32</v>
      </c>
      <c r="G79" s="485">
        <f>Fecha_Base</f>
        <v>0</v>
      </c>
    </row>
    <row r="80" spans="1:8" ht="19.899999999999999" customHeight="1" x14ac:dyDescent="0.2">
      <c r="A80" s="486" t="s">
        <v>710</v>
      </c>
      <c r="B80" s="439" t="str">
        <f>Ubicación</f>
        <v>DEPARTAMENTOS SARMIENTO, 9 DE JULIO Y CHIMBAS</v>
      </c>
      <c r="C80" s="439"/>
      <c r="D80" s="440"/>
      <c r="E80" s="441"/>
      <c r="F80" s="442"/>
      <c r="G80" s="487"/>
    </row>
    <row r="81" spans="1:8" ht="19.899999999999999" customHeight="1" x14ac:dyDescent="0.2">
      <c r="A81" s="486" t="s">
        <v>33</v>
      </c>
      <c r="B81" s="443">
        <f>IFERROR(VALUE(LEFT(B82,FIND(".",B82)-1)),"")</f>
        <v>1</v>
      </c>
      <c r="C81" s="155" t="str">
        <f ca="1">IFERROR(VLOOKUP(B81,T_Computo_Presupuesto,2,FALSE),0)</f>
        <v>DPTO. SARMIENTO - CANAL PRIMERO DE COCHAGUAL</v>
      </c>
      <c r="D81" s="155"/>
      <c r="E81" s="441"/>
      <c r="F81" s="442"/>
      <c r="G81" s="487"/>
    </row>
    <row r="82" spans="1:8" ht="19.899999999999999" customHeight="1" x14ac:dyDescent="0.2">
      <c r="A82" s="486" t="s">
        <v>22</v>
      </c>
      <c r="B82" s="444" t="str">
        <f>IFERROR(VLOOKUP(COUNTIF($A$1:A82,"ANALISIS DE PRECIOS"),T_NumeroItem,2,FALSE),"")</f>
        <v>1.1.2</v>
      </c>
      <c r="C82" s="690" t="str">
        <f ca="1">IFERROR(VLOOKUP(B82,T_Computo_Presupuesto,2,FALSE),0)</f>
        <v>Replanteo</v>
      </c>
      <c r="D82" s="690"/>
      <c r="E82" s="690"/>
      <c r="F82" s="439" t="s">
        <v>23</v>
      </c>
      <c r="G82" s="488" t="str">
        <f ca="1">IFERROR(VLOOKUP(B82,T_Computo_Presupuesto,4,FALSE),0)</f>
        <v>GL</v>
      </c>
    </row>
    <row r="83" spans="1:8" ht="19.899999999999999" customHeight="1" x14ac:dyDescent="0.2">
      <c r="A83" s="486"/>
      <c r="B83" s="439"/>
      <c r="C83" s="155"/>
      <c r="D83" s="440"/>
      <c r="E83" s="441"/>
      <c r="F83" s="155"/>
      <c r="G83" s="489"/>
    </row>
    <row r="84" spans="1:8" ht="19.899999999999999" customHeight="1" x14ac:dyDescent="0.2">
      <c r="A84" s="490"/>
      <c r="B84" s="445"/>
      <c r="C84" s="446" t="s">
        <v>975</v>
      </c>
      <c r="D84" s="445"/>
      <c r="E84" s="445"/>
      <c r="F84" s="445"/>
      <c r="G84" s="491"/>
    </row>
    <row r="85" spans="1:8" ht="19.899999999999999" customHeight="1" x14ac:dyDescent="0.2">
      <c r="A85" s="486"/>
      <c r="B85" s="447"/>
      <c r="C85" s="155"/>
      <c r="D85" s="440"/>
      <c r="E85" s="441"/>
      <c r="F85" s="439"/>
      <c r="G85" s="488"/>
    </row>
    <row r="86" spans="1:8" ht="19.899999999999999" customHeight="1" x14ac:dyDescent="0.2">
      <c r="A86" s="486"/>
      <c r="B86" s="447"/>
      <c r="C86" s="448" t="s">
        <v>976</v>
      </c>
      <c r="D86" s="449" t="s">
        <v>24</v>
      </c>
      <c r="E86" s="449" t="s">
        <v>977</v>
      </c>
      <c r="F86" s="449" t="s">
        <v>978</v>
      </c>
      <c r="G86" s="448" t="s">
        <v>979</v>
      </c>
    </row>
    <row r="87" spans="1:8" ht="19.899999999999999" customHeight="1" x14ac:dyDescent="0.2">
      <c r="A87" s="486"/>
      <c r="B87" s="447"/>
      <c r="C87" s="450">
        <f>+Equipos!A21</f>
        <v>0</v>
      </c>
      <c r="D87" s="451"/>
      <c r="E87" s="452">
        <f t="shared" ref="E87:E96" si="18">IFERROR(VLOOKUP(C87,T_Equipos,4,FALSE),0)</f>
        <v>0</v>
      </c>
      <c r="F87" s="453">
        <f t="shared" ref="F87:F96" si="19">IFERROR(VLOOKUP(C87,T_Equipos,5,FALSE),0)</f>
        <v>0</v>
      </c>
      <c r="G87" s="453">
        <f>ROUND(D87*F87,2)</f>
        <v>0</v>
      </c>
    </row>
    <row r="88" spans="1:8" ht="19.899999999999999" customHeight="1" x14ac:dyDescent="0.2">
      <c r="A88" s="486"/>
      <c r="B88" s="447"/>
      <c r="C88" s="450">
        <f>+Equipos!A23</f>
        <v>0</v>
      </c>
      <c r="D88" s="451"/>
      <c r="E88" s="452">
        <f t="shared" si="18"/>
        <v>0</v>
      </c>
      <c r="F88" s="453">
        <f t="shared" si="19"/>
        <v>0</v>
      </c>
      <c r="G88" s="453">
        <f>ROUND(D88*F88,2)</f>
        <v>0</v>
      </c>
    </row>
    <row r="89" spans="1:8" ht="19.899999999999999" customHeight="1" x14ac:dyDescent="0.2">
      <c r="A89" s="486"/>
      <c r="B89" s="447"/>
      <c r="C89" s="450">
        <f>+Equipos!A13</f>
        <v>0</v>
      </c>
      <c r="D89" s="451"/>
      <c r="E89" s="452">
        <f t="shared" si="18"/>
        <v>0</v>
      </c>
      <c r="F89" s="453">
        <f t="shared" si="19"/>
        <v>0</v>
      </c>
      <c r="G89" s="453">
        <f>ROUND(D89*F89,2)</f>
        <v>0</v>
      </c>
    </row>
    <row r="90" spans="1:8" ht="19.899999999999999" customHeight="1" x14ac:dyDescent="0.2">
      <c r="A90" s="486"/>
      <c r="B90" s="447"/>
      <c r="C90" s="450">
        <f>+Equipos!A15</f>
        <v>0</v>
      </c>
      <c r="D90" s="451"/>
      <c r="E90" s="452">
        <f t="shared" si="18"/>
        <v>0</v>
      </c>
      <c r="F90" s="453">
        <f t="shared" si="19"/>
        <v>0</v>
      </c>
      <c r="G90" s="453">
        <f>ROUND(D90*F90,2)</f>
        <v>0</v>
      </c>
    </row>
    <row r="91" spans="1:8" ht="19.899999999999999" customHeight="1" x14ac:dyDescent="0.2">
      <c r="A91" s="486"/>
      <c r="B91" s="447"/>
      <c r="C91" s="450">
        <f>+Equipos!A25</f>
        <v>0</v>
      </c>
      <c r="D91" s="451"/>
      <c r="E91" s="452">
        <f t="shared" si="18"/>
        <v>0</v>
      </c>
      <c r="F91" s="453">
        <f t="shared" si="19"/>
        <v>0</v>
      </c>
      <c r="G91" s="453">
        <f t="shared" ref="G91:G96" si="20">ROUND(D91*F91,2)</f>
        <v>0</v>
      </c>
    </row>
    <row r="92" spans="1:8" ht="19.899999999999999" customHeight="1" x14ac:dyDescent="0.2">
      <c r="A92" s="486"/>
      <c r="B92" s="447"/>
      <c r="C92" s="450">
        <f>+Equipos!A33</f>
        <v>0</v>
      </c>
      <c r="D92" s="451"/>
      <c r="E92" s="452">
        <f t="shared" si="18"/>
        <v>0</v>
      </c>
      <c r="F92" s="453">
        <f t="shared" si="19"/>
        <v>0</v>
      </c>
      <c r="G92" s="453">
        <f t="shared" si="20"/>
        <v>0</v>
      </c>
    </row>
    <row r="93" spans="1:8" ht="19.899999999999999" customHeight="1" x14ac:dyDescent="0.2">
      <c r="A93" s="486"/>
      <c r="B93" s="447"/>
      <c r="C93" s="450"/>
      <c r="D93" s="451"/>
      <c r="E93" s="452">
        <f t="shared" si="18"/>
        <v>0</v>
      </c>
      <c r="F93" s="453">
        <f t="shared" si="19"/>
        <v>0</v>
      </c>
      <c r="G93" s="453">
        <f t="shared" si="20"/>
        <v>0</v>
      </c>
    </row>
    <row r="94" spans="1:8" ht="19.899999999999999" customHeight="1" x14ac:dyDescent="0.2">
      <c r="A94" s="486"/>
      <c r="B94" s="447"/>
      <c r="C94" s="450"/>
      <c r="D94" s="451"/>
      <c r="E94" s="452">
        <f t="shared" si="18"/>
        <v>0</v>
      </c>
      <c r="F94" s="453">
        <f t="shared" si="19"/>
        <v>0</v>
      </c>
      <c r="G94" s="453">
        <f t="shared" si="20"/>
        <v>0</v>
      </c>
    </row>
    <row r="95" spans="1:8" ht="19.899999999999999" customHeight="1" x14ac:dyDescent="0.2">
      <c r="A95" s="486"/>
      <c r="B95" s="447"/>
      <c r="C95" s="450"/>
      <c r="D95" s="451"/>
      <c r="E95" s="452">
        <f t="shared" si="18"/>
        <v>0</v>
      </c>
      <c r="F95" s="453">
        <f t="shared" si="19"/>
        <v>0</v>
      </c>
      <c r="G95" s="453">
        <f t="shared" si="20"/>
        <v>0</v>
      </c>
    </row>
    <row r="96" spans="1:8" ht="19.899999999999999" customHeight="1" x14ac:dyDescent="0.2">
      <c r="A96" s="486"/>
      <c r="B96" s="447"/>
      <c r="C96" s="450"/>
      <c r="D96" s="451"/>
      <c r="E96" s="452">
        <f t="shared" si="18"/>
        <v>0</v>
      </c>
      <c r="F96" s="453">
        <f t="shared" si="19"/>
        <v>0</v>
      </c>
      <c r="G96" s="453">
        <f t="shared" si="20"/>
        <v>0</v>
      </c>
      <c r="H96" s="624"/>
    </row>
    <row r="97" spans="1:7" ht="19.899999999999999" customHeight="1" x14ac:dyDescent="0.2">
      <c r="A97" s="486"/>
      <c r="B97" s="447"/>
      <c r="C97" s="155"/>
      <c r="D97" s="155"/>
      <c r="E97" s="454"/>
      <c r="F97" s="439"/>
      <c r="G97" s="488"/>
    </row>
    <row r="98" spans="1:7" ht="19.899999999999999" customHeight="1" x14ac:dyDescent="0.2">
      <c r="A98" s="486"/>
      <c r="B98" s="155"/>
      <c r="C98" s="436" t="s">
        <v>980</v>
      </c>
      <c r="D98" s="439" t="s">
        <v>977</v>
      </c>
      <c r="E98" s="505">
        <f>SUMPRODUCT(D87:D96,E87:E96)</f>
        <v>0</v>
      </c>
      <c r="F98" s="439" t="s">
        <v>981</v>
      </c>
      <c r="G98" s="506">
        <f>SUM(G87:G96)</f>
        <v>0</v>
      </c>
    </row>
    <row r="99" spans="1:7" ht="19.899999999999999" customHeight="1" x14ac:dyDescent="0.2">
      <c r="A99" s="486"/>
      <c r="B99" s="447"/>
      <c r="C99" s="455"/>
      <c r="D99" s="454"/>
      <c r="E99" s="441"/>
      <c r="F99" s="439"/>
      <c r="G99" s="492"/>
    </row>
    <row r="100" spans="1:7" ht="19.899999999999999" customHeight="1" x14ac:dyDescent="0.2">
      <c r="A100" s="493"/>
      <c r="B100" s="447"/>
      <c r="C100" s="439" t="s">
        <v>982</v>
      </c>
      <c r="D100" s="456">
        <f>IFERROR(VLOOKUP(COUNTIF($A$1:A100,"ANALISIS DE PRECIOS"),T_Rendimiento_Equipo,5,FALSE),0)</f>
        <v>0</v>
      </c>
      <c r="E100" s="457" t="str">
        <f ca="1">G82&amp;"/día"</f>
        <v>GL/día</v>
      </c>
      <c r="F100" s="433"/>
      <c r="G100" s="488"/>
    </row>
    <row r="101" spans="1:7" ht="19.899999999999999" customHeight="1" x14ac:dyDescent="0.2">
      <c r="A101" s="486"/>
      <c r="B101" s="447"/>
      <c r="C101" s="155"/>
      <c r="D101" s="440"/>
      <c r="E101" s="441"/>
      <c r="F101" s="439"/>
      <c r="G101" s="488"/>
    </row>
    <row r="102" spans="1:7" ht="19.899999999999999" customHeight="1" x14ac:dyDescent="0.2">
      <c r="A102" s="677" t="s">
        <v>576</v>
      </c>
      <c r="B102" s="678"/>
      <c r="C102" s="679" t="s">
        <v>0</v>
      </c>
      <c r="D102" s="691" t="s">
        <v>1732</v>
      </c>
      <c r="E102" s="691" t="s">
        <v>1731</v>
      </c>
      <c r="F102" s="683" t="s">
        <v>983</v>
      </c>
      <c r="G102" s="685" t="s">
        <v>26</v>
      </c>
    </row>
    <row r="103" spans="1:7" ht="19.899999999999999" customHeight="1" x14ac:dyDescent="0.2">
      <c r="A103" s="458" t="s">
        <v>577</v>
      </c>
      <c r="B103" s="458" t="s">
        <v>578</v>
      </c>
      <c r="C103" s="680"/>
      <c r="D103" s="692"/>
      <c r="E103" s="682"/>
      <c r="F103" s="684"/>
      <c r="G103" s="686"/>
    </row>
    <row r="104" spans="1:7" ht="19.899999999999999" customHeight="1" x14ac:dyDescent="0.2">
      <c r="A104" s="494"/>
      <c r="B104" s="155"/>
      <c r="C104" s="436" t="s">
        <v>984</v>
      </c>
      <c r="D104" s="441"/>
      <c r="E104" s="441"/>
      <c r="F104" s="155"/>
      <c r="G104" s="495"/>
    </row>
    <row r="105" spans="1:7" ht="19.899999999999999" customHeight="1" x14ac:dyDescent="0.2">
      <c r="A105" s="496">
        <f t="shared" ref="A105:A113" si="21">IFERROR(VLOOKUP(C105,T_Insumos,4,FALSE),0)</f>
        <v>0</v>
      </c>
      <c r="B105" s="459">
        <f t="shared" ref="B105:B113" si="22">IFERROR(VLOOKUP(C105,T_Insumos,5,FALSE),0)</f>
        <v>0</v>
      </c>
      <c r="C105" s="450">
        <f>+C30</f>
        <v>0</v>
      </c>
      <c r="D105" s="460">
        <f t="shared" ref="D105:D113" si="23">IFERROR(VLOOKUP(C105,T_Insumos,3,FALSE),0)</f>
        <v>0</v>
      </c>
      <c r="E105" s="453">
        <f>D105*$G$98</f>
        <v>0</v>
      </c>
      <c r="F105" s="456">
        <f>IF(C105="",0,IFERROR(VLOOKUP(COUNTIF($A$1:A105,"ANALISIS DE PRECIOS"),T_Rendimiento_Equipo,5,FALSE),0))</f>
        <v>0</v>
      </c>
      <c r="G105" s="453">
        <f>IFERROR(ROUND(E105/F105,2),0)</f>
        <v>0</v>
      </c>
    </row>
    <row r="106" spans="1:7" ht="19.899999999999999" customHeight="1" x14ac:dyDescent="0.2">
      <c r="A106" s="496">
        <f t="shared" si="21"/>
        <v>0</v>
      </c>
      <c r="B106" s="459">
        <f t="shared" si="22"/>
        <v>0</v>
      </c>
      <c r="C106" s="450">
        <f t="shared" ref="C106:C108" si="24">+C31</f>
        <v>0</v>
      </c>
      <c r="D106" s="460">
        <f t="shared" si="23"/>
        <v>0</v>
      </c>
      <c r="E106" s="453">
        <f t="shared" ref="E106:E107" si="25">D106*$G$98</f>
        <v>0</v>
      </c>
      <c r="F106" s="456">
        <f>IF(C106="",0,IFERROR(VLOOKUP(COUNTIF($A$1:A106,"ANALISIS DE PRECIOS"),T_Rendimiento_Equipo,5,FALSE),0))</f>
        <v>0</v>
      </c>
      <c r="G106" s="453">
        <f t="shared" ref="G106:G113" si="26">IFERROR(ROUND(E106/F106,2),0)</f>
        <v>0</v>
      </c>
    </row>
    <row r="107" spans="1:7" ht="19.899999999999999" customHeight="1" x14ac:dyDescent="0.2">
      <c r="A107" s="496">
        <f t="shared" si="21"/>
        <v>0</v>
      </c>
      <c r="B107" s="459">
        <f t="shared" si="22"/>
        <v>0</v>
      </c>
      <c r="C107" s="450">
        <f t="shared" si="24"/>
        <v>0</v>
      </c>
      <c r="D107" s="460">
        <f t="shared" si="23"/>
        <v>0</v>
      </c>
      <c r="E107" s="453">
        <f t="shared" si="25"/>
        <v>0</v>
      </c>
      <c r="F107" s="456">
        <f>IF(C107="",0,IFERROR(VLOOKUP(COUNTIF($A$1:A107,"ANALISIS DE PRECIOS"),T_Rendimiento_Equipo,5,FALSE),0))</f>
        <v>0</v>
      </c>
      <c r="G107" s="453">
        <f t="shared" si="26"/>
        <v>0</v>
      </c>
    </row>
    <row r="108" spans="1:7" ht="19.899999999999999" customHeight="1" x14ac:dyDescent="0.2">
      <c r="A108" s="496">
        <f t="shared" si="21"/>
        <v>0</v>
      </c>
      <c r="B108" s="459">
        <f t="shared" si="22"/>
        <v>0</v>
      </c>
      <c r="C108" s="450">
        <f t="shared" si="24"/>
        <v>0</v>
      </c>
      <c r="D108" s="460">
        <f t="shared" si="23"/>
        <v>0</v>
      </c>
      <c r="E108" s="453">
        <f>D108*$E$98</f>
        <v>0</v>
      </c>
      <c r="F108" s="456">
        <f>IF(C108="",0,IFERROR(VLOOKUP(COUNTIF($A$1:A108,"ANALISIS DE PRECIOS"),T_Rendimiento_Equipo,5,FALSE),0))</f>
        <v>0</v>
      </c>
      <c r="G108" s="453">
        <f t="shared" si="26"/>
        <v>0</v>
      </c>
    </row>
    <row r="109" spans="1:7" ht="19.899999999999999" customHeight="1" x14ac:dyDescent="0.2">
      <c r="A109" s="496">
        <f t="shared" si="21"/>
        <v>0</v>
      </c>
      <c r="B109" s="459">
        <f t="shared" si="22"/>
        <v>0</v>
      </c>
      <c r="C109" s="461"/>
      <c r="D109" s="460">
        <f t="shared" si="23"/>
        <v>0</v>
      </c>
      <c r="E109" s="453"/>
      <c r="F109" s="456">
        <f>IF(C109="",0,IFERROR(VLOOKUP(COUNTIF($A$1:A109,"ANALISIS DE PRECIOS"),T_Rendimiento_Equipo,5,FALSE),0))</f>
        <v>0</v>
      </c>
      <c r="G109" s="453">
        <f t="shared" si="26"/>
        <v>0</v>
      </c>
    </row>
    <row r="110" spans="1:7" ht="19.899999999999999" customHeight="1" x14ac:dyDescent="0.2">
      <c r="A110" s="496">
        <f t="shared" si="21"/>
        <v>0</v>
      </c>
      <c r="B110" s="459">
        <f t="shared" si="22"/>
        <v>0</v>
      </c>
      <c r="C110" s="461"/>
      <c r="D110" s="460">
        <f t="shared" si="23"/>
        <v>0</v>
      </c>
      <c r="E110" s="453"/>
      <c r="F110" s="456">
        <f>IF(C110="",0,IFERROR(VLOOKUP(COUNTIF($A$1:A110,"ANALISIS DE PRECIOS"),T_Rendimiento_Equipo,5,FALSE),0))</f>
        <v>0</v>
      </c>
      <c r="G110" s="453">
        <f t="shared" si="26"/>
        <v>0</v>
      </c>
    </row>
    <row r="111" spans="1:7" ht="19.899999999999999" customHeight="1" x14ac:dyDescent="0.2">
      <c r="A111" s="496">
        <f t="shared" si="21"/>
        <v>0</v>
      </c>
      <c r="B111" s="459">
        <f t="shared" si="22"/>
        <v>0</v>
      </c>
      <c r="C111" s="461"/>
      <c r="D111" s="460">
        <f t="shared" si="23"/>
        <v>0</v>
      </c>
      <c r="E111" s="453"/>
      <c r="F111" s="456">
        <f>IF(C111="",0,IFERROR(VLOOKUP(COUNTIF($A$1:A111,"ANALISIS DE PRECIOS"),T_Rendimiento_Equipo,5,FALSE),0))</f>
        <v>0</v>
      </c>
      <c r="G111" s="453">
        <f t="shared" si="26"/>
        <v>0</v>
      </c>
    </row>
    <row r="112" spans="1:7" ht="19.899999999999999" customHeight="1" x14ac:dyDescent="0.2">
      <c r="A112" s="496">
        <f t="shared" si="21"/>
        <v>0</v>
      </c>
      <c r="B112" s="459">
        <f t="shared" si="22"/>
        <v>0</v>
      </c>
      <c r="C112" s="461"/>
      <c r="D112" s="460">
        <f t="shared" si="23"/>
        <v>0</v>
      </c>
      <c r="E112" s="453"/>
      <c r="F112" s="456">
        <f>IF(C112="",0,IFERROR(VLOOKUP(COUNTIF($A$1:A112,"ANALISIS DE PRECIOS"),T_Rendimiento_Equipo,5,FALSE),0))</f>
        <v>0</v>
      </c>
      <c r="G112" s="453">
        <f t="shared" si="26"/>
        <v>0</v>
      </c>
    </row>
    <row r="113" spans="1:8" ht="19.899999999999999" customHeight="1" x14ac:dyDescent="0.2">
      <c r="A113" s="496">
        <f t="shared" si="21"/>
        <v>0</v>
      </c>
      <c r="B113" s="459">
        <f t="shared" si="22"/>
        <v>0</v>
      </c>
      <c r="C113" s="450"/>
      <c r="D113" s="460">
        <f t="shared" si="23"/>
        <v>0</v>
      </c>
      <c r="E113" s="453"/>
      <c r="F113" s="456">
        <f>IF(C113="",0,IFERROR(VLOOKUP(COUNTIF($A$1:A113,"ANALISIS DE PRECIOS"),T_Rendimiento_Equipo,5,FALSE),0))</f>
        <v>0</v>
      </c>
      <c r="G113" s="453">
        <f t="shared" si="26"/>
        <v>0</v>
      </c>
    </row>
    <row r="114" spans="1:8" ht="19.899999999999999" customHeight="1" x14ac:dyDescent="0.2">
      <c r="A114" s="497"/>
      <c r="B114" s="440"/>
      <c r="C114" s="155"/>
      <c r="D114" s="440"/>
      <c r="E114" s="441"/>
      <c r="F114" s="462" t="s">
        <v>27</v>
      </c>
      <c r="G114" s="498">
        <f>SUBTOTAL(9,G105:G113)</f>
        <v>0</v>
      </c>
      <c r="H114" s="623"/>
    </row>
    <row r="115" spans="1:8" ht="19.899999999999999" customHeight="1" x14ac:dyDescent="0.2">
      <c r="A115" s="494"/>
      <c r="B115" s="155"/>
      <c r="C115" s="436" t="s">
        <v>713</v>
      </c>
      <c r="D115" s="440"/>
      <c r="E115" s="441"/>
      <c r="F115" s="442"/>
      <c r="G115" s="495"/>
    </row>
    <row r="116" spans="1:8" ht="19.899999999999999" customHeight="1" x14ac:dyDescent="0.2">
      <c r="A116" s="677" t="s">
        <v>576</v>
      </c>
      <c r="B116" s="678"/>
      <c r="C116" s="679" t="s">
        <v>0</v>
      </c>
      <c r="D116" s="681" t="s">
        <v>24</v>
      </c>
      <c r="E116" s="681" t="s">
        <v>1711</v>
      </c>
      <c r="F116" s="683" t="s">
        <v>983</v>
      </c>
      <c r="G116" s="685" t="s">
        <v>26</v>
      </c>
    </row>
    <row r="117" spans="1:8" ht="19.899999999999999" customHeight="1" x14ac:dyDescent="0.2">
      <c r="A117" s="458" t="s">
        <v>577</v>
      </c>
      <c r="B117" s="458" t="s">
        <v>578</v>
      </c>
      <c r="C117" s="680"/>
      <c r="D117" s="682"/>
      <c r="E117" s="682"/>
      <c r="F117" s="684"/>
      <c r="G117" s="686"/>
    </row>
    <row r="118" spans="1:8" ht="19.899999999999999" customHeight="1" x14ac:dyDescent="0.2">
      <c r="A118" s="496">
        <f t="shared" ref="A118:A124" si="27">IFERROR(VLOOKUP(C118,T_Insumos,4,FALSE),0)</f>
        <v>0</v>
      </c>
      <c r="B118" s="459">
        <f t="shared" ref="B118:B124" si="28">IFERROR(VLOOKUP(C118,T_Insumos,5,FALSE),0)</f>
        <v>0</v>
      </c>
      <c r="C118" s="463">
        <f>+C43</f>
        <v>0</v>
      </c>
      <c r="D118" s="456"/>
      <c r="E118" s="453">
        <f t="shared" ref="E118:E124" si="29">IFERROR(VLOOKUP(C118,T_Insumos,3,FALSE),0)</f>
        <v>0</v>
      </c>
      <c r="F118" s="456">
        <f>IF(C118="",0,IFERROR(VLOOKUP(COUNTIF($A$1:A118,"ANALISIS DE PRECIOS"),T_Rendimiento_Equipo,5,FALSE),0))</f>
        <v>0</v>
      </c>
      <c r="G118" s="453">
        <f>IFERROR(ROUND(D118*E118/F118,2),0)</f>
        <v>0</v>
      </c>
    </row>
    <row r="119" spans="1:8" ht="19.899999999999999" customHeight="1" x14ac:dyDescent="0.2">
      <c r="A119" s="496">
        <f t="shared" si="27"/>
        <v>0</v>
      </c>
      <c r="B119" s="459">
        <f t="shared" si="28"/>
        <v>0</v>
      </c>
      <c r="C119" s="463">
        <f t="shared" ref="C119:C121" si="30">+C44</f>
        <v>0</v>
      </c>
      <c r="D119" s="456"/>
      <c r="E119" s="453">
        <f t="shared" si="29"/>
        <v>0</v>
      </c>
      <c r="F119" s="456">
        <f>IF(C119="",0,IFERROR(VLOOKUP(COUNTIF($A$1:A119,"ANALISIS DE PRECIOS"),T_Rendimiento_Equipo,5,FALSE),0))</f>
        <v>0</v>
      </c>
      <c r="G119" s="453">
        <f t="shared" ref="G119:G124" si="31">IFERROR(ROUND(D119*E119/F119,2),0)</f>
        <v>0</v>
      </c>
      <c r="H119" s="623"/>
    </row>
    <row r="120" spans="1:8" ht="19.899999999999999" customHeight="1" x14ac:dyDescent="0.2">
      <c r="A120" s="496">
        <f t="shared" si="27"/>
        <v>0</v>
      </c>
      <c r="B120" s="459">
        <f t="shared" si="28"/>
        <v>0</v>
      </c>
      <c r="C120" s="463">
        <f t="shared" si="30"/>
        <v>0</v>
      </c>
      <c r="D120" s="456"/>
      <c r="E120" s="453">
        <f t="shared" si="29"/>
        <v>0</v>
      </c>
      <c r="F120" s="456">
        <f>IF(C120="",0,IFERROR(VLOOKUP(COUNTIF($A$1:A120,"ANALISIS DE PRECIOS"),T_Rendimiento_Equipo,5,FALSE),0))</f>
        <v>0</v>
      </c>
      <c r="G120" s="453">
        <f t="shared" si="31"/>
        <v>0</v>
      </c>
      <c r="H120" s="622"/>
    </row>
    <row r="121" spans="1:8" ht="19.899999999999999" customHeight="1" x14ac:dyDescent="0.2">
      <c r="A121" s="496">
        <f t="shared" si="27"/>
        <v>0</v>
      </c>
      <c r="B121" s="459">
        <f t="shared" si="28"/>
        <v>0</v>
      </c>
      <c r="C121" s="463">
        <f t="shared" si="30"/>
        <v>0</v>
      </c>
      <c r="D121" s="456"/>
      <c r="E121" s="453">
        <f t="shared" si="29"/>
        <v>0</v>
      </c>
      <c r="F121" s="456">
        <f>IF(C121="",0,IFERROR(VLOOKUP(COUNTIF($A$1:A121,"ANALISIS DE PRECIOS"),T_Rendimiento_Equipo,5,FALSE),0))</f>
        <v>0</v>
      </c>
      <c r="G121" s="453">
        <f>IFERROR(ROUND(D121*E121/F121,2),0)</f>
        <v>0</v>
      </c>
    </row>
    <row r="122" spans="1:8" ht="19.899999999999999" customHeight="1" x14ac:dyDescent="0.2">
      <c r="A122" s="496">
        <f t="shared" si="27"/>
        <v>0</v>
      </c>
      <c r="B122" s="459">
        <f t="shared" si="28"/>
        <v>0</v>
      </c>
      <c r="C122" s="450"/>
      <c r="D122" s="456"/>
      <c r="E122" s="453">
        <f t="shared" si="29"/>
        <v>0</v>
      </c>
      <c r="F122" s="456">
        <f>IF(C122="",0,IFERROR(VLOOKUP(COUNTIF($A$1:A122,"ANALISIS DE PRECIOS"),T_Rendimiento_Equipo,5,FALSE),0))</f>
        <v>0</v>
      </c>
      <c r="G122" s="453">
        <f t="shared" si="31"/>
        <v>0</v>
      </c>
    </row>
    <row r="123" spans="1:8" ht="19.899999999999999" customHeight="1" x14ac:dyDescent="0.2">
      <c r="A123" s="496">
        <f t="shared" si="27"/>
        <v>0</v>
      </c>
      <c r="B123" s="459">
        <f t="shared" si="28"/>
        <v>0</v>
      </c>
      <c r="C123" s="450"/>
      <c r="D123" s="464"/>
      <c r="E123" s="453">
        <f t="shared" si="29"/>
        <v>0</v>
      </c>
      <c r="F123" s="456">
        <f>IF(C123="",0,IFERROR(VLOOKUP(COUNTIF($A$1:A123,"ANALISIS DE PRECIOS"),T_Rendimiento_Equipo,5,FALSE),0))</f>
        <v>0</v>
      </c>
      <c r="G123" s="453">
        <f t="shared" si="31"/>
        <v>0</v>
      </c>
    </row>
    <row r="124" spans="1:8" ht="19.899999999999999" customHeight="1" x14ac:dyDescent="0.2">
      <c r="A124" s="496">
        <f t="shared" si="27"/>
        <v>0</v>
      </c>
      <c r="B124" s="459">
        <f t="shared" si="28"/>
        <v>0</v>
      </c>
      <c r="C124" s="459"/>
      <c r="D124" s="465"/>
      <c r="E124" s="453">
        <f t="shared" si="29"/>
        <v>0</v>
      </c>
      <c r="F124" s="456">
        <f>IF(C124="",0,IFERROR(VLOOKUP(COUNTIF($A$1:A124,"ANALISIS DE PRECIOS"),T_Rendimiento_Equipo,5,FALSE),0))</f>
        <v>0</v>
      </c>
      <c r="G124" s="453">
        <f t="shared" si="31"/>
        <v>0</v>
      </c>
    </row>
    <row r="125" spans="1:8" ht="19.899999999999999" customHeight="1" x14ac:dyDescent="0.2">
      <c r="A125" s="497"/>
      <c r="B125" s="440"/>
      <c r="C125" s="155"/>
      <c r="D125" s="440"/>
      <c r="E125" s="441"/>
      <c r="F125" s="462" t="s">
        <v>28</v>
      </c>
      <c r="G125" s="499">
        <f>SUBTOTAL(9,G118:G124)</f>
        <v>0</v>
      </c>
    </row>
    <row r="126" spans="1:8" ht="19.899999999999999" customHeight="1" x14ac:dyDescent="0.2">
      <c r="A126" s="494"/>
      <c r="B126" s="155"/>
      <c r="C126" s="436" t="s">
        <v>990</v>
      </c>
      <c r="D126" s="440"/>
      <c r="E126" s="441"/>
      <c r="F126" s="442"/>
      <c r="G126" s="495"/>
    </row>
    <row r="127" spans="1:8" ht="19.899999999999999" customHeight="1" x14ac:dyDescent="0.2">
      <c r="A127" s="677" t="s">
        <v>576</v>
      </c>
      <c r="B127" s="678"/>
      <c r="C127" s="679" t="s">
        <v>0</v>
      </c>
      <c r="D127" s="679" t="s">
        <v>1733</v>
      </c>
      <c r="E127" s="681" t="s">
        <v>24</v>
      </c>
      <c r="F127" s="683" t="s">
        <v>25</v>
      </c>
      <c r="G127" s="685" t="s">
        <v>26</v>
      </c>
    </row>
    <row r="128" spans="1:8" ht="19.899999999999999" customHeight="1" x14ac:dyDescent="0.2">
      <c r="A128" s="458" t="s">
        <v>577</v>
      </c>
      <c r="B128" s="458" t="s">
        <v>578</v>
      </c>
      <c r="C128" s="680"/>
      <c r="D128" s="680"/>
      <c r="E128" s="682"/>
      <c r="F128" s="684"/>
      <c r="G128" s="686"/>
    </row>
    <row r="129" spans="1:10" ht="19.899999999999999" customHeight="1" x14ac:dyDescent="0.2">
      <c r="A129" s="496">
        <f t="shared" ref="A129:A139" si="32">IFERROR(VLOOKUP(C129,T_Insumos,4,FALSE),0)</f>
        <v>0</v>
      </c>
      <c r="B129" s="459">
        <f t="shared" ref="B129:B139" si="33">IFERROR(VLOOKUP(C129,T_Insumos,5,FALSE),0)</f>
        <v>0</v>
      </c>
      <c r="C129" s="459">
        <f>+Insumos!A64</f>
        <v>0</v>
      </c>
      <c r="D129" s="507">
        <f t="shared" ref="D129:D139" si="34">IFERROR(VLOOKUP(C129,T_Insumos,2,FALSE),0)</f>
        <v>0</v>
      </c>
      <c r="E129" s="451"/>
      <c r="F129" s="453">
        <f t="shared" ref="F129:F139" si="35">IFERROR(VLOOKUP(C129,T_Insumos,3,FALSE),0)</f>
        <v>0</v>
      </c>
      <c r="G129" s="453">
        <f>ROUND(E129*F129,2)</f>
        <v>0</v>
      </c>
    </row>
    <row r="130" spans="1:10" ht="19.899999999999999" customHeight="1" x14ac:dyDescent="0.2">
      <c r="A130" s="496">
        <f t="shared" si="32"/>
        <v>0</v>
      </c>
      <c r="B130" s="459">
        <f t="shared" si="33"/>
        <v>0</v>
      </c>
      <c r="C130" s="459">
        <f>+Insumos!A56</f>
        <v>0</v>
      </c>
      <c r="D130" s="507">
        <f t="shared" si="34"/>
        <v>0</v>
      </c>
      <c r="E130" s="451"/>
      <c r="F130" s="453">
        <f t="shared" si="35"/>
        <v>0</v>
      </c>
      <c r="G130" s="453">
        <f t="shared" ref="G130:G139" si="36">ROUND(E130*F130,2)</f>
        <v>0</v>
      </c>
    </row>
    <row r="131" spans="1:10" ht="19.899999999999999" customHeight="1" x14ac:dyDescent="0.2">
      <c r="A131" s="496">
        <f t="shared" si="32"/>
        <v>0</v>
      </c>
      <c r="B131" s="459">
        <f t="shared" si="33"/>
        <v>0</v>
      </c>
      <c r="C131" s="459">
        <f>+Insumos!A57</f>
        <v>0</v>
      </c>
      <c r="D131" s="507">
        <f t="shared" si="34"/>
        <v>0</v>
      </c>
      <c r="E131" s="451"/>
      <c r="F131" s="453">
        <f t="shared" si="35"/>
        <v>0</v>
      </c>
      <c r="G131" s="453">
        <f t="shared" si="36"/>
        <v>0</v>
      </c>
    </row>
    <row r="132" spans="1:10" ht="19.899999999999999" customHeight="1" x14ac:dyDescent="0.2">
      <c r="A132" s="496">
        <f t="shared" si="32"/>
        <v>0</v>
      </c>
      <c r="B132" s="459">
        <f t="shared" si="33"/>
        <v>0</v>
      </c>
      <c r="C132" s="459">
        <f>+Insumos!A87</f>
        <v>0</v>
      </c>
      <c r="D132" s="507">
        <f t="shared" si="34"/>
        <v>0</v>
      </c>
      <c r="E132" s="451"/>
      <c r="F132" s="453">
        <f t="shared" si="35"/>
        <v>0</v>
      </c>
      <c r="G132" s="453">
        <f t="shared" si="36"/>
        <v>0</v>
      </c>
    </row>
    <row r="133" spans="1:10" ht="19.899999999999999" customHeight="1" x14ac:dyDescent="0.2">
      <c r="A133" s="496">
        <f t="shared" si="32"/>
        <v>0</v>
      </c>
      <c r="B133" s="459">
        <f t="shared" si="33"/>
        <v>0</v>
      </c>
      <c r="C133" s="459">
        <f>+Insumos!A47</f>
        <v>0</v>
      </c>
      <c r="D133" s="507">
        <f t="shared" si="34"/>
        <v>0</v>
      </c>
      <c r="E133" s="451"/>
      <c r="F133" s="453">
        <f t="shared" si="35"/>
        <v>0</v>
      </c>
      <c r="G133" s="453">
        <f t="shared" si="36"/>
        <v>0</v>
      </c>
    </row>
    <row r="134" spans="1:10" ht="19.899999999999999" customHeight="1" x14ac:dyDescent="0.2">
      <c r="A134" s="496">
        <f t="shared" si="32"/>
        <v>0</v>
      </c>
      <c r="B134" s="459">
        <f t="shared" si="33"/>
        <v>0</v>
      </c>
      <c r="C134" s="459">
        <f>+Insumos!A66</f>
        <v>0</v>
      </c>
      <c r="D134" s="507">
        <f t="shared" si="34"/>
        <v>0</v>
      </c>
      <c r="E134" s="451"/>
      <c r="F134" s="453">
        <f t="shared" si="35"/>
        <v>0</v>
      </c>
      <c r="G134" s="453">
        <f t="shared" si="36"/>
        <v>0</v>
      </c>
    </row>
    <row r="135" spans="1:10" ht="19.899999999999999" customHeight="1" x14ac:dyDescent="0.2">
      <c r="A135" s="496">
        <f t="shared" si="32"/>
        <v>0</v>
      </c>
      <c r="B135" s="459">
        <f t="shared" si="33"/>
        <v>0</v>
      </c>
      <c r="C135" s="459">
        <f>+Insumos!A50</f>
        <v>0</v>
      </c>
      <c r="D135" s="507">
        <f t="shared" si="34"/>
        <v>0</v>
      </c>
      <c r="E135" s="451"/>
      <c r="F135" s="453">
        <f>IFERROR(VLOOKUP(C135,T_Insumos,3,FALSE),0)</f>
        <v>0</v>
      </c>
      <c r="G135" s="453">
        <f t="shared" si="36"/>
        <v>0</v>
      </c>
      <c r="I135" s="627"/>
      <c r="J135" s="627"/>
    </row>
    <row r="136" spans="1:10" ht="19.899999999999999" customHeight="1" x14ac:dyDescent="0.2">
      <c r="A136" s="496">
        <f t="shared" si="32"/>
        <v>0</v>
      </c>
      <c r="B136" s="459">
        <f t="shared" si="33"/>
        <v>0</v>
      </c>
      <c r="C136" s="459">
        <f>+Insumos!A101</f>
        <v>0</v>
      </c>
      <c r="D136" s="507">
        <f t="shared" si="34"/>
        <v>0</v>
      </c>
      <c r="E136" s="451"/>
      <c r="F136" s="453">
        <f t="shared" si="35"/>
        <v>0</v>
      </c>
      <c r="G136" s="453">
        <f t="shared" si="36"/>
        <v>0</v>
      </c>
    </row>
    <row r="137" spans="1:10" ht="19.899999999999999" customHeight="1" x14ac:dyDescent="0.2">
      <c r="A137" s="496">
        <f t="shared" si="32"/>
        <v>0</v>
      </c>
      <c r="B137" s="459">
        <f t="shared" si="33"/>
        <v>0</v>
      </c>
      <c r="C137" s="459"/>
      <c r="D137" s="507">
        <f t="shared" si="34"/>
        <v>0</v>
      </c>
      <c r="E137" s="451"/>
      <c r="F137" s="453">
        <f t="shared" si="35"/>
        <v>0</v>
      </c>
      <c r="G137" s="453">
        <f t="shared" si="36"/>
        <v>0</v>
      </c>
      <c r="I137" s="637"/>
    </row>
    <row r="138" spans="1:10" ht="19.899999999999999" customHeight="1" x14ac:dyDescent="0.2">
      <c r="A138" s="496">
        <f t="shared" si="32"/>
        <v>0</v>
      </c>
      <c r="B138" s="459">
        <f t="shared" si="33"/>
        <v>0</v>
      </c>
      <c r="C138" s="459"/>
      <c r="D138" s="507">
        <f t="shared" si="34"/>
        <v>0</v>
      </c>
      <c r="E138" s="451"/>
      <c r="F138" s="453">
        <f t="shared" si="35"/>
        <v>0</v>
      </c>
      <c r="G138" s="453">
        <f t="shared" si="36"/>
        <v>0</v>
      </c>
    </row>
    <row r="139" spans="1:10" ht="19.899999999999999" customHeight="1" x14ac:dyDescent="0.2">
      <c r="A139" s="496">
        <f t="shared" si="32"/>
        <v>0</v>
      </c>
      <c r="B139" s="459">
        <f t="shared" si="33"/>
        <v>0</v>
      </c>
      <c r="C139" s="459"/>
      <c r="D139" s="507">
        <f t="shared" si="34"/>
        <v>0</v>
      </c>
      <c r="E139" s="451"/>
      <c r="F139" s="453">
        <f t="shared" si="35"/>
        <v>0</v>
      </c>
      <c r="G139" s="453">
        <f t="shared" si="36"/>
        <v>0</v>
      </c>
    </row>
    <row r="140" spans="1:10" ht="19.899999999999999" customHeight="1" x14ac:dyDescent="0.2">
      <c r="A140" s="494"/>
      <c r="B140" s="155"/>
      <c r="C140" s="155"/>
      <c r="D140" s="440"/>
      <c r="E140" s="441"/>
      <c r="F140" s="462" t="s">
        <v>29</v>
      </c>
      <c r="G140" s="499">
        <f>SUBTOTAL(9,G129:G139)</f>
        <v>0</v>
      </c>
      <c r="H140" s="624"/>
    </row>
    <row r="141" spans="1:10" ht="19.899999999999999" customHeight="1" x14ac:dyDescent="0.2">
      <c r="A141" s="494"/>
      <c r="B141" s="155"/>
      <c r="C141" s="436" t="s">
        <v>991</v>
      </c>
      <c r="D141" s="440"/>
      <c r="E141" s="441"/>
      <c r="F141" s="442"/>
      <c r="G141" s="495"/>
    </row>
    <row r="142" spans="1:10" ht="19.899999999999999" customHeight="1" x14ac:dyDescent="0.2">
      <c r="A142" s="677" t="s">
        <v>576</v>
      </c>
      <c r="B142" s="678"/>
      <c r="C142" s="679" t="s">
        <v>0</v>
      </c>
      <c r="D142" s="679" t="s">
        <v>1733</v>
      </c>
      <c r="E142" s="681" t="s">
        <v>24</v>
      </c>
      <c r="F142" s="683" t="s">
        <v>25</v>
      </c>
      <c r="G142" s="685" t="s">
        <v>26</v>
      </c>
    </row>
    <row r="143" spans="1:10" ht="19.899999999999999" customHeight="1" x14ac:dyDescent="0.2">
      <c r="A143" s="458" t="s">
        <v>577</v>
      </c>
      <c r="B143" s="458" t="s">
        <v>578</v>
      </c>
      <c r="C143" s="680"/>
      <c r="D143" s="680"/>
      <c r="E143" s="682"/>
      <c r="F143" s="684"/>
      <c r="G143" s="686"/>
    </row>
    <row r="144" spans="1:10" ht="19.899999999999999" customHeight="1" x14ac:dyDescent="0.2">
      <c r="A144" s="496">
        <f>IFERROR(VLOOKUP(C144,T_Insumos,4,FALSE),0)</f>
        <v>0</v>
      </c>
      <c r="B144" s="459">
        <f>IFERROR(VLOOKUP(C144,T_Insumos,5,FALSE),0)</f>
        <v>0</v>
      </c>
      <c r="C144" s="450"/>
      <c r="D144" s="507">
        <f>IF(C144=0,0,"$/tnkm")</f>
        <v>0</v>
      </c>
      <c r="E144" s="451"/>
      <c r="F144" s="453">
        <f>IFERROR(VLOOKUP(C144,T_Insumos,3,FALSE),0)</f>
        <v>0</v>
      </c>
      <c r="G144" s="453">
        <f>ROUND(E144*F144,2)</f>
        <v>0</v>
      </c>
    </row>
    <row r="145" spans="1:8" ht="19.899999999999999" customHeight="1" x14ac:dyDescent="0.2">
      <c r="A145" s="496">
        <f>IFERROR(VLOOKUP(C145,T_Insumos,4,FALSE),0)</f>
        <v>0</v>
      </c>
      <c r="B145" s="459">
        <f>IFERROR(VLOOKUP(C145,T_Insumos,5,FALSE),0)</f>
        <v>0</v>
      </c>
      <c r="C145" s="450"/>
      <c r="D145" s="507">
        <f>IF(C145=0,0,"$/tnkm")</f>
        <v>0</v>
      </c>
      <c r="E145" s="467"/>
      <c r="F145" s="453">
        <f>IFERROR(VLOOKUP(C145,T_Insumos,3,FALSE),0)</f>
        <v>0</v>
      </c>
      <c r="G145" s="453">
        <f t="shared" ref="G145" si="37">ROUND(E145*F145,2)</f>
        <v>0</v>
      </c>
    </row>
    <row r="146" spans="1:8" ht="19.899999999999999" customHeight="1" x14ac:dyDescent="0.2">
      <c r="A146" s="494"/>
      <c r="B146" s="155"/>
      <c r="C146" s="155"/>
      <c r="D146" s="440"/>
      <c r="E146" s="441"/>
      <c r="F146" s="462" t="s">
        <v>992</v>
      </c>
      <c r="G146" s="499">
        <f>SUBTOTAL(9,G144:G145)</f>
        <v>0</v>
      </c>
    </row>
    <row r="147" spans="1:8" ht="19.899999999999999" customHeight="1" x14ac:dyDescent="0.2">
      <c r="A147" s="497"/>
      <c r="B147" s="440"/>
      <c r="C147" s="155"/>
      <c r="D147" s="440"/>
      <c r="E147" s="441"/>
      <c r="F147" s="442"/>
      <c r="G147" s="495"/>
    </row>
    <row r="148" spans="1:8" ht="19.899999999999999" customHeight="1" x14ac:dyDescent="0.2">
      <c r="A148" s="555" t="str">
        <f>B82</f>
        <v>1.1.2</v>
      </c>
      <c r="B148" s="552" t="str">
        <f ca="1">C82</f>
        <v>Replanteo</v>
      </c>
      <c r="C148" s="440"/>
      <c r="D148" s="440" t="s">
        <v>1712</v>
      </c>
      <c r="E148" s="553"/>
      <c r="F148" s="554" t="str">
        <f ca="1">"$/"&amp;G82</f>
        <v>$/GL</v>
      </c>
      <c r="G148" s="504">
        <f>SUBTOTAL(9,G105:G147)</f>
        <v>0</v>
      </c>
      <c r="H148" s="624"/>
    </row>
    <row r="149" spans="1:8" ht="19.899999999999999" customHeight="1" x14ac:dyDescent="0.2">
      <c r="A149" s="500"/>
      <c r="B149" s="501"/>
      <c r="C149" s="502"/>
      <c r="D149" s="502" t="s">
        <v>1908</v>
      </c>
      <c r="E149" s="503"/>
      <c r="F149" s="556" t="str">
        <f ca="1">"$/"&amp;G82</f>
        <v>$/GL</v>
      </c>
      <c r="G149" s="504">
        <f>ROUND(G148*Coeficiente_Paso,2)</f>
        <v>0</v>
      </c>
    </row>
    <row r="150" spans="1:8" ht="19.899999999999999" customHeight="1" x14ac:dyDescent="0.2">
      <c r="A150" s="155"/>
      <c r="B150" s="155"/>
      <c r="C150" s="155"/>
      <c r="D150" s="155"/>
      <c r="E150" s="155"/>
      <c r="F150" s="155"/>
      <c r="G150" s="155"/>
    </row>
    <row r="151" spans="1:8" ht="19.899999999999999" customHeight="1" x14ac:dyDescent="0.2">
      <c r="A151" s="687" t="s">
        <v>31</v>
      </c>
      <c r="B151" s="688"/>
      <c r="C151" s="688"/>
      <c r="D151" s="688"/>
      <c r="E151" s="688"/>
      <c r="F151" s="688"/>
      <c r="G151" s="689"/>
    </row>
    <row r="152" spans="1:8" ht="19.899999999999999" customHeight="1" x14ac:dyDescent="0.2">
      <c r="A152" s="483" t="s">
        <v>711</v>
      </c>
      <c r="B152" s="434" t="str">
        <f>Comitente</f>
        <v>DEPARTAMENTO DE HIDRÁULICA</v>
      </c>
      <c r="C152" s="435"/>
      <c r="D152" s="436"/>
      <c r="E152" s="436"/>
      <c r="F152" s="437"/>
      <c r="G152" s="484"/>
    </row>
    <row r="153" spans="1:8" ht="19.899999999999999" customHeight="1" x14ac:dyDescent="0.2">
      <c r="A153" s="483" t="s">
        <v>712</v>
      </c>
      <c r="B153" s="434">
        <f>Contratista</f>
        <v>0</v>
      </c>
      <c r="C153" s="438"/>
      <c r="D153" s="438"/>
      <c r="E153" s="438"/>
      <c r="F153" s="434"/>
      <c r="G153" s="485"/>
    </row>
    <row r="154" spans="1:8" ht="19.899999999999999" customHeight="1" x14ac:dyDescent="0.2">
      <c r="A154" s="483" t="s">
        <v>21</v>
      </c>
      <c r="B154" s="434" t="str">
        <f>Obra</f>
        <v>RECRECIMIENTO Y REPARACIÓN CANALES SARMIENTO, 9 DE JULIO Y CHIMBAS</v>
      </c>
      <c r="C154" s="438"/>
      <c r="D154" s="438"/>
      <c r="E154" s="438"/>
      <c r="F154" s="434" t="s">
        <v>32</v>
      </c>
      <c r="G154" s="485">
        <f>Fecha_Base</f>
        <v>0</v>
      </c>
    </row>
    <row r="155" spans="1:8" ht="19.899999999999999" customHeight="1" x14ac:dyDescent="0.2">
      <c r="A155" s="486" t="s">
        <v>710</v>
      </c>
      <c r="B155" s="439" t="str">
        <f>Ubicación</f>
        <v>DEPARTAMENTOS SARMIENTO, 9 DE JULIO Y CHIMBAS</v>
      </c>
      <c r="C155" s="439"/>
      <c r="D155" s="440"/>
      <c r="E155" s="441"/>
      <c r="F155" s="442"/>
      <c r="G155" s="487"/>
    </row>
    <row r="156" spans="1:8" ht="19.899999999999999" customHeight="1" x14ac:dyDescent="0.2">
      <c r="A156" s="486" t="s">
        <v>33</v>
      </c>
      <c r="B156" s="443">
        <f>IFERROR(VALUE(LEFT(B157,FIND(".",B157)-1)),"")</f>
        <v>1</v>
      </c>
      <c r="C156" s="155" t="str">
        <f ca="1">IFERROR(VLOOKUP(B156,T_Computo_Presupuesto,2,FALSE),0)</f>
        <v>DPTO. SARMIENTO - CANAL PRIMERO DE COCHAGUAL</v>
      </c>
      <c r="D156" s="155"/>
      <c r="E156" s="441"/>
      <c r="F156" s="442"/>
      <c r="G156" s="487"/>
    </row>
    <row r="157" spans="1:8" ht="19.899999999999999" customHeight="1" x14ac:dyDescent="0.2">
      <c r="A157" s="486" t="s">
        <v>22</v>
      </c>
      <c r="B157" s="444" t="str">
        <f>IFERROR(VLOOKUP(COUNTIF($A$1:A157,"ANALISIS DE PRECIOS"),T_NumeroItem,2,FALSE),"")</f>
        <v>1.2.1</v>
      </c>
      <c r="C157" s="690" t="str">
        <f ca="1">IFERROR(VLOOKUP(B157,T_Computo_Presupuesto,2,FALSE),0)</f>
        <v xml:space="preserve">Hormigón H-21  </v>
      </c>
      <c r="D157" s="690"/>
      <c r="E157" s="690"/>
      <c r="F157" s="439" t="s">
        <v>23</v>
      </c>
      <c r="G157" s="488" t="str">
        <f ca="1">IFERROR(VLOOKUP(B157,T_Computo_Presupuesto,4,FALSE),0)</f>
        <v>M3</v>
      </c>
    </row>
    <row r="158" spans="1:8" ht="19.899999999999999" customHeight="1" x14ac:dyDescent="0.2">
      <c r="A158" s="486"/>
      <c r="B158" s="439"/>
      <c r="C158" s="155"/>
      <c r="D158" s="440"/>
      <c r="E158" s="441"/>
      <c r="F158" s="155"/>
      <c r="G158" s="489"/>
    </row>
    <row r="159" spans="1:8" ht="19.899999999999999" customHeight="1" x14ac:dyDescent="0.2">
      <c r="A159" s="490"/>
      <c r="B159" s="445"/>
      <c r="C159" s="446" t="s">
        <v>975</v>
      </c>
      <c r="D159" s="445"/>
      <c r="E159" s="445"/>
      <c r="F159" s="445"/>
      <c r="G159" s="491"/>
    </row>
    <row r="160" spans="1:8" ht="19.899999999999999" customHeight="1" x14ac:dyDescent="0.2">
      <c r="A160" s="486"/>
      <c r="B160" s="447"/>
      <c r="C160" s="155"/>
      <c r="D160" s="440"/>
      <c r="E160" s="441"/>
      <c r="F160" s="439"/>
      <c r="G160" s="488"/>
    </row>
    <row r="161" spans="1:7" ht="19.899999999999999" customHeight="1" x14ac:dyDescent="0.2">
      <c r="A161" s="486"/>
      <c r="B161" s="447"/>
      <c r="C161" s="448" t="s">
        <v>976</v>
      </c>
      <c r="D161" s="449" t="s">
        <v>24</v>
      </c>
      <c r="E161" s="449" t="s">
        <v>977</v>
      </c>
      <c r="F161" s="449" t="s">
        <v>978</v>
      </c>
      <c r="G161" s="448" t="s">
        <v>979</v>
      </c>
    </row>
    <row r="162" spans="1:7" ht="19.899999999999999" customHeight="1" x14ac:dyDescent="0.2">
      <c r="A162" s="486"/>
      <c r="B162" s="447"/>
      <c r="C162" s="450">
        <f>+Equipos!A14</f>
        <v>0</v>
      </c>
      <c r="D162" s="451"/>
      <c r="E162" s="452">
        <f t="shared" ref="E162:E171" si="38">IFERROR(VLOOKUP(C162,T_Equipos,4,FALSE),0)</f>
        <v>0</v>
      </c>
      <c r="F162" s="453">
        <f t="shared" ref="F162:F171" si="39">IFERROR(VLOOKUP(C162,T_Equipos,5,FALSE),0)</f>
        <v>0</v>
      </c>
      <c r="G162" s="453">
        <f>ROUND(D162*F162,2)</f>
        <v>0</v>
      </c>
    </row>
    <row r="163" spans="1:7" ht="19.899999999999999" customHeight="1" x14ac:dyDescent="0.2">
      <c r="A163" s="486"/>
      <c r="B163" s="447"/>
      <c r="C163" s="450">
        <f>+Equipos!A25</f>
        <v>0</v>
      </c>
      <c r="D163" s="451"/>
      <c r="E163" s="452">
        <f t="shared" si="38"/>
        <v>0</v>
      </c>
      <c r="F163" s="453">
        <f t="shared" si="39"/>
        <v>0</v>
      </c>
      <c r="G163" s="453">
        <f>ROUND(D163*F163,2)</f>
        <v>0</v>
      </c>
    </row>
    <row r="164" spans="1:7" ht="19.899999999999999" customHeight="1" x14ac:dyDescent="0.2">
      <c r="A164" s="486"/>
      <c r="B164" s="447"/>
      <c r="C164" s="450"/>
      <c r="D164" s="451"/>
      <c r="E164" s="452">
        <f t="shared" si="38"/>
        <v>0</v>
      </c>
      <c r="F164" s="453">
        <f t="shared" si="39"/>
        <v>0</v>
      </c>
      <c r="G164" s="453">
        <f>ROUND(D164*F164,2)</f>
        <v>0</v>
      </c>
    </row>
    <row r="165" spans="1:7" ht="19.899999999999999" customHeight="1" x14ac:dyDescent="0.2">
      <c r="A165" s="486"/>
      <c r="B165" s="447"/>
      <c r="C165" s="450"/>
      <c r="D165" s="451"/>
      <c r="E165" s="452">
        <f t="shared" si="38"/>
        <v>0</v>
      </c>
      <c r="F165" s="453">
        <f t="shared" si="39"/>
        <v>0</v>
      </c>
      <c r="G165" s="453">
        <f>ROUND(D165*F165,2)</f>
        <v>0</v>
      </c>
    </row>
    <row r="166" spans="1:7" ht="19.899999999999999" customHeight="1" x14ac:dyDescent="0.2">
      <c r="A166" s="486"/>
      <c r="B166" s="447"/>
      <c r="C166" s="450"/>
      <c r="D166" s="451"/>
      <c r="E166" s="452">
        <f t="shared" si="38"/>
        <v>0</v>
      </c>
      <c r="F166" s="453">
        <f t="shared" si="39"/>
        <v>0</v>
      </c>
      <c r="G166" s="453">
        <f t="shared" ref="G166:G171" si="40">ROUND(D166*F166,2)</f>
        <v>0</v>
      </c>
    </row>
    <row r="167" spans="1:7" ht="19.899999999999999" customHeight="1" x14ac:dyDescent="0.2">
      <c r="A167" s="486"/>
      <c r="B167" s="447"/>
      <c r="C167" s="450"/>
      <c r="D167" s="451"/>
      <c r="E167" s="452">
        <f t="shared" si="38"/>
        <v>0</v>
      </c>
      <c r="F167" s="453">
        <f t="shared" si="39"/>
        <v>0</v>
      </c>
      <c r="G167" s="453">
        <f t="shared" si="40"/>
        <v>0</v>
      </c>
    </row>
    <row r="168" spans="1:7" ht="19.899999999999999" customHeight="1" x14ac:dyDescent="0.2">
      <c r="A168" s="486"/>
      <c r="B168" s="447"/>
      <c r="C168" s="450"/>
      <c r="D168" s="451"/>
      <c r="E168" s="452">
        <f t="shared" si="38"/>
        <v>0</v>
      </c>
      <c r="F168" s="453">
        <f t="shared" si="39"/>
        <v>0</v>
      </c>
      <c r="G168" s="453">
        <f t="shared" si="40"/>
        <v>0</v>
      </c>
    </row>
    <row r="169" spans="1:7" ht="19.899999999999999" customHeight="1" x14ac:dyDescent="0.2">
      <c r="A169" s="486"/>
      <c r="B169" s="447"/>
      <c r="C169" s="450"/>
      <c r="D169" s="451"/>
      <c r="E169" s="452">
        <f t="shared" si="38"/>
        <v>0</v>
      </c>
      <c r="F169" s="453">
        <f t="shared" si="39"/>
        <v>0</v>
      </c>
      <c r="G169" s="453">
        <f t="shared" si="40"/>
        <v>0</v>
      </c>
    </row>
    <row r="170" spans="1:7" ht="19.899999999999999" customHeight="1" x14ac:dyDescent="0.2">
      <c r="A170" s="486"/>
      <c r="B170" s="447"/>
      <c r="C170" s="450"/>
      <c r="D170" s="451"/>
      <c r="E170" s="452">
        <f t="shared" si="38"/>
        <v>0</v>
      </c>
      <c r="F170" s="453">
        <f t="shared" si="39"/>
        <v>0</v>
      </c>
      <c r="G170" s="453">
        <f t="shared" si="40"/>
        <v>0</v>
      </c>
    </row>
    <row r="171" spans="1:7" ht="19.899999999999999" customHeight="1" x14ac:dyDescent="0.2">
      <c r="A171" s="486"/>
      <c r="B171" s="447"/>
      <c r="C171" s="450"/>
      <c r="D171" s="451"/>
      <c r="E171" s="452">
        <f t="shared" si="38"/>
        <v>0</v>
      </c>
      <c r="F171" s="453">
        <f t="shared" si="39"/>
        <v>0</v>
      </c>
      <c r="G171" s="453">
        <f t="shared" si="40"/>
        <v>0</v>
      </c>
    </row>
    <row r="172" spans="1:7" ht="19.899999999999999" customHeight="1" x14ac:dyDescent="0.2">
      <c r="A172" s="486"/>
      <c r="B172" s="447"/>
      <c r="C172" s="155"/>
      <c r="D172" s="155"/>
      <c r="E172" s="454"/>
      <c r="F172" s="439"/>
      <c r="G172" s="488"/>
    </row>
    <row r="173" spans="1:7" ht="19.899999999999999" customHeight="1" x14ac:dyDescent="0.2">
      <c r="A173" s="486"/>
      <c r="B173" s="155"/>
      <c r="C173" s="436" t="s">
        <v>980</v>
      </c>
      <c r="D173" s="439" t="s">
        <v>977</v>
      </c>
      <c r="E173" s="505">
        <f>SUMPRODUCT(D162:D171,E162:E171)</f>
        <v>0</v>
      </c>
      <c r="F173" s="439" t="s">
        <v>981</v>
      </c>
      <c r="G173" s="506">
        <f>SUM(G162:G171)</f>
        <v>0</v>
      </c>
    </row>
    <row r="174" spans="1:7" ht="19.899999999999999" customHeight="1" x14ac:dyDescent="0.2">
      <c r="A174" s="486"/>
      <c r="B174" s="447"/>
      <c r="C174" s="455"/>
      <c r="D174" s="454"/>
      <c r="E174" s="441"/>
      <c r="F174" s="439"/>
      <c r="G174" s="492"/>
    </row>
    <row r="175" spans="1:7" ht="19.899999999999999" customHeight="1" x14ac:dyDescent="0.2">
      <c r="A175" s="493"/>
      <c r="B175" s="447"/>
      <c r="C175" s="439" t="s">
        <v>982</v>
      </c>
      <c r="D175" s="456">
        <f>IFERROR(VLOOKUP(COUNTIF($A$1:A175,"ANALISIS DE PRECIOS"),T_Rendimiento_Equipo,5,FALSE),0)</f>
        <v>0</v>
      </c>
      <c r="E175" s="457" t="str">
        <f ca="1">G157&amp;"/día"</f>
        <v>M3/día</v>
      </c>
      <c r="F175" s="433"/>
      <c r="G175" s="488"/>
    </row>
    <row r="176" spans="1:7" ht="19.899999999999999" customHeight="1" x14ac:dyDescent="0.2">
      <c r="A176" s="486"/>
      <c r="B176" s="447"/>
      <c r="C176" s="155"/>
      <c r="D176" s="440"/>
      <c r="E176" s="441"/>
      <c r="F176" s="439"/>
      <c r="G176" s="488"/>
    </row>
    <row r="177" spans="1:7" ht="19.899999999999999" customHeight="1" x14ac:dyDescent="0.2">
      <c r="A177" s="677" t="s">
        <v>576</v>
      </c>
      <c r="B177" s="678"/>
      <c r="C177" s="679" t="s">
        <v>0</v>
      </c>
      <c r="D177" s="691" t="s">
        <v>1732</v>
      </c>
      <c r="E177" s="691" t="s">
        <v>1731</v>
      </c>
      <c r="F177" s="683" t="s">
        <v>983</v>
      </c>
      <c r="G177" s="685" t="s">
        <v>26</v>
      </c>
    </row>
    <row r="178" spans="1:7" ht="19.899999999999999" customHeight="1" x14ac:dyDescent="0.2">
      <c r="A178" s="458" t="s">
        <v>577</v>
      </c>
      <c r="B178" s="458" t="s">
        <v>578</v>
      </c>
      <c r="C178" s="680"/>
      <c r="D178" s="692"/>
      <c r="E178" s="682"/>
      <c r="F178" s="684"/>
      <c r="G178" s="686"/>
    </row>
    <row r="179" spans="1:7" ht="19.899999999999999" customHeight="1" x14ac:dyDescent="0.2">
      <c r="A179" s="494"/>
      <c r="B179" s="155"/>
      <c r="C179" s="436" t="s">
        <v>984</v>
      </c>
      <c r="D179" s="441"/>
      <c r="E179" s="441"/>
      <c r="F179" s="155"/>
      <c r="G179" s="495"/>
    </row>
    <row r="180" spans="1:7" ht="19.899999999999999" customHeight="1" x14ac:dyDescent="0.2">
      <c r="A180" s="496">
        <f t="shared" ref="A180:A188" si="41">IFERROR(VLOOKUP(C180,T_Insumos,4,FALSE),0)</f>
        <v>0</v>
      </c>
      <c r="B180" s="459">
        <f t="shared" ref="B180:B188" si="42">IFERROR(VLOOKUP(C180,T_Insumos,5,FALSE),0)</f>
        <v>0</v>
      </c>
      <c r="C180" s="450">
        <f>+C30</f>
        <v>0</v>
      </c>
      <c r="D180" s="460">
        <f t="shared" ref="D180:D188" si="43">IFERROR(VLOOKUP(C180,T_Insumos,3,FALSE),0)</f>
        <v>0</v>
      </c>
      <c r="E180" s="453">
        <f>D180*$G$173</f>
        <v>0</v>
      </c>
      <c r="F180" s="456">
        <f>IF(C180="",0,IFERROR(VLOOKUP(COUNTIF($A$1:A180,"ANALISIS DE PRECIOS"),T_Rendimiento_Equipo,5,FALSE),0))</f>
        <v>0</v>
      </c>
      <c r="G180" s="453">
        <f>IFERROR(ROUND(E180/F180,2),0)</f>
        <v>0</v>
      </c>
    </row>
    <row r="181" spans="1:7" ht="19.899999999999999" customHeight="1" x14ac:dyDescent="0.2">
      <c r="A181" s="496">
        <f t="shared" si="41"/>
        <v>0</v>
      </c>
      <c r="B181" s="459">
        <f t="shared" si="42"/>
        <v>0</v>
      </c>
      <c r="C181" s="450">
        <f t="shared" ref="C181:C183" si="44">+C31</f>
        <v>0</v>
      </c>
      <c r="D181" s="460">
        <f t="shared" si="43"/>
        <v>0</v>
      </c>
      <c r="E181" s="453">
        <f t="shared" ref="E181:E182" si="45">D181*$G$173</f>
        <v>0</v>
      </c>
      <c r="F181" s="456">
        <f>IF(C181="",0,IFERROR(VLOOKUP(COUNTIF($A$1:A181,"ANALISIS DE PRECIOS"),T_Rendimiento_Equipo,5,FALSE),0))</f>
        <v>0</v>
      </c>
      <c r="G181" s="453">
        <f t="shared" ref="G181:G188" si="46">IFERROR(ROUND(E181/F181,2),0)</f>
        <v>0</v>
      </c>
    </row>
    <row r="182" spans="1:7" ht="19.899999999999999" customHeight="1" x14ac:dyDescent="0.2">
      <c r="A182" s="496">
        <f t="shared" si="41"/>
        <v>0</v>
      </c>
      <c r="B182" s="459">
        <f t="shared" si="42"/>
        <v>0</v>
      </c>
      <c r="C182" s="450">
        <f t="shared" si="44"/>
        <v>0</v>
      </c>
      <c r="D182" s="460">
        <f t="shared" si="43"/>
        <v>0</v>
      </c>
      <c r="E182" s="453">
        <f t="shared" si="45"/>
        <v>0</v>
      </c>
      <c r="F182" s="456">
        <f>IF(C182="",0,IFERROR(VLOOKUP(COUNTIF($A$1:A182,"ANALISIS DE PRECIOS"),T_Rendimiento_Equipo,5,FALSE),0))</f>
        <v>0</v>
      </c>
      <c r="G182" s="453">
        <f t="shared" si="46"/>
        <v>0</v>
      </c>
    </row>
    <row r="183" spans="1:7" ht="19.899999999999999" customHeight="1" x14ac:dyDescent="0.2">
      <c r="A183" s="496">
        <f t="shared" si="41"/>
        <v>0</v>
      </c>
      <c r="B183" s="459">
        <f t="shared" si="42"/>
        <v>0</v>
      </c>
      <c r="C183" s="450">
        <f t="shared" si="44"/>
        <v>0</v>
      </c>
      <c r="D183" s="460">
        <f t="shared" si="43"/>
        <v>0</v>
      </c>
      <c r="E183" s="453">
        <f>D183*$E$173</f>
        <v>0</v>
      </c>
      <c r="F183" s="456">
        <f>IF(C183="",0,IFERROR(VLOOKUP(COUNTIF($A$1:A183,"ANALISIS DE PRECIOS"),T_Rendimiento_Equipo,5,FALSE),0))</f>
        <v>0</v>
      </c>
      <c r="G183" s="453">
        <f t="shared" si="46"/>
        <v>0</v>
      </c>
    </row>
    <row r="184" spans="1:7" ht="19.899999999999999" customHeight="1" x14ac:dyDescent="0.2">
      <c r="A184" s="496">
        <f t="shared" si="41"/>
        <v>0</v>
      </c>
      <c r="B184" s="459">
        <f t="shared" si="42"/>
        <v>0</v>
      </c>
      <c r="C184" s="461"/>
      <c r="D184" s="460">
        <f t="shared" si="43"/>
        <v>0</v>
      </c>
      <c r="E184" s="453"/>
      <c r="F184" s="456">
        <f>IF(C184="",0,IFERROR(VLOOKUP(COUNTIF($A$1:A184,"ANALISIS DE PRECIOS"),T_Rendimiento_Equipo,5,FALSE),0))</f>
        <v>0</v>
      </c>
      <c r="G184" s="453">
        <f t="shared" si="46"/>
        <v>0</v>
      </c>
    </row>
    <row r="185" spans="1:7" ht="19.899999999999999" customHeight="1" x14ac:dyDescent="0.2">
      <c r="A185" s="496">
        <f t="shared" si="41"/>
        <v>0</v>
      </c>
      <c r="B185" s="459">
        <f t="shared" si="42"/>
        <v>0</v>
      </c>
      <c r="C185" s="461"/>
      <c r="D185" s="460">
        <f t="shared" si="43"/>
        <v>0</v>
      </c>
      <c r="E185" s="453"/>
      <c r="F185" s="456">
        <f>IF(C185="",0,IFERROR(VLOOKUP(COUNTIF($A$1:A185,"ANALISIS DE PRECIOS"),T_Rendimiento_Equipo,5,FALSE),0))</f>
        <v>0</v>
      </c>
      <c r="G185" s="453">
        <f t="shared" si="46"/>
        <v>0</v>
      </c>
    </row>
    <row r="186" spans="1:7" ht="19.899999999999999" customHeight="1" x14ac:dyDescent="0.2">
      <c r="A186" s="496">
        <f t="shared" si="41"/>
        <v>0</v>
      </c>
      <c r="B186" s="459">
        <f t="shared" si="42"/>
        <v>0</v>
      </c>
      <c r="C186" s="461"/>
      <c r="D186" s="460">
        <f t="shared" si="43"/>
        <v>0</v>
      </c>
      <c r="E186" s="453"/>
      <c r="F186" s="456">
        <f>IF(C186="",0,IFERROR(VLOOKUP(COUNTIF($A$1:A186,"ANALISIS DE PRECIOS"),T_Rendimiento_Equipo,5,FALSE),0))</f>
        <v>0</v>
      </c>
      <c r="G186" s="453">
        <f t="shared" si="46"/>
        <v>0</v>
      </c>
    </row>
    <row r="187" spans="1:7" ht="19.899999999999999" customHeight="1" x14ac:dyDescent="0.2">
      <c r="A187" s="496">
        <f t="shared" si="41"/>
        <v>0</v>
      </c>
      <c r="B187" s="459">
        <f t="shared" si="42"/>
        <v>0</v>
      </c>
      <c r="C187" s="461"/>
      <c r="D187" s="460">
        <f t="shared" si="43"/>
        <v>0</v>
      </c>
      <c r="E187" s="453"/>
      <c r="F187" s="456">
        <f>IF(C187="",0,IFERROR(VLOOKUP(COUNTIF($A$1:A187,"ANALISIS DE PRECIOS"),T_Rendimiento_Equipo,5,FALSE),0))</f>
        <v>0</v>
      </c>
      <c r="G187" s="453">
        <f t="shared" si="46"/>
        <v>0</v>
      </c>
    </row>
    <row r="188" spans="1:7" ht="19.899999999999999" customHeight="1" x14ac:dyDescent="0.2">
      <c r="A188" s="496">
        <f t="shared" si="41"/>
        <v>0</v>
      </c>
      <c r="B188" s="459">
        <f t="shared" si="42"/>
        <v>0</v>
      </c>
      <c r="C188" s="450"/>
      <c r="D188" s="460">
        <f t="shared" si="43"/>
        <v>0</v>
      </c>
      <c r="E188" s="453"/>
      <c r="F188" s="456">
        <f>IF(C188="",0,IFERROR(VLOOKUP(COUNTIF($A$1:A188,"ANALISIS DE PRECIOS"),T_Rendimiento_Equipo,5,FALSE),0))</f>
        <v>0</v>
      </c>
      <c r="G188" s="453">
        <f t="shared" si="46"/>
        <v>0</v>
      </c>
    </row>
    <row r="189" spans="1:7" ht="19.899999999999999" customHeight="1" x14ac:dyDescent="0.2">
      <c r="A189" s="497"/>
      <c r="B189" s="440"/>
      <c r="C189" s="155"/>
      <c r="D189" s="440"/>
      <c r="E189" s="441"/>
      <c r="F189" s="462" t="s">
        <v>27</v>
      </c>
      <c r="G189" s="498">
        <f>SUBTOTAL(9,G180:G188)</f>
        <v>0</v>
      </c>
    </row>
    <row r="190" spans="1:7" ht="19.899999999999999" customHeight="1" x14ac:dyDescent="0.2">
      <c r="A190" s="494"/>
      <c r="B190" s="155"/>
      <c r="C190" s="436" t="s">
        <v>713</v>
      </c>
      <c r="D190" s="440"/>
      <c r="E190" s="441"/>
      <c r="F190" s="442"/>
      <c r="G190" s="495"/>
    </row>
    <row r="191" spans="1:7" ht="19.899999999999999" customHeight="1" x14ac:dyDescent="0.2">
      <c r="A191" s="677" t="s">
        <v>576</v>
      </c>
      <c r="B191" s="678"/>
      <c r="C191" s="679" t="s">
        <v>0</v>
      </c>
      <c r="D191" s="681" t="s">
        <v>24</v>
      </c>
      <c r="E191" s="681" t="s">
        <v>1711</v>
      </c>
      <c r="F191" s="683" t="s">
        <v>983</v>
      </c>
      <c r="G191" s="685" t="s">
        <v>26</v>
      </c>
    </row>
    <row r="192" spans="1:7" ht="19.899999999999999" customHeight="1" x14ac:dyDescent="0.2">
      <c r="A192" s="458" t="s">
        <v>577</v>
      </c>
      <c r="B192" s="458" t="s">
        <v>578</v>
      </c>
      <c r="C192" s="680"/>
      <c r="D192" s="682"/>
      <c r="E192" s="682"/>
      <c r="F192" s="684"/>
      <c r="G192" s="686"/>
    </row>
    <row r="193" spans="1:8" ht="19.899999999999999" customHeight="1" x14ac:dyDescent="0.2">
      <c r="A193" s="496">
        <f t="shared" ref="A193:A199" si="47">IFERROR(VLOOKUP(C193,T_Insumos,4,FALSE),0)</f>
        <v>0</v>
      </c>
      <c r="B193" s="459">
        <f t="shared" ref="B193:B199" si="48">IFERROR(VLOOKUP(C193,T_Insumos,5,FALSE),0)</f>
        <v>0</v>
      </c>
      <c r="C193" s="463">
        <f>+C43</f>
        <v>0</v>
      </c>
      <c r="D193" s="456"/>
      <c r="E193" s="453">
        <f t="shared" ref="E193:E199" si="49">IFERROR(VLOOKUP(C193,T_Insumos,3,FALSE),0)</f>
        <v>0</v>
      </c>
      <c r="F193" s="456">
        <f>IF(C193="",0,IFERROR(VLOOKUP(COUNTIF($A$1:A193,"ANALISIS DE PRECIOS"),T_Rendimiento_Equipo,5,FALSE),0))</f>
        <v>0</v>
      </c>
      <c r="G193" s="453">
        <f>IFERROR(ROUND(D193*E193/F193,2),0)</f>
        <v>0</v>
      </c>
    </row>
    <row r="194" spans="1:8" ht="19.899999999999999" customHeight="1" x14ac:dyDescent="0.2">
      <c r="A194" s="496">
        <f t="shared" si="47"/>
        <v>0</v>
      </c>
      <c r="B194" s="459">
        <f t="shared" si="48"/>
        <v>0</v>
      </c>
      <c r="C194" s="463">
        <f t="shared" ref="C194:C196" si="50">+C44</f>
        <v>0</v>
      </c>
      <c r="D194" s="456"/>
      <c r="E194" s="453">
        <f t="shared" si="49"/>
        <v>0</v>
      </c>
      <c r="F194" s="456">
        <f>IF(C194="",0,IFERROR(VLOOKUP(COUNTIF($A$1:A194,"ANALISIS DE PRECIOS"),T_Rendimiento_Equipo,5,FALSE),0))</f>
        <v>0</v>
      </c>
      <c r="G194" s="453">
        <f t="shared" ref="G194:G199" si="51">IFERROR(ROUND(D194*E194/F194,2),0)</f>
        <v>0</v>
      </c>
    </row>
    <row r="195" spans="1:8" ht="19.899999999999999" customHeight="1" x14ac:dyDescent="0.2">
      <c r="A195" s="496">
        <f t="shared" si="47"/>
        <v>0</v>
      </c>
      <c r="B195" s="459">
        <f t="shared" si="48"/>
        <v>0</v>
      </c>
      <c r="C195" s="463">
        <f t="shared" si="50"/>
        <v>0</v>
      </c>
      <c r="D195" s="456"/>
      <c r="E195" s="453">
        <f t="shared" si="49"/>
        <v>0</v>
      </c>
      <c r="F195" s="456">
        <f>IF(C195="",0,IFERROR(VLOOKUP(COUNTIF($A$1:A195,"ANALISIS DE PRECIOS"),T_Rendimiento_Equipo,5,FALSE),0))</f>
        <v>0</v>
      </c>
      <c r="G195" s="453">
        <f t="shared" si="51"/>
        <v>0</v>
      </c>
    </row>
    <row r="196" spans="1:8" ht="19.899999999999999" customHeight="1" x14ac:dyDescent="0.2">
      <c r="A196" s="496">
        <f t="shared" si="47"/>
        <v>0</v>
      </c>
      <c r="B196" s="459">
        <f t="shared" si="48"/>
        <v>0</v>
      </c>
      <c r="C196" s="463">
        <f t="shared" si="50"/>
        <v>0</v>
      </c>
      <c r="D196" s="456"/>
      <c r="E196" s="453">
        <f t="shared" si="49"/>
        <v>0</v>
      </c>
      <c r="F196" s="456">
        <f>IF(C196="",0,IFERROR(VLOOKUP(COUNTIF($A$1:A196,"ANALISIS DE PRECIOS"),T_Rendimiento_Equipo,5,FALSE),0))</f>
        <v>0</v>
      </c>
      <c r="G196" s="453">
        <f>IFERROR(ROUND(D196*E196/F196,2),0)</f>
        <v>0</v>
      </c>
    </row>
    <row r="197" spans="1:8" ht="19.899999999999999" customHeight="1" x14ac:dyDescent="0.2">
      <c r="A197" s="496">
        <f t="shared" si="47"/>
        <v>0</v>
      </c>
      <c r="B197" s="459">
        <f t="shared" si="48"/>
        <v>0</v>
      </c>
      <c r="C197" s="450"/>
      <c r="D197" s="456"/>
      <c r="E197" s="453">
        <f t="shared" si="49"/>
        <v>0</v>
      </c>
      <c r="F197" s="456">
        <f>IF(C197="",0,IFERROR(VLOOKUP(COUNTIF($A$1:A197,"ANALISIS DE PRECIOS"),T_Rendimiento_Equipo,5,FALSE),0))</f>
        <v>0</v>
      </c>
      <c r="G197" s="453">
        <f t="shared" si="51"/>
        <v>0</v>
      </c>
    </row>
    <row r="198" spans="1:8" ht="19.899999999999999" customHeight="1" x14ac:dyDescent="0.2">
      <c r="A198" s="496">
        <f t="shared" si="47"/>
        <v>0</v>
      </c>
      <c r="B198" s="459">
        <f t="shared" si="48"/>
        <v>0</v>
      </c>
      <c r="C198" s="450"/>
      <c r="D198" s="464"/>
      <c r="E198" s="453">
        <f t="shared" si="49"/>
        <v>0</v>
      </c>
      <c r="F198" s="456">
        <f>IF(C198="",0,IFERROR(VLOOKUP(COUNTIF($A$1:A198,"ANALISIS DE PRECIOS"),T_Rendimiento_Equipo,5,FALSE),0))</f>
        <v>0</v>
      </c>
      <c r="G198" s="453">
        <f t="shared" si="51"/>
        <v>0</v>
      </c>
    </row>
    <row r="199" spans="1:8" ht="19.899999999999999" customHeight="1" x14ac:dyDescent="0.2">
      <c r="A199" s="496">
        <f t="shared" si="47"/>
        <v>0</v>
      </c>
      <c r="B199" s="459">
        <f t="shared" si="48"/>
        <v>0</v>
      </c>
      <c r="C199" s="459"/>
      <c r="D199" s="465"/>
      <c r="E199" s="453">
        <f t="shared" si="49"/>
        <v>0</v>
      </c>
      <c r="F199" s="456">
        <f>IF(C199="",0,IFERROR(VLOOKUP(COUNTIF($A$1:A199,"ANALISIS DE PRECIOS"),T_Rendimiento_Equipo,5,FALSE),0))</f>
        <v>0</v>
      </c>
      <c r="G199" s="453">
        <f t="shared" si="51"/>
        <v>0</v>
      </c>
    </row>
    <row r="200" spans="1:8" ht="19.899999999999999" customHeight="1" x14ac:dyDescent="0.2">
      <c r="A200" s="497"/>
      <c r="B200" s="440"/>
      <c r="C200" s="155"/>
      <c r="D200" s="440"/>
      <c r="E200" s="441"/>
      <c r="F200" s="462" t="s">
        <v>28</v>
      </c>
      <c r="G200" s="499">
        <f>SUBTOTAL(9,G193:G199)</f>
        <v>0</v>
      </c>
      <c r="H200" s="625"/>
    </row>
    <row r="201" spans="1:8" ht="19.899999999999999" customHeight="1" x14ac:dyDescent="0.2">
      <c r="A201" s="494"/>
      <c r="B201" s="155"/>
      <c r="C201" s="436" t="s">
        <v>990</v>
      </c>
      <c r="D201" s="440"/>
      <c r="E201" s="441"/>
      <c r="F201" s="442"/>
      <c r="G201" s="495"/>
    </row>
    <row r="202" spans="1:8" ht="19.899999999999999" customHeight="1" x14ac:dyDescent="0.2">
      <c r="A202" s="677" t="s">
        <v>576</v>
      </c>
      <c r="B202" s="678"/>
      <c r="C202" s="679" t="s">
        <v>0</v>
      </c>
      <c r="D202" s="679" t="s">
        <v>1733</v>
      </c>
      <c r="E202" s="681" t="s">
        <v>24</v>
      </c>
      <c r="F202" s="683" t="s">
        <v>25</v>
      </c>
      <c r="G202" s="685" t="s">
        <v>26</v>
      </c>
    </row>
    <row r="203" spans="1:8" ht="19.899999999999999" customHeight="1" x14ac:dyDescent="0.2">
      <c r="A203" s="458" t="s">
        <v>577</v>
      </c>
      <c r="B203" s="458" t="s">
        <v>578</v>
      </c>
      <c r="C203" s="680"/>
      <c r="D203" s="680"/>
      <c r="E203" s="682"/>
      <c r="F203" s="684"/>
      <c r="G203" s="686"/>
    </row>
    <row r="204" spans="1:8" ht="19.899999999999999" customHeight="1" x14ac:dyDescent="0.2">
      <c r="A204" s="496">
        <f t="shared" ref="A204:A214" si="52">IFERROR(VLOOKUP(C204,T_Insumos,4,FALSE),0)</f>
        <v>0</v>
      </c>
      <c r="B204" s="459">
        <f t="shared" ref="B204:B214" si="53">IFERROR(VLOOKUP(C204,T_Insumos,5,FALSE),0)</f>
        <v>0</v>
      </c>
      <c r="C204" s="459"/>
      <c r="D204" s="507">
        <f t="shared" ref="D204:D214" si="54">IFERROR(VLOOKUP(C204,T_Insumos,2,FALSE),0)</f>
        <v>0</v>
      </c>
      <c r="E204" s="451"/>
      <c r="F204" s="453">
        <f t="shared" ref="F204:F214" si="55">IFERROR(VLOOKUP(C204,T_Insumos,3,FALSE),0)</f>
        <v>0</v>
      </c>
      <c r="G204" s="453">
        <f>ROUND(E204*F204,2)</f>
        <v>0</v>
      </c>
    </row>
    <row r="205" spans="1:8" ht="19.899999999999999" customHeight="1" x14ac:dyDescent="0.2">
      <c r="A205" s="496">
        <f t="shared" si="52"/>
        <v>0</v>
      </c>
      <c r="B205" s="459">
        <f t="shared" si="53"/>
        <v>0</v>
      </c>
      <c r="C205" s="459"/>
      <c r="D205" s="507">
        <f t="shared" si="54"/>
        <v>0</v>
      </c>
      <c r="E205" s="451"/>
      <c r="F205" s="453">
        <f t="shared" si="55"/>
        <v>0</v>
      </c>
      <c r="G205" s="453">
        <f t="shared" ref="G205:G214" si="56">ROUND(E205*F205,2)</f>
        <v>0</v>
      </c>
    </row>
    <row r="206" spans="1:8" ht="19.899999999999999" customHeight="1" x14ac:dyDescent="0.2">
      <c r="A206" s="496">
        <f t="shared" si="52"/>
        <v>0</v>
      </c>
      <c r="B206" s="459">
        <f t="shared" si="53"/>
        <v>0</v>
      </c>
      <c r="C206" s="459"/>
      <c r="D206" s="507">
        <f t="shared" si="54"/>
        <v>0</v>
      </c>
      <c r="E206" s="451"/>
      <c r="F206" s="453">
        <f t="shared" si="55"/>
        <v>0</v>
      </c>
      <c r="G206" s="453">
        <f t="shared" si="56"/>
        <v>0</v>
      </c>
    </row>
    <row r="207" spans="1:8" ht="19.899999999999999" customHeight="1" x14ac:dyDescent="0.2">
      <c r="A207" s="496">
        <f t="shared" si="52"/>
        <v>0</v>
      </c>
      <c r="B207" s="459">
        <f t="shared" si="53"/>
        <v>0</v>
      </c>
      <c r="C207" s="459"/>
      <c r="D207" s="507">
        <f t="shared" si="54"/>
        <v>0</v>
      </c>
      <c r="E207" s="451"/>
      <c r="F207" s="453">
        <f t="shared" si="55"/>
        <v>0</v>
      </c>
      <c r="G207" s="453">
        <f t="shared" si="56"/>
        <v>0</v>
      </c>
    </row>
    <row r="208" spans="1:8" ht="19.899999999999999" customHeight="1" x14ac:dyDescent="0.2">
      <c r="A208" s="496">
        <f t="shared" si="52"/>
        <v>0</v>
      </c>
      <c r="B208" s="459">
        <f t="shared" si="53"/>
        <v>0</v>
      </c>
      <c r="C208" s="459"/>
      <c r="D208" s="507">
        <f t="shared" si="54"/>
        <v>0</v>
      </c>
      <c r="E208" s="451"/>
      <c r="F208" s="453">
        <f t="shared" si="55"/>
        <v>0</v>
      </c>
      <c r="G208" s="453">
        <f t="shared" si="56"/>
        <v>0</v>
      </c>
    </row>
    <row r="209" spans="1:7" ht="19.899999999999999" customHeight="1" x14ac:dyDescent="0.2">
      <c r="A209" s="496">
        <f t="shared" si="52"/>
        <v>0</v>
      </c>
      <c r="B209" s="459">
        <f t="shared" si="53"/>
        <v>0</v>
      </c>
      <c r="C209" s="459"/>
      <c r="D209" s="507">
        <f t="shared" si="54"/>
        <v>0</v>
      </c>
      <c r="E209" s="451"/>
      <c r="F209" s="453">
        <f t="shared" si="55"/>
        <v>0</v>
      </c>
      <c r="G209" s="453">
        <f t="shared" si="56"/>
        <v>0</v>
      </c>
    </row>
    <row r="210" spans="1:7" ht="19.899999999999999" customHeight="1" x14ac:dyDescent="0.2">
      <c r="A210" s="496">
        <f t="shared" si="52"/>
        <v>0</v>
      </c>
      <c r="B210" s="459">
        <f t="shared" si="53"/>
        <v>0</v>
      </c>
      <c r="C210" s="459"/>
      <c r="D210" s="507">
        <f t="shared" si="54"/>
        <v>0</v>
      </c>
      <c r="E210" s="451"/>
      <c r="F210" s="453">
        <f t="shared" si="55"/>
        <v>0</v>
      </c>
      <c r="G210" s="453">
        <f t="shared" si="56"/>
        <v>0</v>
      </c>
    </row>
    <row r="211" spans="1:7" ht="19.899999999999999" customHeight="1" x14ac:dyDescent="0.2">
      <c r="A211" s="496">
        <f t="shared" si="52"/>
        <v>0</v>
      </c>
      <c r="B211" s="459">
        <f t="shared" si="53"/>
        <v>0</v>
      </c>
      <c r="C211" s="459"/>
      <c r="D211" s="507">
        <f t="shared" si="54"/>
        <v>0</v>
      </c>
      <c r="E211" s="451"/>
      <c r="F211" s="453">
        <f t="shared" si="55"/>
        <v>0</v>
      </c>
      <c r="G211" s="453">
        <f t="shared" si="56"/>
        <v>0</v>
      </c>
    </row>
    <row r="212" spans="1:7" ht="19.899999999999999" customHeight="1" x14ac:dyDescent="0.2">
      <c r="A212" s="496">
        <f t="shared" si="52"/>
        <v>0</v>
      </c>
      <c r="B212" s="459">
        <f t="shared" si="53"/>
        <v>0</v>
      </c>
      <c r="C212" s="459"/>
      <c r="D212" s="507">
        <f t="shared" si="54"/>
        <v>0</v>
      </c>
      <c r="E212" s="451"/>
      <c r="F212" s="453">
        <f t="shared" si="55"/>
        <v>0</v>
      </c>
      <c r="G212" s="453">
        <f t="shared" si="56"/>
        <v>0</v>
      </c>
    </row>
    <row r="213" spans="1:7" ht="19.899999999999999" customHeight="1" x14ac:dyDescent="0.2">
      <c r="A213" s="496">
        <f t="shared" si="52"/>
        <v>0</v>
      </c>
      <c r="B213" s="459">
        <f t="shared" si="53"/>
        <v>0</v>
      </c>
      <c r="C213" s="459"/>
      <c r="D213" s="507">
        <f t="shared" si="54"/>
        <v>0</v>
      </c>
      <c r="E213" s="451"/>
      <c r="F213" s="453">
        <f t="shared" si="55"/>
        <v>0</v>
      </c>
      <c r="G213" s="453">
        <f t="shared" si="56"/>
        <v>0</v>
      </c>
    </row>
    <row r="214" spans="1:7" ht="19.899999999999999" customHeight="1" x14ac:dyDescent="0.2">
      <c r="A214" s="496">
        <f t="shared" si="52"/>
        <v>0</v>
      </c>
      <c r="B214" s="459">
        <f t="shared" si="53"/>
        <v>0</v>
      </c>
      <c r="C214" s="459"/>
      <c r="D214" s="507">
        <f t="shared" si="54"/>
        <v>0</v>
      </c>
      <c r="E214" s="451"/>
      <c r="F214" s="453">
        <f t="shared" si="55"/>
        <v>0</v>
      </c>
      <c r="G214" s="453">
        <f t="shared" si="56"/>
        <v>0</v>
      </c>
    </row>
    <row r="215" spans="1:7" ht="19.899999999999999" customHeight="1" x14ac:dyDescent="0.2">
      <c r="A215" s="494"/>
      <c r="B215" s="155"/>
      <c r="C215" s="155"/>
      <c r="D215" s="440"/>
      <c r="E215" s="441"/>
      <c r="F215" s="462" t="s">
        <v>29</v>
      </c>
      <c r="G215" s="499">
        <f>SUBTOTAL(9,G204:G214)</f>
        <v>0</v>
      </c>
    </row>
    <row r="216" spans="1:7" ht="19.899999999999999" customHeight="1" x14ac:dyDescent="0.2">
      <c r="A216" s="494"/>
      <c r="B216" s="155"/>
      <c r="C216" s="436" t="s">
        <v>991</v>
      </c>
      <c r="D216" s="440"/>
      <c r="E216" s="441"/>
      <c r="F216" s="442"/>
      <c r="G216" s="495"/>
    </row>
    <row r="217" spans="1:7" ht="19.899999999999999" customHeight="1" x14ac:dyDescent="0.2">
      <c r="A217" s="677" t="s">
        <v>576</v>
      </c>
      <c r="B217" s="678"/>
      <c r="C217" s="679" t="s">
        <v>0</v>
      </c>
      <c r="D217" s="679" t="s">
        <v>1733</v>
      </c>
      <c r="E217" s="681" t="s">
        <v>24</v>
      </c>
      <c r="F217" s="683" t="s">
        <v>25</v>
      </c>
      <c r="G217" s="685" t="s">
        <v>26</v>
      </c>
    </row>
    <row r="218" spans="1:7" ht="19.899999999999999" customHeight="1" x14ac:dyDescent="0.2">
      <c r="A218" s="458" t="s">
        <v>577</v>
      </c>
      <c r="B218" s="458" t="s">
        <v>578</v>
      </c>
      <c r="C218" s="680"/>
      <c r="D218" s="680"/>
      <c r="E218" s="682"/>
      <c r="F218" s="684"/>
      <c r="G218" s="686"/>
    </row>
    <row r="219" spans="1:7" ht="19.899999999999999" customHeight="1" x14ac:dyDescent="0.2">
      <c r="A219" s="496">
        <f>IFERROR(VLOOKUP(C219,T_Insumos,4,FALSE),0)</f>
        <v>0</v>
      </c>
      <c r="B219" s="459">
        <f>IFERROR(VLOOKUP(C219,T_Insumos,5,FALSE),0)</f>
        <v>0</v>
      </c>
      <c r="C219" s="450"/>
      <c r="D219" s="507">
        <f>IF(C219=0,0,"$/tnkm")</f>
        <v>0</v>
      </c>
      <c r="E219" s="451"/>
      <c r="F219" s="453">
        <f>IFERROR(VLOOKUP(C219,T_Insumos,3,FALSE),0)</f>
        <v>0</v>
      </c>
      <c r="G219" s="453">
        <f>ROUND(E219*F219,2)</f>
        <v>0</v>
      </c>
    </row>
    <row r="220" spans="1:7" ht="19.899999999999999" customHeight="1" x14ac:dyDescent="0.2">
      <c r="A220" s="496">
        <f>IFERROR(VLOOKUP(C220,T_Insumos,4,FALSE),0)</f>
        <v>0</v>
      </c>
      <c r="B220" s="459">
        <f>IFERROR(VLOOKUP(C220,T_Insumos,5,FALSE),0)</f>
        <v>0</v>
      </c>
      <c r="C220" s="450"/>
      <c r="D220" s="507">
        <f>IF(C220=0,0,"$/tnkm")</f>
        <v>0</v>
      </c>
      <c r="E220" s="467"/>
      <c r="F220" s="453">
        <f>IFERROR(VLOOKUP(C220,T_Insumos,3,FALSE),0)</f>
        <v>0</v>
      </c>
      <c r="G220" s="453">
        <f t="shared" ref="G220" si="57">ROUND(E220*F220,2)</f>
        <v>0</v>
      </c>
    </row>
    <row r="221" spans="1:7" ht="19.899999999999999" customHeight="1" x14ac:dyDescent="0.2">
      <c r="A221" s="494"/>
      <c r="B221" s="155"/>
      <c r="C221" s="155"/>
      <c r="D221" s="440"/>
      <c r="E221" s="441"/>
      <c r="F221" s="462" t="s">
        <v>992</v>
      </c>
      <c r="G221" s="499">
        <f>SUBTOTAL(9,G219:G220)</f>
        <v>0</v>
      </c>
    </row>
    <row r="222" spans="1:7" ht="19.899999999999999" customHeight="1" x14ac:dyDescent="0.2">
      <c r="A222" s="497"/>
      <c r="B222" s="440"/>
      <c r="C222" s="155"/>
      <c r="D222" s="440"/>
      <c r="E222" s="441"/>
      <c r="F222" s="442"/>
      <c r="G222" s="495"/>
    </row>
    <row r="223" spans="1:7" ht="19.899999999999999" customHeight="1" x14ac:dyDescent="0.2">
      <c r="A223" s="555" t="str">
        <f>B157</f>
        <v>1.2.1</v>
      </c>
      <c r="B223" s="552" t="str">
        <f ca="1">C157</f>
        <v xml:space="preserve">Hormigón H-21  </v>
      </c>
      <c r="C223" s="440"/>
      <c r="D223" s="440" t="s">
        <v>1712</v>
      </c>
      <c r="E223" s="553"/>
      <c r="F223" s="554" t="str">
        <f ca="1">"$/"&amp;G157</f>
        <v>$/M3</v>
      </c>
      <c r="G223" s="504">
        <f>SUBTOTAL(9,G180:G222)</f>
        <v>0</v>
      </c>
    </row>
    <row r="224" spans="1:7" ht="19.899999999999999" customHeight="1" x14ac:dyDescent="0.2">
      <c r="A224" s="500"/>
      <c r="B224" s="501"/>
      <c r="C224" s="502"/>
      <c r="D224" s="502" t="s">
        <v>1908</v>
      </c>
      <c r="E224" s="503"/>
      <c r="F224" s="556" t="str">
        <f ca="1">"$/"&amp;G157</f>
        <v>$/M3</v>
      </c>
      <c r="G224" s="504">
        <f>ROUND(G223*Coeficiente_Paso,2)</f>
        <v>0</v>
      </c>
    </row>
    <row r="225" spans="1:7" ht="19.899999999999999" customHeight="1" x14ac:dyDescent="0.2">
      <c r="A225" s="155"/>
      <c r="B225" s="155"/>
      <c r="C225" s="155"/>
      <c r="D225" s="155"/>
      <c r="E225" s="155"/>
      <c r="F225" s="155"/>
      <c r="G225" s="155"/>
    </row>
    <row r="226" spans="1:7" ht="19.899999999999999" customHeight="1" x14ac:dyDescent="0.2">
      <c r="A226" s="687" t="s">
        <v>31</v>
      </c>
      <c r="B226" s="688"/>
      <c r="C226" s="688"/>
      <c r="D226" s="688"/>
      <c r="E226" s="688"/>
      <c r="F226" s="688"/>
      <c r="G226" s="689"/>
    </row>
    <row r="227" spans="1:7" ht="19.899999999999999" customHeight="1" x14ac:dyDescent="0.2">
      <c r="A227" s="483" t="s">
        <v>711</v>
      </c>
      <c r="B227" s="434" t="str">
        <f>Comitente</f>
        <v>DEPARTAMENTO DE HIDRÁULICA</v>
      </c>
      <c r="C227" s="435"/>
      <c r="D227" s="436"/>
      <c r="E227" s="436"/>
      <c r="F227" s="437"/>
      <c r="G227" s="484"/>
    </row>
    <row r="228" spans="1:7" ht="19.899999999999999" customHeight="1" x14ac:dyDescent="0.2">
      <c r="A228" s="483" t="s">
        <v>712</v>
      </c>
      <c r="B228" s="434">
        <f>Contratista</f>
        <v>0</v>
      </c>
      <c r="C228" s="438"/>
      <c r="D228" s="438"/>
      <c r="E228" s="438"/>
      <c r="F228" s="434"/>
      <c r="G228" s="485"/>
    </row>
    <row r="229" spans="1:7" ht="19.899999999999999" customHeight="1" x14ac:dyDescent="0.2">
      <c r="A229" s="483" t="s">
        <v>21</v>
      </c>
      <c r="B229" s="434" t="str">
        <f>Obra</f>
        <v>RECRECIMIENTO Y REPARACIÓN CANALES SARMIENTO, 9 DE JULIO Y CHIMBAS</v>
      </c>
      <c r="C229" s="438"/>
      <c r="D229" s="438"/>
      <c r="E229" s="438"/>
      <c r="F229" s="434" t="s">
        <v>32</v>
      </c>
      <c r="G229" s="485">
        <f>Fecha_Base</f>
        <v>0</v>
      </c>
    </row>
    <row r="230" spans="1:7" ht="19.899999999999999" customHeight="1" x14ac:dyDescent="0.2">
      <c r="A230" s="486" t="s">
        <v>710</v>
      </c>
      <c r="B230" s="439" t="str">
        <f>Ubicación</f>
        <v>DEPARTAMENTOS SARMIENTO, 9 DE JULIO Y CHIMBAS</v>
      </c>
      <c r="C230" s="439"/>
      <c r="D230" s="440"/>
      <c r="E230" s="441"/>
      <c r="F230" s="442"/>
      <c r="G230" s="487"/>
    </row>
    <row r="231" spans="1:7" ht="19.899999999999999" customHeight="1" x14ac:dyDescent="0.2">
      <c r="A231" s="486" t="s">
        <v>33</v>
      </c>
      <c r="B231" s="443">
        <f>IFERROR(VALUE(LEFT(B232,FIND(".",B232)-1)),"")</f>
        <v>1</v>
      </c>
      <c r="C231" s="155" t="str">
        <f ca="1">IFERROR(VLOOKUP(B231,T_Computo_Presupuesto,2,FALSE),0)</f>
        <v>DPTO. SARMIENTO - CANAL PRIMERO DE COCHAGUAL</v>
      </c>
      <c r="D231" s="155"/>
      <c r="E231" s="441"/>
      <c r="F231" s="442"/>
      <c r="G231" s="487"/>
    </row>
    <row r="232" spans="1:7" ht="19.899999999999999" customHeight="1" x14ac:dyDescent="0.2">
      <c r="A232" s="486" t="s">
        <v>22</v>
      </c>
      <c r="B232" s="444" t="str">
        <f>IFERROR(VLOOKUP(COUNTIF($A$1:A232,"ANALISIS DE PRECIOS"),T_NumeroItem,2,FALSE),"")</f>
        <v>1.2.2</v>
      </c>
      <c r="C232" s="690" t="str">
        <f ca="1">IFERROR(VLOOKUP(B232,T_Computo_Presupuesto,2,FALSE),0)</f>
        <v>Armadura puesta en obra</v>
      </c>
      <c r="D232" s="690"/>
      <c r="E232" s="690"/>
      <c r="F232" s="439" t="s">
        <v>23</v>
      </c>
      <c r="G232" s="488" t="str">
        <f ca="1">IFERROR(VLOOKUP(B232,T_Computo_Presupuesto,4,FALSE),0)</f>
        <v>KG</v>
      </c>
    </row>
    <row r="233" spans="1:7" ht="19.899999999999999" customHeight="1" x14ac:dyDescent="0.2">
      <c r="A233" s="486"/>
      <c r="B233" s="439"/>
      <c r="C233" s="155"/>
      <c r="D233" s="440"/>
      <c r="E233" s="441"/>
      <c r="F233" s="155"/>
      <c r="G233" s="489"/>
    </row>
    <row r="234" spans="1:7" ht="19.899999999999999" customHeight="1" x14ac:dyDescent="0.2">
      <c r="A234" s="490"/>
      <c r="B234" s="445"/>
      <c r="C234" s="446" t="s">
        <v>975</v>
      </c>
      <c r="D234" s="445"/>
      <c r="E234" s="445"/>
      <c r="F234" s="445"/>
      <c r="G234" s="491"/>
    </row>
    <row r="235" spans="1:7" ht="19.899999999999999" customHeight="1" x14ac:dyDescent="0.2">
      <c r="A235" s="486"/>
      <c r="B235" s="447"/>
      <c r="C235" s="155"/>
      <c r="D235" s="440"/>
      <c r="E235" s="441"/>
      <c r="F235" s="439"/>
      <c r="G235" s="488"/>
    </row>
    <row r="236" spans="1:7" ht="19.899999999999999" customHeight="1" x14ac:dyDescent="0.2">
      <c r="A236" s="486"/>
      <c r="B236" s="447"/>
      <c r="C236" s="448" t="s">
        <v>976</v>
      </c>
      <c r="D236" s="449" t="s">
        <v>24</v>
      </c>
      <c r="E236" s="449" t="s">
        <v>977</v>
      </c>
      <c r="F236" s="449" t="s">
        <v>978</v>
      </c>
      <c r="G236" s="448" t="s">
        <v>979</v>
      </c>
    </row>
    <row r="237" spans="1:7" ht="19.899999999999999" customHeight="1" x14ac:dyDescent="0.2">
      <c r="A237" s="486"/>
      <c r="B237" s="447"/>
      <c r="C237" s="450">
        <f>+Equipos!A14</f>
        <v>0</v>
      </c>
      <c r="D237" s="451"/>
      <c r="E237" s="452">
        <f t="shared" ref="E237:E246" si="58">IFERROR(VLOOKUP(C237,T_Equipos,4,FALSE),0)</f>
        <v>0</v>
      </c>
      <c r="F237" s="453">
        <f t="shared" ref="F237:F246" si="59">IFERROR(VLOOKUP(C237,T_Equipos,5,FALSE),0)</f>
        <v>0</v>
      </c>
      <c r="G237" s="453">
        <f>ROUND(D237*F237,2)</f>
        <v>0</v>
      </c>
    </row>
    <row r="238" spans="1:7" ht="19.899999999999999" customHeight="1" x14ac:dyDescent="0.2">
      <c r="A238" s="486"/>
      <c r="B238" s="447"/>
      <c r="C238" s="450">
        <f>+Equipos!A15</f>
        <v>0</v>
      </c>
      <c r="D238" s="451"/>
      <c r="E238" s="452">
        <f t="shared" si="58"/>
        <v>0</v>
      </c>
      <c r="F238" s="453">
        <f t="shared" si="59"/>
        <v>0</v>
      </c>
      <c r="G238" s="453">
        <f>ROUND(D238*F238,2)</f>
        <v>0</v>
      </c>
    </row>
    <row r="239" spans="1:7" ht="19.899999999999999" customHeight="1" x14ac:dyDescent="0.2">
      <c r="A239" s="486"/>
      <c r="B239" s="447"/>
      <c r="C239" s="450">
        <f>+Equipos!A25</f>
        <v>0</v>
      </c>
      <c r="D239" s="451"/>
      <c r="E239" s="452">
        <f t="shared" si="58"/>
        <v>0</v>
      </c>
      <c r="F239" s="453">
        <f t="shared" si="59"/>
        <v>0</v>
      </c>
      <c r="G239" s="453">
        <f>ROUND(D239*F239,2)</f>
        <v>0</v>
      </c>
    </row>
    <row r="240" spans="1:7" ht="19.899999999999999" customHeight="1" x14ac:dyDescent="0.2">
      <c r="A240" s="486"/>
      <c r="B240" s="447"/>
      <c r="C240" s="450"/>
      <c r="D240" s="451"/>
      <c r="E240" s="452">
        <f t="shared" si="58"/>
        <v>0</v>
      </c>
      <c r="F240" s="453">
        <f t="shared" si="59"/>
        <v>0</v>
      </c>
      <c r="G240" s="453">
        <f>ROUND(D240*F240,2)</f>
        <v>0</v>
      </c>
    </row>
    <row r="241" spans="1:7" ht="19.899999999999999" customHeight="1" x14ac:dyDescent="0.2">
      <c r="A241" s="486"/>
      <c r="B241" s="447"/>
      <c r="C241" s="450"/>
      <c r="D241" s="451"/>
      <c r="E241" s="452">
        <f t="shared" si="58"/>
        <v>0</v>
      </c>
      <c r="F241" s="453">
        <f t="shared" si="59"/>
        <v>0</v>
      </c>
      <c r="G241" s="453">
        <f t="shared" ref="G241:G246" si="60">ROUND(D241*F241,2)</f>
        <v>0</v>
      </c>
    </row>
    <row r="242" spans="1:7" ht="19.899999999999999" customHeight="1" x14ac:dyDescent="0.2">
      <c r="A242" s="486"/>
      <c r="B242" s="447"/>
      <c r="C242" s="450"/>
      <c r="D242" s="451"/>
      <c r="E242" s="452">
        <f t="shared" si="58"/>
        <v>0</v>
      </c>
      <c r="F242" s="453">
        <f t="shared" si="59"/>
        <v>0</v>
      </c>
      <c r="G242" s="453">
        <f t="shared" si="60"/>
        <v>0</v>
      </c>
    </row>
    <row r="243" spans="1:7" ht="19.899999999999999" customHeight="1" x14ac:dyDescent="0.2">
      <c r="A243" s="486"/>
      <c r="B243" s="447"/>
      <c r="C243" s="450"/>
      <c r="D243" s="451"/>
      <c r="E243" s="452">
        <f t="shared" si="58"/>
        <v>0</v>
      </c>
      <c r="F243" s="453">
        <f t="shared" si="59"/>
        <v>0</v>
      </c>
      <c r="G243" s="453">
        <f t="shared" si="60"/>
        <v>0</v>
      </c>
    </row>
    <row r="244" spans="1:7" ht="19.899999999999999" customHeight="1" x14ac:dyDescent="0.2">
      <c r="A244" s="486"/>
      <c r="B244" s="447"/>
      <c r="C244" s="450"/>
      <c r="D244" s="451"/>
      <c r="E244" s="452">
        <f t="shared" si="58"/>
        <v>0</v>
      </c>
      <c r="F244" s="453">
        <f t="shared" si="59"/>
        <v>0</v>
      </c>
      <c r="G244" s="453">
        <f t="shared" si="60"/>
        <v>0</v>
      </c>
    </row>
    <row r="245" spans="1:7" ht="19.899999999999999" customHeight="1" x14ac:dyDescent="0.2">
      <c r="A245" s="486"/>
      <c r="B245" s="447"/>
      <c r="C245" s="450"/>
      <c r="D245" s="451"/>
      <c r="E245" s="452">
        <f t="shared" si="58"/>
        <v>0</v>
      </c>
      <c r="F245" s="453">
        <f t="shared" si="59"/>
        <v>0</v>
      </c>
      <c r="G245" s="453">
        <f t="shared" si="60"/>
        <v>0</v>
      </c>
    </row>
    <row r="246" spans="1:7" ht="19.899999999999999" customHeight="1" x14ac:dyDescent="0.2">
      <c r="A246" s="486"/>
      <c r="B246" s="447"/>
      <c r="C246" s="450"/>
      <c r="D246" s="451"/>
      <c r="E246" s="452">
        <f t="shared" si="58"/>
        <v>0</v>
      </c>
      <c r="F246" s="453">
        <f t="shared" si="59"/>
        <v>0</v>
      </c>
      <c r="G246" s="453">
        <f t="shared" si="60"/>
        <v>0</v>
      </c>
    </row>
    <row r="247" spans="1:7" ht="19.899999999999999" customHeight="1" x14ac:dyDescent="0.2">
      <c r="A247" s="486"/>
      <c r="B247" s="447"/>
      <c r="C247" s="155"/>
      <c r="D247" s="155"/>
      <c r="E247" s="454"/>
      <c r="F247" s="439"/>
      <c r="G247" s="488"/>
    </row>
    <row r="248" spans="1:7" ht="19.899999999999999" customHeight="1" x14ac:dyDescent="0.2">
      <c r="A248" s="486"/>
      <c r="B248" s="155"/>
      <c r="C248" s="436" t="s">
        <v>980</v>
      </c>
      <c r="D248" s="439" t="s">
        <v>977</v>
      </c>
      <c r="E248" s="505">
        <f>SUMPRODUCT(D237:D246,E237:E246)</f>
        <v>0</v>
      </c>
      <c r="F248" s="439" t="s">
        <v>981</v>
      </c>
      <c r="G248" s="506">
        <f>SUM(G237:G246)</f>
        <v>0</v>
      </c>
    </row>
    <row r="249" spans="1:7" ht="19.899999999999999" customHeight="1" x14ac:dyDescent="0.2">
      <c r="A249" s="486"/>
      <c r="B249" s="447"/>
      <c r="C249" s="455"/>
      <c r="D249" s="454"/>
      <c r="E249" s="441"/>
      <c r="F249" s="439"/>
      <c r="G249" s="492"/>
    </row>
    <row r="250" spans="1:7" ht="19.899999999999999" customHeight="1" x14ac:dyDescent="0.2">
      <c r="A250" s="493"/>
      <c r="B250" s="447"/>
      <c r="C250" s="439" t="s">
        <v>982</v>
      </c>
      <c r="D250" s="456">
        <f>IFERROR(VLOOKUP(COUNTIF($A$1:A250,"ANALISIS DE PRECIOS"),T_Rendimiento_Equipo,5,FALSE),0)</f>
        <v>0</v>
      </c>
      <c r="E250" s="457" t="str">
        <f ca="1">G232&amp;"/día"</f>
        <v>KG/día</v>
      </c>
      <c r="F250" s="433"/>
      <c r="G250" s="488"/>
    </row>
    <row r="251" spans="1:7" ht="19.899999999999999" customHeight="1" x14ac:dyDescent="0.2">
      <c r="A251" s="486"/>
      <c r="B251" s="447"/>
      <c r="C251" s="155"/>
      <c r="D251" s="440"/>
      <c r="E251" s="441"/>
      <c r="F251" s="439"/>
      <c r="G251" s="488"/>
    </row>
    <row r="252" spans="1:7" ht="19.899999999999999" customHeight="1" x14ac:dyDescent="0.2">
      <c r="A252" s="677" t="s">
        <v>576</v>
      </c>
      <c r="B252" s="678"/>
      <c r="C252" s="679" t="s">
        <v>0</v>
      </c>
      <c r="D252" s="691" t="s">
        <v>1732</v>
      </c>
      <c r="E252" s="691" t="s">
        <v>1731</v>
      </c>
      <c r="F252" s="683" t="s">
        <v>983</v>
      </c>
      <c r="G252" s="685" t="s">
        <v>26</v>
      </c>
    </row>
    <row r="253" spans="1:7" ht="19.899999999999999" customHeight="1" x14ac:dyDescent="0.2">
      <c r="A253" s="458" t="s">
        <v>577</v>
      </c>
      <c r="B253" s="458" t="s">
        <v>578</v>
      </c>
      <c r="C253" s="680"/>
      <c r="D253" s="692"/>
      <c r="E253" s="682"/>
      <c r="F253" s="684"/>
      <c r="G253" s="686"/>
    </row>
    <row r="254" spans="1:7" ht="19.899999999999999" customHeight="1" x14ac:dyDescent="0.2">
      <c r="A254" s="494"/>
      <c r="B254" s="155"/>
      <c r="C254" s="436" t="s">
        <v>984</v>
      </c>
      <c r="D254" s="441"/>
      <c r="E254" s="441"/>
      <c r="F254" s="155"/>
      <c r="G254" s="495"/>
    </row>
    <row r="255" spans="1:7" ht="19.899999999999999" customHeight="1" x14ac:dyDescent="0.2">
      <c r="A255" s="496">
        <f t="shared" ref="A255:A263" si="61">IFERROR(VLOOKUP(C255,T_Insumos,4,FALSE),0)</f>
        <v>0</v>
      </c>
      <c r="B255" s="459">
        <f t="shared" ref="B255:B263" si="62">IFERROR(VLOOKUP(C255,T_Insumos,5,FALSE),0)</f>
        <v>0</v>
      </c>
      <c r="C255" s="450">
        <f>+C30</f>
        <v>0</v>
      </c>
      <c r="D255" s="460">
        <f t="shared" ref="D255:D263" si="63">IFERROR(VLOOKUP(C255,T_Insumos,3,FALSE),0)</f>
        <v>0</v>
      </c>
      <c r="E255" s="453">
        <f>D255*$G$248</f>
        <v>0</v>
      </c>
      <c r="F255" s="456">
        <f>IF(C255="",0,IFERROR(VLOOKUP(COUNTIF($A$1:A255,"ANALISIS DE PRECIOS"),T_Rendimiento_Equipo,5,FALSE),0))</f>
        <v>0</v>
      </c>
      <c r="G255" s="453">
        <f>IFERROR(ROUND(E255/F255,2),0)</f>
        <v>0</v>
      </c>
    </row>
    <row r="256" spans="1:7" ht="19.899999999999999" customHeight="1" x14ac:dyDescent="0.2">
      <c r="A256" s="496">
        <f t="shared" si="61"/>
        <v>0</v>
      </c>
      <c r="B256" s="459">
        <f t="shared" si="62"/>
        <v>0</v>
      </c>
      <c r="C256" s="450">
        <f t="shared" ref="C256:C258" si="64">+C31</f>
        <v>0</v>
      </c>
      <c r="D256" s="460">
        <f t="shared" si="63"/>
        <v>0</v>
      </c>
      <c r="E256" s="453">
        <f t="shared" ref="E256:E257" si="65">D256*$G$248</f>
        <v>0</v>
      </c>
      <c r="F256" s="456">
        <f>IF(C256="",0,IFERROR(VLOOKUP(COUNTIF($A$1:A256,"ANALISIS DE PRECIOS"),T_Rendimiento_Equipo,5,FALSE),0))</f>
        <v>0</v>
      </c>
      <c r="G256" s="453">
        <f t="shared" ref="G256:G263" si="66">IFERROR(ROUND(E256/F256,2),0)</f>
        <v>0</v>
      </c>
    </row>
    <row r="257" spans="1:7" ht="19.899999999999999" customHeight="1" x14ac:dyDescent="0.2">
      <c r="A257" s="496">
        <f t="shared" si="61"/>
        <v>0</v>
      </c>
      <c r="B257" s="459">
        <f t="shared" si="62"/>
        <v>0</v>
      </c>
      <c r="C257" s="450">
        <f t="shared" si="64"/>
        <v>0</v>
      </c>
      <c r="D257" s="460">
        <f t="shared" si="63"/>
        <v>0</v>
      </c>
      <c r="E257" s="453">
        <f t="shared" si="65"/>
        <v>0</v>
      </c>
      <c r="F257" s="456">
        <f>IF(C257="",0,IFERROR(VLOOKUP(COUNTIF($A$1:A257,"ANALISIS DE PRECIOS"),T_Rendimiento_Equipo,5,FALSE),0))</f>
        <v>0</v>
      </c>
      <c r="G257" s="453">
        <f t="shared" si="66"/>
        <v>0</v>
      </c>
    </row>
    <row r="258" spans="1:7" ht="19.899999999999999" customHeight="1" x14ac:dyDescent="0.2">
      <c r="A258" s="496">
        <f t="shared" si="61"/>
        <v>0</v>
      </c>
      <c r="B258" s="459">
        <f t="shared" si="62"/>
        <v>0</v>
      </c>
      <c r="C258" s="450">
        <f t="shared" si="64"/>
        <v>0</v>
      </c>
      <c r="D258" s="460">
        <f t="shared" si="63"/>
        <v>0</v>
      </c>
      <c r="E258" s="453">
        <f>D258*$E$248</f>
        <v>0</v>
      </c>
      <c r="F258" s="456">
        <f>IF(C258="",0,IFERROR(VLOOKUP(COUNTIF($A$1:A258,"ANALISIS DE PRECIOS"),T_Rendimiento_Equipo,5,FALSE),0))</f>
        <v>0</v>
      </c>
      <c r="G258" s="453">
        <f t="shared" si="66"/>
        <v>0</v>
      </c>
    </row>
    <row r="259" spans="1:7" ht="19.899999999999999" customHeight="1" x14ac:dyDescent="0.2">
      <c r="A259" s="496">
        <f t="shared" si="61"/>
        <v>0</v>
      </c>
      <c r="B259" s="459">
        <f t="shared" si="62"/>
        <v>0</v>
      </c>
      <c r="C259" s="461"/>
      <c r="D259" s="460">
        <f t="shared" si="63"/>
        <v>0</v>
      </c>
      <c r="E259" s="453"/>
      <c r="F259" s="456">
        <f>IF(C259="",0,IFERROR(VLOOKUP(COUNTIF($A$1:A259,"ANALISIS DE PRECIOS"),T_Rendimiento_Equipo,5,FALSE),0))</f>
        <v>0</v>
      </c>
      <c r="G259" s="453">
        <f t="shared" si="66"/>
        <v>0</v>
      </c>
    </row>
    <row r="260" spans="1:7" ht="19.899999999999999" customHeight="1" x14ac:dyDescent="0.2">
      <c r="A260" s="496">
        <f t="shared" si="61"/>
        <v>0</v>
      </c>
      <c r="B260" s="459">
        <f t="shared" si="62"/>
        <v>0</v>
      </c>
      <c r="C260" s="461"/>
      <c r="D260" s="460">
        <f t="shared" si="63"/>
        <v>0</v>
      </c>
      <c r="E260" s="453"/>
      <c r="F260" s="456">
        <f>IF(C260="",0,IFERROR(VLOOKUP(COUNTIF($A$1:A260,"ANALISIS DE PRECIOS"),T_Rendimiento_Equipo,5,FALSE),0))</f>
        <v>0</v>
      </c>
      <c r="G260" s="453">
        <f t="shared" si="66"/>
        <v>0</v>
      </c>
    </row>
    <row r="261" spans="1:7" ht="19.899999999999999" customHeight="1" x14ac:dyDescent="0.2">
      <c r="A261" s="496">
        <f t="shared" si="61"/>
        <v>0</v>
      </c>
      <c r="B261" s="459">
        <f t="shared" si="62"/>
        <v>0</v>
      </c>
      <c r="C261" s="461"/>
      <c r="D261" s="460">
        <f t="shared" si="63"/>
        <v>0</v>
      </c>
      <c r="E261" s="453"/>
      <c r="F261" s="456">
        <f>IF(C261="",0,IFERROR(VLOOKUP(COUNTIF($A$1:A261,"ANALISIS DE PRECIOS"),T_Rendimiento_Equipo,5,FALSE),0))</f>
        <v>0</v>
      </c>
      <c r="G261" s="453">
        <f t="shared" si="66"/>
        <v>0</v>
      </c>
    </row>
    <row r="262" spans="1:7" ht="19.899999999999999" customHeight="1" x14ac:dyDescent="0.2">
      <c r="A262" s="496">
        <f t="shared" si="61"/>
        <v>0</v>
      </c>
      <c r="B262" s="459">
        <f t="shared" si="62"/>
        <v>0</v>
      </c>
      <c r="C262" s="461"/>
      <c r="D262" s="460">
        <f t="shared" si="63"/>
        <v>0</v>
      </c>
      <c r="E262" s="453"/>
      <c r="F262" s="456">
        <f>IF(C262="",0,IFERROR(VLOOKUP(COUNTIF($A$1:A262,"ANALISIS DE PRECIOS"),T_Rendimiento_Equipo,5,FALSE),0))</f>
        <v>0</v>
      </c>
      <c r="G262" s="453">
        <f t="shared" si="66"/>
        <v>0</v>
      </c>
    </row>
    <row r="263" spans="1:7" ht="19.899999999999999" customHeight="1" x14ac:dyDescent="0.2">
      <c r="A263" s="496">
        <f t="shared" si="61"/>
        <v>0</v>
      </c>
      <c r="B263" s="459">
        <f t="shared" si="62"/>
        <v>0</v>
      </c>
      <c r="C263" s="450"/>
      <c r="D263" s="460">
        <f t="shared" si="63"/>
        <v>0</v>
      </c>
      <c r="E263" s="453"/>
      <c r="F263" s="456">
        <f>IF(C263="",0,IFERROR(VLOOKUP(COUNTIF($A$1:A263,"ANALISIS DE PRECIOS"),T_Rendimiento_Equipo,5,FALSE),0))</f>
        <v>0</v>
      </c>
      <c r="G263" s="453">
        <f t="shared" si="66"/>
        <v>0</v>
      </c>
    </row>
    <row r="264" spans="1:7" ht="19.899999999999999" customHeight="1" x14ac:dyDescent="0.2">
      <c r="A264" s="497"/>
      <c r="B264" s="440"/>
      <c r="C264" s="155"/>
      <c r="D264" s="440"/>
      <c r="E264" s="441"/>
      <c r="F264" s="462" t="s">
        <v>27</v>
      </c>
      <c r="G264" s="498">
        <f>SUBTOTAL(9,G255:G263)</f>
        <v>0</v>
      </c>
    </row>
    <row r="265" spans="1:7" ht="19.899999999999999" customHeight="1" x14ac:dyDescent="0.2">
      <c r="A265" s="494"/>
      <c r="B265" s="155"/>
      <c r="C265" s="436" t="s">
        <v>713</v>
      </c>
      <c r="D265" s="440"/>
      <c r="E265" s="441"/>
      <c r="F265" s="442"/>
      <c r="G265" s="495"/>
    </row>
    <row r="266" spans="1:7" ht="19.899999999999999" customHeight="1" x14ac:dyDescent="0.2">
      <c r="A266" s="677" t="s">
        <v>576</v>
      </c>
      <c r="B266" s="678"/>
      <c r="C266" s="679" t="s">
        <v>0</v>
      </c>
      <c r="D266" s="681" t="s">
        <v>24</v>
      </c>
      <c r="E266" s="681" t="s">
        <v>1711</v>
      </c>
      <c r="F266" s="683" t="s">
        <v>983</v>
      </c>
      <c r="G266" s="685" t="s">
        <v>26</v>
      </c>
    </row>
    <row r="267" spans="1:7" ht="19.899999999999999" customHeight="1" x14ac:dyDescent="0.2">
      <c r="A267" s="458" t="s">
        <v>577</v>
      </c>
      <c r="B267" s="458" t="s">
        <v>578</v>
      </c>
      <c r="C267" s="680"/>
      <c r="D267" s="682"/>
      <c r="E267" s="682"/>
      <c r="F267" s="684"/>
      <c r="G267" s="686"/>
    </row>
    <row r="268" spans="1:7" ht="19.899999999999999" customHeight="1" x14ac:dyDescent="0.2">
      <c r="A268" s="496">
        <f t="shared" ref="A268:A274" si="67">IFERROR(VLOOKUP(C268,T_Insumos,4,FALSE),0)</f>
        <v>0</v>
      </c>
      <c r="B268" s="459">
        <f t="shared" ref="B268:B274" si="68">IFERROR(VLOOKUP(C268,T_Insumos,5,FALSE),0)</f>
        <v>0</v>
      </c>
      <c r="C268" s="463">
        <f>+C43</f>
        <v>0</v>
      </c>
      <c r="D268" s="456"/>
      <c r="E268" s="453">
        <f t="shared" ref="E268:E274" si="69">IFERROR(VLOOKUP(C268,T_Insumos,3,FALSE),0)</f>
        <v>0</v>
      </c>
      <c r="F268" s="456">
        <f>IF(C268="",0,IFERROR(VLOOKUP(COUNTIF($A$1:A268,"ANALISIS DE PRECIOS"),T_Rendimiento_Equipo,5,FALSE),0))</f>
        <v>0</v>
      </c>
      <c r="G268" s="453">
        <f>IFERROR(ROUND(D268*E268/F268,2),0)</f>
        <v>0</v>
      </c>
    </row>
    <row r="269" spans="1:7" ht="19.899999999999999" customHeight="1" x14ac:dyDescent="0.2">
      <c r="A269" s="496">
        <f t="shared" si="67"/>
        <v>0</v>
      </c>
      <c r="B269" s="459">
        <f t="shared" si="68"/>
        <v>0</v>
      </c>
      <c r="C269" s="463">
        <f t="shared" ref="C269:C271" si="70">+C44</f>
        <v>0</v>
      </c>
      <c r="D269" s="456"/>
      <c r="E269" s="453">
        <f t="shared" si="69"/>
        <v>0</v>
      </c>
      <c r="F269" s="456">
        <f>IF(C269="",0,IFERROR(VLOOKUP(COUNTIF($A$1:A269,"ANALISIS DE PRECIOS"),T_Rendimiento_Equipo,5,FALSE),0))</f>
        <v>0</v>
      </c>
      <c r="G269" s="453">
        <f t="shared" ref="G269:G274" si="71">IFERROR(ROUND(D269*E269/F269,2),0)</f>
        <v>0</v>
      </c>
    </row>
    <row r="270" spans="1:7" ht="19.899999999999999" customHeight="1" x14ac:dyDescent="0.2">
      <c r="A270" s="496">
        <f t="shared" si="67"/>
        <v>0</v>
      </c>
      <c r="B270" s="459">
        <f t="shared" si="68"/>
        <v>0</v>
      </c>
      <c r="C270" s="463">
        <f t="shared" si="70"/>
        <v>0</v>
      </c>
      <c r="D270" s="456"/>
      <c r="E270" s="453">
        <f t="shared" si="69"/>
        <v>0</v>
      </c>
      <c r="F270" s="456">
        <f>IF(C270="",0,IFERROR(VLOOKUP(COUNTIF($A$1:A270,"ANALISIS DE PRECIOS"),T_Rendimiento_Equipo,5,FALSE),0))</f>
        <v>0</v>
      </c>
      <c r="G270" s="453">
        <f t="shared" si="71"/>
        <v>0</v>
      </c>
    </row>
    <row r="271" spans="1:7" ht="19.899999999999999" customHeight="1" x14ac:dyDescent="0.2">
      <c r="A271" s="496">
        <f t="shared" si="67"/>
        <v>0</v>
      </c>
      <c r="B271" s="459">
        <f t="shared" si="68"/>
        <v>0</v>
      </c>
      <c r="C271" s="463">
        <f t="shared" si="70"/>
        <v>0</v>
      </c>
      <c r="D271" s="456"/>
      <c r="E271" s="453">
        <f t="shared" si="69"/>
        <v>0</v>
      </c>
      <c r="F271" s="456">
        <f>IF(C271="",0,IFERROR(VLOOKUP(COUNTIF($A$1:A271,"ANALISIS DE PRECIOS"),T_Rendimiento_Equipo,5,FALSE),0))</f>
        <v>0</v>
      </c>
      <c r="G271" s="453">
        <f>IFERROR(ROUND(D271*E271/F271,2),0)</f>
        <v>0</v>
      </c>
    </row>
    <row r="272" spans="1:7" ht="19.899999999999999" customHeight="1" x14ac:dyDescent="0.2">
      <c r="A272" s="496">
        <f t="shared" si="67"/>
        <v>0</v>
      </c>
      <c r="B272" s="459">
        <f t="shared" si="68"/>
        <v>0</v>
      </c>
      <c r="C272" s="450"/>
      <c r="D272" s="456"/>
      <c r="E272" s="453">
        <f t="shared" si="69"/>
        <v>0</v>
      </c>
      <c r="F272" s="456">
        <f>IF(C272="",0,IFERROR(VLOOKUP(COUNTIF($A$1:A272,"ANALISIS DE PRECIOS"),T_Rendimiento_Equipo,5,FALSE),0))</f>
        <v>0</v>
      </c>
      <c r="G272" s="453">
        <f t="shared" si="71"/>
        <v>0</v>
      </c>
    </row>
    <row r="273" spans="1:8" ht="19.899999999999999" customHeight="1" x14ac:dyDescent="0.2">
      <c r="A273" s="496">
        <f t="shared" si="67"/>
        <v>0</v>
      </c>
      <c r="B273" s="459">
        <f t="shared" si="68"/>
        <v>0</v>
      </c>
      <c r="C273" s="450"/>
      <c r="D273" s="464"/>
      <c r="E273" s="453">
        <f t="shared" si="69"/>
        <v>0</v>
      </c>
      <c r="F273" s="456">
        <f>IF(C273="",0,IFERROR(VLOOKUP(COUNTIF($A$1:A273,"ANALISIS DE PRECIOS"),T_Rendimiento_Equipo,5,FALSE),0))</f>
        <v>0</v>
      </c>
      <c r="G273" s="453">
        <f t="shared" si="71"/>
        <v>0</v>
      </c>
    </row>
    <row r="274" spans="1:8" ht="19.899999999999999" customHeight="1" x14ac:dyDescent="0.2">
      <c r="A274" s="496">
        <f t="shared" si="67"/>
        <v>0</v>
      </c>
      <c r="B274" s="459">
        <f t="shared" si="68"/>
        <v>0</v>
      </c>
      <c r="C274" s="459"/>
      <c r="D274" s="465"/>
      <c r="E274" s="453">
        <f t="shared" si="69"/>
        <v>0</v>
      </c>
      <c r="F274" s="456">
        <f>IF(C274="",0,IFERROR(VLOOKUP(COUNTIF($A$1:A274,"ANALISIS DE PRECIOS"),T_Rendimiento_Equipo,5,FALSE),0))</f>
        <v>0</v>
      </c>
      <c r="G274" s="453">
        <f t="shared" si="71"/>
        <v>0</v>
      </c>
    </row>
    <row r="275" spans="1:8" ht="19.899999999999999" customHeight="1" x14ac:dyDescent="0.2">
      <c r="A275" s="497"/>
      <c r="B275" s="440"/>
      <c r="C275" s="155"/>
      <c r="D275" s="440"/>
      <c r="E275" s="441"/>
      <c r="F275" s="462" t="s">
        <v>28</v>
      </c>
      <c r="G275" s="499">
        <f>SUBTOTAL(9,G268:G274)</f>
        <v>0</v>
      </c>
      <c r="H275" s="625"/>
    </row>
    <row r="276" spans="1:8" ht="19.899999999999999" customHeight="1" x14ac:dyDescent="0.2">
      <c r="A276" s="494"/>
      <c r="B276" s="155"/>
      <c r="C276" s="436" t="s">
        <v>990</v>
      </c>
      <c r="D276" s="440"/>
      <c r="E276" s="441"/>
      <c r="F276" s="442"/>
      <c r="G276" s="495"/>
    </row>
    <row r="277" spans="1:8" ht="19.899999999999999" customHeight="1" x14ac:dyDescent="0.2">
      <c r="A277" s="677" t="s">
        <v>576</v>
      </c>
      <c r="B277" s="678"/>
      <c r="C277" s="679" t="s">
        <v>0</v>
      </c>
      <c r="D277" s="679" t="s">
        <v>1733</v>
      </c>
      <c r="E277" s="681" t="s">
        <v>24</v>
      </c>
      <c r="F277" s="683" t="s">
        <v>25</v>
      </c>
      <c r="G277" s="685" t="s">
        <v>26</v>
      </c>
    </row>
    <row r="278" spans="1:8" ht="19.899999999999999" customHeight="1" x14ac:dyDescent="0.2">
      <c r="A278" s="458" t="s">
        <v>577</v>
      </c>
      <c r="B278" s="458" t="s">
        <v>578</v>
      </c>
      <c r="C278" s="680"/>
      <c r="D278" s="680"/>
      <c r="E278" s="682"/>
      <c r="F278" s="684"/>
      <c r="G278" s="686"/>
    </row>
    <row r="279" spans="1:8" ht="19.899999999999999" customHeight="1" x14ac:dyDescent="0.2">
      <c r="A279" s="496">
        <f t="shared" ref="A279:A289" si="72">IFERROR(VLOOKUP(C279,T_Insumos,4,FALSE),0)</f>
        <v>0</v>
      </c>
      <c r="B279" s="459">
        <f t="shared" ref="B279:B289" si="73">IFERROR(VLOOKUP(C279,T_Insumos,5,FALSE),0)</f>
        <v>0</v>
      </c>
      <c r="C279" s="459">
        <f>+Insumos!A107</f>
        <v>0</v>
      </c>
      <c r="D279" s="507">
        <f t="shared" ref="D279:D289" si="74">IFERROR(VLOOKUP(C279,T_Insumos,2,FALSE),0)</f>
        <v>0</v>
      </c>
      <c r="E279" s="451"/>
      <c r="F279" s="453">
        <f t="shared" ref="F279:F289" si="75">IFERROR(VLOOKUP(C279,T_Insumos,3,FALSE),0)</f>
        <v>0</v>
      </c>
      <c r="G279" s="453">
        <f>ROUND(E279*F279,2)</f>
        <v>0</v>
      </c>
    </row>
    <row r="280" spans="1:8" ht="19.899999999999999" customHeight="1" x14ac:dyDescent="0.2">
      <c r="A280" s="496">
        <f t="shared" si="72"/>
        <v>0</v>
      </c>
      <c r="B280" s="459">
        <f t="shared" si="73"/>
        <v>0</v>
      </c>
      <c r="C280" s="459"/>
      <c r="D280" s="507">
        <f t="shared" si="74"/>
        <v>0</v>
      </c>
      <c r="E280" s="451"/>
      <c r="F280" s="453">
        <f t="shared" si="75"/>
        <v>0</v>
      </c>
      <c r="G280" s="453">
        <f t="shared" ref="G280:G289" si="76">ROUND(E280*F280,2)</f>
        <v>0</v>
      </c>
    </row>
    <row r="281" spans="1:8" ht="19.899999999999999" customHeight="1" x14ac:dyDescent="0.2">
      <c r="A281" s="496">
        <f t="shared" si="72"/>
        <v>0</v>
      </c>
      <c r="B281" s="459">
        <f t="shared" si="73"/>
        <v>0</v>
      </c>
      <c r="C281" s="459"/>
      <c r="D281" s="507">
        <f t="shared" si="74"/>
        <v>0</v>
      </c>
      <c r="E281" s="451"/>
      <c r="F281" s="453">
        <f t="shared" si="75"/>
        <v>0</v>
      </c>
      <c r="G281" s="453">
        <f t="shared" si="76"/>
        <v>0</v>
      </c>
    </row>
    <row r="282" spans="1:8" ht="19.899999999999999" customHeight="1" x14ac:dyDescent="0.2">
      <c r="A282" s="496">
        <f t="shared" si="72"/>
        <v>0</v>
      </c>
      <c r="B282" s="459">
        <f t="shared" si="73"/>
        <v>0</v>
      </c>
      <c r="C282" s="459"/>
      <c r="D282" s="507">
        <f t="shared" si="74"/>
        <v>0</v>
      </c>
      <c r="E282" s="451"/>
      <c r="F282" s="453">
        <f t="shared" si="75"/>
        <v>0</v>
      </c>
      <c r="G282" s="453">
        <f t="shared" si="76"/>
        <v>0</v>
      </c>
    </row>
    <row r="283" spans="1:8" ht="19.899999999999999" customHeight="1" x14ac:dyDescent="0.2">
      <c r="A283" s="496">
        <f t="shared" si="72"/>
        <v>0</v>
      </c>
      <c r="B283" s="459">
        <f t="shared" si="73"/>
        <v>0</v>
      </c>
      <c r="C283" s="459"/>
      <c r="D283" s="507">
        <f t="shared" si="74"/>
        <v>0</v>
      </c>
      <c r="E283" s="451"/>
      <c r="F283" s="453">
        <f t="shared" si="75"/>
        <v>0</v>
      </c>
      <c r="G283" s="453">
        <f t="shared" si="76"/>
        <v>0</v>
      </c>
    </row>
    <row r="284" spans="1:8" ht="19.899999999999999" customHeight="1" x14ac:dyDescent="0.2">
      <c r="A284" s="496">
        <f t="shared" si="72"/>
        <v>0</v>
      </c>
      <c r="B284" s="459">
        <f t="shared" si="73"/>
        <v>0</v>
      </c>
      <c r="C284" s="459"/>
      <c r="D284" s="507">
        <f t="shared" si="74"/>
        <v>0</v>
      </c>
      <c r="E284" s="451"/>
      <c r="F284" s="453">
        <f t="shared" si="75"/>
        <v>0</v>
      </c>
      <c r="G284" s="453">
        <f t="shared" si="76"/>
        <v>0</v>
      </c>
    </row>
    <row r="285" spans="1:8" ht="19.899999999999999" customHeight="1" x14ac:dyDescent="0.2">
      <c r="A285" s="496">
        <f t="shared" si="72"/>
        <v>0</v>
      </c>
      <c r="B285" s="459">
        <f t="shared" si="73"/>
        <v>0</v>
      </c>
      <c r="C285" s="459"/>
      <c r="D285" s="507">
        <f t="shared" si="74"/>
        <v>0</v>
      </c>
      <c r="E285" s="451"/>
      <c r="F285" s="453">
        <f t="shared" si="75"/>
        <v>0</v>
      </c>
      <c r="G285" s="453">
        <f t="shared" si="76"/>
        <v>0</v>
      </c>
    </row>
    <row r="286" spans="1:8" ht="19.899999999999999" customHeight="1" x14ac:dyDescent="0.2">
      <c r="A286" s="496">
        <f t="shared" si="72"/>
        <v>0</v>
      </c>
      <c r="B286" s="459">
        <f t="shared" si="73"/>
        <v>0</v>
      </c>
      <c r="C286" s="459"/>
      <c r="D286" s="507">
        <f t="shared" si="74"/>
        <v>0</v>
      </c>
      <c r="E286" s="451"/>
      <c r="F286" s="453">
        <f t="shared" si="75"/>
        <v>0</v>
      </c>
      <c r="G286" s="453">
        <f t="shared" si="76"/>
        <v>0</v>
      </c>
    </row>
    <row r="287" spans="1:8" ht="19.899999999999999" customHeight="1" x14ac:dyDescent="0.2">
      <c r="A287" s="496">
        <f t="shared" si="72"/>
        <v>0</v>
      </c>
      <c r="B287" s="459">
        <f t="shared" si="73"/>
        <v>0</v>
      </c>
      <c r="C287" s="459"/>
      <c r="D287" s="507">
        <f t="shared" si="74"/>
        <v>0</v>
      </c>
      <c r="E287" s="451"/>
      <c r="F287" s="453">
        <f t="shared" si="75"/>
        <v>0</v>
      </c>
      <c r="G287" s="453">
        <f t="shared" si="76"/>
        <v>0</v>
      </c>
    </row>
    <row r="288" spans="1:8" ht="19.899999999999999" customHeight="1" x14ac:dyDescent="0.2">
      <c r="A288" s="496">
        <f t="shared" si="72"/>
        <v>0</v>
      </c>
      <c r="B288" s="459">
        <f t="shared" si="73"/>
        <v>0</v>
      </c>
      <c r="C288" s="459"/>
      <c r="D288" s="507">
        <f t="shared" si="74"/>
        <v>0</v>
      </c>
      <c r="E288" s="451"/>
      <c r="F288" s="453">
        <f t="shared" si="75"/>
        <v>0</v>
      </c>
      <c r="G288" s="453">
        <f t="shared" si="76"/>
        <v>0</v>
      </c>
    </row>
    <row r="289" spans="1:8" ht="19.899999999999999" customHeight="1" x14ac:dyDescent="0.2">
      <c r="A289" s="496">
        <f t="shared" si="72"/>
        <v>0</v>
      </c>
      <c r="B289" s="459">
        <f t="shared" si="73"/>
        <v>0</v>
      </c>
      <c r="C289" s="459"/>
      <c r="D289" s="507">
        <f t="shared" si="74"/>
        <v>0</v>
      </c>
      <c r="E289" s="451"/>
      <c r="F289" s="453">
        <f t="shared" si="75"/>
        <v>0</v>
      </c>
      <c r="G289" s="453">
        <f t="shared" si="76"/>
        <v>0</v>
      </c>
    </row>
    <row r="290" spans="1:8" ht="19.899999999999999" customHeight="1" x14ac:dyDescent="0.2">
      <c r="A290" s="494"/>
      <c r="B290" s="155"/>
      <c r="C290" s="155"/>
      <c r="D290" s="440"/>
      <c r="E290" s="441"/>
      <c r="F290" s="462" t="s">
        <v>29</v>
      </c>
      <c r="G290" s="499">
        <f>SUBTOTAL(9,G279:G289)</f>
        <v>0</v>
      </c>
    </row>
    <row r="291" spans="1:8" ht="19.899999999999999" customHeight="1" x14ac:dyDescent="0.2">
      <c r="A291" s="494"/>
      <c r="B291" s="155"/>
      <c r="C291" s="436" t="s">
        <v>991</v>
      </c>
      <c r="D291" s="440"/>
      <c r="E291" s="441"/>
      <c r="F291" s="442"/>
      <c r="G291" s="495"/>
    </row>
    <row r="292" spans="1:8" ht="19.899999999999999" customHeight="1" x14ac:dyDescent="0.2">
      <c r="A292" s="677" t="s">
        <v>576</v>
      </c>
      <c r="B292" s="678"/>
      <c r="C292" s="679" t="s">
        <v>0</v>
      </c>
      <c r="D292" s="679" t="s">
        <v>1733</v>
      </c>
      <c r="E292" s="681" t="s">
        <v>24</v>
      </c>
      <c r="F292" s="683" t="s">
        <v>25</v>
      </c>
      <c r="G292" s="685" t="s">
        <v>26</v>
      </c>
    </row>
    <row r="293" spans="1:8" ht="19.899999999999999" customHeight="1" x14ac:dyDescent="0.2">
      <c r="A293" s="458" t="s">
        <v>577</v>
      </c>
      <c r="B293" s="458" t="s">
        <v>578</v>
      </c>
      <c r="C293" s="680"/>
      <c r="D293" s="680"/>
      <c r="E293" s="682"/>
      <c r="F293" s="684"/>
      <c r="G293" s="686"/>
    </row>
    <row r="294" spans="1:8" ht="19.899999999999999" customHeight="1" x14ac:dyDescent="0.2">
      <c r="A294" s="496">
        <f>IFERROR(VLOOKUP(C294,T_Insumos,4,FALSE),0)</f>
        <v>0</v>
      </c>
      <c r="B294" s="459">
        <f>IFERROR(VLOOKUP(C294,T_Insumos,5,FALSE),0)</f>
        <v>0</v>
      </c>
      <c r="C294" s="450"/>
      <c r="D294" s="507">
        <f>IF(C294=0,0,"$/tnkm")</f>
        <v>0</v>
      </c>
      <c r="E294" s="451"/>
      <c r="F294" s="453">
        <f>IFERROR(VLOOKUP(C294,T_Insumos,3,FALSE),0)</f>
        <v>0</v>
      </c>
      <c r="G294" s="453">
        <f>ROUND(E294*F294,2)</f>
        <v>0</v>
      </c>
    </row>
    <row r="295" spans="1:8" ht="19.899999999999999" customHeight="1" x14ac:dyDescent="0.2">
      <c r="A295" s="496">
        <f>IFERROR(VLOOKUP(C295,T_Insumos,4,FALSE),0)</f>
        <v>0</v>
      </c>
      <c r="B295" s="459">
        <f>IFERROR(VLOOKUP(C295,T_Insumos,5,FALSE),0)</f>
        <v>0</v>
      </c>
      <c r="C295" s="450"/>
      <c r="D295" s="507">
        <f>IF(C295=0,0,"$/tnkm")</f>
        <v>0</v>
      </c>
      <c r="E295" s="467"/>
      <c r="F295" s="453">
        <f>IFERROR(VLOOKUP(C295,T_Insumos,3,FALSE),0)</f>
        <v>0</v>
      </c>
      <c r="G295" s="453">
        <f t="shared" ref="G295" si="77">ROUND(E295*F295,2)</f>
        <v>0</v>
      </c>
    </row>
    <row r="296" spans="1:8" ht="19.899999999999999" customHeight="1" x14ac:dyDescent="0.2">
      <c r="A296" s="494"/>
      <c r="B296" s="155"/>
      <c r="C296" s="155"/>
      <c r="D296" s="440"/>
      <c r="E296" s="441"/>
      <c r="F296" s="462" t="s">
        <v>992</v>
      </c>
      <c r="G296" s="499">
        <f>SUBTOTAL(9,G294:G295)</f>
        <v>0</v>
      </c>
    </row>
    <row r="297" spans="1:8" ht="19.899999999999999" customHeight="1" x14ac:dyDescent="0.2">
      <c r="A297" s="497"/>
      <c r="B297" s="440"/>
      <c r="C297" s="155"/>
      <c r="D297" s="440"/>
      <c r="E297" s="441"/>
      <c r="F297" s="442"/>
      <c r="G297" s="495"/>
    </row>
    <row r="298" spans="1:8" ht="19.899999999999999" customHeight="1" x14ac:dyDescent="0.2">
      <c r="A298" s="555" t="str">
        <f>B232</f>
        <v>1.2.2</v>
      </c>
      <c r="B298" s="552" t="str">
        <f ca="1">C232</f>
        <v>Armadura puesta en obra</v>
      </c>
      <c r="C298" s="440"/>
      <c r="D298" s="440" t="s">
        <v>1712</v>
      </c>
      <c r="E298" s="553"/>
      <c r="F298" s="554" t="str">
        <f ca="1">"$/"&amp;G232</f>
        <v>$/KG</v>
      </c>
      <c r="G298" s="504">
        <f>SUBTOTAL(9,G255:G297)</f>
        <v>0</v>
      </c>
    </row>
    <row r="299" spans="1:8" ht="19.899999999999999" customHeight="1" x14ac:dyDescent="0.2">
      <c r="A299" s="500"/>
      <c r="B299" s="501"/>
      <c r="C299" s="502"/>
      <c r="D299" s="502" t="s">
        <v>1908</v>
      </c>
      <c r="E299" s="503"/>
      <c r="F299" s="556" t="str">
        <f ca="1">"$/"&amp;G232</f>
        <v>$/KG</v>
      </c>
      <c r="G299" s="504">
        <f>ROUND(G298*Coeficiente_Paso,2)</f>
        <v>0</v>
      </c>
    </row>
    <row r="300" spans="1:8" ht="19.899999999999999" customHeight="1" x14ac:dyDescent="0.2">
      <c r="A300" s="155"/>
      <c r="B300" s="155"/>
      <c r="C300" s="155"/>
      <c r="D300" s="155"/>
      <c r="E300" s="155"/>
      <c r="F300" s="155"/>
      <c r="G300" s="155"/>
    </row>
    <row r="301" spans="1:8" ht="19.899999999999999" customHeight="1" x14ac:dyDescent="0.2">
      <c r="A301" s="687" t="s">
        <v>31</v>
      </c>
      <c r="B301" s="688"/>
      <c r="C301" s="688"/>
      <c r="D301" s="688"/>
      <c r="E301" s="688"/>
      <c r="F301" s="688"/>
      <c r="G301" s="689"/>
      <c r="H301" s="58"/>
    </row>
    <row r="302" spans="1:8" ht="19.899999999999999" customHeight="1" x14ac:dyDescent="0.2">
      <c r="A302" s="483" t="s">
        <v>711</v>
      </c>
      <c r="B302" s="434" t="str">
        <f>Comitente</f>
        <v>DEPARTAMENTO DE HIDRÁULICA</v>
      </c>
      <c r="C302" s="435"/>
      <c r="D302" s="436"/>
      <c r="E302" s="436"/>
      <c r="F302" s="437"/>
      <c r="G302" s="484"/>
      <c r="H302" s="58"/>
    </row>
    <row r="303" spans="1:8" ht="19.899999999999999" customHeight="1" x14ac:dyDescent="0.2">
      <c r="A303" s="483" t="s">
        <v>712</v>
      </c>
      <c r="B303" s="434">
        <f>Contratista</f>
        <v>0</v>
      </c>
      <c r="C303" s="438"/>
      <c r="D303" s="438"/>
      <c r="E303" s="438"/>
      <c r="F303" s="434"/>
      <c r="G303" s="485"/>
      <c r="H303" s="58"/>
    </row>
    <row r="304" spans="1:8" ht="19.899999999999999" customHeight="1" x14ac:dyDescent="0.2">
      <c r="A304" s="483" t="s">
        <v>21</v>
      </c>
      <c r="B304" s="434" t="str">
        <f>Obra</f>
        <v>RECRECIMIENTO Y REPARACIÓN CANALES SARMIENTO, 9 DE JULIO Y CHIMBAS</v>
      </c>
      <c r="C304" s="438"/>
      <c r="D304" s="438"/>
      <c r="E304" s="438"/>
      <c r="F304" s="434" t="s">
        <v>32</v>
      </c>
      <c r="G304" s="485">
        <f>Fecha_Base</f>
        <v>0</v>
      </c>
      <c r="H304" s="58"/>
    </row>
    <row r="305" spans="1:8" ht="19.899999999999999" customHeight="1" x14ac:dyDescent="0.2">
      <c r="A305" s="486" t="s">
        <v>710</v>
      </c>
      <c r="B305" s="439" t="str">
        <f>Ubicación</f>
        <v>DEPARTAMENTOS SARMIENTO, 9 DE JULIO Y CHIMBAS</v>
      </c>
      <c r="C305" s="439"/>
      <c r="D305" s="440"/>
      <c r="E305" s="441"/>
      <c r="F305" s="442"/>
      <c r="G305" s="487"/>
      <c r="H305" s="58"/>
    </row>
    <row r="306" spans="1:8" ht="19.899999999999999" customHeight="1" x14ac:dyDescent="0.2">
      <c r="A306" s="486" t="s">
        <v>33</v>
      </c>
      <c r="B306" s="443">
        <f>IFERROR(VALUE(LEFT(B307,FIND(".",B307)-1)),"")</f>
        <v>1</v>
      </c>
      <c r="C306" s="155" t="str">
        <f ca="1">IFERROR(VLOOKUP(B306,T_Computo_Presupuesto,2,FALSE),0)</f>
        <v>DPTO. SARMIENTO - CANAL PRIMERO DE COCHAGUAL</v>
      </c>
      <c r="D306" s="155"/>
      <c r="E306" s="441"/>
      <c r="F306" s="442"/>
      <c r="G306" s="487"/>
      <c r="H306" s="58"/>
    </row>
    <row r="307" spans="1:8" ht="19.899999999999999" customHeight="1" x14ac:dyDescent="0.2">
      <c r="A307" s="486" t="s">
        <v>22</v>
      </c>
      <c r="B307" s="444" t="str">
        <f>IFERROR(VLOOKUP(COUNTIF($A$1:A307,"ANALISIS DE PRECIOS"),T_NumeroItem,2,FALSE),"")</f>
        <v>1.2.3</v>
      </c>
      <c r="C307" s="690" t="str">
        <f ca="1">IFERROR(VLOOKUP(B307,T_Computo_Presupuesto,2,FALSE),0)</f>
        <v>Anclajes Químicos</v>
      </c>
      <c r="D307" s="690"/>
      <c r="E307" s="690"/>
      <c r="F307" s="439" t="s">
        <v>23</v>
      </c>
      <c r="G307" s="488" t="str">
        <f ca="1">IFERROR(VLOOKUP(B307,T_Computo_Presupuesto,4,FALSE),0)</f>
        <v>GL</v>
      </c>
      <c r="H307" s="58"/>
    </row>
    <row r="308" spans="1:8" ht="19.899999999999999" customHeight="1" x14ac:dyDescent="0.2">
      <c r="A308" s="486"/>
      <c r="B308" s="439"/>
      <c r="C308" s="155"/>
      <c r="D308" s="440"/>
      <c r="E308" s="441"/>
      <c r="F308" s="155"/>
      <c r="G308" s="489"/>
      <c r="H308" s="58"/>
    </row>
    <row r="309" spans="1:8" ht="19.899999999999999" customHeight="1" x14ac:dyDescent="0.2">
      <c r="A309" s="490"/>
      <c r="B309" s="445"/>
      <c r="C309" s="446" t="s">
        <v>975</v>
      </c>
      <c r="D309" s="445"/>
      <c r="E309" s="445"/>
      <c r="F309" s="445"/>
      <c r="G309" s="491"/>
      <c r="H309" s="58"/>
    </row>
    <row r="310" spans="1:8" ht="19.899999999999999" customHeight="1" x14ac:dyDescent="0.2">
      <c r="A310" s="486"/>
      <c r="B310" s="447"/>
      <c r="C310" s="155"/>
      <c r="D310" s="440"/>
      <c r="E310" s="441"/>
      <c r="F310" s="439"/>
      <c r="G310" s="488"/>
      <c r="H310" s="58"/>
    </row>
    <row r="311" spans="1:8" ht="19.899999999999999" customHeight="1" x14ac:dyDescent="0.2">
      <c r="A311" s="486"/>
      <c r="B311" s="447"/>
      <c r="C311" s="448" t="s">
        <v>976</v>
      </c>
      <c r="D311" s="449" t="s">
        <v>24</v>
      </c>
      <c r="E311" s="449" t="s">
        <v>977</v>
      </c>
      <c r="F311" s="449" t="s">
        <v>978</v>
      </c>
      <c r="G311" s="448" t="s">
        <v>979</v>
      </c>
    </row>
    <row r="312" spans="1:8" ht="19.899999999999999" customHeight="1" x14ac:dyDescent="0.2">
      <c r="A312" s="486"/>
      <c r="B312" s="447"/>
      <c r="C312" s="450">
        <f>+C87</f>
        <v>0</v>
      </c>
      <c r="D312" s="450">
        <f>+D87</f>
        <v>0</v>
      </c>
      <c r="E312" s="452">
        <f t="shared" ref="E312:E321" si="78">IFERROR(VLOOKUP(C312,T_Equipos,4,FALSE),0)</f>
        <v>0</v>
      </c>
      <c r="F312" s="453">
        <f t="shared" ref="F312:F321" si="79">IFERROR(VLOOKUP(C312,T_Equipos,5,FALSE),0)</f>
        <v>0</v>
      </c>
      <c r="G312" s="453">
        <f>ROUND(D312*F312,2)</f>
        <v>0</v>
      </c>
    </row>
    <row r="313" spans="1:8" ht="19.899999999999999" customHeight="1" x14ac:dyDescent="0.2">
      <c r="A313" s="486"/>
      <c r="B313" s="447"/>
      <c r="C313" s="450">
        <f t="shared" ref="C313:D313" si="80">+C88</f>
        <v>0</v>
      </c>
      <c r="D313" s="450">
        <f t="shared" si="80"/>
        <v>0</v>
      </c>
      <c r="E313" s="452">
        <f t="shared" si="78"/>
        <v>0</v>
      </c>
      <c r="F313" s="453">
        <f t="shared" si="79"/>
        <v>0</v>
      </c>
      <c r="G313" s="453">
        <f>ROUND(D313*F313,2)</f>
        <v>0</v>
      </c>
    </row>
    <row r="314" spans="1:8" ht="19.899999999999999" customHeight="1" x14ac:dyDescent="0.2">
      <c r="A314" s="486"/>
      <c r="B314" s="447"/>
      <c r="C314" s="450">
        <f t="shared" ref="C314" si="81">+C89</f>
        <v>0</v>
      </c>
      <c r="D314" s="450"/>
      <c r="E314" s="452">
        <f t="shared" si="78"/>
        <v>0</v>
      </c>
      <c r="F314" s="453">
        <f t="shared" si="79"/>
        <v>0</v>
      </c>
      <c r="G314" s="453">
        <f>ROUND(D314*F314,2)</f>
        <v>0</v>
      </c>
    </row>
    <row r="315" spans="1:8" ht="19.899999999999999" customHeight="1" x14ac:dyDescent="0.2">
      <c r="A315" s="486"/>
      <c r="B315" s="447"/>
      <c r="C315" s="450">
        <f t="shared" ref="C315" si="82">+C90</f>
        <v>0</v>
      </c>
      <c r="D315" s="450"/>
      <c r="E315" s="452">
        <f t="shared" si="78"/>
        <v>0</v>
      </c>
      <c r="F315" s="453">
        <f t="shared" si="79"/>
        <v>0</v>
      </c>
      <c r="G315" s="453">
        <f>ROUND(D315*F315,2)</f>
        <v>0</v>
      </c>
    </row>
    <row r="316" spans="1:8" ht="19.899999999999999" customHeight="1" x14ac:dyDescent="0.2">
      <c r="A316" s="486"/>
      <c r="B316" s="447"/>
      <c r="C316" s="450">
        <f t="shared" ref="C316" si="83">+C91</f>
        <v>0</v>
      </c>
      <c r="D316" s="450"/>
      <c r="E316" s="452">
        <f t="shared" si="78"/>
        <v>0</v>
      </c>
      <c r="F316" s="453">
        <f t="shared" si="79"/>
        <v>0</v>
      </c>
      <c r="G316" s="453">
        <f t="shared" ref="G316:G321" si="84">ROUND(D316*F316,2)</f>
        <v>0</v>
      </c>
    </row>
    <row r="317" spans="1:8" ht="19.899999999999999" customHeight="1" x14ac:dyDescent="0.2">
      <c r="A317" s="486"/>
      <c r="B317" s="447"/>
      <c r="C317" s="450">
        <f t="shared" ref="C317" si="85">+C92</f>
        <v>0</v>
      </c>
      <c r="D317" s="450"/>
      <c r="E317" s="452">
        <f t="shared" si="78"/>
        <v>0</v>
      </c>
      <c r="F317" s="453">
        <f t="shared" si="79"/>
        <v>0</v>
      </c>
      <c r="G317" s="453">
        <f t="shared" si="84"/>
        <v>0</v>
      </c>
    </row>
    <row r="318" spans="1:8" ht="19.899999999999999" customHeight="1" x14ac:dyDescent="0.2">
      <c r="A318" s="486"/>
      <c r="B318" s="447"/>
      <c r="C318" s="450">
        <f t="shared" ref="C318:D318" si="86">+C93</f>
        <v>0</v>
      </c>
      <c r="D318" s="450">
        <f t="shared" si="86"/>
        <v>0</v>
      </c>
      <c r="E318" s="452">
        <f t="shared" si="78"/>
        <v>0</v>
      </c>
      <c r="F318" s="453">
        <f t="shared" si="79"/>
        <v>0</v>
      </c>
      <c r="G318" s="453">
        <f t="shared" si="84"/>
        <v>0</v>
      </c>
    </row>
    <row r="319" spans="1:8" ht="19.899999999999999" customHeight="1" x14ac:dyDescent="0.2">
      <c r="A319" s="486"/>
      <c r="B319" s="447"/>
      <c r="C319" s="450">
        <f t="shared" ref="C319:D319" si="87">+C94</f>
        <v>0</v>
      </c>
      <c r="D319" s="450">
        <f t="shared" si="87"/>
        <v>0</v>
      </c>
      <c r="E319" s="452">
        <f t="shared" si="78"/>
        <v>0</v>
      </c>
      <c r="F319" s="453">
        <f t="shared" si="79"/>
        <v>0</v>
      </c>
      <c r="G319" s="453">
        <f t="shared" si="84"/>
        <v>0</v>
      </c>
    </row>
    <row r="320" spans="1:8" ht="19.899999999999999" customHeight="1" x14ac:dyDescent="0.2">
      <c r="A320" s="486"/>
      <c r="B320" s="447"/>
      <c r="C320" s="450"/>
      <c r="D320" s="451"/>
      <c r="E320" s="452">
        <f t="shared" si="78"/>
        <v>0</v>
      </c>
      <c r="F320" s="453">
        <f t="shared" si="79"/>
        <v>0</v>
      </c>
      <c r="G320" s="453">
        <f t="shared" si="84"/>
        <v>0</v>
      </c>
    </row>
    <row r="321" spans="1:8" ht="19.899999999999999" customHeight="1" x14ac:dyDescent="0.2">
      <c r="A321" s="486"/>
      <c r="B321" s="447"/>
      <c r="C321" s="450"/>
      <c r="D321" s="451"/>
      <c r="E321" s="452">
        <f t="shared" si="78"/>
        <v>0</v>
      </c>
      <c r="F321" s="453">
        <f t="shared" si="79"/>
        <v>0</v>
      </c>
      <c r="G321" s="453">
        <f t="shared" si="84"/>
        <v>0</v>
      </c>
      <c r="H321" s="626">
        <f>+G339</f>
        <v>0</v>
      </c>
    </row>
    <row r="322" spans="1:8" ht="19.899999999999999" customHeight="1" x14ac:dyDescent="0.2">
      <c r="A322" s="486"/>
      <c r="B322" s="447"/>
      <c r="C322" s="155"/>
      <c r="D322" s="155"/>
      <c r="E322" s="454"/>
      <c r="F322" s="439"/>
      <c r="G322" s="488"/>
    </row>
    <row r="323" spans="1:8" ht="19.899999999999999" customHeight="1" x14ac:dyDescent="0.2">
      <c r="A323" s="486"/>
      <c r="B323" s="155"/>
      <c r="C323" s="436" t="s">
        <v>980</v>
      </c>
      <c r="D323" s="439" t="s">
        <v>977</v>
      </c>
      <c r="E323" s="505">
        <f>SUMPRODUCT(D312:D321,E312:E321)</f>
        <v>0</v>
      </c>
      <c r="F323" s="439" t="s">
        <v>981</v>
      </c>
      <c r="G323" s="506">
        <f>SUM(G312:G321)</f>
        <v>0</v>
      </c>
    </row>
    <row r="324" spans="1:8" ht="19.899999999999999" customHeight="1" x14ac:dyDescent="0.2">
      <c r="A324" s="486"/>
      <c r="B324" s="447"/>
      <c r="C324" s="455"/>
      <c r="D324" s="454"/>
      <c r="E324" s="441"/>
      <c r="F324" s="439"/>
      <c r="G324" s="492"/>
    </row>
    <row r="325" spans="1:8" ht="19.899999999999999" customHeight="1" x14ac:dyDescent="0.2">
      <c r="A325" s="493"/>
      <c r="B325" s="447"/>
      <c r="C325" s="439" t="s">
        <v>982</v>
      </c>
      <c r="D325" s="456">
        <f>IFERROR(VLOOKUP(COUNTIF($A$1:A325,"ANALISIS DE PRECIOS"),T_Rendimiento_Equipo,5,FALSE),0)</f>
        <v>0</v>
      </c>
      <c r="E325" s="457" t="str">
        <f ca="1">G307&amp;"/día"</f>
        <v>GL/día</v>
      </c>
      <c r="F325" s="433"/>
      <c r="G325" s="488"/>
    </row>
    <row r="326" spans="1:8" ht="19.899999999999999" customHeight="1" x14ac:dyDescent="0.2">
      <c r="A326" s="486"/>
      <c r="B326" s="447"/>
      <c r="C326" s="155"/>
      <c r="D326" s="440"/>
      <c r="E326" s="441"/>
      <c r="F326" s="439"/>
      <c r="G326" s="488"/>
    </row>
    <row r="327" spans="1:8" ht="19.899999999999999" customHeight="1" x14ac:dyDescent="0.2">
      <c r="A327" s="677" t="s">
        <v>576</v>
      </c>
      <c r="B327" s="678"/>
      <c r="C327" s="679" t="s">
        <v>0</v>
      </c>
      <c r="D327" s="691" t="s">
        <v>1732</v>
      </c>
      <c r="E327" s="691" t="s">
        <v>1731</v>
      </c>
      <c r="F327" s="683" t="s">
        <v>983</v>
      </c>
      <c r="G327" s="685" t="s">
        <v>26</v>
      </c>
    </row>
    <row r="328" spans="1:8" ht="19.899999999999999" customHeight="1" x14ac:dyDescent="0.2">
      <c r="A328" s="458" t="s">
        <v>577</v>
      </c>
      <c r="B328" s="458" t="s">
        <v>578</v>
      </c>
      <c r="C328" s="680"/>
      <c r="D328" s="692"/>
      <c r="E328" s="682"/>
      <c r="F328" s="684"/>
      <c r="G328" s="686"/>
    </row>
    <row r="329" spans="1:8" ht="19.899999999999999" customHeight="1" x14ac:dyDescent="0.2">
      <c r="A329" s="494"/>
      <c r="B329" s="155"/>
      <c r="C329" s="436" t="s">
        <v>984</v>
      </c>
      <c r="D329" s="441"/>
      <c r="E329" s="441"/>
      <c r="F329" s="155"/>
      <c r="G329" s="495"/>
    </row>
    <row r="330" spans="1:8" ht="19.899999999999999" customHeight="1" x14ac:dyDescent="0.2">
      <c r="A330" s="496">
        <f t="shared" ref="A330:A338" si="88">IFERROR(VLOOKUP(C330,T_Insumos,4,FALSE),0)</f>
        <v>0</v>
      </c>
      <c r="B330" s="459">
        <f t="shared" ref="B330:B338" si="89">IFERROR(VLOOKUP(C330,T_Insumos,5,FALSE),0)</f>
        <v>0</v>
      </c>
      <c r="C330" s="450">
        <f>+C30</f>
        <v>0</v>
      </c>
      <c r="D330" s="460">
        <f t="shared" ref="D330:D338" si="90">IFERROR(VLOOKUP(C330,T_Insumos,3,FALSE),0)</f>
        <v>0</v>
      </c>
      <c r="E330" s="453">
        <f>D330*$G$323</f>
        <v>0</v>
      </c>
      <c r="F330" s="456">
        <f>IF(C330="",0,IFERROR(VLOOKUP(COUNTIF($A$1:A330,"ANALISIS DE PRECIOS"),T_Rendimiento_Equipo,5,FALSE),0))</f>
        <v>0</v>
      </c>
      <c r="G330" s="453">
        <f>IFERROR(ROUND(E330/F330,2),0)</f>
        <v>0</v>
      </c>
    </row>
    <row r="331" spans="1:8" ht="19.899999999999999" customHeight="1" x14ac:dyDescent="0.2">
      <c r="A331" s="496">
        <f t="shared" si="88"/>
        <v>0</v>
      </c>
      <c r="B331" s="459">
        <f t="shared" si="89"/>
        <v>0</v>
      </c>
      <c r="C331" s="450">
        <f t="shared" ref="C331:C333" si="91">+C31</f>
        <v>0</v>
      </c>
      <c r="D331" s="460">
        <f t="shared" si="90"/>
        <v>0</v>
      </c>
      <c r="E331" s="453">
        <f t="shared" ref="E331:E332" si="92">D331*$G$323</f>
        <v>0</v>
      </c>
      <c r="F331" s="456">
        <f>IF(C331="",0,IFERROR(VLOOKUP(COUNTIF($A$1:A331,"ANALISIS DE PRECIOS"),T_Rendimiento_Equipo,5,FALSE),0))</f>
        <v>0</v>
      </c>
      <c r="G331" s="453">
        <f t="shared" ref="G331:G338" si="93">IFERROR(ROUND(E331/F331,2),0)</f>
        <v>0</v>
      </c>
    </row>
    <row r="332" spans="1:8" ht="19.899999999999999" customHeight="1" x14ac:dyDescent="0.2">
      <c r="A332" s="496">
        <f t="shared" si="88"/>
        <v>0</v>
      </c>
      <c r="B332" s="459">
        <f t="shared" si="89"/>
        <v>0</v>
      </c>
      <c r="C332" s="450">
        <f t="shared" si="91"/>
        <v>0</v>
      </c>
      <c r="D332" s="460">
        <f t="shared" si="90"/>
        <v>0</v>
      </c>
      <c r="E332" s="453">
        <f t="shared" si="92"/>
        <v>0</v>
      </c>
      <c r="F332" s="456">
        <f>IF(C332="",0,IFERROR(VLOOKUP(COUNTIF($A$1:A332,"ANALISIS DE PRECIOS"),T_Rendimiento_Equipo,5,FALSE),0))</f>
        <v>0</v>
      </c>
      <c r="G332" s="453">
        <f t="shared" si="93"/>
        <v>0</v>
      </c>
    </row>
    <row r="333" spans="1:8" ht="19.899999999999999" customHeight="1" x14ac:dyDescent="0.2">
      <c r="A333" s="496">
        <f t="shared" si="88"/>
        <v>0</v>
      </c>
      <c r="B333" s="459">
        <f t="shared" si="89"/>
        <v>0</v>
      </c>
      <c r="C333" s="450">
        <f t="shared" si="91"/>
        <v>0</v>
      </c>
      <c r="D333" s="460">
        <f t="shared" si="90"/>
        <v>0</v>
      </c>
      <c r="E333" s="453">
        <f>D333*$E$323</f>
        <v>0</v>
      </c>
      <c r="F333" s="456">
        <f>IF(C333="",0,IFERROR(VLOOKUP(COUNTIF($A$1:A333,"ANALISIS DE PRECIOS"),T_Rendimiento_Equipo,5,FALSE),0))</f>
        <v>0</v>
      </c>
      <c r="G333" s="453">
        <f t="shared" si="93"/>
        <v>0</v>
      </c>
    </row>
    <row r="334" spans="1:8" ht="19.899999999999999" customHeight="1" x14ac:dyDescent="0.2">
      <c r="A334" s="496">
        <f t="shared" si="88"/>
        <v>0</v>
      </c>
      <c r="B334" s="459">
        <f t="shared" si="89"/>
        <v>0</v>
      </c>
      <c r="C334" s="461"/>
      <c r="D334" s="460">
        <f t="shared" si="90"/>
        <v>0</v>
      </c>
      <c r="E334" s="453"/>
      <c r="F334" s="456">
        <f>IF(C334="",0,IFERROR(VLOOKUP(COUNTIF($A$1:A334,"ANALISIS DE PRECIOS"),T_Rendimiento_Equipo,5,FALSE),0))</f>
        <v>0</v>
      </c>
      <c r="G334" s="453">
        <f t="shared" si="93"/>
        <v>0</v>
      </c>
    </row>
    <row r="335" spans="1:8" ht="19.899999999999999" customHeight="1" x14ac:dyDescent="0.2">
      <c r="A335" s="496">
        <f t="shared" si="88"/>
        <v>0</v>
      </c>
      <c r="B335" s="459">
        <f t="shared" si="89"/>
        <v>0</v>
      </c>
      <c r="C335" s="461"/>
      <c r="D335" s="460">
        <f t="shared" si="90"/>
        <v>0</v>
      </c>
      <c r="E335" s="453"/>
      <c r="F335" s="456">
        <f>IF(C335="",0,IFERROR(VLOOKUP(COUNTIF($A$1:A335,"ANALISIS DE PRECIOS"),T_Rendimiento_Equipo,5,FALSE),0))</f>
        <v>0</v>
      </c>
      <c r="G335" s="453">
        <f t="shared" si="93"/>
        <v>0</v>
      </c>
    </row>
    <row r="336" spans="1:8" ht="19.899999999999999" customHeight="1" x14ac:dyDescent="0.2">
      <c r="A336" s="496">
        <f t="shared" si="88"/>
        <v>0</v>
      </c>
      <c r="B336" s="459">
        <f t="shared" si="89"/>
        <v>0</v>
      </c>
      <c r="C336" s="461"/>
      <c r="D336" s="460">
        <f t="shared" si="90"/>
        <v>0</v>
      </c>
      <c r="E336" s="453"/>
      <c r="F336" s="456">
        <f>IF(C336="",0,IFERROR(VLOOKUP(COUNTIF($A$1:A336,"ANALISIS DE PRECIOS"),T_Rendimiento_Equipo,5,FALSE),0))</f>
        <v>0</v>
      </c>
      <c r="G336" s="453">
        <f t="shared" si="93"/>
        <v>0</v>
      </c>
    </row>
    <row r="337" spans="1:7" ht="19.899999999999999" customHeight="1" x14ac:dyDescent="0.2">
      <c r="A337" s="496">
        <f t="shared" si="88"/>
        <v>0</v>
      </c>
      <c r="B337" s="459">
        <f t="shared" si="89"/>
        <v>0</v>
      </c>
      <c r="C337" s="461"/>
      <c r="D337" s="460">
        <f t="shared" si="90"/>
        <v>0</v>
      </c>
      <c r="E337" s="453"/>
      <c r="F337" s="456">
        <f>IF(C337="",0,IFERROR(VLOOKUP(COUNTIF($A$1:A337,"ANALISIS DE PRECIOS"),T_Rendimiento_Equipo,5,FALSE),0))</f>
        <v>0</v>
      </c>
      <c r="G337" s="453">
        <f t="shared" si="93"/>
        <v>0</v>
      </c>
    </row>
    <row r="338" spans="1:7" ht="19.899999999999999" customHeight="1" x14ac:dyDescent="0.2">
      <c r="A338" s="496">
        <f t="shared" si="88"/>
        <v>0</v>
      </c>
      <c r="B338" s="459">
        <f t="shared" si="89"/>
        <v>0</v>
      </c>
      <c r="C338" s="450"/>
      <c r="D338" s="460">
        <f t="shared" si="90"/>
        <v>0</v>
      </c>
      <c r="E338" s="453"/>
      <c r="F338" s="456">
        <f>IF(C338="",0,IFERROR(VLOOKUP(COUNTIF($A$1:A338,"ANALISIS DE PRECIOS"),T_Rendimiento_Equipo,5,FALSE),0))</f>
        <v>0</v>
      </c>
      <c r="G338" s="453">
        <f t="shared" si="93"/>
        <v>0</v>
      </c>
    </row>
    <row r="339" spans="1:7" ht="19.899999999999999" customHeight="1" x14ac:dyDescent="0.2">
      <c r="A339" s="497"/>
      <c r="B339" s="440"/>
      <c r="C339" s="155"/>
      <c r="D339" s="440"/>
      <c r="E339" s="441"/>
      <c r="F339" s="462" t="s">
        <v>27</v>
      </c>
      <c r="G339" s="498">
        <f>SUBTOTAL(9,G330:G338)</f>
        <v>0</v>
      </c>
    </row>
    <row r="340" spans="1:7" ht="19.899999999999999" customHeight="1" x14ac:dyDescent="0.2">
      <c r="A340" s="494"/>
      <c r="B340" s="155"/>
      <c r="C340" s="436" t="s">
        <v>713</v>
      </c>
      <c r="D340" s="440"/>
      <c r="E340" s="441"/>
      <c r="F340" s="442"/>
      <c r="G340" s="495"/>
    </row>
    <row r="341" spans="1:7" ht="19.899999999999999" customHeight="1" x14ac:dyDescent="0.2">
      <c r="A341" s="677" t="s">
        <v>576</v>
      </c>
      <c r="B341" s="678"/>
      <c r="C341" s="679" t="s">
        <v>0</v>
      </c>
      <c r="D341" s="681" t="s">
        <v>24</v>
      </c>
      <c r="E341" s="681" t="s">
        <v>1711</v>
      </c>
      <c r="F341" s="683" t="s">
        <v>983</v>
      </c>
      <c r="G341" s="685" t="s">
        <v>26</v>
      </c>
    </row>
    <row r="342" spans="1:7" ht="19.899999999999999" customHeight="1" x14ac:dyDescent="0.2">
      <c r="A342" s="458" t="s">
        <v>577</v>
      </c>
      <c r="B342" s="458" t="s">
        <v>578</v>
      </c>
      <c r="C342" s="680"/>
      <c r="D342" s="682"/>
      <c r="E342" s="682"/>
      <c r="F342" s="684"/>
      <c r="G342" s="686"/>
    </row>
    <row r="343" spans="1:7" ht="19.899999999999999" customHeight="1" x14ac:dyDescent="0.2">
      <c r="A343" s="496">
        <f t="shared" ref="A343:A349" si="94">IFERROR(VLOOKUP(C343,T_Insumos,4,FALSE),0)</f>
        <v>0</v>
      </c>
      <c r="B343" s="459">
        <f t="shared" ref="B343:B349" si="95">IFERROR(VLOOKUP(C343,T_Insumos,5,FALSE),0)</f>
        <v>0</v>
      </c>
      <c r="C343" s="450">
        <f t="shared" ref="C343:C346" si="96">+C118</f>
        <v>0</v>
      </c>
      <c r="D343" s="456"/>
      <c r="E343" s="453">
        <f t="shared" ref="E343:E349" si="97">IFERROR(VLOOKUP(C343,T_Insumos,3,FALSE),0)</f>
        <v>0</v>
      </c>
      <c r="F343" s="456">
        <f>IF(C343="",0,IFERROR(VLOOKUP(COUNTIF($A$1:A343,"ANALISIS DE PRECIOS"),T_Rendimiento_Equipo,5,FALSE),0))</f>
        <v>0</v>
      </c>
      <c r="G343" s="453">
        <f>IFERROR(ROUND(D343*E343/F343,2),0)</f>
        <v>0</v>
      </c>
    </row>
    <row r="344" spans="1:7" ht="19.899999999999999" customHeight="1" x14ac:dyDescent="0.2">
      <c r="A344" s="496">
        <f t="shared" si="94"/>
        <v>0</v>
      </c>
      <c r="B344" s="459">
        <f t="shared" si="95"/>
        <v>0</v>
      </c>
      <c r="C344" s="450">
        <f t="shared" si="96"/>
        <v>0</v>
      </c>
      <c r="D344" s="456"/>
      <c r="E344" s="453">
        <f t="shared" si="97"/>
        <v>0</v>
      </c>
      <c r="F344" s="456">
        <f>IF(C344="",0,IFERROR(VLOOKUP(COUNTIF($A$1:A344,"ANALISIS DE PRECIOS"),T_Rendimiento_Equipo,5,FALSE),0))</f>
        <v>0</v>
      </c>
      <c r="G344" s="453">
        <f>IFERROR(ROUND(D344*E344/F344,2),0)</f>
        <v>0</v>
      </c>
    </row>
    <row r="345" spans="1:7" ht="19.899999999999999" customHeight="1" x14ac:dyDescent="0.2">
      <c r="A345" s="496">
        <f t="shared" si="94"/>
        <v>0</v>
      </c>
      <c r="B345" s="459">
        <f t="shared" si="95"/>
        <v>0</v>
      </c>
      <c r="C345" s="450">
        <f t="shared" si="96"/>
        <v>0</v>
      </c>
      <c r="D345" s="456"/>
      <c r="E345" s="453">
        <f t="shared" si="97"/>
        <v>0</v>
      </c>
      <c r="F345" s="456">
        <f>IF(C345="",0,IFERROR(VLOOKUP(COUNTIF($A$1:A345,"ANALISIS DE PRECIOS"),T_Rendimiento_Equipo,5,FALSE),0))</f>
        <v>0</v>
      </c>
      <c r="G345" s="453">
        <f t="shared" ref="G345:G349" si="98">IFERROR(ROUND(D345*E345/F345,2),0)</f>
        <v>0</v>
      </c>
    </row>
    <row r="346" spans="1:7" ht="19.899999999999999" customHeight="1" x14ac:dyDescent="0.2">
      <c r="A346" s="496">
        <f t="shared" si="94"/>
        <v>0</v>
      </c>
      <c r="B346" s="459">
        <f t="shared" si="95"/>
        <v>0</v>
      </c>
      <c r="C346" s="450">
        <f t="shared" si="96"/>
        <v>0</v>
      </c>
      <c r="D346" s="456"/>
      <c r="E346" s="453">
        <f t="shared" si="97"/>
        <v>0</v>
      </c>
      <c r="F346" s="456">
        <f>IF(C346="",0,IFERROR(VLOOKUP(COUNTIF($A$1:A346,"ANALISIS DE PRECIOS"),T_Rendimiento_Equipo,5,FALSE),0))</f>
        <v>0</v>
      </c>
      <c r="G346" s="453">
        <f t="shared" si="98"/>
        <v>0</v>
      </c>
    </row>
    <row r="347" spans="1:7" ht="19.899999999999999" customHeight="1" x14ac:dyDescent="0.2">
      <c r="A347" s="496">
        <f t="shared" si="94"/>
        <v>0</v>
      </c>
      <c r="B347" s="459">
        <f t="shared" si="95"/>
        <v>0</v>
      </c>
      <c r="C347" s="450"/>
      <c r="D347" s="456"/>
      <c r="E347" s="453">
        <f t="shared" si="97"/>
        <v>0</v>
      </c>
      <c r="F347" s="456">
        <f>IF(C347="",0,IFERROR(VLOOKUP(COUNTIF($A$1:A347,"ANALISIS DE PRECIOS"),T_Rendimiento_Equipo,5,FALSE),0))</f>
        <v>0</v>
      </c>
      <c r="G347" s="453">
        <f t="shared" si="98"/>
        <v>0</v>
      </c>
    </row>
    <row r="348" spans="1:7" ht="19.899999999999999" customHeight="1" x14ac:dyDescent="0.2">
      <c r="A348" s="496">
        <f t="shared" si="94"/>
        <v>0</v>
      </c>
      <c r="B348" s="459">
        <f t="shared" si="95"/>
        <v>0</v>
      </c>
      <c r="C348" s="450"/>
      <c r="D348" s="464"/>
      <c r="E348" s="453">
        <f t="shared" si="97"/>
        <v>0</v>
      </c>
      <c r="F348" s="456">
        <f>IF(C348="",0,IFERROR(VLOOKUP(COUNTIF($A$1:A348,"ANALISIS DE PRECIOS"),T_Rendimiento_Equipo,5,FALSE),0))</f>
        <v>0</v>
      </c>
      <c r="G348" s="453">
        <f t="shared" si="98"/>
        <v>0</v>
      </c>
    </row>
    <row r="349" spans="1:7" ht="19.899999999999999" customHeight="1" x14ac:dyDescent="0.2">
      <c r="A349" s="496">
        <f t="shared" si="94"/>
        <v>0</v>
      </c>
      <c r="B349" s="459">
        <f t="shared" si="95"/>
        <v>0</v>
      </c>
      <c r="C349" s="459"/>
      <c r="D349" s="465"/>
      <c r="E349" s="453">
        <f t="shared" si="97"/>
        <v>0</v>
      </c>
      <c r="F349" s="456">
        <f>IF(C349="",0,IFERROR(VLOOKUP(COUNTIF($A$1:A349,"ANALISIS DE PRECIOS"),T_Rendimiento_Equipo,5,FALSE),0))</f>
        <v>0</v>
      </c>
      <c r="G349" s="453">
        <f t="shared" si="98"/>
        <v>0</v>
      </c>
    </row>
    <row r="350" spans="1:7" ht="19.899999999999999" customHeight="1" x14ac:dyDescent="0.2">
      <c r="A350" s="497"/>
      <c r="B350" s="440"/>
      <c r="C350" s="155"/>
      <c r="D350" s="440"/>
      <c r="E350" s="441"/>
      <c r="F350" s="462" t="s">
        <v>28</v>
      </c>
      <c r="G350" s="499">
        <f>SUBTOTAL(9,G343:G349)</f>
        <v>0</v>
      </c>
    </row>
    <row r="351" spans="1:7" ht="19.899999999999999" customHeight="1" x14ac:dyDescent="0.2">
      <c r="A351" s="494"/>
      <c r="B351" s="155"/>
      <c r="C351" s="436" t="s">
        <v>990</v>
      </c>
      <c r="D351" s="440"/>
      <c r="E351" s="441"/>
      <c r="F351" s="442"/>
      <c r="G351" s="495"/>
    </row>
    <row r="352" spans="1:7" ht="19.899999999999999" customHeight="1" x14ac:dyDescent="0.2">
      <c r="A352" s="677" t="s">
        <v>576</v>
      </c>
      <c r="B352" s="678"/>
      <c r="C352" s="679" t="s">
        <v>0</v>
      </c>
      <c r="D352" s="679" t="s">
        <v>1733</v>
      </c>
      <c r="E352" s="681" t="s">
        <v>24</v>
      </c>
      <c r="F352" s="683" t="s">
        <v>25</v>
      </c>
      <c r="G352" s="685" t="s">
        <v>26</v>
      </c>
    </row>
    <row r="353" spans="1:7" ht="19.899999999999999" customHeight="1" x14ac:dyDescent="0.2">
      <c r="A353" s="458" t="s">
        <v>577</v>
      </c>
      <c r="B353" s="458" t="s">
        <v>578</v>
      </c>
      <c r="C353" s="680"/>
      <c r="D353" s="680"/>
      <c r="E353" s="682"/>
      <c r="F353" s="684"/>
      <c r="G353" s="686"/>
    </row>
    <row r="354" spans="1:7" ht="19.899999999999999" customHeight="1" x14ac:dyDescent="0.2">
      <c r="A354" s="496">
        <f t="shared" ref="A354:A364" si="99">IFERROR(VLOOKUP(C354,T_Insumos,4,FALSE),0)</f>
        <v>0</v>
      </c>
      <c r="B354" s="459">
        <f t="shared" ref="B354:B364" si="100">IFERROR(VLOOKUP(C354,T_Insumos,5,FALSE),0)</f>
        <v>0</v>
      </c>
      <c r="C354" s="450">
        <f t="shared" ref="C354:C364" si="101">+C129</f>
        <v>0</v>
      </c>
      <c r="D354" s="507">
        <f t="shared" ref="D354:D364" si="102">IFERROR(VLOOKUP(C354,T_Insumos,2,FALSE),0)</f>
        <v>0</v>
      </c>
      <c r="E354" s="451"/>
      <c r="F354" s="453">
        <f t="shared" ref="F354:F364" si="103">IFERROR(VLOOKUP(C354,T_Insumos,3,FALSE),0)</f>
        <v>0</v>
      </c>
      <c r="G354" s="453">
        <f>ROUND(E354*F354,2)</f>
        <v>0</v>
      </c>
    </row>
    <row r="355" spans="1:7" s="466" customFormat="1" ht="19.899999999999999" customHeight="1" x14ac:dyDescent="0.2">
      <c r="A355" s="496">
        <f t="shared" si="99"/>
        <v>0</v>
      </c>
      <c r="B355" s="459">
        <f t="shared" si="100"/>
        <v>0</v>
      </c>
      <c r="C355" s="450">
        <f t="shared" si="101"/>
        <v>0</v>
      </c>
      <c r="D355" s="507">
        <f t="shared" si="102"/>
        <v>0</v>
      </c>
      <c r="E355" s="451"/>
      <c r="F355" s="453">
        <f t="shared" si="103"/>
        <v>0</v>
      </c>
      <c r="G355" s="453">
        <f t="shared" ref="G355:G364" si="104">ROUND(E355*F355,2)</f>
        <v>0</v>
      </c>
    </row>
    <row r="356" spans="1:7" ht="19.899999999999999" customHeight="1" x14ac:dyDescent="0.2">
      <c r="A356" s="496">
        <f t="shared" si="99"/>
        <v>0</v>
      </c>
      <c r="B356" s="459">
        <f t="shared" si="100"/>
        <v>0</v>
      </c>
      <c r="C356" s="450">
        <f t="shared" si="101"/>
        <v>0</v>
      </c>
      <c r="D356" s="507">
        <f t="shared" si="102"/>
        <v>0</v>
      </c>
      <c r="E356" s="451"/>
      <c r="F356" s="453">
        <f t="shared" si="103"/>
        <v>0</v>
      </c>
      <c r="G356" s="453">
        <f t="shared" si="104"/>
        <v>0</v>
      </c>
    </row>
    <row r="357" spans="1:7" ht="19.899999999999999" customHeight="1" x14ac:dyDescent="0.2">
      <c r="A357" s="496">
        <f t="shared" si="99"/>
        <v>0</v>
      </c>
      <c r="B357" s="459">
        <f t="shared" si="100"/>
        <v>0</v>
      </c>
      <c r="C357" s="450">
        <f t="shared" si="101"/>
        <v>0</v>
      </c>
      <c r="D357" s="507">
        <f t="shared" si="102"/>
        <v>0</v>
      </c>
      <c r="E357" s="451"/>
      <c r="F357" s="453">
        <f t="shared" si="103"/>
        <v>0</v>
      </c>
      <c r="G357" s="453">
        <f t="shared" si="104"/>
        <v>0</v>
      </c>
    </row>
    <row r="358" spans="1:7" ht="19.899999999999999" customHeight="1" x14ac:dyDescent="0.2">
      <c r="A358" s="496">
        <f t="shared" si="99"/>
        <v>0</v>
      </c>
      <c r="B358" s="459">
        <f t="shared" si="100"/>
        <v>0</v>
      </c>
      <c r="C358" s="450">
        <f t="shared" si="101"/>
        <v>0</v>
      </c>
      <c r="D358" s="507">
        <f t="shared" si="102"/>
        <v>0</v>
      </c>
      <c r="E358" s="451"/>
      <c r="F358" s="453">
        <f t="shared" si="103"/>
        <v>0</v>
      </c>
      <c r="G358" s="453">
        <f t="shared" si="104"/>
        <v>0</v>
      </c>
    </row>
    <row r="359" spans="1:7" ht="19.899999999999999" customHeight="1" x14ac:dyDescent="0.2">
      <c r="A359" s="496">
        <f t="shared" si="99"/>
        <v>0</v>
      </c>
      <c r="B359" s="459">
        <f t="shared" si="100"/>
        <v>0</v>
      </c>
      <c r="C359" s="450">
        <f t="shared" si="101"/>
        <v>0</v>
      </c>
      <c r="D359" s="507">
        <f t="shared" si="102"/>
        <v>0</v>
      </c>
      <c r="E359" s="451"/>
      <c r="F359" s="453">
        <f t="shared" si="103"/>
        <v>0</v>
      </c>
      <c r="G359" s="453">
        <f t="shared" si="104"/>
        <v>0</v>
      </c>
    </row>
    <row r="360" spans="1:7" ht="19.899999999999999" customHeight="1" x14ac:dyDescent="0.2">
      <c r="A360" s="496">
        <f t="shared" si="99"/>
        <v>0</v>
      </c>
      <c r="B360" s="459">
        <f t="shared" si="100"/>
        <v>0</v>
      </c>
      <c r="C360" s="450">
        <f t="shared" si="101"/>
        <v>0</v>
      </c>
      <c r="D360" s="507">
        <f t="shared" si="102"/>
        <v>0</v>
      </c>
      <c r="E360" s="451"/>
      <c r="F360" s="453">
        <f t="shared" si="103"/>
        <v>0</v>
      </c>
      <c r="G360" s="453">
        <f t="shared" si="104"/>
        <v>0</v>
      </c>
    </row>
    <row r="361" spans="1:7" ht="19.899999999999999" customHeight="1" x14ac:dyDescent="0.2">
      <c r="A361" s="496">
        <f t="shared" si="99"/>
        <v>0</v>
      </c>
      <c r="B361" s="459">
        <f t="shared" si="100"/>
        <v>0</v>
      </c>
      <c r="C361" s="450">
        <f t="shared" si="101"/>
        <v>0</v>
      </c>
      <c r="D361" s="507">
        <f t="shared" si="102"/>
        <v>0</v>
      </c>
      <c r="E361" s="451"/>
      <c r="F361" s="453">
        <f t="shared" si="103"/>
        <v>0</v>
      </c>
      <c r="G361" s="453">
        <f t="shared" si="104"/>
        <v>0</v>
      </c>
    </row>
    <row r="362" spans="1:7" ht="19.899999999999999" customHeight="1" x14ac:dyDescent="0.2">
      <c r="A362" s="496">
        <f t="shared" si="99"/>
        <v>0</v>
      </c>
      <c r="B362" s="459">
        <f t="shared" si="100"/>
        <v>0</v>
      </c>
      <c r="C362" s="450">
        <f t="shared" si="101"/>
        <v>0</v>
      </c>
      <c r="D362" s="507">
        <f t="shared" si="102"/>
        <v>0</v>
      </c>
      <c r="E362" s="451"/>
      <c r="F362" s="453">
        <f t="shared" si="103"/>
        <v>0</v>
      </c>
      <c r="G362" s="453">
        <f t="shared" si="104"/>
        <v>0</v>
      </c>
    </row>
    <row r="363" spans="1:7" ht="19.899999999999999" customHeight="1" x14ac:dyDescent="0.2">
      <c r="A363" s="496">
        <f t="shared" si="99"/>
        <v>0</v>
      </c>
      <c r="B363" s="459">
        <f t="shared" si="100"/>
        <v>0</v>
      </c>
      <c r="C363" s="450">
        <f t="shared" si="101"/>
        <v>0</v>
      </c>
      <c r="D363" s="507">
        <f t="shared" si="102"/>
        <v>0</v>
      </c>
      <c r="E363" s="451"/>
      <c r="F363" s="453">
        <f t="shared" si="103"/>
        <v>0</v>
      </c>
      <c r="G363" s="453">
        <f t="shared" si="104"/>
        <v>0</v>
      </c>
    </row>
    <row r="364" spans="1:7" ht="19.899999999999999" customHeight="1" x14ac:dyDescent="0.2">
      <c r="A364" s="496">
        <f t="shared" si="99"/>
        <v>0</v>
      </c>
      <c r="B364" s="459">
        <f t="shared" si="100"/>
        <v>0</v>
      </c>
      <c r="C364" s="450">
        <f t="shared" si="101"/>
        <v>0</v>
      </c>
      <c r="D364" s="507">
        <f t="shared" si="102"/>
        <v>0</v>
      </c>
      <c r="E364" s="451"/>
      <c r="F364" s="453">
        <f t="shared" si="103"/>
        <v>0</v>
      </c>
      <c r="G364" s="453">
        <f t="shared" si="104"/>
        <v>0</v>
      </c>
    </row>
    <row r="365" spans="1:7" ht="19.899999999999999" customHeight="1" x14ac:dyDescent="0.2">
      <c r="A365" s="494"/>
      <c r="B365" s="155"/>
      <c r="C365" s="155"/>
      <c r="D365" s="440"/>
      <c r="E365" s="441"/>
      <c r="F365" s="462" t="s">
        <v>29</v>
      </c>
      <c r="G365" s="499">
        <f>SUBTOTAL(9,G354:G364)</f>
        <v>0</v>
      </c>
    </row>
    <row r="366" spans="1:7" ht="19.899999999999999" customHeight="1" x14ac:dyDescent="0.2">
      <c r="A366" s="494"/>
      <c r="B366" s="155"/>
      <c r="C366" s="436" t="s">
        <v>991</v>
      </c>
      <c r="D366" s="440"/>
      <c r="E366" s="441"/>
      <c r="F366" s="442"/>
      <c r="G366" s="495"/>
    </row>
    <row r="367" spans="1:7" ht="19.899999999999999" customHeight="1" x14ac:dyDescent="0.2">
      <c r="A367" s="677" t="s">
        <v>576</v>
      </c>
      <c r="B367" s="678"/>
      <c r="C367" s="679" t="s">
        <v>0</v>
      </c>
      <c r="D367" s="679" t="s">
        <v>1733</v>
      </c>
      <c r="E367" s="681" t="s">
        <v>24</v>
      </c>
      <c r="F367" s="683" t="s">
        <v>25</v>
      </c>
      <c r="G367" s="685" t="s">
        <v>26</v>
      </c>
    </row>
    <row r="368" spans="1:7" ht="19.899999999999999" customHeight="1" x14ac:dyDescent="0.2">
      <c r="A368" s="458" t="s">
        <v>577</v>
      </c>
      <c r="B368" s="458" t="s">
        <v>578</v>
      </c>
      <c r="C368" s="680"/>
      <c r="D368" s="680"/>
      <c r="E368" s="682"/>
      <c r="F368" s="684"/>
      <c r="G368" s="686"/>
    </row>
    <row r="369" spans="1:8" ht="19.899999999999999" customHeight="1" x14ac:dyDescent="0.2">
      <c r="A369" s="496">
        <f>IFERROR(VLOOKUP(C369,T_Insumos,4,FALSE),0)</f>
        <v>0</v>
      </c>
      <c r="B369" s="459">
        <f>IFERROR(VLOOKUP(C369,T_Insumos,5,FALSE),0)</f>
        <v>0</v>
      </c>
      <c r="C369" s="450"/>
      <c r="D369" s="507">
        <f>IF(C369=0,0,"$/tnkm")</f>
        <v>0</v>
      </c>
      <c r="E369" s="451"/>
      <c r="F369" s="453">
        <f>IFERROR(VLOOKUP(C369,T_Insumos,3,FALSE),0)</f>
        <v>0</v>
      </c>
      <c r="G369" s="453">
        <f>ROUND(E369*F369,2)</f>
        <v>0</v>
      </c>
    </row>
    <row r="370" spans="1:8" ht="19.899999999999999" customHeight="1" x14ac:dyDescent="0.2">
      <c r="A370" s="496">
        <f>IFERROR(VLOOKUP(C370,T_Insumos,4,FALSE),0)</f>
        <v>0</v>
      </c>
      <c r="B370" s="459">
        <f>IFERROR(VLOOKUP(C370,T_Insumos,5,FALSE),0)</f>
        <v>0</v>
      </c>
      <c r="C370" s="450"/>
      <c r="D370" s="507">
        <f>IF(C370=0,0,"$/tnkm")</f>
        <v>0</v>
      </c>
      <c r="E370" s="467"/>
      <c r="F370" s="453">
        <f>IFERROR(VLOOKUP(C370,T_Insumos,3,FALSE),0)</f>
        <v>0</v>
      </c>
      <c r="G370" s="453">
        <f t="shared" ref="G370" si="105">ROUND(E370*F370,2)</f>
        <v>0</v>
      </c>
    </row>
    <row r="371" spans="1:8" ht="19.899999999999999" customHeight="1" x14ac:dyDescent="0.2">
      <c r="A371" s="494"/>
      <c r="B371" s="155"/>
      <c r="C371" s="155"/>
      <c r="D371" s="440"/>
      <c r="E371" s="441"/>
      <c r="F371" s="462" t="s">
        <v>992</v>
      </c>
      <c r="G371" s="499">
        <f>SUBTOTAL(9,G369:G370)</f>
        <v>0</v>
      </c>
      <c r="H371" s="58"/>
    </row>
    <row r="372" spans="1:8" ht="19.899999999999999" customHeight="1" x14ac:dyDescent="0.2">
      <c r="A372" s="497"/>
      <c r="B372" s="440"/>
      <c r="C372" s="155"/>
      <c r="D372" s="440"/>
      <c r="E372" s="441"/>
      <c r="F372" s="442"/>
      <c r="G372" s="495"/>
      <c r="H372" s="58"/>
    </row>
    <row r="373" spans="1:8" ht="19.899999999999999" customHeight="1" x14ac:dyDescent="0.2">
      <c r="A373" s="555" t="str">
        <f>B307</f>
        <v>1.2.3</v>
      </c>
      <c r="B373" s="552" t="str">
        <f ca="1">C307</f>
        <v>Anclajes Químicos</v>
      </c>
      <c r="C373" s="440"/>
      <c r="D373" s="440" t="s">
        <v>1712</v>
      </c>
      <c r="E373" s="553"/>
      <c r="F373" s="554" t="str">
        <f ca="1">"$/"&amp;G307</f>
        <v>$/GL</v>
      </c>
      <c r="G373" s="504">
        <f>SUBTOTAL(9,G330:G372)</f>
        <v>0</v>
      </c>
      <c r="H373" s="58"/>
    </row>
    <row r="374" spans="1:8" ht="19.899999999999999" customHeight="1" x14ac:dyDescent="0.2">
      <c r="A374" s="500"/>
      <c r="B374" s="501"/>
      <c r="C374" s="502"/>
      <c r="D374" s="502" t="s">
        <v>1908</v>
      </c>
      <c r="E374" s="503"/>
      <c r="F374" s="556" t="str">
        <f ca="1">"$/"&amp;G307</f>
        <v>$/GL</v>
      </c>
      <c r="G374" s="504">
        <f>ROUND(G373*Coeficiente_Paso,2)</f>
        <v>0</v>
      </c>
      <c r="H374" s="58"/>
    </row>
    <row r="375" spans="1:8" ht="19.899999999999999" customHeight="1" x14ac:dyDescent="0.2">
      <c r="A375" s="155"/>
      <c r="B375" s="155"/>
      <c r="C375" s="155"/>
      <c r="D375" s="155"/>
      <c r="E375" s="155"/>
      <c r="F375" s="155"/>
      <c r="G375" s="155"/>
      <c r="H375" s="58"/>
    </row>
    <row r="376" spans="1:8" ht="19.899999999999999" customHeight="1" x14ac:dyDescent="0.2">
      <c r="A376" s="687" t="s">
        <v>31</v>
      </c>
      <c r="B376" s="688"/>
      <c r="C376" s="688"/>
      <c r="D376" s="688"/>
      <c r="E376" s="688"/>
      <c r="F376" s="688"/>
      <c r="G376" s="689"/>
    </row>
    <row r="377" spans="1:8" ht="19.899999999999999" customHeight="1" x14ac:dyDescent="0.2">
      <c r="A377" s="483" t="s">
        <v>711</v>
      </c>
      <c r="B377" s="434" t="str">
        <f>Comitente</f>
        <v>DEPARTAMENTO DE HIDRÁULICA</v>
      </c>
      <c r="C377" s="435"/>
      <c r="D377" s="436"/>
      <c r="E377" s="436"/>
      <c r="F377" s="437"/>
      <c r="G377" s="484"/>
    </row>
    <row r="378" spans="1:8" ht="19.899999999999999" customHeight="1" x14ac:dyDescent="0.2">
      <c r="A378" s="483" t="s">
        <v>712</v>
      </c>
      <c r="B378" s="434">
        <f>Contratista</f>
        <v>0</v>
      </c>
      <c r="C378" s="438"/>
      <c r="D378" s="438"/>
      <c r="E378" s="438"/>
      <c r="F378" s="434"/>
      <c r="G378" s="485"/>
    </row>
    <row r="379" spans="1:8" ht="19.899999999999999" customHeight="1" x14ac:dyDescent="0.2">
      <c r="A379" s="483" t="s">
        <v>21</v>
      </c>
      <c r="B379" s="434" t="str">
        <f>Obra</f>
        <v>RECRECIMIENTO Y REPARACIÓN CANALES SARMIENTO, 9 DE JULIO Y CHIMBAS</v>
      </c>
      <c r="C379" s="438"/>
      <c r="D379" s="438"/>
      <c r="E379" s="438"/>
      <c r="F379" s="434" t="s">
        <v>32</v>
      </c>
      <c r="G379" s="485">
        <f>Fecha_Base</f>
        <v>0</v>
      </c>
    </row>
    <row r="380" spans="1:8" ht="19.899999999999999" customHeight="1" x14ac:dyDescent="0.2">
      <c r="A380" s="486" t="s">
        <v>710</v>
      </c>
      <c r="B380" s="439" t="str">
        <f>Ubicación</f>
        <v>DEPARTAMENTOS SARMIENTO, 9 DE JULIO Y CHIMBAS</v>
      </c>
      <c r="C380" s="439"/>
      <c r="D380" s="440"/>
      <c r="E380" s="441"/>
      <c r="F380" s="442"/>
      <c r="G380" s="487"/>
    </row>
    <row r="381" spans="1:8" ht="19.899999999999999" customHeight="1" x14ac:dyDescent="0.2">
      <c r="A381" s="486" t="s">
        <v>33</v>
      </c>
      <c r="B381" s="443">
        <f>IFERROR(VALUE(LEFT(B382,FIND(".",B382)-1)),"")</f>
        <v>1</v>
      </c>
      <c r="C381" s="155" t="str">
        <f ca="1">IFERROR(VLOOKUP(B381,T_Computo_Presupuesto,2,FALSE),0)</f>
        <v>DPTO. SARMIENTO - CANAL PRIMERO DE COCHAGUAL</v>
      </c>
      <c r="D381" s="155"/>
      <c r="E381" s="441"/>
      <c r="F381" s="442"/>
      <c r="G381" s="487"/>
    </row>
    <row r="382" spans="1:8" ht="19.899999999999999" customHeight="1" x14ac:dyDescent="0.2">
      <c r="A382" s="486" t="s">
        <v>22</v>
      </c>
      <c r="B382" s="444" t="str">
        <f>IFERROR(VLOOKUP(COUNTIF($A$1:A382,"ANALISIS DE PRECIOS"),T_NumeroItem,2,FALSE),"")</f>
        <v>1.2.4</v>
      </c>
      <c r="C382" s="690" t="str">
        <f ca="1">IFERROR(VLOOKUP(B382,T_Computo_Presupuesto,2,FALSE),0)</f>
        <v>Puente de Adherencia</v>
      </c>
      <c r="D382" s="690"/>
      <c r="E382" s="690"/>
      <c r="F382" s="439" t="s">
        <v>23</v>
      </c>
      <c r="G382" s="488" t="str">
        <f ca="1">IFERROR(VLOOKUP(B382,T_Computo_Presupuesto,4,FALSE),0)</f>
        <v>GL</v>
      </c>
    </row>
    <row r="383" spans="1:8" ht="19.899999999999999" customHeight="1" x14ac:dyDescent="0.2">
      <c r="A383" s="486"/>
      <c r="B383" s="439"/>
      <c r="C383" s="155"/>
      <c r="D383" s="440"/>
      <c r="E383" s="441"/>
      <c r="F383" s="155"/>
      <c r="G383" s="489"/>
    </row>
    <row r="384" spans="1:8" ht="19.899999999999999" customHeight="1" x14ac:dyDescent="0.2">
      <c r="A384" s="490"/>
      <c r="B384" s="445"/>
      <c r="C384" s="446" t="s">
        <v>975</v>
      </c>
      <c r="D384" s="445"/>
      <c r="E384" s="445"/>
      <c r="F384" s="445"/>
      <c r="G384" s="491"/>
    </row>
    <row r="385" spans="1:8" ht="19.899999999999999" customHeight="1" x14ac:dyDescent="0.2">
      <c r="A385" s="486"/>
      <c r="B385" s="447"/>
      <c r="C385" s="155"/>
      <c r="D385" s="440"/>
      <c r="E385" s="441"/>
      <c r="F385" s="439"/>
      <c r="G385" s="488"/>
    </row>
    <row r="386" spans="1:8" ht="19.899999999999999" customHeight="1" x14ac:dyDescent="0.2">
      <c r="A386" s="486"/>
      <c r="B386" s="447"/>
      <c r="C386" s="448" t="s">
        <v>976</v>
      </c>
      <c r="D386" s="449" t="s">
        <v>24</v>
      </c>
      <c r="E386" s="449" t="s">
        <v>977</v>
      </c>
      <c r="F386" s="449" t="s">
        <v>978</v>
      </c>
      <c r="G386" s="448" t="s">
        <v>979</v>
      </c>
    </row>
    <row r="387" spans="1:8" ht="19.899999999999999" customHeight="1" x14ac:dyDescent="0.2">
      <c r="A387" s="486"/>
      <c r="B387" s="447"/>
      <c r="C387" s="450">
        <f>+C87</f>
        <v>0</v>
      </c>
      <c r="D387" s="450">
        <f>+D87</f>
        <v>0</v>
      </c>
      <c r="E387" s="452">
        <f t="shared" ref="E387:E396" si="106">IFERROR(VLOOKUP(C387,T_Equipos,4,FALSE),0)</f>
        <v>0</v>
      </c>
      <c r="F387" s="453">
        <f t="shared" ref="F387:F396" si="107">IFERROR(VLOOKUP(C387,T_Equipos,5,FALSE),0)</f>
        <v>0</v>
      </c>
      <c r="G387" s="453">
        <f>ROUND(D387*F387,2)</f>
        <v>0</v>
      </c>
    </row>
    <row r="388" spans="1:8" ht="19.899999999999999" customHeight="1" x14ac:dyDescent="0.2">
      <c r="A388" s="486"/>
      <c r="B388" s="447"/>
      <c r="C388" s="450">
        <f t="shared" ref="C388:D388" si="108">+C88</f>
        <v>0</v>
      </c>
      <c r="D388" s="450">
        <f t="shared" si="108"/>
        <v>0</v>
      </c>
      <c r="E388" s="452">
        <f t="shared" si="106"/>
        <v>0</v>
      </c>
      <c r="F388" s="453">
        <f t="shared" si="107"/>
        <v>0</v>
      </c>
      <c r="G388" s="453">
        <f>ROUND(D388*F388,2)</f>
        <v>0</v>
      </c>
    </row>
    <row r="389" spans="1:8" ht="19.899999999999999" customHeight="1" x14ac:dyDescent="0.2">
      <c r="A389" s="486"/>
      <c r="B389" s="447"/>
      <c r="C389" s="450">
        <f t="shared" ref="C389" si="109">+C89</f>
        <v>0</v>
      </c>
      <c r="D389" s="450"/>
      <c r="E389" s="452">
        <f t="shared" si="106"/>
        <v>0</v>
      </c>
      <c r="F389" s="453">
        <f t="shared" si="107"/>
        <v>0</v>
      </c>
      <c r="G389" s="453">
        <f>ROUND(D389*F389,2)</f>
        <v>0</v>
      </c>
    </row>
    <row r="390" spans="1:8" ht="19.899999999999999" customHeight="1" x14ac:dyDescent="0.2">
      <c r="A390" s="486"/>
      <c r="B390" s="447"/>
      <c r="C390" s="450">
        <f t="shared" ref="C390:D390" si="110">+C90</f>
        <v>0</v>
      </c>
      <c r="D390" s="450">
        <f t="shared" si="110"/>
        <v>0</v>
      </c>
      <c r="E390" s="452">
        <f t="shared" si="106"/>
        <v>0</v>
      </c>
      <c r="F390" s="453">
        <f t="shared" si="107"/>
        <v>0</v>
      </c>
      <c r="G390" s="453">
        <f>ROUND(D390*F390,2)</f>
        <v>0</v>
      </c>
    </row>
    <row r="391" spans="1:8" ht="19.899999999999999" customHeight="1" x14ac:dyDescent="0.2">
      <c r="A391" s="486"/>
      <c r="B391" s="447"/>
      <c r="C391" s="450"/>
      <c r="D391" s="451"/>
      <c r="E391" s="452">
        <f t="shared" si="106"/>
        <v>0</v>
      </c>
      <c r="F391" s="453">
        <f t="shared" si="107"/>
        <v>0</v>
      </c>
      <c r="G391" s="453">
        <f t="shared" ref="G391:G396" si="111">ROUND(D391*F391,2)</f>
        <v>0</v>
      </c>
    </row>
    <row r="392" spans="1:8" ht="19.899999999999999" customHeight="1" x14ac:dyDescent="0.2">
      <c r="A392" s="486"/>
      <c r="B392" s="447"/>
      <c r="C392" s="450"/>
      <c r="D392" s="451"/>
      <c r="E392" s="452">
        <f t="shared" si="106"/>
        <v>0</v>
      </c>
      <c r="F392" s="453">
        <f t="shared" si="107"/>
        <v>0</v>
      </c>
      <c r="G392" s="453">
        <f t="shared" si="111"/>
        <v>0</v>
      </c>
    </row>
    <row r="393" spans="1:8" ht="19.899999999999999" customHeight="1" x14ac:dyDescent="0.2">
      <c r="A393" s="486"/>
      <c r="B393" s="447"/>
      <c r="C393" s="450"/>
      <c r="D393" s="451"/>
      <c r="E393" s="452">
        <f t="shared" si="106"/>
        <v>0</v>
      </c>
      <c r="F393" s="453">
        <f t="shared" si="107"/>
        <v>0</v>
      </c>
      <c r="G393" s="453">
        <f t="shared" si="111"/>
        <v>0</v>
      </c>
    </row>
    <row r="394" spans="1:8" ht="19.899999999999999" customHeight="1" x14ac:dyDescent="0.2">
      <c r="A394" s="486"/>
      <c r="B394" s="447"/>
      <c r="C394" s="450"/>
      <c r="D394" s="451"/>
      <c r="E394" s="452">
        <f t="shared" si="106"/>
        <v>0</v>
      </c>
      <c r="F394" s="453">
        <f t="shared" si="107"/>
        <v>0</v>
      </c>
      <c r="G394" s="453">
        <f t="shared" si="111"/>
        <v>0</v>
      </c>
    </row>
    <row r="395" spans="1:8" ht="19.899999999999999" customHeight="1" x14ac:dyDescent="0.2">
      <c r="A395" s="486"/>
      <c r="B395" s="447"/>
      <c r="C395" s="450"/>
      <c r="D395" s="451"/>
      <c r="E395" s="452">
        <f t="shared" si="106"/>
        <v>0</v>
      </c>
      <c r="F395" s="453">
        <f t="shared" si="107"/>
        <v>0</v>
      </c>
      <c r="G395" s="453">
        <f t="shared" si="111"/>
        <v>0</v>
      </c>
    </row>
    <row r="396" spans="1:8" ht="19.899999999999999" customHeight="1" x14ac:dyDescent="0.2">
      <c r="A396" s="486"/>
      <c r="B396" s="447"/>
      <c r="C396" s="450"/>
      <c r="D396" s="451"/>
      <c r="E396" s="452">
        <f t="shared" si="106"/>
        <v>0</v>
      </c>
      <c r="F396" s="453">
        <f t="shared" si="107"/>
        <v>0</v>
      </c>
      <c r="G396" s="453">
        <f t="shared" si="111"/>
        <v>0</v>
      </c>
      <c r="H396" s="626">
        <f>+G414</f>
        <v>0</v>
      </c>
    </row>
    <row r="397" spans="1:8" ht="19.899999999999999" customHeight="1" x14ac:dyDescent="0.2">
      <c r="A397" s="486"/>
      <c r="B397" s="447"/>
      <c r="C397" s="155"/>
      <c r="D397" s="155"/>
      <c r="E397" s="454"/>
      <c r="F397" s="439"/>
      <c r="G397" s="488"/>
    </row>
    <row r="398" spans="1:8" ht="19.899999999999999" customHeight="1" x14ac:dyDescent="0.2">
      <c r="A398" s="486"/>
      <c r="B398" s="155"/>
      <c r="C398" s="436" t="s">
        <v>980</v>
      </c>
      <c r="D398" s="439" t="s">
        <v>977</v>
      </c>
      <c r="E398" s="505">
        <f>SUMPRODUCT(D387:D396,E387:E396)</f>
        <v>0</v>
      </c>
      <c r="F398" s="439" t="s">
        <v>981</v>
      </c>
      <c r="G398" s="506">
        <f>SUM(G387:G396)</f>
        <v>0</v>
      </c>
    </row>
    <row r="399" spans="1:8" ht="19.899999999999999" customHeight="1" x14ac:dyDescent="0.2">
      <c r="A399" s="486"/>
      <c r="B399" s="447"/>
      <c r="C399" s="455"/>
      <c r="D399" s="454"/>
      <c r="E399" s="441"/>
      <c r="F399" s="439"/>
      <c r="G399" s="492"/>
    </row>
    <row r="400" spans="1:8" ht="19.899999999999999" customHeight="1" x14ac:dyDescent="0.2">
      <c r="A400" s="493"/>
      <c r="B400" s="447"/>
      <c r="C400" s="439" t="s">
        <v>982</v>
      </c>
      <c r="D400" s="456">
        <f>IFERROR(VLOOKUP(COUNTIF($A$1:A400,"ANALISIS DE PRECIOS"),T_Rendimiento_Equipo,5,FALSE),0)</f>
        <v>0</v>
      </c>
      <c r="E400" s="457" t="str">
        <f ca="1">G382&amp;"/día"</f>
        <v>GL/día</v>
      </c>
      <c r="F400" s="433"/>
      <c r="G400" s="488"/>
    </row>
    <row r="401" spans="1:7" ht="19.899999999999999" customHeight="1" x14ac:dyDescent="0.2">
      <c r="A401" s="486"/>
      <c r="B401" s="447"/>
      <c r="C401" s="155"/>
      <c r="D401" s="440"/>
      <c r="E401" s="441"/>
      <c r="F401" s="439"/>
      <c r="G401" s="488"/>
    </row>
    <row r="402" spans="1:7" ht="19.899999999999999" customHeight="1" x14ac:dyDescent="0.2">
      <c r="A402" s="677" t="s">
        <v>576</v>
      </c>
      <c r="B402" s="678"/>
      <c r="C402" s="679" t="s">
        <v>0</v>
      </c>
      <c r="D402" s="691" t="s">
        <v>1732</v>
      </c>
      <c r="E402" s="691" t="s">
        <v>1731</v>
      </c>
      <c r="F402" s="683" t="s">
        <v>983</v>
      </c>
      <c r="G402" s="685" t="s">
        <v>26</v>
      </c>
    </row>
    <row r="403" spans="1:7" ht="19.899999999999999" customHeight="1" x14ac:dyDescent="0.2">
      <c r="A403" s="458" t="s">
        <v>577</v>
      </c>
      <c r="B403" s="458" t="s">
        <v>578</v>
      </c>
      <c r="C403" s="680"/>
      <c r="D403" s="692"/>
      <c r="E403" s="682"/>
      <c r="F403" s="684"/>
      <c r="G403" s="686"/>
    </row>
    <row r="404" spans="1:7" ht="19.899999999999999" customHeight="1" x14ac:dyDescent="0.2">
      <c r="A404" s="494"/>
      <c r="B404" s="155"/>
      <c r="C404" s="436" t="s">
        <v>984</v>
      </c>
      <c r="D404" s="441"/>
      <c r="E404" s="441"/>
      <c r="F404" s="155"/>
      <c r="G404" s="495"/>
    </row>
    <row r="405" spans="1:7" ht="19.899999999999999" customHeight="1" x14ac:dyDescent="0.2">
      <c r="A405" s="496">
        <f t="shared" ref="A405:A413" si="112">IFERROR(VLOOKUP(C405,T_Insumos,4,FALSE),0)</f>
        <v>0</v>
      </c>
      <c r="B405" s="459">
        <f t="shared" ref="B405:B413" si="113">IFERROR(VLOOKUP(C405,T_Insumos,5,FALSE),0)</f>
        <v>0</v>
      </c>
      <c r="C405" s="450">
        <f>+C30</f>
        <v>0</v>
      </c>
      <c r="D405" s="460">
        <f t="shared" ref="D405:D413" si="114">IFERROR(VLOOKUP(C405,T_Insumos,3,FALSE),0)</f>
        <v>0</v>
      </c>
      <c r="E405" s="453">
        <f>D405*$G$398</f>
        <v>0</v>
      </c>
      <c r="F405" s="456">
        <f>IF(C405="",0,IFERROR(VLOOKUP(COUNTIF($A$1:A405,"ANALISIS DE PRECIOS"),T_Rendimiento_Equipo,5,FALSE),0))</f>
        <v>0</v>
      </c>
      <c r="G405" s="453">
        <f>IFERROR(ROUND(E405/F405,2),0)</f>
        <v>0</v>
      </c>
    </row>
    <row r="406" spans="1:7" ht="19.899999999999999" customHeight="1" x14ac:dyDescent="0.2">
      <c r="A406" s="496">
        <f t="shared" si="112"/>
        <v>0</v>
      </c>
      <c r="B406" s="459">
        <f t="shared" si="113"/>
        <v>0</v>
      </c>
      <c r="C406" s="450">
        <f t="shared" ref="C406:C408" si="115">+C31</f>
        <v>0</v>
      </c>
      <c r="D406" s="460">
        <f t="shared" si="114"/>
        <v>0</v>
      </c>
      <c r="E406" s="453">
        <f t="shared" ref="E406:E407" si="116">D406*$G$398</f>
        <v>0</v>
      </c>
      <c r="F406" s="456">
        <f>IF(C406="",0,IFERROR(VLOOKUP(COUNTIF($A$1:A406,"ANALISIS DE PRECIOS"),T_Rendimiento_Equipo,5,FALSE),0))</f>
        <v>0</v>
      </c>
      <c r="G406" s="453">
        <f t="shared" ref="G406:G413" si="117">IFERROR(ROUND(E406/F406,2),0)</f>
        <v>0</v>
      </c>
    </row>
    <row r="407" spans="1:7" ht="19.899999999999999" customHeight="1" x14ac:dyDescent="0.2">
      <c r="A407" s="496">
        <f t="shared" si="112"/>
        <v>0</v>
      </c>
      <c r="B407" s="459">
        <f t="shared" si="113"/>
        <v>0</v>
      </c>
      <c r="C407" s="450">
        <f t="shared" si="115"/>
        <v>0</v>
      </c>
      <c r="D407" s="460">
        <f t="shared" si="114"/>
        <v>0</v>
      </c>
      <c r="E407" s="453">
        <f t="shared" si="116"/>
        <v>0</v>
      </c>
      <c r="F407" s="456">
        <f>IF(C407="",0,IFERROR(VLOOKUP(COUNTIF($A$1:A407,"ANALISIS DE PRECIOS"),T_Rendimiento_Equipo,5,FALSE),0))</f>
        <v>0</v>
      </c>
      <c r="G407" s="453">
        <f t="shared" si="117"/>
        <v>0</v>
      </c>
    </row>
    <row r="408" spans="1:7" ht="19.899999999999999" customHeight="1" x14ac:dyDescent="0.2">
      <c r="A408" s="496">
        <f t="shared" si="112"/>
        <v>0</v>
      </c>
      <c r="B408" s="459">
        <f t="shared" si="113"/>
        <v>0</v>
      </c>
      <c r="C408" s="450">
        <f t="shared" si="115"/>
        <v>0</v>
      </c>
      <c r="D408" s="460">
        <f t="shared" si="114"/>
        <v>0</v>
      </c>
      <c r="E408" s="453">
        <f>D408*$E$398</f>
        <v>0</v>
      </c>
      <c r="F408" s="456">
        <f>IF(C408="",0,IFERROR(VLOOKUP(COUNTIF($A$1:A408,"ANALISIS DE PRECIOS"),T_Rendimiento_Equipo,5,FALSE),0))</f>
        <v>0</v>
      </c>
      <c r="G408" s="453">
        <f t="shared" si="117"/>
        <v>0</v>
      </c>
    </row>
    <row r="409" spans="1:7" ht="19.899999999999999" customHeight="1" x14ac:dyDescent="0.2">
      <c r="A409" s="496">
        <f t="shared" si="112"/>
        <v>0</v>
      </c>
      <c r="B409" s="459">
        <f t="shared" si="113"/>
        <v>0</v>
      </c>
      <c r="C409" s="461"/>
      <c r="D409" s="460">
        <f t="shared" si="114"/>
        <v>0</v>
      </c>
      <c r="E409" s="453"/>
      <c r="F409" s="456">
        <f>IF(C409="",0,IFERROR(VLOOKUP(COUNTIF($A$1:A409,"ANALISIS DE PRECIOS"),T_Rendimiento_Equipo,5,FALSE),0))</f>
        <v>0</v>
      </c>
      <c r="G409" s="453">
        <f t="shared" si="117"/>
        <v>0</v>
      </c>
    </row>
    <row r="410" spans="1:7" ht="19.899999999999999" customHeight="1" x14ac:dyDescent="0.2">
      <c r="A410" s="496">
        <f t="shared" si="112"/>
        <v>0</v>
      </c>
      <c r="B410" s="459">
        <f t="shared" si="113"/>
        <v>0</v>
      </c>
      <c r="C410" s="461"/>
      <c r="D410" s="460">
        <f t="shared" si="114"/>
        <v>0</v>
      </c>
      <c r="E410" s="453"/>
      <c r="F410" s="456">
        <f>IF(C410="",0,IFERROR(VLOOKUP(COUNTIF($A$1:A410,"ANALISIS DE PRECIOS"),T_Rendimiento_Equipo,5,FALSE),0))</f>
        <v>0</v>
      </c>
      <c r="G410" s="453">
        <f t="shared" si="117"/>
        <v>0</v>
      </c>
    </row>
    <row r="411" spans="1:7" ht="19.899999999999999" customHeight="1" x14ac:dyDescent="0.2">
      <c r="A411" s="496">
        <f t="shared" si="112"/>
        <v>0</v>
      </c>
      <c r="B411" s="459">
        <f t="shared" si="113"/>
        <v>0</v>
      </c>
      <c r="C411" s="461"/>
      <c r="D411" s="460">
        <f t="shared" si="114"/>
        <v>0</v>
      </c>
      <c r="E411" s="453"/>
      <c r="F411" s="456">
        <f>IF(C411="",0,IFERROR(VLOOKUP(COUNTIF($A$1:A411,"ANALISIS DE PRECIOS"),T_Rendimiento_Equipo,5,FALSE),0))</f>
        <v>0</v>
      </c>
      <c r="G411" s="453">
        <f t="shared" si="117"/>
        <v>0</v>
      </c>
    </row>
    <row r="412" spans="1:7" ht="19.899999999999999" customHeight="1" x14ac:dyDescent="0.2">
      <c r="A412" s="496">
        <f t="shared" si="112"/>
        <v>0</v>
      </c>
      <c r="B412" s="459">
        <f t="shared" si="113"/>
        <v>0</v>
      </c>
      <c r="C412" s="461"/>
      <c r="D412" s="460">
        <f t="shared" si="114"/>
        <v>0</v>
      </c>
      <c r="E412" s="453"/>
      <c r="F412" s="456">
        <f>IF(C412="",0,IFERROR(VLOOKUP(COUNTIF($A$1:A412,"ANALISIS DE PRECIOS"),T_Rendimiento_Equipo,5,FALSE),0))</f>
        <v>0</v>
      </c>
      <c r="G412" s="453">
        <f t="shared" si="117"/>
        <v>0</v>
      </c>
    </row>
    <row r="413" spans="1:7" ht="19.899999999999999" customHeight="1" x14ac:dyDescent="0.2">
      <c r="A413" s="496">
        <f t="shared" si="112"/>
        <v>0</v>
      </c>
      <c r="B413" s="459">
        <f t="shared" si="113"/>
        <v>0</v>
      </c>
      <c r="C413" s="450"/>
      <c r="D413" s="460">
        <f t="shared" si="114"/>
        <v>0</v>
      </c>
      <c r="E413" s="453"/>
      <c r="F413" s="456">
        <f>IF(C413="",0,IFERROR(VLOOKUP(COUNTIF($A$1:A413,"ANALISIS DE PRECIOS"),T_Rendimiento_Equipo,5,FALSE),0))</f>
        <v>0</v>
      </c>
      <c r="G413" s="453">
        <f t="shared" si="117"/>
        <v>0</v>
      </c>
    </row>
    <row r="414" spans="1:7" ht="19.899999999999999" customHeight="1" x14ac:dyDescent="0.2">
      <c r="A414" s="497"/>
      <c r="B414" s="440"/>
      <c r="C414" s="155"/>
      <c r="D414" s="440"/>
      <c r="E414" s="441"/>
      <c r="F414" s="462" t="s">
        <v>27</v>
      </c>
      <c r="G414" s="498">
        <f>SUBTOTAL(9,G405:G413)</f>
        <v>0</v>
      </c>
    </row>
    <row r="415" spans="1:7" ht="19.899999999999999" customHeight="1" x14ac:dyDescent="0.2">
      <c r="A415" s="494"/>
      <c r="B415" s="155"/>
      <c r="C415" s="436" t="s">
        <v>713</v>
      </c>
      <c r="D415" s="440"/>
      <c r="E415" s="441"/>
      <c r="F415" s="442"/>
      <c r="G415" s="495"/>
    </row>
    <row r="416" spans="1:7" ht="19.899999999999999" customHeight="1" x14ac:dyDescent="0.2">
      <c r="A416" s="677" t="s">
        <v>576</v>
      </c>
      <c r="B416" s="678"/>
      <c r="C416" s="679" t="s">
        <v>0</v>
      </c>
      <c r="D416" s="681" t="s">
        <v>24</v>
      </c>
      <c r="E416" s="681" t="s">
        <v>1711</v>
      </c>
      <c r="F416" s="683" t="s">
        <v>983</v>
      </c>
      <c r="G416" s="685" t="s">
        <v>26</v>
      </c>
    </row>
    <row r="417" spans="1:7" ht="19.899999999999999" customHeight="1" x14ac:dyDescent="0.2">
      <c r="A417" s="458" t="s">
        <v>577</v>
      </c>
      <c r="B417" s="458" t="s">
        <v>578</v>
      </c>
      <c r="C417" s="680"/>
      <c r="D417" s="682"/>
      <c r="E417" s="682"/>
      <c r="F417" s="684"/>
      <c r="G417" s="686"/>
    </row>
    <row r="418" spans="1:7" ht="19.899999999999999" customHeight="1" x14ac:dyDescent="0.2">
      <c r="A418" s="496">
        <f t="shared" ref="A418:A424" si="118">IFERROR(VLOOKUP(C418,T_Insumos,4,FALSE),0)</f>
        <v>0</v>
      </c>
      <c r="B418" s="459">
        <f t="shared" ref="B418:B424" si="119">IFERROR(VLOOKUP(C418,T_Insumos,5,FALSE),0)</f>
        <v>0</v>
      </c>
      <c r="C418" s="463">
        <f>+C43</f>
        <v>0</v>
      </c>
      <c r="D418" s="456"/>
      <c r="E418" s="453">
        <f t="shared" ref="E418:E424" si="120">IFERROR(VLOOKUP(C418,T_Insumos,3,FALSE),0)</f>
        <v>0</v>
      </c>
      <c r="F418" s="456">
        <f>IF(C418="",0,IFERROR(VLOOKUP(COUNTIF($A$1:A418,"ANALISIS DE PRECIOS"),T_Rendimiento_Equipo,5,FALSE),0))</f>
        <v>0</v>
      </c>
      <c r="G418" s="453">
        <f>IFERROR(ROUND(D418*E418/F418,2),0)</f>
        <v>0</v>
      </c>
    </row>
    <row r="419" spans="1:7" ht="19.899999999999999" customHeight="1" x14ac:dyDescent="0.2">
      <c r="A419" s="496">
        <f t="shared" si="118"/>
        <v>0</v>
      </c>
      <c r="B419" s="459">
        <f t="shared" si="119"/>
        <v>0</v>
      </c>
      <c r="C419" s="463">
        <f t="shared" ref="C419:C421" si="121">+C44</f>
        <v>0</v>
      </c>
      <c r="D419" s="456"/>
      <c r="E419" s="453">
        <f t="shared" si="120"/>
        <v>0</v>
      </c>
      <c r="F419" s="456">
        <f>IF(C419="",0,IFERROR(VLOOKUP(COUNTIF($A$1:A419,"ANALISIS DE PRECIOS"),T_Rendimiento_Equipo,5,FALSE),0))</f>
        <v>0</v>
      </c>
      <c r="G419" s="453">
        <f>IFERROR(ROUND(D419*E419/F419,2),0)</f>
        <v>0</v>
      </c>
    </row>
    <row r="420" spans="1:7" ht="19.899999999999999" customHeight="1" x14ac:dyDescent="0.2">
      <c r="A420" s="496">
        <f t="shared" si="118"/>
        <v>0</v>
      </c>
      <c r="B420" s="459">
        <f t="shared" si="119"/>
        <v>0</v>
      </c>
      <c r="C420" s="463">
        <f t="shared" si="121"/>
        <v>0</v>
      </c>
      <c r="D420" s="456"/>
      <c r="E420" s="453">
        <f t="shared" si="120"/>
        <v>0</v>
      </c>
      <c r="F420" s="456">
        <f>IF(C420="",0,IFERROR(VLOOKUP(COUNTIF($A$1:A420,"ANALISIS DE PRECIOS"),T_Rendimiento_Equipo,5,FALSE),0))</f>
        <v>0</v>
      </c>
      <c r="G420" s="453">
        <f t="shared" ref="G420:G424" si="122">IFERROR(ROUND(D420*E420/F420,2),0)</f>
        <v>0</v>
      </c>
    </row>
    <row r="421" spans="1:7" ht="19.899999999999999" customHeight="1" x14ac:dyDescent="0.2">
      <c r="A421" s="496">
        <f t="shared" si="118"/>
        <v>0</v>
      </c>
      <c r="B421" s="459">
        <f t="shared" si="119"/>
        <v>0</v>
      </c>
      <c r="C421" s="463">
        <f t="shared" si="121"/>
        <v>0</v>
      </c>
      <c r="D421" s="456"/>
      <c r="E421" s="453">
        <f t="shared" si="120"/>
        <v>0</v>
      </c>
      <c r="F421" s="456">
        <f>IF(C421="",0,IFERROR(VLOOKUP(COUNTIF($A$1:A421,"ANALISIS DE PRECIOS"),T_Rendimiento_Equipo,5,FALSE),0))</f>
        <v>0</v>
      </c>
      <c r="G421" s="453">
        <f t="shared" si="122"/>
        <v>0</v>
      </c>
    </row>
    <row r="422" spans="1:7" ht="19.899999999999999" customHeight="1" x14ac:dyDescent="0.2">
      <c r="A422" s="496">
        <f t="shared" si="118"/>
        <v>0</v>
      </c>
      <c r="B422" s="459">
        <f t="shared" si="119"/>
        <v>0</v>
      </c>
      <c r="C422" s="450"/>
      <c r="D422" s="456"/>
      <c r="E422" s="453">
        <f t="shared" si="120"/>
        <v>0</v>
      </c>
      <c r="F422" s="456">
        <f>IF(C422="",0,IFERROR(VLOOKUP(COUNTIF($A$1:A422,"ANALISIS DE PRECIOS"),T_Rendimiento_Equipo,5,FALSE),0))</f>
        <v>0</v>
      </c>
      <c r="G422" s="453">
        <f t="shared" si="122"/>
        <v>0</v>
      </c>
    </row>
    <row r="423" spans="1:7" ht="19.899999999999999" customHeight="1" x14ac:dyDescent="0.2">
      <c r="A423" s="496">
        <f t="shared" si="118"/>
        <v>0</v>
      </c>
      <c r="B423" s="459">
        <f t="shared" si="119"/>
        <v>0</v>
      </c>
      <c r="C423" s="450"/>
      <c r="D423" s="464"/>
      <c r="E423" s="453">
        <f t="shared" si="120"/>
        <v>0</v>
      </c>
      <c r="F423" s="456">
        <f>IF(C423="",0,IFERROR(VLOOKUP(COUNTIF($A$1:A423,"ANALISIS DE PRECIOS"),T_Rendimiento_Equipo,5,FALSE),0))</f>
        <v>0</v>
      </c>
      <c r="G423" s="453">
        <f t="shared" si="122"/>
        <v>0</v>
      </c>
    </row>
    <row r="424" spans="1:7" ht="19.899999999999999" customHeight="1" x14ac:dyDescent="0.2">
      <c r="A424" s="496">
        <f t="shared" si="118"/>
        <v>0</v>
      </c>
      <c r="B424" s="459">
        <f t="shared" si="119"/>
        <v>0</v>
      </c>
      <c r="C424" s="459"/>
      <c r="D424" s="465"/>
      <c r="E424" s="453">
        <f t="shared" si="120"/>
        <v>0</v>
      </c>
      <c r="F424" s="456">
        <f>IF(C424="",0,IFERROR(VLOOKUP(COUNTIF($A$1:A424,"ANALISIS DE PRECIOS"),T_Rendimiento_Equipo,5,FALSE),0))</f>
        <v>0</v>
      </c>
      <c r="G424" s="453">
        <f t="shared" si="122"/>
        <v>0</v>
      </c>
    </row>
    <row r="425" spans="1:7" ht="19.899999999999999" customHeight="1" x14ac:dyDescent="0.2">
      <c r="A425" s="497"/>
      <c r="B425" s="440"/>
      <c r="C425" s="155"/>
      <c r="D425" s="440"/>
      <c r="E425" s="441"/>
      <c r="F425" s="462" t="s">
        <v>28</v>
      </c>
      <c r="G425" s="499">
        <f>SUBTOTAL(9,G418:G424)</f>
        <v>0</v>
      </c>
    </row>
    <row r="426" spans="1:7" ht="19.899999999999999" customHeight="1" x14ac:dyDescent="0.2">
      <c r="A426" s="494"/>
      <c r="B426" s="155"/>
      <c r="C426" s="436" t="s">
        <v>990</v>
      </c>
      <c r="D426" s="440"/>
      <c r="E426" s="441"/>
      <c r="F426" s="442"/>
      <c r="G426" s="495"/>
    </row>
    <row r="427" spans="1:7" ht="19.899999999999999" customHeight="1" x14ac:dyDescent="0.2">
      <c r="A427" s="677" t="s">
        <v>576</v>
      </c>
      <c r="B427" s="678"/>
      <c r="C427" s="679" t="s">
        <v>0</v>
      </c>
      <c r="D427" s="679" t="s">
        <v>1733</v>
      </c>
      <c r="E427" s="681" t="s">
        <v>24</v>
      </c>
      <c r="F427" s="683" t="s">
        <v>25</v>
      </c>
      <c r="G427" s="685" t="s">
        <v>26</v>
      </c>
    </row>
    <row r="428" spans="1:7" ht="19.899999999999999" customHeight="1" x14ac:dyDescent="0.2">
      <c r="A428" s="458" t="s">
        <v>577</v>
      </c>
      <c r="B428" s="458" t="s">
        <v>578</v>
      </c>
      <c r="C428" s="680"/>
      <c r="D428" s="680"/>
      <c r="E428" s="682"/>
      <c r="F428" s="684"/>
      <c r="G428" s="686"/>
    </row>
    <row r="429" spans="1:7" ht="19.899999999999999" customHeight="1" x14ac:dyDescent="0.2">
      <c r="A429" s="496">
        <f t="shared" ref="A429:A439" si="123">IFERROR(VLOOKUP(C429,T_Insumos,4,FALSE),0)</f>
        <v>0</v>
      </c>
      <c r="B429" s="459">
        <f t="shared" ref="B429:B439" si="124">IFERROR(VLOOKUP(C429,T_Insumos,5,FALSE),0)</f>
        <v>0</v>
      </c>
      <c r="C429" s="463"/>
      <c r="D429" s="507">
        <f t="shared" ref="D429:D439" si="125">IFERROR(VLOOKUP(C429,T_Insumos,2,FALSE),0)</f>
        <v>0</v>
      </c>
      <c r="E429" s="451"/>
      <c r="F429" s="453">
        <f t="shared" ref="F429:F439" si="126">IFERROR(VLOOKUP(C429,T_Insumos,3,FALSE),0)</f>
        <v>0</v>
      </c>
      <c r="G429" s="453">
        <f>ROUND(E429*F429,2)</f>
        <v>0</v>
      </c>
    </row>
    <row r="430" spans="1:7" ht="19.899999999999999" customHeight="1" x14ac:dyDescent="0.2">
      <c r="A430" s="496">
        <f t="shared" si="123"/>
        <v>0</v>
      </c>
      <c r="B430" s="459">
        <f t="shared" si="124"/>
        <v>0</v>
      </c>
      <c r="C430" s="459"/>
      <c r="D430" s="507">
        <f t="shared" si="125"/>
        <v>0</v>
      </c>
      <c r="E430" s="451"/>
      <c r="F430" s="453">
        <f t="shared" si="126"/>
        <v>0</v>
      </c>
      <c r="G430" s="453">
        <f t="shared" ref="G430:G439" si="127">ROUND(E430*F430,2)</f>
        <v>0</v>
      </c>
    </row>
    <row r="431" spans="1:7" ht="19.899999999999999" customHeight="1" x14ac:dyDescent="0.2">
      <c r="A431" s="496">
        <f t="shared" si="123"/>
        <v>0</v>
      </c>
      <c r="B431" s="459">
        <f t="shared" si="124"/>
        <v>0</v>
      </c>
      <c r="C431" s="459"/>
      <c r="D431" s="507">
        <f t="shared" si="125"/>
        <v>0</v>
      </c>
      <c r="E431" s="451"/>
      <c r="F431" s="453">
        <f t="shared" si="126"/>
        <v>0</v>
      </c>
      <c r="G431" s="453">
        <f t="shared" si="127"/>
        <v>0</v>
      </c>
    </row>
    <row r="432" spans="1:7" ht="19.899999999999999" customHeight="1" x14ac:dyDescent="0.2">
      <c r="A432" s="496">
        <f t="shared" si="123"/>
        <v>0</v>
      </c>
      <c r="B432" s="459">
        <f t="shared" si="124"/>
        <v>0</v>
      </c>
      <c r="C432" s="459"/>
      <c r="D432" s="507">
        <f t="shared" si="125"/>
        <v>0</v>
      </c>
      <c r="E432" s="451"/>
      <c r="F432" s="453">
        <f t="shared" si="126"/>
        <v>0</v>
      </c>
      <c r="G432" s="453">
        <f t="shared" si="127"/>
        <v>0</v>
      </c>
    </row>
    <row r="433" spans="1:7" ht="19.899999999999999" customHeight="1" x14ac:dyDescent="0.2">
      <c r="A433" s="496">
        <f t="shared" si="123"/>
        <v>0</v>
      </c>
      <c r="B433" s="459">
        <f t="shared" si="124"/>
        <v>0</v>
      </c>
      <c r="C433" s="459"/>
      <c r="D433" s="507">
        <f t="shared" si="125"/>
        <v>0</v>
      </c>
      <c r="E433" s="451"/>
      <c r="F433" s="453">
        <f t="shared" si="126"/>
        <v>0</v>
      </c>
      <c r="G433" s="453">
        <f t="shared" si="127"/>
        <v>0</v>
      </c>
    </row>
    <row r="434" spans="1:7" ht="19.899999999999999" customHeight="1" x14ac:dyDescent="0.2">
      <c r="A434" s="496">
        <f t="shared" si="123"/>
        <v>0</v>
      </c>
      <c r="B434" s="459">
        <f t="shared" si="124"/>
        <v>0</v>
      </c>
      <c r="C434" s="459"/>
      <c r="D434" s="507">
        <f t="shared" si="125"/>
        <v>0</v>
      </c>
      <c r="E434" s="451"/>
      <c r="F434" s="453">
        <f t="shared" si="126"/>
        <v>0</v>
      </c>
      <c r="G434" s="453">
        <f t="shared" si="127"/>
        <v>0</v>
      </c>
    </row>
    <row r="435" spans="1:7" ht="19.899999999999999" customHeight="1" x14ac:dyDescent="0.2">
      <c r="A435" s="496">
        <f t="shared" si="123"/>
        <v>0</v>
      </c>
      <c r="B435" s="459">
        <f t="shared" si="124"/>
        <v>0</v>
      </c>
      <c r="C435" s="459"/>
      <c r="D435" s="507">
        <f t="shared" si="125"/>
        <v>0</v>
      </c>
      <c r="E435" s="451"/>
      <c r="F435" s="453">
        <f t="shared" si="126"/>
        <v>0</v>
      </c>
      <c r="G435" s="453">
        <f t="shared" si="127"/>
        <v>0</v>
      </c>
    </row>
    <row r="436" spans="1:7" ht="19.899999999999999" customHeight="1" x14ac:dyDescent="0.2">
      <c r="A436" s="496">
        <f t="shared" si="123"/>
        <v>0</v>
      </c>
      <c r="B436" s="459">
        <f t="shared" si="124"/>
        <v>0</v>
      </c>
      <c r="C436" s="459"/>
      <c r="D436" s="507">
        <f t="shared" si="125"/>
        <v>0</v>
      </c>
      <c r="E436" s="451"/>
      <c r="F436" s="453">
        <f t="shared" si="126"/>
        <v>0</v>
      </c>
      <c r="G436" s="453">
        <f>ROUND(E436*F436,2)</f>
        <v>0</v>
      </c>
    </row>
    <row r="437" spans="1:7" ht="19.899999999999999" customHeight="1" x14ac:dyDescent="0.2">
      <c r="A437" s="496">
        <f t="shared" si="123"/>
        <v>0</v>
      </c>
      <c r="B437" s="459">
        <f t="shared" si="124"/>
        <v>0</v>
      </c>
      <c r="C437" s="459"/>
      <c r="D437" s="507">
        <f t="shared" si="125"/>
        <v>0</v>
      </c>
      <c r="E437" s="451"/>
      <c r="F437" s="453">
        <f t="shared" si="126"/>
        <v>0</v>
      </c>
      <c r="G437" s="453">
        <f t="shared" si="127"/>
        <v>0</v>
      </c>
    </row>
    <row r="438" spans="1:7" ht="19.899999999999999" customHeight="1" x14ac:dyDescent="0.2">
      <c r="A438" s="496">
        <f t="shared" si="123"/>
        <v>0</v>
      </c>
      <c r="B438" s="459">
        <f t="shared" si="124"/>
        <v>0</v>
      </c>
      <c r="C438" s="459"/>
      <c r="D438" s="507">
        <f t="shared" si="125"/>
        <v>0</v>
      </c>
      <c r="E438" s="451"/>
      <c r="F438" s="453">
        <f t="shared" si="126"/>
        <v>0</v>
      </c>
      <c r="G438" s="453">
        <f t="shared" si="127"/>
        <v>0</v>
      </c>
    </row>
    <row r="439" spans="1:7" ht="19.899999999999999" customHeight="1" x14ac:dyDescent="0.2">
      <c r="A439" s="496">
        <f t="shared" si="123"/>
        <v>0</v>
      </c>
      <c r="B439" s="459">
        <f t="shared" si="124"/>
        <v>0</v>
      </c>
      <c r="C439" s="459"/>
      <c r="D439" s="507">
        <f t="shared" si="125"/>
        <v>0</v>
      </c>
      <c r="E439" s="451"/>
      <c r="F439" s="453">
        <f t="shared" si="126"/>
        <v>0</v>
      </c>
      <c r="G439" s="453">
        <f t="shared" si="127"/>
        <v>0</v>
      </c>
    </row>
    <row r="440" spans="1:7" ht="19.899999999999999" customHeight="1" x14ac:dyDescent="0.2">
      <c r="A440" s="494"/>
      <c r="B440" s="155"/>
      <c r="C440" s="155"/>
      <c r="D440" s="440"/>
      <c r="E440" s="441"/>
      <c r="F440" s="462" t="s">
        <v>29</v>
      </c>
      <c r="G440" s="499">
        <f>SUBTOTAL(9,G429:G439)</f>
        <v>0</v>
      </c>
    </row>
    <row r="441" spans="1:7" ht="19.899999999999999" customHeight="1" x14ac:dyDescent="0.2">
      <c r="A441" s="494"/>
      <c r="B441" s="155"/>
      <c r="C441" s="436" t="s">
        <v>991</v>
      </c>
      <c r="D441" s="440"/>
      <c r="E441" s="441"/>
      <c r="F441" s="442"/>
      <c r="G441" s="495"/>
    </row>
    <row r="442" spans="1:7" ht="19.899999999999999" customHeight="1" x14ac:dyDescent="0.2">
      <c r="A442" s="677" t="s">
        <v>576</v>
      </c>
      <c r="B442" s="678"/>
      <c r="C442" s="679" t="s">
        <v>0</v>
      </c>
      <c r="D442" s="679" t="s">
        <v>1733</v>
      </c>
      <c r="E442" s="681" t="s">
        <v>24</v>
      </c>
      <c r="F442" s="683" t="s">
        <v>25</v>
      </c>
      <c r="G442" s="685" t="s">
        <v>26</v>
      </c>
    </row>
    <row r="443" spans="1:7" ht="19.899999999999999" customHeight="1" x14ac:dyDescent="0.2">
      <c r="A443" s="458" t="s">
        <v>577</v>
      </c>
      <c r="B443" s="458" t="s">
        <v>578</v>
      </c>
      <c r="C443" s="680"/>
      <c r="D443" s="680"/>
      <c r="E443" s="682"/>
      <c r="F443" s="684"/>
      <c r="G443" s="686"/>
    </row>
    <row r="444" spans="1:7" ht="19.899999999999999" customHeight="1" x14ac:dyDescent="0.2">
      <c r="A444" s="496">
        <f>IFERROR(VLOOKUP(C444,T_Insumos,4,FALSE),0)</f>
        <v>0</v>
      </c>
      <c r="B444" s="459">
        <f>IFERROR(VLOOKUP(C444,T_Insumos,5,FALSE),0)</f>
        <v>0</v>
      </c>
      <c r="C444" s="450"/>
      <c r="D444" s="507">
        <f>IF(C444=0,0,"$/tnkm")</f>
        <v>0</v>
      </c>
      <c r="E444" s="451"/>
      <c r="F444" s="453">
        <f>IFERROR(VLOOKUP(C444,T_Insumos,3,FALSE),0)</f>
        <v>0</v>
      </c>
      <c r="G444" s="453">
        <f>ROUND(E444*F444,2)</f>
        <v>0</v>
      </c>
    </row>
    <row r="445" spans="1:7" ht="19.899999999999999" customHeight="1" x14ac:dyDescent="0.2">
      <c r="A445" s="496">
        <f>IFERROR(VLOOKUP(C445,T_Insumos,4,FALSE),0)</f>
        <v>0</v>
      </c>
      <c r="B445" s="459">
        <f>IFERROR(VLOOKUP(C445,T_Insumos,5,FALSE),0)</f>
        <v>0</v>
      </c>
      <c r="C445" s="450"/>
      <c r="D445" s="507">
        <f>IF(C445=0,0,"$/tnkm")</f>
        <v>0</v>
      </c>
      <c r="E445" s="467"/>
      <c r="F445" s="453">
        <f>IFERROR(VLOOKUP(C445,T_Insumos,3,FALSE),0)</f>
        <v>0</v>
      </c>
      <c r="G445" s="453">
        <f t="shared" ref="G445" si="128">ROUND(E445*F445,2)</f>
        <v>0</v>
      </c>
    </row>
    <row r="446" spans="1:7" ht="19.899999999999999" customHeight="1" x14ac:dyDescent="0.2">
      <c r="A446" s="494"/>
      <c r="B446" s="155"/>
      <c r="C446" s="155"/>
      <c r="D446" s="440"/>
      <c r="E446" s="441"/>
      <c r="F446" s="462" t="s">
        <v>992</v>
      </c>
      <c r="G446" s="499">
        <f>SUBTOTAL(9,G444:G445)</f>
        <v>0</v>
      </c>
    </row>
    <row r="447" spans="1:7" ht="19.899999999999999" customHeight="1" x14ac:dyDescent="0.2">
      <c r="A447" s="497"/>
      <c r="B447" s="440"/>
      <c r="C447" s="155"/>
      <c r="D447" s="440"/>
      <c r="E447" s="441"/>
      <c r="F447" s="442"/>
      <c r="G447" s="495"/>
    </row>
    <row r="448" spans="1:7" ht="19.899999999999999" customHeight="1" x14ac:dyDescent="0.2">
      <c r="A448" s="555" t="str">
        <f>B382</f>
        <v>1.2.4</v>
      </c>
      <c r="B448" s="552" t="str">
        <f ca="1">C382</f>
        <v>Puente de Adherencia</v>
      </c>
      <c r="C448" s="440"/>
      <c r="D448" s="440" t="s">
        <v>1712</v>
      </c>
      <c r="E448" s="553"/>
      <c r="F448" s="554" t="str">
        <f ca="1">"$/"&amp;G382</f>
        <v>$/GL</v>
      </c>
      <c r="G448" s="504">
        <f>SUBTOTAL(9,G405:G447)</f>
        <v>0</v>
      </c>
    </row>
    <row r="449" spans="1:7" ht="19.899999999999999" customHeight="1" x14ac:dyDescent="0.2">
      <c r="A449" s="500"/>
      <c r="B449" s="501"/>
      <c r="C449" s="502"/>
      <c r="D449" s="502" t="s">
        <v>1908</v>
      </c>
      <c r="E449" s="503"/>
      <c r="F449" s="556" t="str">
        <f ca="1">"$/"&amp;G382</f>
        <v>$/GL</v>
      </c>
      <c r="G449" s="504">
        <f>ROUND(G448*Coeficiente_Paso,2)</f>
        <v>0</v>
      </c>
    </row>
    <row r="450" spans="1:7" ht="19.899999999999999" customHeight="1" x14ac:dyDescent="0.2">
      <c r="A450" s="155"/>
      <c r="B450" s="155"/>
      <c r="C450" s="155"/>
      <c r="D450" s="155"/>
      <c r="E450" s="155"/>
      <c r="F450" s="155"/>
      <c r="G450" s="155"/>
    </row>
    <row r="451" spans="1:7" ht="19.899999999999999" customHeight="1" x14ac:dyDescent="0.2">
      <c r="A451" s="687" t="s">
        <v>31</v>
      </c>
      <c r="B451" s="688"/>
      <c r="C451" s="688"/>
      <c r="D451" s="688"/>
      <c r="E451" s="688"/>
      <c r="F451" s="688"/>
      <c r="G451" s="689"/>
    </row>
    <row r="452" spans="1:7" ht="19.899999999999999" customHeight="1" x14ac:dyDescent="0.2">
      <c r="A452" s="483" t="s">
        <v>711</v>
      </c>
      <c r="B452" s="434" t="str">
        <f>Comitente</f>
        <v>DEPARTAMENTO DE HIDRÁULICA</v>
      </c>
      <c r="C452" s="435"/>
      <c r="D452" s="436"/>
      <c r="E452" s="436"/>
      <c r="F452" s="437"/>
      <c r="G452" s="484"/>
    </row>
    <row r="453" spans="1:7" ht="19.899999999999999" customHeight="1" x14ac:dyDescent="0.2">
      <c r="A453" s="483" t="s">
        <v>712</v>
      </c>
      <c r="B453" s="434">
        <f>Contratista</f>
        <v>0</v>
      </c>
      <c r="C453" s="438"/>
      <c r="D453" s="438"/>
      <c r="E453" s="438"/>
      <c r="F453" s="434"/>
      <c r="G453" s="485"/>
    </row>
    <row r="454" spans="1:7" ht="19.899999999999999" customHeight="1" x14ac:dyDescent="0.2">
      <c r="A454" s="483" t="s">
        <v>21</v>
      </c>
      <c r="B454" s="434" t="str">
        <f>Obra</f>
        <v>RECRECIMIENTO Y REPARACIÓN CANALES SARMIENTO, 9 DE JULIO Y CHIMBAS</v>
      </c>
      <c r="C454" s="438"/>
      <c r="D454" s="438"/>
      <c r="E454" s="438"/>
      <c r="F454" s="434" t="s">
        <v>32</v>
      </c>
      <c r="G454" s="485">
        <f>Fecha_Base</f>
        <v>0</v>
      </c>
    </row>
    <row r="455" spans="1:7" ht="19.899999999999999" customHeight="1" x14ac:dyDescent="0.2">
      <c r="A455" s="486" t="s">
        <v>710</v>
      </c>
      <c r="B455" s="439" t="str">
        <f>Ubicación</f>
        <v>DEPARTAMENTOS SARMIENTO, 9 DE JULIO Y CHIMBAS</v>
      </c>
      <c r="C455" s="439"/>
      <c r="D455" s="440"/>
      <c r="E455" s="441"/>
      <c r="F455" s="442"/>
      <c r="G455" s="487"/>
    </row>
    <row r="456" spans="1:7" ht="19.899999999999999" customHeight="1" x14ac:dyDescent="0.2">
      <c r="A456" s="486" t="s">
        <v>33</v>
      </c>
      <c r="B456" s="443">
        <f>IFERROR(VALUE(LEFT(B457,FIND(".",B457)-1)),"")</f>
        <v>1</v>
      </c>
      <c r="C456" s="155" t="str">
        <f ca="1">IFERROR(VLOOKUP(B456,T_Computo_Presupuesto,2,FALSE),0)</f>
        <v>DPTO. SARMIENTO - CANAL PRIMERO DE COCHAGUAL</v>
      </c>
      <c r="D456" s="155"/>
      <c r="E456" s="441"/>
      <c r="F456" s="442"/>
      <c r="G456" s="487"/>
    </row>
    <row r="457" spans="1:7" ht="19.899999999999999" customHeight="1" x14ac:dyDescent="0.2">
      <c r="A457" s="486" t="s">
        <v>22</v>
      </c>
      <c r="B457" s="444" t="str">
        <f>IFERROR(VLOOKUP(COUNTIF($A$1:A457,"ANALISIS DE PRECIOS"),T_NumeroItem,2,FALSE),"")</f>
        <v>1.2.5</v>
      </c>
      <c r="C457" s="690" t="str">
        <f ca="1">IFERROR(VLOOKUP(B457,T_Computo_Presupuesto,2,FALSE),0)</f>
        <v>Juntas de Contracción y dilatación</v>
      </c>
      <c r="D457" s="690"/>
      <c r="E457" s="690"/>
      <c r="F457" s="439" t="s">
        <v>23</v>
      </c>
      <c r="G457" s="488" t="str">
        <f ca="1">IFERROR(VLOOKUP(B457,T_Computo_Presupuesto,4,FALSE),0)</f>
        <v>ML</v>
      </c>
    </row>
    <row r="458" spans="1:7" ht="19.899999999999999" customHeight="1" x14ac:dyDescent="0.2">
      <c r="A458" s="486"/>
      <c r="B458" s="439"/>
      <c r="C458" s="155"/>
      <c r="D458" s="440"/>
      <c r="E458" s="441"/>
      <c r="F458" s="155"/>
      <c r="G458" s="489"/>
    </row>
    <row r="459" spans="1:7" ht="19.899999999999999" customHeight="1" x14ac:dyDescent="0.2">
      <c r="A459" s="490"/>
      <c r="B459" s="445"/>
      <c r="C459" s="446" t="s">
        <v>975</v>
      </c>
      <c r="D459" s="445"/>
      <c r="E459" s="445"/>
      <c r="F459" s="445"/>
      <c r="G459" s="491"/>
    </row>
    <row r="460" spans="1:7" ht="19.899999999999999" customHeight="1" x14ac:dyDescent="0.2">
      <c r="A460" s="486"/>
      <c r="B460" s="447"/>
      <c r="C460" s="155"/>
      <c r="D460" s="440"/>
      <c r="E460" s="441"/>
      <c r="F460" s="439"/>
      <c r="G460" s="488"/>
    </row>
    <row r="461" spans="1:7" ht="19.899999999999999" customHeight="1" x14ac:dyDescent="0.2">
      <c r="A461" s="486"/>
      <c r="B461" s="447"/>
      <c r="C461" s="448" t="s">
        <v>976</v>
      </c>
      <c r="D461" s="449" t="s">
        <v>24</v>
      </c>
      <c r="E461" s="449" t="s">
        <v>977</v>
      </c>
      <c r="F461" s="449" t="s">
        <v>978</v>
      </c>
      <c r="G461" s="448" t="s">
        <v>979</v>
      </c>
    </row>
    <row r="462" spans="1:7" ht="19.899999999999999" customHeight="1" x14ac:dyDescent="0.2">
      <c r="A462" s="486"/>
      <c r="B462" s="447"/>
      <c r="C462" s="450">
        <f>+Equipos!A16</f>
        <v>0</v>
      </c>
      <c r="D462" s="451"/>
      <c r="E462" s="452">
        <f t="shared" ref="E462:E471" si="129">IFERROR(VLOOKUP(C462,T_Equipos,4,FALSE),0)</f>
        <v>0</v>
      </c>
      <c r="F462" s="453">
        <f t="shared" ref="F462:F471" si="130">IFERROR(VLOOKUP(C462,T_Equipos,5,FALSE),0)</f>
        <v>0</v>
      </c>
      <c r="G462" s="453">
        <f>ROUND(D462*F462,2)</f>
        <v>0</v>
      </c>
    </row>
    <row r="463" spans="1:7" ht="19.899999999999999" customHeight="1" x14ac:dyDescent="0.2">
      <c r="A463" s="486"/>
      <c r="B463" s="447"/>
      <c r="C463" s="450">
        <f>+Equipos!A13</f>
        <v>0</v>
      </c>
      <c r="D463" s="451"/>
      <c r="E463" s="452">
        <f t="shared" si="129"/>
        <v>0</v>
      </c>
      <c r="F463" s="453">
        <f t="shared" si="130"/>
        <v>0</v>
      </c>
      <c r="G463" s="453">
        <f>ROUND(D463*F463,2)</f>
        <v>0</v>
      </c>
    </row>
    <row r="464" spans="1:7" ht="19.899999999999999" customHeight="1" x14ac:dyDescent="0.2">
      <c r="A464" s="486"/>
      <c r="B464" s="447"/>
      <c r="C464" s="450">
        <f>+Equipos!A25</f>
        <v>0</v>
      </c>
      <c r="D464" s="451"/>
      <c r="E464" s="452">
        <f t="shared" si="129"/>
        <v>0</v>
      </c>
      <c r="F464" s="453">
        <f t="shared" si="130"/>
        <v>0</v>
      </c>
      <c r="G464" s="453">
        <f>ROUND(D464*F464,2)</f>
        <v>0</v>
      </c>
    </row>
    <row r="465" spans="1:7" ht="19.899999999999999" customHeight="1" x14ac:dyDescent="0.2">
      <c r="A465" s="486"/>
      <c r="B465" s="447"/>
      <c r="C465" s="450">
        <f>+Equipos!A33</f>
        <v>0</v>
      </c>
      <c r="D465" s="451"/>
      <c r="E465" s="452">
        <f t="shared" si="129"/>
        <v>0</v>
      </c>
      <c r="F465" s="453">
        <f t="shared" si="130"/>
        <v>0</v>
      </c>
      <c r="G465" s="453">
        <f>ROUND(D465*F465,2)</f>
        <v>0</v>
      </c>
    </row>
    <row r="466" spans="1:7" ht="19.899999999999999" customHeight="1" x14ac:dyDescent="0.2">
      <c r="A466" s="486"/>
      <c r="B466" s="447"/>
      <c r="C466" s="450">
        <f>+Equipos!A22</f>
        <v>0</v>
      </c>
      <c r="D466" s="623"/>
      <c r="E466" s="452">
        <f t="shared" si="129"/>
        <v>0</v>
      </c>
      <c r="F466" s="453">
        <f t="shared" si="130"/>
        <v>0</v>
      </c>
      <c r="G466" s="453">
        <f t="shared" ref="G466:G471" si="131">ROUND(D466*F466,2)</f>
        <v>0</v>
      </c>
    </row>
    <row r="467" spans="1:7" ht="19.899999999999999" customHeight="1" x14ac:dyDescent="0.2">
      <c r="A467" s="486"/>
      <c r="B467" s="447"/>
      <c r="C467" s="450">
        <f>+Equipos!A18</f>
        <v>0</v>
      </c>
      <c r="D467" s="451"/>
      <c r="E467" s="452">
        <f t="shared" si="129"/>
        <v>0</v>
      </c>
      <c r="F467" s="453">
        <f t="shared" si="130"/>
        <v>0</v>
      </c>
      <c r="G467" s="453">
        <f t="shared" si="131"/>
        <v>0</v>
      </c>
    </row>
    <row r="468" spans="1:7" ht="19.899999999999999" customHeight="1" x14ac:dyDescent="0.2">
      <c r="A468" s="486"/>
      <c r="B468" s="447"/>
      <c r="C468" s="450"/>
      <c r="D468" s="451"/>
      <c r="E468" s="452">
        <f t="shared" si="129"/>
        <v>0</v>
      </c>
      <c r="F468" s="453">
        <f t="shared" si="130"/>
        <v>0</v>
      </c>
      <c r="G468" s="453">
        <f t="shared" si="131"/>
        <v>0</v>
      </c>
    </row>
    <row r="469" spans="1:7" ht="19.899999999999999" customHeight="1" x14ac:dyDescent="0.2">
      <c r="A469" s="486"/>
      <c r="B469" s="447"/>
      <c r="C469" s="450"/>
      <c r="D469" s="451"/>
      <c r="E469" s="452">
        <f t="shared" si="129"/>
        <v>0</v>
      </c>
      <c r="F469" s="453">
        <f t="shared" si="130"/>
        <v>0</v>
      </c>
      <c r="G469" s="453">
        <f t="shared" si="131"/>
        <v>0</v>
      </c>
    </row>
    <row r="470" spans="1:7" ht="19.899999999999999" customHeight="1" x14ac:dyDescent="0.2">
      <c r="A470" s="486"/>
      <c r="B470" s="447"/>
      <c r="C470" s="450"/>
      <c r="D470" s="451"/>
      <c r="E470" s="452">
        <f t="shared" si="129"/>
        <v>0</v>
      </c>
      <c r="F470" s="453">
        <f t="shared" si="130"/>
        <v>0</v>
      </c>
      <c r="G470" s="453">
        <f t="shared" si="131"/>
        <v>0</v>
      </c>
    </row>
    <row r="471" spans="1:7" ht="19.899999999999999" customHeight="1" x14ac:dyDescent="0.2">
      <c r="A471" s="486"/>
      <c r="B471" s="447"/>
      <c r="C471" s="450"/>
      <c r="D471" s="451"/>
      <c r="E471" s="452">
        <f t="shared" si="129"/>
        <v>0</v>
      </c>
      <c r="F471" s="453">
        <f t="shared" si="130"/>
        <v>0</v>
      </c>
      <c r="G471" s="453">
        <f t="shared" si="131"/>
        <v>0</v>
      </c>
    </row>
    <row r="472" spans="1:7" ht="19.899999999999999" customHeight="1" x14ac:dyDescent="0.2">
      <c r="A472" s="486"/>
      <c r="B472" s="447"/>
      <c r="C472" s="155"/>
      <c r="D472" s="155"/>
      <c r="E472" s="454"/>
      <c r="F472" s="439"/>
      <c r="G472" s="488"/>
    </row>
    <row r="473" spans="1:7" ht="19.899999999999999" customHeight="1" x14ac:dyDescent="0.2">
      <c r="A473" s="486"/>
      <c r="B473" s="155"/>
      <c r="C473" s="436" t="s">
        <v>980</v>
      </c>
      <c r="D473" s="439" t="s">
        <v>977</v>
      </c>
      <c r="E473" s="505">
        <f>SUMPRODUCT(D462:D471,E462:E471)</f>
        <v>0</v>
      </c>
      <c r="F473" s="439" t="s">
        <v>981</v>
      </c>
      <c r="G473" s="506">
        <f>SUM(G462:G471)</f>
        <v>0</v>
      </c>
    </row>
    <row r="474" spans="1:7" ht="19.899999999999999" customHeight="1" x14ac:dyDescent="0.2">
      <c r="A474" s="486"/>
      <c r="B474" s="447"/>
      <c r="C474" s="455"/>
      <c r="D474" s="454"/>
      <c r="E474" s="441"/>
      <c r="F474" s="439"/>
      <c r="G474" s="492"/>
    </row>
    <row r="475" spans="1:7" ht="19.899999999999999" customHeight="1" x14ac:dyDescent="0.2">
      <c r="A475" s="493"/>
      <c r="B475" s="447"/>
      <c r="C475" s="439" t="s">
        <v>982</v>
      </c>
      <c r="D475" s="456">
        <f>IFERROR(VLOOKUP(COUNTIF($A$1:A475,"ANALISIS DE PRECIOS"),T_Rendimiento_Equipo,5,FALSE),0)</f>
        <v>0</v>
      </c>
      <c r="E475" s="457" t="str">
        <f ca="1">G457&amp;"/día"</f>
        <v>ML/día</v>
      </c>
      <c r="F475" s="433"/>
      <c r="G475" s="488"/>
    </row>
    <row r="476" spans="1:7" ht="19.899999999999999" customHeight="1" x14ac:dyDescent="0.2">
      <c r="A476" s="486"/>
      <c r="B476" s="447"/>
      <c r="C476" s="155"/>
      <c r="D476" s="440"/>
      <c r="E476" s="441"/>
      <c r="F476" s="439"/>
      <c r="G476" s="488"/>
    </row>
    <row r="477" spans="1:7" ht="19.899999999999999" customHeight="1" x14ac:dyDescent="0.2">
      <c r="A477" s="677" t="s">
        <v>576</v>
      </c>
      <c r="B477" s="678"/>
      <c r="C477" s="679" t="s">
        <v>0</v>
      </c>
      <c r="D477" s="691" t="s">
        <v>1732</v>
      </c>
      <c r="E477" s="691" t="s">
        <v>1731</v>
      </c>
      <c r="F477" s="683" t="s">
        <v>983</v>
      </c>
      <c r="G477" s="685" t="s">
        <v>26</v>
      </c>
    </row>
    <row r="478" spans="1:7" ht="19.899999999999999" customHeight="1" x14ac:dyDescent="0.2">
      <c r="A478" s="458" t="s">
        <v>577</v>
      </c>
      <c r="B478" s="458" t="s">
        <v>578</v>
      </c>
      <c r="C478" s="680"/>
      <c r="D478" s="692"/>
      <c r="E478" s="682"/>
      <c r="F478" s="684"/>
      <c r="G478" s="686"/>
    </row>
    <row r="479" spans="1:7" ht="19.899999999999999" customHeight="1" x14ac:dyDescent="0.2">
      <c r="A479" s="494"/>
      <c r="B479" s="155"/>
      <c r="C479" s="436" t="s">
        <v>984</v>
      </c>
      <c r="D479" s="441"/>
      <c r="E479" s="441"/>
      <c r="F479" s="155"/>
      <c r="G479" s="495"/>
    </row>
    <row r="480" spans="1:7" ht="19.899999999999999" customHeight="1" x14ac:dyDescent="0.2">
      <c r="A480" s="496">
        <f t="shared" ref="A480:A488" si="132">IFERROR(VLOOKUP(C480,T_Insumos,4,FALSE),0)</f>
        <v>0</v>
      </c>
      <c r="B480" s="459">
        <f t="shared" ref="B480:B488" si="133">IFERROR(VLOOKUP(C480,T_Insumos,5,FALSE),0)</f>
        <v>0</v>
      </c>
      <c r="C480" s="450">
        <f>+C30</f>
        <v>0</v>
      </c>
      <c r="D480" s="460">
        <f t="shared" ref="D480:D488" si="134">IFERROR(VLOOKUP(C480,T_Insumos,3,FALSE),0)</f>
        <v>0</v>
      </c>
      <c r="E480" s="453">
        <f>D480*$G$473</f>
        <v>0</v>
      </c>
      <c r="F480" s="456">
        <f>IF(C480="",0,IFERROR(VLOOKUP(COUNTIF($A$1:A480,"ANALISIS DE PRECIOS"),T_Rendimiento_Equipo,5,FALSE),0))</f>
        <v>0</v>
      </c>
      <c r="G480" s="453">
        <f>IFERROR(ROUND(E480/F480,2),0)</f>
        <v>0</v>
      </c>
    </row>
    <row r="481" spans="1:7" ht="19.899999999999999" customHeight="1" x14ac:dyDescent="0.2">
      <c r="A481" s="496">
        <f t="shared" si="132"/>
        <v>0</v>
      </c>
      <c r="B481" s="459">
        <f t="shared" si="133"/>
        <v>0</v>
      </c>
      <c r="C481" s="450">
        <f t="shared" ref="C481:C483" si="135">+C31</f>
        <v>0</v>
      </c>
      <c r="D481" s="460">
        <f t="shared" si="134"/>
        <v>0</v>
      </c>
      <c r="E481" s="453">
        <f t="shared" ref="E481:E482" si="136">D481*$G$473</f>
        <v>0</v>
      </c>
      <c r="F481" s="456">
        <f>IF(C481="",0,IFERROR(VLOOKUP(COUNTIF($A$1:A481,"ANALISIS DE PRECIOS"),T_Rendimiento_Equipo,5,FALSE),0))</f>
        <v>0</v>
      </c>
      <c r="G481" s="453">
        <f t="shared" ref="G481:G488" si="137">IFERROR(ROUND(E481/F481,2),0)</f>
        <v>0</v>
      </c>
    </row>
    <row r="482" spans="1:7" ht="19.899999999999999" customHeight="1" x14ac:dyDescent="0.2">
      <c r="A482" s="496">
        <f t="shared" si="132"/>
        <v>0</v>
      </c>
      <c r="B482" s="459">
        <f t="shared" si="133"/>
        <v>0</v>
      </c>
      <c r="C482" s="450">
        <f t="shared" si="135"/>
        <v>0</v>
      </c>
      <c r="D482" s="460">
        <f t="shared" si="134"/>
        <v>0</v>
      </c>
      <c r="E482" s="453">
        <f t="shared" si="136"/>
        <v>0</v>
      </c>
      <c r="F482" s="456">
        <f>IF(C482="",0,IFERROR(VLOOKUP(COUNTIF($A$1:A482,"ANALISIS DE PRECIOS"),T_Rendimiento_Equipo,5,FALSE),0))</f>
        <v>0</v>
      </c>
      <c r="G482" s="453">
        <f t="shared" si="137"/>
        <v>0</v>
      </c>
    </row>
    <row r="483" spans="1:7" ht="19.899999999999999" customHeight="1" x14ac:dyDescent="0.2">
      <c r="A483" s="496">
        <f t="shared" si="132"/>
        <v>0</v>
      </c>
      <c r="B483" s="459">
        <f t="shared" si="133"/>
        <v>0</v>
      </c>
      <c r="C483" s="450">
        <f t="shared" si="135"/>
        <v>0</v>
      </c>
      <c r="D483" s="460">
        <f t="shared" si="134"/>
        <v>0</v>
      </c>
      <c r="E483" s="453">
        <f>D483*$E$473</f>
        <v>0</v>
      </c>
      <c r="F483" s="456">
        <f>IF(C483="",0,IFERROR(VLOOKUP(COUNTIF($A$1:A483,"ANALISIS DE PRECIOS"),T_Rendimiento_Equipo,5,FALSE),0))</f>
        <v>0</v>
      </c>
      <c r="G483" s="453">
        <f t="shared" si="137"/>
        <v>0</v>
      </c>
    </row>
    <row r="484" spans="1:7" ht="19.899999999999999" customHeight="1" x14ac:dyDescent="0.2">
      <c r="A484" s="496">
        <f t="shared" si="132"/>
        <v>0</v>
      </c>
      <c r="B484" s="459">
        <f t="shared" si="133"/>
        <v>0</v>
      </c>
      <c r="C484" s="461"/>
      <c r="D484" s="460">
        <f t="shared" si="134"/>
        <v>0</v>
      </c>
      <c r="E484" s="453"/>
      <c r="F484" s="456">
        <f>IF(C484="",0,IFERROR(VLOOKUP(COUNTIF($A$1:A484,"ANALISIS DE PRECIOS"),T_Rendimiento_Equipo,5,FALSE),0))</f>
        <v>0</v>
      </c>
      <c r="G484" s="453">
        <f t="shared" si="137"/>
        <v>0</v>
      </c>
    </row>
    <row r="485" spans="1:7" ht="19.899999999999999" customHeight="1" x14ac:dyDescent="0.2">
      <c r="A485" s="496">
        <f t="shared" si="132"/>
        <v>0</v>
      </c>
      <c r="B485" s="459">
        <f t="shared" si="133"/>
        <v>0</v>
      </c>
      <c r="C485" s="461"/>
      <c r="D485" s="460">
        <f t="shared" si="134"/>
        <v>0</v>
      </c>
      <c r="E485" s="453"/>
      <c r="F485" s="456">
        <f>IF(C485="",0,IFERROR(VLOOKUP(COUNTIF($A$1:A485,"ANALISIS DE PRECIOS"),T_Rendimiento_Equipo,5,FALSE),0))</f>
        <v>0</v>
      </c>
      <c r="G485" s="453">
        <f t="shared" si="137"/>
        <v>0</v>
      </c>
    </row>
    <row r="486" spans="1:7" ht="19.899999999999999" customHeight="1" x14ac:dyDescent="0.2">
      <c r="A486" s="496">
        <f t="shared" si="132"/>
        <v>0</v>
      </c>
      <c r="B486" s="459">
        <f t="shared" si="133"/>
        <v>0</v>
      </c>
      <c r="C486" s="461"/>
      <c r="D486" s="460">
        <f t="shared" si="134"/>
        <v>0</v>
      </c>
      <c r="E486" s="453"/>
      <c r="F486" s="456">
        <f>IF(C486="",0,IFERROR(VLOOKUP(COUNTIF($A$1:A486,"ANALISIS DE PRECIOS"),T_Rendimiento_Equipo,5,FALSE),0))</f>
        <v>0</v>
      </c>
      <c r="G486" s="453">
        <f t="shared" si="137"/>
        <v>0</v>
      </c>
    </row>
    <row r="487" spans="1:7" ht="19.899999999999999" customHeight="1" x14ac:dyDescent="0.2">
      <c r="A487" s="496">
        <f t="shared" si="132"/>
        <v>0</v>
      </c>
      <c r="B487" s="459">
        <f t="shared" si="133"/>
        <v>0</v>
      </c>
      <c r="C487" s="461"/>
      <c r="D487" s="460">
        <f t="shared" si="134"/>
        <v>0</v>
      </c>
      <c r="E487" s="453"/>
      <c r="F487" s="456">
        <f>IF(C487="",0,IFERROR(VLOOKUP(COUNTIF($A$1:A487,"ANALISIS DE PRECIOS"),T_Rendimiento_Equipo,5,FALSE),0))</f>
        <v>0</v>
      </c>
      <c r="G487" s="453">
        <f t="shared" si="137"/>
        <v>0</v>
      </c>
    </row>
    <row r="488" spans="1:7" ht="19.899999999999999" customHeight="1" x14ac:dyDescent="0.2">
      <c r="A488" s="496">
        <f t="shared" si="132"/>
        <v>0</v>
      </c>
      <c r="B488" s="459">
        <f t="shared" si="133"/>
        <v>0</v>
      </c>
      <c r="C488" s="450"/>
      <c r="D488" s="460">
        <f t="shared" si="134"/>
        <v>0</v>
      </c>
      <c r="E488" s="453"/>
      <c r="F488" s="456">
        <f>IF(C488="",0,IFERROR(VLOOKUP(COUNTIF($A$1:A488,"ANALISIS DE PRECIOS"),T_Rendimiento_Equipo,5,FALSE),0))</f>
        <v>0</v>
      </c>
      <c r="G488" s="453">
        <f t="shared" si="137"/>
        <v>0</v>
      </c>
    </row>
    <row r="489" spans="1:7" ht="19.899999999999999" customHeight="1" x14ac:dyDescent="0.2">
      <c r="A489" s="497"/>
      <c r="B489" s="440"/>
      <c r="C489" s="155"/>
      <c r="D489" s="440"/>
      <c r="E489" s="441"/>
      <c r="F489" s="462" t="s">
        <v>27</v>
      </c>
      <c r="G489" s="498">
        <f>SUBTOTAL(9,G480:G488)</f>
        <v>0</v>
      </c>
    </row>
    <row r="490" spans="1:7" ht="19.899999999999999" customHeight="1" x14ac:dyDescent="0.2">
      <c r="A490" s="494"/>
      <c r="B490" s="155"/>
      <c r="C490" s="436" t="s">
        <v>713</v>
      </c>
      <c r="D490" s="440"/>
      <c r="E490" s="441"/>
      <c r="F490" s="442"/>
      <c r="G490" s="495"/>
    </row>
    <row r="491" spans="1:7" ht="19.899999999999999" customHeight="1" x14ac:dyDescent="0.2">
      <c r="A491" s="677" t="s">
        <v>576</v>
      </c>
      <c r="B491" s="678"/>
      <c r="C491" s="679" t="s">
        <v>0</v>
      </c>
      <c r="D491" s="681" t="s">
        <v>24</v>
      </c>
      <c r="E491" s="681" t="s">
        <v>1711</v>
      </c>
      <c r="F491" s="683" t="s">
        <v>983</v>
      </c>
      <c r="G491" s="685" t="s">
        <v>26</v>
      </c>
    </row>
    <row r="492" spans="1:7" ht="19.899999999999999" customHeight="1" x14ac:dyDescent="0.2">
      <c r="A492" s="458" t="s">
        <v>577</v>
      </c>
      <c r="B492" s="458" t="s">
        <v>578</v>
      </c>
      <c r="C492" s="680"/>
      <c r="D492" s="682"/>
      <c r="E492" s="682"/>
      <c r="F492" s="684"/>
      <c r="G492" s="686"/>
    </row>
    <row r="493" spans="1:7" ht="19.899999999999999" customHeight="1" x14ac:dyDescent="0.2">
      <c r="A493" s="496">
        <f t="shared" ref="A493:A499" si="138">IFERROR(VLOOKUP(C493,T_Insumos,4,FALSE),0)</f>
        <v>0</v>
      </c>
      <c r="B493" s="459">
        <f t="shared" ref="B493:B499" si="139">IFERROR(VLOOKUP(C493,T_Insumos,5,FALSE),0)</f>
        <v>0</v>
      </c>
      <c r="C493" s="463">
        <f>+C43</f>
        <v>0</v>
      </c>
      <c r="D493" s="456"/>
      <c r="E493" s="453">
        <f t="shared" ref="E493:E499" si="140">IFERROR(VLOOKUP(C493,T_Insumos,3,FALSE),0)</f>
        <v>0</v>
      </c>
      <c r="F493" s="456">
        <f>IF(C493="",0,IFERROR(VLOOKUP(COUNTIF($A$1:A493,"ANALISIS DE PRECIOS"),T_Rendimiento_Equipo,5,FALSE),0))</f>
        <v>0</v>
      </c>
      <c r="G493" s="453">
        <f>IFERROR(ROUND(D493*E493/F493,2),0)</f>
        <v>0</v>
      </c>
    </row>
    <row r="494" spans="1:7" ht="19.899999999999999" customHeight="1" x14ac:dyDescent="0.2">
      <c r="A494" s="496">
        <f t="shared" si="138"/>
        <v>0</v>
      </c>
      <c r="B494" s="459">
        <f t="shared" si="139"/>
        <v>0</v>
      </c>
      <c r="C494" s="463">
        <f t="shared" ref="C494:C496" si="141">+C44</f>
        <v>0</v>
      </c>
      <c r="D494" s="456"/>
      <c r="E494" s="453">
        <f t="shared" si="140"/>
        <v>0</v>
      </c>
      <c r="F494" s="456">
        <f>IF(C494="",0,IFERROR(VLOOKUP(COUNTIF($A$1:A494,"ANALISIS DE PRECIOS"),T_Rendimiento_Equipo,5,FALSE),0))</f>
        <v>0</v>
      </c>
      <c r="G494" s="453">
        <f t="shared" ref="G494:G499" si="142">IFERROR(ROUND(D494*E494/F494,2),0)</f>
        <v>0</v>
      </c>
    </row>
    <row r="495" spans="1:7" ht="19.899999999999999" customHeight="1" x14ac:dyDescent="0.2">
      <c r="A495" s="496">
        <f t="shared" si="138"/>
        <v>0</v>
      </c>
      <c r="B495" s="459">
        <f t="shared" si="139"/>
        <v>0</v>
      </c>
      <c r="C495" s="463">
        <f t="shared" si="141"/>
        <v>0</v>
      </c>
      <c r="D495" s="456"/>
      <c r="E495" s="453">
        <f t="shared" si="140"/>
        <v>0</v>
      </c>
      <c r="F495" s="456">
        <f>IF(C495="",0,IFERROR(VLOOKUP(COUNTIF($A$1:A495,"ANALISIS DE PRECIOS"),T_Rendimiento_Equipo,5,FALSE),0))</f>
        <v>0</v>
      </c>
      <c r="G495" s="453">
        <f t="shared" si="142"/>
        <v>0</v>
      </c>
    </row>
    <row r="496" spans="1:7" ht="19.899999999999999" customHeight="1" x14ac:dyDescent="0.2">
      <c r="A496" s="496">
        <f t="shared" si="138"/>
        <v>0</v>
      </c>
      <c r="B496" s="459">
        <f t="shared" si="139"/>
        <v>0</v>
      </c>
      <c r="C496" s="463">
        <f t="shared" si="141"/>
        <v>0</v>
      </c>
      <c r="D496" s="456"/>
      <c r="E496" s="453">
        <f t="shared" si="140"/>
        <v>0</v>
      </c>
      <c r="F496" s="456">
        <f>IF(C496="",0,IFERROR(VLOOKUP(COUNTIF($A$1:A496,"ANALISIS DE PRECIOS"),T_Rendimiento_Equipo,5,FALSE),0))</f>
        <v>0</v>
      </c>
      <c r="G496" s="453">
        <f>IFERROR(ROUND(D496*E496/F496,2),0)</f>
        <v>0</v>
      </c>
    </row>
    <row r="497" spans="1:7" ht="19.899999999999999" customHeight="1" x14ac:dyDescent="0.2">
      <c r="A497" s="496">
        <f t="shared" si="138"/>
        <v>0</v>
      </c>
      <c r="B497" s="459">
        <f t="shared" si="139"/>
        <v>0</v>
      </c>
      <c r="C497" s="450"/>
      <c r="D497" s="456"/>
      <c r="E497" s="453">
        <f t="shared" si="140"/>
        <v>0</v>
      </c>
      <c r="F497" s="456">
        <f>IF(C497="",0,IFERROR(VLOOKUP(COUNTIF($A$1:A497,"ANALISIS DE PRECIOS"),T_Rendimiento_Equipo,5,FALSE),0))</f>
        <v>0</v>
      </c>
      <c r="G497" s="453">
        <f t="shared" si="142"/>
        <v>0</v>
      </c>
    </row>
    <row r="498" spans="1:7" ht="19.899999999999999" customHeight="1" x14ac:dyDescent="0.2">
      <c r="A498" s="496">
        <f t="shared" si="138"/>
        <v>0</v>
      </c>
      <c r="B498" s="459">
        <f t="shared" si="139"/>
        <v>0</v>
      </c>
      <c r="C498" s="450"/>
      <c r="D498" s="464"/>
      <c r="E498" s="453">
        <f t="shared" si="140"/>
        <v>0</v>
      </c>
      <c r="F498" s="456">
        <f>IF(C498="",0,IFERROR(VLOOKUP(COUNTIF($A$1:A498,"ANALISIS DE PRECIOS"),T_Rendimiento_Equipo,5,FALSE),0))</f>
        <v>0</v>
      </c>
      <c r="G498" s="453">
        <f t="shared" si="142"/>
        <v>0</v>
      </c>
    </row>
    <row r="499" spans="1:7" ht="19.899999999999999" customHeight="1" x14ac:dyDescent="0.2">
      <c r="A499" s="496">
        <f t="shared" si="138"/>
        <v>0</v>
      </c>
      <c r="B499" s="459">
        <f t="shared" si="139"/>
        <v>0</v>
      </c>
      <c r="C499" s="459"/>
      <c r="D499" s="465"/>
      <c r="E499" s="453">
        <f t="shared" si="140"/>
        <v>0</v>
      </c>
      <c r="F499" s="456">
        <f>IF(C499="",0,IFERROR(VLOOKUP(COUNTIF($A$1:A499,"ANALISIS DE PRECIOS"),T_Rendimiento_Equipo,5,FALSE),0))</f>
        <v>0</v>
      </c>
      <c r="G499" s="453">
        <f t="shared" si="142"/>
        <v>0</v>
      </c>
    </row>
    <row r="500" spans="1:7" ht="19.899999999999999" customHeight="1" x14ac:dyDescent="0.2">
      <c r="A500" s="497"/>
      <c r="B500" s="440"/>
      <c r="C500" s="155"/>
      <c r="D500" s="440"/>
      <c r="E500" s="441"/>
      <c r="F500" s="462" t="s">
        <v>28</v>
      </c>
      <c r="G500" s="499">
        <f>SUBTOTAL(9,G493:G499)</f>
        <v>0</v>
      </c>
    </row>
    <row r="501" spans="1:7" ht="19.899999999999999" customHeight="1" x14ac:dyDescent="0.2">
      <c r="A501" s="494"/>
      <c r="B501" s="155"/>
      <c r="C501" s="436" t="s">
        <v>990</v>
      </c>
      <c r="D501" s="440"/>
      <c r="E501" s="441"/>
      <c r="F501" s="442"/>
      <c r="G501" s="495"/>
    </row>
    <row r="502" spans="1:7" ht="19.899999999999999" customHeight="1" x14ac:dyDescent="0.2">
      <c r="A502" s="677" t="s">
        <v>576</v>
      </c>
      <c r="B502" s="678"/>
      <c r="C502" s="679" t="s">
        <v>0</v>
      </c>
      <c r="D502" s="679" t="s">
        <v>1733</v>
      </c>
      <c r="E502" s="681" t="s">
        <v>24</v>
      </c>
      <c r="F502" s="683" t="s">
        <v>25</v>
      </c>
      <c r="G502" s="685" t="s">
        <v>26</v>
      </c>
    </row>
    <row r="503" spans="1:7" ht="19.899999999999999" customHeight="1" x14ac:dyDescent="0.2">
      <c r="A503" s="458" t="s">
        <v>577</v>
      </c>
      <c r="B503" s="458" t="s">
        <v>578</v>
      </c>
      <c r="C503" s="680"/>
      <c r="D503" s="680"/>
      <c r="E503" s="682"/>
      <c r="F503" s="684"/>
      <c r="G503" s="686"/>
    </row>
    <row r="504" spans="1:7" ht="19.899999999999999" customHeight="1" x14ac:dyDescent="0.2">
      <c r="A504" s="496">
        <f t="shared" ref="A504:A514" si="143">IFERROR(VLOOKUP(C504,T_Insumos,4,FALSE),0)</f>
        <v>0</v>
      </c>
      <c r="B504" s="459">
        <f t="shared" ref="B504:B514" si="144">IFERROR(VLOOKUP(C504,T_Insumos,5,FALSE),0)</f>
        <v>0</v>
      </c>
      <c r="C504" s="459">
        <f>+Insumos!A51</f>
        <v>0</v>
      </c>
      <c r="D504" s="507">
        <f t="shared" ref="D504:D514" si="145">IFERROR(VLOOKUP(C504,T_Insumos,2,FALSE),0)</f>
        <v>0</v>
      </c>
      <c r="E504" s="451"/>
      <c r="F504" s="453">
        <f t="shared" ref="F504:F514" si="146">IFERROR(VLOOKUP(C504,T_Insumos,3,FALSE),0)</f>
        <v>0</v>
      </c>
      <c r="G504" s="453">
        <f>ROUND(E504*F504,2)</f>
        <v>0</v>
      </c>
    </row>
    <row r="505" spans="1:7" ht="19.899999999999999" customHeight="1" x14ac:dyDescent="0.2">
      <c r="A505" s="496">
        <f t="shared" si="143"/>
        <v>0</v>
      </c>
      <c r="B505" s="459">
        <f t="shared" si="144"/>
        <v>0</v>
      </c>
      <c r="C505" s="459">
        <f>+Insumos!A93</f>
        <v>0</v>
      </c>
      <c r="D505" s="507">
        <f t="shared" si="145"/>
        <v>0</v>
      </c>
      <c r="E505" s="451"/>
      <c r="F505" s="453">
        <f t="shared" si="146"/>
        <v>0</v>
      </c>
      <c r="G505" s="453">
        <f>ROUND(E505*F505,2)</f>
        <v>0</v>
      </c>
    </row>
    <row r="506" spans="1:7" ht="19.899999999999999" customHeight="1" x14ac:dyDescent="0.2">
      <c r="A506" s="496">
        <f t="shared" si="143"/>
        <v>0</v>
      </c>
      <c r="B506" s="459">
        <f t="shared" si="144"/>
        <v>0</v>
      </c>
      <c r="C506" s="459"/>
      <c r="D506" s="507">
        <f t="shared" si="145"/>
        <v>0</v>
      </c>
      <c r="E506" s="451"/>
      <c r="F506" s="453">
        <f t="shared" si="146"/>
        <v>0</v>
      </c>
      <c r="G506" s="453">
        <f t="shared" ref="G506:G514" si="147">ROUND(E506*F506,2)</f>
        <v>0</v>
      </c>
    </row>
    <row r="507" spans="1:7" ht="19.899999999999999" customHeight="1" x14ac:dyDescent="0.2">
      <c r="A507" s="496">
        <f t="shared" si="143"/>
        <v>0</v>
      </c>
      <c r="B507" s="459">
        <f t="shared" si="144"/>
        <v>0</v>
      </c>
      <c r="C507" s="459"/>
      <c r="D507" s="507">
        <f t="shared" si="145"/>
        <v>0</v>
      </c>
      <c r="E507" s="451"/>
      <c r="F507" s="453">
        <f t="shared" si="146"/>
        <v>0</v>
      </c>
      <c r="G507" s="453">
        <f t="shared" si="147"/>
        <v>0</v>
      </c>
    </row>
    <row r="508" spans="1:7" ht="19.899999999999999" customHeight="1" x14ac:dyDescent="0.2">
      <c r="A508" s="496">
        <f t="shared" si="143"/>
        <v>0</v>
      </c>
      <c r="B508" s="459">
        <f t="shared" si="144"/>
        <v>0</v>
      </c>
      <c r="C508" s="459"/>
      <c r="D508" s="507">
        <f t="shared" si="145"/>
        <v>0</v>
      </c>
      <c r="E508" s="451"/>
      <c r="F508" s="453">
        <f t="shared" si="146"/>
        <v>0</v>
      </c>
      <c r="G508" s="453">
        <f t="shared" si="147"/>
        <v>0</v>
      </c>
    </row>
    <row r="509" spans="1:7" ht="19.899999999999999" customHeight="1" x14ac:dyDescent="0.2">
      <c r="A509" s="496">
        <f t="shared" si="143"/>
        <v>0</v>
      </c>
      <c r="B509" s="459">
        <f t="shared" si="144"/>
        <v>0</v>
      </c>
      <c r="C509" s="459"/>
      <c r="D509" s="507">
        <f t="shared" si="145"/>
        <v>0</v>
      </c>
      <c r="E509" s="451"/>
      <c r="F509" s="453">
        <f t="shared" si="146"/>
        <v>0</v>
      </c>
      <c r="G509" s="453">
        <f t="shared" si="147"/>
        <v>0</v>
      </c>
    </row>
    <row r="510" spans="1:7" ht="19.899999999999999" customHeight="1" x14ac:dyDescent="0.2">
      <c r="A510" s="496">
        <f t="shared" si="143"/>
        <v>0</v>
      </c>
      <c r="B510" s="459">
        <f t="shared" si="144"/>
        <v>0</v>
      </c>
      <c r="C510" s="459"/>
      <c r="D510" s="507">
        <f t="shared" si="145"/>
        <v>0</v>
      </c>
      <c r="E510" s="451"/>
      <c r="F510" s="453">
        <f t="shared" si="146"/>
        <v>0</v>
      </c>
      <c r="G510" s="453">
        <f t="shared" si="147"/>
        <v>0</v>
      </c>
    </row>
    <row r="511" spans="1:7" ht="19.899999999999999" customHeight="1" x14ac:dyDescent="0.2">
      <c r="A511" s="496">
        <f t="shared" si="143"/>
        <v>0</v>
      </c>
      <c r="B511" s="459">
        <f t="shared" si="144"/>
        <v>0</v>
      </c>
      <c r="C511" s="459"/>
      <c r="D511" s="507">
        <f t="shared" si="145"/>
        <v>0</v>
      </c>
      <c r="E511" s="451"/>
      <c r="F511" s="453">
        <f t="shared" si="146"/>
        <v>0</v>
      </c>
      <c r="G511" s="453">
        <f t="shared" si="147"/>
        <v>0</v>
      </c>
    </row>
    <row r="512" spans="1:7" ht="19.899999999999999" customHeight="1" x14ac:dyDescent="0.2">
      <c r="A512" s="496">
        <f t="shared" si="143"/>
        <v>0</v>
      </c>
      <c r="B512" s="459">
        <f t="shared" si="144"/>
        <v>0</v>
      </c>
      <c r="C512" s="459"/>
      <c r="D512" s="507">
        <f t="shared" si="145"/>
        <v>0</v>
      </c>
      <c r="E512" s="451"/>
      <c r="F512" s="453">
        <f t="shared" si="146"/>
        <v>0</v>
      </c>
      <c r="G512" s="453">
        <f t="shared" si="147"/>
        <v>0</v>
      </c>
    </row>
    <row r="513" spans="1:7" ht="19.899999999999999" customHeight="1" x14ac:dyDescent="0.2">
      <c r="A513" s="496">
        <f t="shared" si="143"/>
        <v>0</v>
      </c>
      <c r="B513" s="459">
        <f t="shared" si="144"/>
        <v>0</v>
      </c>
      <c r="C513" s="459"/>
      <c r="D513" s="507">
        <f t="shared" si="145"/>
        <v>0</v>
      </c>
      <c r="E513" s="451"/>
      <c r="F513" s="453">
        <f t="shared" si="146"/>
        <v>0</v>
      </c>
      <c r="G513" s="453">
        <f t="shared" si="147"/>
        <v>0</v>
      </c>
    </row>
    <row r="514" spans="1:7" ht="19.899999999999999" customHeight="1" x14ac:dyDescent="0.2">
      <c r="A514" s="496">
        <f t="shared" si="143"/>
        <v>0</v>
      </c>
      <c r="B514" s="459">
        <f t="shared" si="144"/>
        <v>0</v>
      </c>
      <c r="C514" s="459"/>
      <c r="D514" s="507">
        <f t="shared" si="145"/>
        <v>0</v>
      </c>
      <c r="E514" s="451"/>
      <c r="F514" s="453">
        <f t="shared" si="146"/>
        <v>0</v>
      </c>
      <c r="G514" s="453">
        <f t="shared" si="147"/>
        <v>0</v>
      </c>
    </row>
    <row r="515" spans="1:7" ht="19.899999999999999" customHeight="1" x14ac:dyDescent="0.2">
      <c r="A515" s="494"/>
      <c r="B515" s="155"/>
      <c r="C515" s="155"/>
      <c r="D515" s="440"/>
      <c r="E515" s="441"/>
      <c r="F515" s="462" t="s">
        <v>29</v>
      </c>
      <c r="G515" s="499">
        <f>SUBTOTAL(9,G504:G514)</f>
        <v>0</v>
      </c>
    </row>
    <row r="516" spans="1:7" ht="19.899999999999999" customHeight="1" x14ac:dyDescent="0.2">
      <c r="A516" s="494"/>
      <c r="B516" s="155"/>
      <c r="C516" s="436" t="s">
        <v>991</v>
      </c>
      <c r="D516" s="440"/>
      <c r="E516" s="441"/>
      <c r="F516" s="442"/>
      <c r="G516" s="495"/>
    </row>
    <row r="517" spans="1:7" ht="19.899999999999999" customHeight="1" x14ac:dyDescent="0.2">
      <c r="A517" s="677" t="s">
        <v>576</v>
      </c>
      <c r="B517" s="678"/>
      <c r="C517" s="679" t="s">
        <v>0</v>
      </c>
      <c r="D517" s="679" t="s">
        <v>1733</v>
      </c>
      <c r="E517" s="681" t="s">
        <v>24</v>
      </c>
      <c r="F517" s="683" t="s">
        <v>25</v>
      </c>
      <c r="G517" s="685" t="s">
        <v>26</v>
      </c>
    </row>
    <row r="518" spans="1:7" ht="19.899999999999999" customHeight="1" x14ac:dyDescent="0.2">
      <c r="A518" s="458" t="s">
        <v>577</v>
      </c>
      <c r="B518" s="458" t="s">
        <v>578</v>
      </c>
      <c r="C518" s="680"/>
      <c r="D518" s="680"/>
      <c r="E518" s="682"/>
      <c r="F518" s="684"/>
      <c r="G518" s="686"/>
    </row>
    <row r="519" spans="1:7" ht="19.899999999999999" customHeight="1" x14ac:dyDescent="0.2">
      <c r="A519" s="496">
        <f>IFERROR(VLOOKUP(C519,T_Insumos,4,FALSE),0)</f>
        <v>0</v>
      </c>
      <c r="B519" s="459">
        <f>IFERROR(VLOOKUP(C519,T_Insumos,5,FALSE),0)</f>
        <v>0</v>
      </c>
      <c r="C519" s="450"/>
      <c r="D519" s="507">
        <f>IF(C519=0,0,"$/tnkm")</f>
        <v>0</v>
      </c>
      <c r="E519" s="451"/>
      <c r="F519" s="453">
        <f>IFERROR(VLOOKUP(C519,T_Insumos,3,FALSE),0)</f>
        <v>0</v>
      </c>
      <c r="G519" s="453">
        <f>ROUND(E519*F519,2)</f>
        <v>0</v>
      </c>
    </row>
    <row r="520" spans="1:7" ht="19.899999999999999" customHeight="1" x14ac:dyDescent="0.2">
      <c r="A520" s="496">
        <f>IFERROR(VLOOKUP(C520,T_Insumos,4,FALSE),0)</f>
        <v>0</v>
      </c>
      <c r="B520" s="459">
        <f>IFERROR(VLOOKUP(C520,T_Insumos,5,FALSE),0)</f>
        <v>0</v>
      </c>
      <c r="C520" s="450"/>
      <c r="D520" s="507">
        <f>IF(C520=0,0,"$/tnkm")</f>
        <v>0</v>
      </c>
      <c r="E520" s="467"/>
      <c r="F520" s="453">
        <f>IFERROR(VLOOKUP(C520,T_Insumos,3,FALSE),0)</f>
        <v>0</v>
      </c>
      <c r="G520" s="453">
        <f t="shared" ref="G520" si="148">ROUND(E520*F520,2)</f>
        <v>0</v>
      </c>
    </row>
    <row r="521" spans="1:7" ht="19.899999999999999" customHeight="1" x14ac:dyDescent="0.2">
      <c r="A521" s="494"/>
      <c r="B521" s="155"/>
      <c r="C521" s="155"/>
      <c r="D521" s="440"/>
      <c r="E521" s="441"/>
      <c r="F521" s="462" t="s">
        <v>992</v>
      </c>
      <c r="G521" s="499">
        <f>SUBTOTAL(9,G519:G520)</f>
        <v>0</v>
      </c>
    </row>
    <row r="522" spans="1:7" ht="19.899999999999999" customHeight="1" x14ac:dyDescent="0.2">
      <c r="A522" s="497"/>
      <c r="B522" s="440"/>
      <c r="C522" s="155"/>
      <c r="D522" s="440"/>
      <c r="E522" s="441"/>
      <c r="F522" s="442"/>
      <c r="G522" s="495"/>
    </row>
    <row r="523" spans="1:7" ht="19.899999999999999" customHeight="1" x14ac:dyDescent="0.2">
      <c r="A523" s="555" t="str">
        <f>B457</f>
        <v>1.2.5</v>
      </c>
      <c r="B523" s="552" t="str">
        <f ca="1">C457</f>
        <v>Juntas de Contracción y dilatación</v>
      </c>
      <c r="C523" s="440"/>
      <c r="D523" s="440" t="s">
        <v>1712</v>
      </c>
      <c r="E523" s="553"/>
      <c r="F523" s="554" t="str">
        <f ca="1">"$/"&amp;G457</f>
        <v>$/ML</v>
      </c>
      <c r="G523" s="504">
        <f>SUBTOTAL(9,G480:G522)</f>
        <v>0</v>
      </c>
    </row>
    <row r="524" spans="1:7" ht="19.899999999999999" customHeight="1" x14ac:dyDescent="0.2">
      <c r="A524" s="500"/>
      <c r="B524" s="501"/>
      <c r="C524" s="502"/>
      <c r="D524" s="502" t="s">
        <v>1908</v>
      </c>
      <c r="E524" s="503"/>
      <c r="F524" s="556" t="str">
        <f ca="1">"$/"&amp;G457</f>
        <v>$/ML</v>
      </c>
      <c r="G524" s="504">
        <f>ROUND(G523*Coeficiente_Paso,2)</f>
        <v>0</v>
      </c>
    </row>
    <row r="525" spans="1:7" ht="19.899999999999999" customHeight="1" x14ac:dyDescent="0.2">
      <c r="A525" s="155"/>
      <c r="B525" s="155"/>
      <c r="C525" s="155"/>
      <c r="D525" s="155"/>
      <c r="E525" s="155"/>
      <c r="F525" s="155"/>
      <c r="G525" s="155"/>
    </row>
    <row r="526" spans="1:7" ht="19.899999999999999" customHeight="1" x14ac:dyDescent="0.2">
      <c r="A526" s="687" t="s">
        <v>31</v>
      </c>
      <c r="B526" s="688"/>
      <c r="C526" s="688"/>
      <c r="D526" s="688"/>
      <c r="E526" s="688"/>
      <c r="F526" s="688"/>
      <c r="G526" s="689"/>
    </row>
    <row r="527" spans="1:7" ht="19.899999999999999" customHeight="1" x14ac:dyDescent="0.2">
      <c r="A527" s="483" t="s">
        <v>711</v>
      </c>
      <c r="B527" s="434" t="str">
        <f>Comitente</f>
        <v>DEPARTAMENTO DE HIDRÁULICA</v>
      </c>
      <c r="C527" s="435"/>
      <c r="D527" s="436"/>
      <c r="E527" s="436"/>
      <c r="F527" s="437"/>
      <c r="G527" s="484"/>
    </row>
    <row r="528" spans="1:7" ht="19.899999999999999" customHeight="1" x14ac:dyDescent="0.2">
      <c r="A528" s="483" t="s">
        <v>712</v>
      </c>
      <c r="B528" s="434">
        <f>Contratista</f>
        <v>0</v>
      </c>
      <c r="C528" s="438"/>
      <c r="D528" s="438"/>
      <c r="E528" s="438"/>
      <c r="F528" s="434"/>
      <c r="G528" s="485"/>
    </row>
    <row r="529" spans="1:7" ht="19.899999999999999" customHeight="1" x14ac:dyDescent="0.2">
      <c r="A529" s="483" t="s">
        <v>21</v>
      </c>
      <c r="B529" s="434" t="str">
        <f>Obra</f>
        <v>RECRECIMIENTO Y REPARACIÓN CANALES SARMIENTO, 9 DE JULIO Y CHIMBAS</v>
      </c>
      <c r="C529" s="438"/>
      <c r="D529" s="438"/>
      <c r="E529" s="438"/>
      <c r="F529" s="434" t="s">
        <v>32</v>
      </c>
      <c r="G529" s="485">
        <f>Fecha_Base</f>
        <v>0</v>
      </c>
    </row>
    <row r="530" spans="1:7" ht="19.899999999999999" customHeight="1" x14ac:dyDescent="0.2">
      <c r="A530" s="486" t="s">
        <v>710</v>
      </c>
      <c r="B530" s="439" t="str">
        <f>Ubicación</f>
        <v>DEPARTAMENTOS SARMIENTO, 9 DE JULIO Y CHIMBAS</v>
      </c>
      <c r="C530" s="439"/>
      <c r="D530" s="440"/>
      <c r="E530" s="441"/>
      <c r="F530" s="442"/>
      <c r="G530" s="487"/>
    </row>
    <row r="531" spans="1:7" ht="19.899999999999999" customHeight="1" x14ac:dyDescent="0.2">
      <c r="A531" s="486" t="s">
        <v>33</v>
      </c>
      <c r="B531" s="443">
        <f>IFERROR(VALUE(LEFT(B532,FIND(".",B532)-1)),"")</f>
        <v>2</v>
      </c>
      <c r="C531" s="155" t="str">
        <f ca="1">IFERROR(VLOOKUP(B531,T_Computo_Presupuesto,2,FALSE),0)</f>
        <v>DPTO. 9 DE JULIO (R. BALMACEDA y R. ZUNGRY ALDAY)</v>
      </c>
      <c r="D531" s="155"/>
      <c r="E531" s="441"/>
      <c r="F531" s="442"/>
      <c r="G531" s="487"/>
    </row>
    <row r="532" spans="1:7" ht="19.899999999999999" customHeight="1" x14ac:dyDescent="0.2">
      <c r="A532" s="486" t="s">
        <v>22</v>
      </c>
      <c r="B532" s="444" t="str">
        <f>IFERROR(VLOOKUP(COUNTIF($A$1:A532,"ANALISIS DE PRECIOS"),T_NumeroItem,2,FALSE),"")</f>
        <v>2.1.1</v>
      </c>
      <c r="C532" s="690" t="str">
        <f ca="1">IFERROR(VLOOKUP(B532,T_Computo_Presupuesto,2,FALSE),0)</f>
        <v>Preparación y Limpieza de Superf.</v>
      </c>
      <c r="D532" s="690"/>
      <c r="E532" s="690"/>
      <c r="F532" s="439" t="s">
        <v>23</v>
      </c>
      <c r="G532" s="488" t="str">
        <f ca="1">IFERROR(VLOOKUP(B532,T_Computo_Presupuesto,4,FALSE),0)</f>
        <v>GL</v>
      </c>
    </row>
    <row r="533" spans="1:7" ht="19.899999999999999" customHeight="1" x14ac:dyDescent="0.2">
      <c r="A533" s="486"/>
      <c r="B533" s="439"/>
      <c r="C533" s="155"/>
      <c r="D533" s="440"/>
      <c r="E533" s="441"/>
      <c r="F533" s="155"/>
      <c r="G533" s="489"/>
    </row>
    <row r="534" spans="1:7" ht="19.899999999999999" customHeight="1" x14ac:dyDescent="0.2">
      <c r="A534" s="490"/>
      <c r="B534" s="445"/>
      <c r="C534" s="446" t="s">
        <v>975</v>
      </c>
      <c r="D534" s="445"/>
      <c r="E534" s="445"/>
      <c r="F534" s="445"/>
      <c r="G534" s="491"/>
    </row>
    <row r="535" spans="1:7" ht="19.899999999999999" customHeight="1" x14ac:dyDescent="0.2">
      <c r="A535" s="486"/>
      <c r="B535" s="447"/>
      <c r="C535" s="155"/>
      <c r="D535" s="440"/>
      <c r="E535" s="441"/>
      <c r="F535" s="439"/>
      <c r="G535" s="488"/>
    </row>
    <row r="536" spans="1:7" ht="19.899999999999999" customHeight="1" x14ac:dyDescent="0.2">
      <c r="A536" s="486"/>
      <c r="B536" s="447"/>
      <c r="C536" s="448" t="s">
        <v>976</v>
      </c>
      <c r="D536" s="449" t="s">
        <v>24</v>
      </c>
      <c r="E536" s="449" t="s">
        <v>977</v>
      </c>
      <c r="F536" s="449" t="s">
        <v>978</v>
      </c>
      <c r="G536" s="448" t="s">
        <v>979</v>
      </c>
    </row>
    <row r="537" spans="1:7" ht="19.899999999999999" customHeight="1" x14ac:dyDescent="0.2">
      <c r="A537" s="486"/>
      <c r="B537" s="447"/>
      <c r="C537" s="450">
        <f>+Equipos!A91</f>
        <v>0</v>
      </c>
      <c r="D537" s="451"/>
      <c r="E537" s="452">
        <f t="shared" ref="E537:E546" si="149">IFERROR(VLOOKUP(C537,T_Equipos,4,FALSE),0)</f>
        <v>0</v>
      </c>
      <c r="F537" s="453">
        <f t="shared" ref="F537:F546" si="150">IFERROR(VLOOKUP(C537,T_Equipos,5,FALSE),0)</f>
        <v>0</v>
      </c>
      <c r="G537" s="453">
        <f>ROUND(D537*F537,2)</f>
        <v>0</v>
      </c>
    </row>
    <row r="538" spans="1:7" ht="19.899999999999999" customHeight="1" x14ac:dyDescent="0.2">
      <c r="A538" s="486"/>
      <c r="B538" s="447"/>
      <c r="C538" s="450">
        <f>+Equipos!A88</f>
        <v>0</v>
      </c>
      <c r="D538" s="451"/>
      <c r="E538" s="452">
        <f t="shared" si="149"/>
        <v>0</v>
      </c>
      <c r="F538" s="453">
        <f t="shared" si="150"/>
        <v>0</v>
      </c>
      <c r="G538" s="453">
        <f>ROUND(D538*F538,2)</f>
        <v>0</v>
      </c>
    </row>
    <row r="539" spans="1:7" ht="19.899999999999999" customHeight="1" x14ac:dyDescent="0.2">
      <c r="A539" s="486"/>
      <c r="B539" s="447"/>
      <c r="C539" s="450">
        <f>+Equipos!A100</f>
        <v>0</v>
      </c>
      <c r="D539" s="451"/>
      <c r="E539" s="452">
        <f t="shared" si="149"/>
        <v>0</v>
      </c>
      <c r="F539" s="453">
        <f t="shared" si="150"/>
        <v>0</v>
      </c>
      <c r="G539" s="453">
        <f>ROUND(D539*F539,2)</f>
        <v>0</v>
      </c>
    </row>
    <row r="540" spans="1:7" ht="19.899999999999999" customHeight="1" x14ac:dyDescent="0.2">
      <c r="A540" s="486"/>
      <c r="B540" s="447"/>
      <c r="C540" s="450">
        <f>+Equipos!A108</f>
        <v>0</v>
      </c>
      <c r="D540" s="451"/>
      <c r="E540" s="452">
        <f t="shared" si="149"/>
        <v>0</v>
      </c>
      <c r="F540" s="453">
        <f t="shared" si="150"/>
        <v>0</v>
      </c>
      <c r="G540" s="453">
        <f>ROUND(D540*F540,2)</f>
        <v>0</v>
      </c>
    </row>
    <row r="541" spans="1:7" ht="19.899999999999999" customHeight="1" x14ac:dyDescent="0.2">
      <c r="A541" s="486"/>
      <c r="B541" s="447"/>
      <c r="C541" s="450">
        <f>+Equipos!A97</f>
        <v>0</v>
      </c>
      <c r="D541" s="623"/>
      <c r="E541" s="452">
        <f t="shared" si="149"/>
        <v>0</v>
      </c>
      <c r="F541" s="453">
        <f t="shared" si="150"/>
        <v>0</v>
      </c>
      <c r="G541" s="453">
        <f t="shared" ref="G541:G546" si="151">ROUND(D541*F541,2)</f>
        <v>0</v>
      </c>
    </row>
    <row r="542" spans="1:7" ht="19.899999999999999" customHeight="1" x14ac:dyDescent="0.2">
      <c r="A542" s="486"/>
      <c r="B542" s="447"/>
      <c r="C542" s="450">
        <f>+Equipos!A93</f>
        <v>0</v>
      </c>
      <c r="D542" s="451"/>
      <c r="E542" s="452">
        <f t="shared" si="149"/>
        <v>0</v>
      </c>
      <c r="F542" s="453">
        <f t="shared" si="150"/>
        <v>0</v>
      </c>
      <c r="G542" s="453">
        <f t="shared" si="151"/>
        <v>0</v>
      </c>
    </row>
    <row r="543" spans="1:7" ht="19.899999999999999" customHeight="1" x14ac:dyDescent="0.2">
      <c r="A543" s="486"/>
      <c r="B543" s="447"/>
      <c r="C543" s="450"/>
      <c r="D543" s="451"/>
      <c r="E543" s="452">
        <f t="shared" si="149"/>
        <v>0</v>
      </c>
      <c r="F543" s="453">
        <f t="shared" si="150"/>
        <v>0</v>
      </c>
      <c r="G543" s="453">
        <f t="shared" si="151"/>
        <v>0</v>
      </c>
    </row>
    <row r="544" spans="1:7" ht="19.899999999999999" customHeight="1" x14ac:dyDescent="0.2">
      <c r="A544" s="486"/>
      <c r="B544" s="447"/>
      <c r="C544" s="450"/>
      <c r="D544" s="451"/>
      <c r="E544" s="452">
        <f t="shared" si="149"/>
        <v>0</v>
      </c>
      <c r="F544" s="453">
        <f t="shared" si="150"/>
        <v>0</v>
      </c>
      <c r="G544" s="453">
        <f t="shared" si="151"/>
        <v>0</v>
      </c>
    </row>
    <row r="545" spans="1:7" ht="19.899999999999999" customHeight="1" x14ac:dyDescent="0.2">
      <c r="A545" s="486"/>
      <c r="B545" s="447"/>
      <c r="C545" s="450"/>
      <c r="D545" s="451"/>
      <c r="E545" s="452">
        <f t="shared" si="149"/>
        <v>0</v>
      </c>
      <c r="F545" s="453">
        <f t="shared" si="150"/>
        <v>0</v>
      </c>
      <c r="G545" s="453">
        <f t="shared" si="151"/>
        <v>0</v>
      </c>
    </row>
    <row r="546" spans="1:7" ht="19.899999999999999" customHeight="1" x14ac:dyDescent="0.2">
      <c r="A546" s="486"/>
      <c r="B546" s="447"/>
      <c r="C546" s="450"/>
      <c r="D546" s="451"/>
      <c r="E546" s="452">
        <f t="shared" si="149"/>
        <v>0</v>
      </c>
      <c r="F546" s="453">
        <f t="shared" si="150"/>
        <v>0</v>
      </c>
      <c r="G546" s="453">
        <f t="shared" si="151"/>
        <v>0</v>
      </c>
    </row>
    <row r="547" spans="1:7" ht="19.899999999999999" customHeight="1" x14ac:dyDescent="0.2">
      <c r="A547" s="486"/>
      <c r="B547" s="447"/>
      <c r="C547" s="155"/>
      <c r="D547" s="155"/>
      <c r="E547" s="454"/>
      <c r="F547" s="439"/>
      <c r="G547" s="488"/>
    </row>
    <row r="548" spans="1:7" ht="19.899999999999999" customHeight="1" x14ac:dyDescent="0.2">
      <c r="A548" s="486"/>
      <c r="B548" s="155"/>
      <c r="C548" s="436" t="s">
        <v>980</v>
      </c>
      <c r="D548" s="439" t="s">
        <v>977</v>
      </c>
      <c r="E548" s="505">
        <f>SUMPRODUCT(D537:D546,E537:E546)</f>
        <v>0</v>
      </c>
      <c r="F548" s="439" t="s">
        <v>981</v>
      </c>
      <c r="G548" s="506">
        <f>SUM(G537:G546)</f>
        <v>0</v>
      </c>
    </row>
    <row r="549" spans="1:7" ht="19.899999999999999" customHeight="1" x14ac:dyDescent="0.2">
      <c r="A549" s="486"/>
      <c r="B549" s="447"/>
      <c r="C549" s="455"/>
      <c r="D549" s="454"/>
      <c r="E549" s="441"/>
      <c r="F549" s="439"/>
      <c r="G549" s="492"/>
    </row>
    <row r="550" spans="1:7" ht="19.899999999999999" customHeight="1" x14ac:dyDescent="0.2">
      <c r="A550" s="493"/>
      <c r="B550" s="447"/>
      <c r="C550" s="439" t="s">
        <v>982</v>
      </c>
      <c r="D550" s="456">
        <f>IFERROR(VLOOKUP(COUNTIF($A$1:A550,"ANALISIS DE PRECIOS"),T_Rendimiento_Equipo,5,FALSE),0)</f>
        <v>0</v>
      </c>
      <c r="E550" s="457" t="str">
        <f ca="1">G532&amp;"/día"</f>
        <v>GL/día</v>
      </c>
      <c r="F550" s="433"/>
      <c r="G550" s="488"/>
    </row>
    <row r="551" spans="1:7" ht="19.899999999999999" customHeight="1" x14ac:dyDescent="0.2">
      <c r="A551" s="486"/>
      <c r="B551" s="447"/>
      <c r="C551" s="155"/>
      <c r="D551" s="440"/>
      <c r="E551" s="441"/>
      <c r="F551" s="439"/>
      <c r="G551" s="488"/>
    </row>
    <row r="552" spans="1:7" ht="19.899999999999999" customHeight="1" x14ac:dyDescent="0.2">
      <c r="A552" s="677" t="s">
        <v>576</v>
      </c>
      <c r="B552" s="678"/>
      <c r="C552" s="679" t="s">
        <v>0</v>
      </c>
      <c r="D552" s="691" t="s">
        <v>1732</v>
      </c>
      <c r="E552" s="691" t="s">
        <v>1731</v>
      </c>
      <c r="F552" s="683" t="s">
        <v>983</v>
      </c>
      <c r="G552" s="685" t="s">
        <v>26</v>
      </c>
    </row>
    <row r="553" spans="1:7" ht="19.899999999999999" customHeight="1" x14ac:dyDescent="0.2">
      <c r="A553" s="458" t="s">
        <v>577</v>
      </c>
      <c r="B553" s="458" t="s">
        <v>578</v>
      </c>
      <c r="C553" s="680"/>
      <c r="D553" s="692"/>
      <c r="E553" s="682"/>
      <c r="F553" s="684"/>
      <c r="G553" s="686"/>
    </row>
    <row r="554" spans="1:7" ht="19.899999999999999" customHeight="1" x14ac:dyDescent="0.2">
      <c r="A554" s="494"/>
      <c r="B554" s="155"/>
      <c r="C554" s="436" t="s">
        <v>984</v>
      </c>
      <c r="D554" s="441"/>
      <c r="E554" s="441"/>
      <c r="F554" s="155"/>
      <c r="G554" s="495"/>
    </row>
    <row r="555" spans="1:7" ht="19.899999999999999" customHeight="1" x14ac:dyDescent="0.2">
      <c r="A555" s="496">
        <f t="shared" ref="A555:A563" si="152">IFERROR(VLOOKUP(C555,T_Insumos,4,FALSE),0)</f>
        <v>0</v>
      </c>
      <c r="B555" s="459">
        <f t="shared" ref="B555:B563" si="153">IFERROR(VLOOKUP(C555,T_Insumos,5,FALSE),0)</f>
        <v>0</v>
      </c>
      <c r="C555" s="450">
        <f>+C105</f>
        <v>0</v>
      </c>
      <c r="D555" s="460">
        <f t="shared" ref="D555:D563" si="154">IFERROR(VLOOKUP(C555,T_Insumos,3,FALSE),0)</f>
        <v>0</v>
      </c>
      <c r="E555" s="453">
        <f>D555*$G$473</f>
        <v>0</v>
      </c>
      <c r="F555" s="456">
        <f>IF(C555="",0,IFERROR(VLOOKUP(COUNTIF($A$1:A555,"ANALISIS DE PRECIOS"),T_Rendimiento_Equipo,5,FALSE),0))</f>
        <v>0</v>
      </c>
      <c r="G555" s="453">
        <f>IFERROR(ROUND(E555/F555,2),0)</f>
        <v>0</v>
      </c>
    </row>
    <row r="556" spans="1:7" ht="19.899999999999999" customHeight="1" x14ac:dyDescent="0.2">
      <c r="A556" s="496">
        <f t="shared" si="152"/>
        <v>0</v>
      </c>
      <c r="B556" s="459">
        <f t="shared" si="153"/>
        <v>0</v>
      </c>
      <c r="C556" s="450">
        <f t="shared" ref="C556:C558" si="155">+C106</f>
        <v>0</v>
      </c>
      <c r="D556" s="460">
        <f t="shared" si="154"/>
        <v>0</v>
      </c>
      <c r="E556" s="453">
        <f t="shared" ref="E556:E557" si="156">D556*$G$473</f>
        <v>0</v>
      </c>
      <c r="F556" s="456">
        <f>IF(C556="",0,IFERROR(VLOOKUP(COUNTIF($A$1:A556,"ANALISIS DE PRECIOS"),T_Rendimiento_Equipo,5,FALSE),0))</f>
        <v>0</v>
      </c>
      <c r="G556" s="453">
        <f t="shared" ref="G556:G563" si="157">IFERROR(ROUND(E556/F556,2),0)</f>
        <v>0</v>
      </c>
    </row>
    <row r="557" spans="1:7" ht="19.899999999999999" customHeight="1" x14ac:dyDescent="0.2">
      <c r="A557" s="496">
        <f t="shared" si="152"/>
        <v>0</v>
      </c>
      <c r="B557" s="459">
        <f t="shared" si="153"/>
        <v>0</v>
      </c>
      <c r="C557" s="450">
        <f t="shared" si="155"/>
        <v>0</v>
      </c>
      <c r="D557" s="460">
        <f t="shared" si="154"/>
        <v>0</v>
      </c>
      <c r="E557" s="453">
        <f t="shared" si="156"/>
        <v>0</v>
      </c>
      <c r="F557" s="456">
        <f>IF(C557="",0,IFERROR(VLOOKUP(COUNTIF($A$1:A557,"ANALISIS DE PRECIOS"),T_Rendimiento_Equipo,5,FALSE),0))</f>
        <v>0</v>
      </c>
      <c r="G557" s="453">
        <f t="shared" si="157"/>
        <v>0</v>
      </c>
    </row>
    <row r="558" spans="1:7" ht="19.899999999999999" customHeight="1" x14ac:dyDescent="0.2">
      <c r="A558" s="496">
        <f t="shared" si="152"/>
        <v>0</v>
      </c>
      <c r="B558" s="459">
        <f t="shared" si="153"/>
        <v>0</v>
      </c>
      <c r="C558" s="450">
        <f t="shared" si="155"/>
        <v>0</v>
      </c>
      <c r="D558" s="460">
        <f t="shared" si="154"/>
        <v>0</v>
      </c>
      <c r="E558" s="453">
        <f>D558*$E$473</f>
        <v>0</v>
      </c>
      <c r="F558" s="456">
        <f>IF(C558="",0,IFERROR(VLOOKUP(COUNTIF($A$1:A558,"ANALISIS DE PRECIOS"),T_Rendimiento_Equipo,5,FALSE),0))</f>
        <v>0</v>
      </c>
      <c r="G558" s="453">
        <f t="shared" si="157"/>
        <v>0</v>
      </c>
    </row>
    <row r="559" spans="1:7" ht="19.899999999999999" customHeight="1" x14ac:dyDescent="0.2">
      <c r="A559" s="496">
        <f t="shared" si="152"/>
        <v>0</v>
      </c>
      <c r="B559" s="459">
        <f t="shared" si="153"/>
        <v>0</v>
      </c>
      <c r="C559" s="461"/>
      <c r="D559" s="460">
        <f t="shared" si="154"/>
        <v>0</v>
      </c>
      <c r="E559" s="453"/>
      <c r="F559" s="456">
        <f>IF(C559="",0,IFERROR(VLOOKUP(COUNTIF($A$1:A559,"ANALISIS DE PRECIOS"),T_Rendimiento_Equipo,5,FALSE),0))</f>
        <v>0</v>
      </c>
      <c r="G559" s="453">
        <f t="shared" si="157"/>
        <v>0</v>
      </c>
    </row>
    <row r="560" spans="1:7" ht="19.899999999999999" customHeight="1" x14ac:dyDescent="0.2">
      <c r="A560" s="496">
        <f t="shared" si="152"/>
        <v>0</v>
      </c>
      <c r="B560" s="459">
        <f t="shared" si="153"/>
        <v>0</v>
      </c>
      <c r="C560" s="461"/>
      <c r="D560" s="460">
        <f t="shared" si="154"/>
        <v>0</v>
      </c>
      <c r="E560" s="453"/>
      <c r="F560" s="456">
        <f>IF(C560="",0,IFERROR(VLOOKUP(COUNTIF($A$1:A560,"ANALISIS DE PRECIOS"),T_Rendimiento_Equipo,5,FALSE),0))</f>
        <v>0</v>
      </c>
      <c r="G560" s="453">
        <f t="shared" si="157"/>
        <v>0</v>
      </c>
    </row>
    <row r="561" spans="1:7" ht="19.899999999999999" customHeight="1" x14ac:dyDescent="0.2">
      <c r="A561" s="496">
        <f t="shared" si="152"/>
        <v>0</v>
      </c>
      <c r="B561" s="459">
        <f t="shared" si="153"/>
        <v>0</v>
      </c>
      <c r="C561" s="461"/>
      <c r="D561" s="460">
        <f t="shared" si="154"/>
        <v>0</v>
      </c>
      <c r="E561" s="453"/>
      <c r="F561" s="456">
        <f>IF(C561="",0,IFERROR(VLOOKUP(COUNTIF($A$1:A561,"ANALISIS DE PRECIOS"),T_Rendimiento_Equipo,5,FALSE),0))</f>
        <v>0</v>
      </c>
      <c r="G561" s="453">
        <f t="shared" si="157"/>
        <v>0</v>
      </c>
    </row>
    <row r="562" spans="1:7" ht="19.899999999999999" customHeight="1" x14ac:dyDescent="0.2">
      <c r="A562" s="496">
        <f t="shared" si="152"/>
        <v>0</v>
      </c>
      <c r="B562" s="459">
        <f t="shared" si="153"/>
        <v>0</v>
      </c>
      <c r="C562" s="461"/>
      <c r="D562" s="460">
        <f t="shared" si="154"/>
        <v>0</v>
      </c>
      <c r="E562" s="453"/>
      <c r="F562" s="456">
        <f>IF(C562="",0,IFERROR(VLOOKUP(COUNTIF($A$1:A562,"ANALISIS DE PRECIOS"),T_Rendimiento_Equipo,5,FALSE),0))</f>
        <v>0</v>
      </c>
      <c r="G562" s="453">
        <f t="shared" si="157"/>
        <v>0</v>
      </c>
    </row>
    <row r="563" spans="1:7" ht="19.899999999999999" customHeight="1" x14ac:dyDescent="0.2">
      <c r="A563" s="496">
        <f t="shared" si="152"/>
        <v>0</v>
      </c>
      <c r="B563" s="459">
        <f t="shared" si="153"/>
        <v>0</v>
      </c>
      <c r="C563" s="450"/>
      <c r="D563" s="460">
        <f t="shared" si="154"/>
        <v>0</v>
      </c>
      <c r="E563" s="453"/>
      <c r="F563" s="456">
        <f>IF(C563="",0,IFERROR(VLOOKUP(COUNTIF($A$1:A563,"ANALISIS DE PRECIOS"),T_Rendimiento_Equipo,5,FALSE),0))</f>
        <v>0</v>
      </c>
      <c r="G563" s="453">
        <f t="shared" si="157"/>
        <v>0</v>
      </c>
    </row>
    <row r="564" spans="1:7" ht="19.899999999999999" customHeight="1" x14ac:dyDescent="0.2">
      <c r="A564" s="497"/>
      <c r="B564" s="440"/>
      <c r="C564" s="155"/>
      <c r="D564" s="440"/>
      <c r="E564" s="441"/>
      <c r="F564" s="462" t="s">
        <v>27</v>
      </c>
      <c r="G564" s="498">
        <f>SUBTOTAL(9,G555:G563)</f>
        <v>0</v>
      </c>
    </row>
    <row r="565" spans="1:7" ht="19.899999999999999" customHeight="1" x14ac:dyDescent="0.2">
      <c r="A565" s="494"/>
      <c r="B565" s="155"/>
      <c r="C565" s="436" t="s">
        <v>713</v>
      </c>
      <c r="D565" s="440"/>
      <c r="E565" s="441"/>
      <c r="F565" s="442"/>
      <c r="G565" s="495"/>
    </row>
    <row r="566" spans="1:7" ht="19.899999999999999" customHeight="1" x14ac:dyDescent="0.2">
      <c r="A566" s="677" t="s">
        <v>576</v>
      </c>
      <c r="B566" s="678"/>
      <c r="C566" s="679" t="s">
        <v>0</v>
      </c>
      <c r="D566" s="681" t="s">
        <v>24</v>
      </c>
      <c r="E566" s="681" t="s">
        <v>1711</v>
      </c>
      <c r="F566" s="683" t="s">
        <v>983</v>
      </c>
      <c r="G566" s="685" t="s">
        <v>26</v>
      </c>
    </row>
    <row r="567" spans="1:7" ht="19.899999999999999" customHeight="1" x14ac:dyDescent="0.2">
      <c r="A567" s="458" t="s">
        <v>577</v>
      </c>
      <c r="B567" s="458" t="s">
        <v>578</v>
      </c>
      <c r="C567" s="680"/>
      <c r="D567" s="682"/>
      <c r="E567" s="682"/>
      <c r="F567" s="684"/>
      <c r="G567" s="686"/>
    </row>
    <row r="568" spans="1:7" ht="19.899999999999999" customHeight="1" x14ac:dyDescent="0.2">
      <c r="A568" s="496">
        <f t="shared" ref="A568:A574" si="158">IFERROR(VLOOKUP(C568,T_Insumos,4,FALSE),0)</f>
        <v>0</v>
      </c>
      <c r="B568" s="459">
        <f t="shared" ref="B568:B574" si="159">IFERROR(VLOOKUP(C568,T_Insumos,5,FALSE),0)</f>
        <v>0</v>
      </c>
      <c r="C568" s="463">
        <f>+C118</f>
        <v>0</v>
      </c>
      <c r="D568" s="456"/>
      <c r="E568" s="453">
        <f t="shared" ref="E568:E574" si="160">IFERROR(VLOOKUP(C568,T_Insumos,3,FALSE),0)</f>
        <v>0</v>
      </c>
      <c r="F568" s="456">
        <f>IF(C568="",0,IFERROR(VLOOKUP(COUNTIF($A$1:A568,"ANALISIS DE PRECIOS"),T_Rendimiento_Equipo,5,FALSE),0))</f>
        <v>0</v>
      </c>
      <c r="G568" s="453">
        <f>IFERROR(ROUND(D568*E568/F568,2),0)</f>
        <v>0</v>
      </c>
    </row>
    <row r="569" spans="1:7" ht="19.899999999999999" customHeight="1" x14ac:dyDescent="0.2">
      <c r="A569" s="496">
        <f t="shared" si="158"/>
        <v>0</v>
      </c>
      <c r="B569" s="459">
        <f t="shared" si="159"/>
        <v>0</v>
      </c>
      <c r="C569" s="463">
        <f t="shared" ref="C569:C571" si="161">+C119</f>
        <v>0</v>
      </c>
      <c r="D569" s="456"/>
      <c r="E569" s="453">
        <f t="shared" si="160"/>
        <v>0</v>
      </c>
      <c r="F569" s="456">
        <f>IF(C569="",0,IFERROR(VLOOKUP(COUNTIF($A$1:A569,"ANALISIS DE PRECIOS"),T_Rendimiento_Equipo,5,FALSE),0))</f>
        <v>0</v>
      </c>
      <c r="G569" s="453">
        <f t="shared" ref="G569:G574" si="162">IFERROR(ROUND(D569*E569/F569,2),0)</f>
        <v>0</v>
      </c>
    </row>
    <row r="570" spans="1:7" ht="19.899999999999999" customHeight="1" x14ac:dyDescent="0.2">
      <c r="A570" s="496">
        <f t="shared" si="158"/>
        <v>0</v>
      </c>
      <c r="B570" s="459">
        <f t="shared" si="159"/>
        <v>0</v>
      </c>
      <c r="C570" s="463">
        <f t="shared" si="161"/>
        <v>0</v>
      </c>
      <c r="D570" s="456"/>
      <c r="E570" s="453">
        <f t="shared" si="160"/>
        <v>0</v>
      </c>
      <c r="F570" s="456">
        <f>IF(C570="",0,IFERROR(VLOOKUP(COUNTIF($A$1:A570,"ANALISIS DE PRECIOS"),T_Rendimiento_Equipo,5,FALSE),0))</f>
        <v>0</v>
      </c>
      <c r="G570" s="453">
        <f t="shared" si="162"/>
        <v>0</v>
      </c>
    </row>
    <row r="571" spans="1:7" ht="19.899999999999999" customHeight="1" x14ac:dyDescent="0.2">
      <c r="A571" s="496">
        <f t="shared" si="158"/>
        <v>0</v>
      </c>
      <c r="B571" s="459">
        <f t="shared" si="159"/>
        <v>0</v>
      </c>
      <c r="C571" s="463">
        <f t="shared" si="161"/>
        <v>0</v>
      </c>
      <c r="D571" s="456"/>
      <c r="E571" s="453">
        <f t="shared" si="160"/>
        <v>0</v>
      </c>
      <c r="F571" s="456">
        <f>IF(C571="",0,IFERROR(VLOOKUP(COUNTIF($A$1:A571,"ANALISIS DE PRECIOS"),T_Rendimiento_Equipo,5,FALSE),0))</f>
        <v>0</v>
      </c>
      <c r="G571" s="453">
        <f>IFERROR(ROUND(D571*E571/F571,2),0)</f>
        <v>0</v>
      </c>
    </row>
    <row r="572" spans="1:7" ht="19.899999999999999" customHeight="1" x14ac:dyDescent="0.2">
      <c r="A572" s="496">
        <f t="shared" si="158"/>
        <v>0</v>
      </c>
      <c r="B572" s="459">
        <f t="shared" si="159"/>
        <v>0</v>
      </c>
      <c r="C572" s="450"/>
      <c r="D572" s="456"/>
      <c r="E572" s="453">
        <f t="shared" si="160"/>
        <v>0</v>
      </c>
      <c r="F572" s="456">
        <f>IF(C572="",0,IFERROR(VLOOKUP(COUNTIF($A$1:A572,"ANALISIS DE PRECIOS"),T_Rendimiento_Equipo,5,FALSE),0))</f>
        <v>0</v>
      </c>
      <c r="G572" s="453">
        <f t="shared" ref="G572:G577" si="163">IFERROR(ROUND(D572*E572/F572,2),0)</f>
        <v>0</v>
      </c>
    </row>
    <row r="573" spans="1:7" ht="19.899999999999999" customHeight="1" x14ac:dyDescent="0.2">
      <c r="A573" s="496">
        <f t="shared" si="158"/>
        <v>0</v>
      </c>
      <c r="B573" s="459">
        <f t="shared" si="159"/>
        <v>0</v>
      </c>
      <c r="C573" s="450"/>
      <c r="D573" s="464"/>
      <c r="E573" s="453">
        <f t="shared" si="160"/>
        <v>0</v>
      </c>
      <c r="F573" s="456">
        <f>IF(C573="",0,IFERROR(VLOOKUP(COUNTIF($A$1:A573,"ANALISIS DE PRECIOS"),T_Rendimiento_Equipo,5,FALSE),0))</f>
        <v>0</v>
      </c>
      <c r="G573" s="453">
        <f t="shared" si="163"/>
        <v>0</v>
      </c>
    </row>
    <row r="574" spans="1:7" ht="19.899999999999999" customHeight="1" x14ac:dyDescent="0.2">
      <c r="A574" s="496">
        <f t="shared" si="158"/>
        <v>0</v>
      </c>
      <c r="B574" s="459">
        <f t="shared" si="159"/>
        <v>0</v>
      </c>
      <c r="C574" s="459"/>
      <c r="D574" s="465"/>
      <c r="E574" s="453">
        <f t="shared" si="160"/>
        <v>0</v>
      </c>
      <c r="F574" s="456">
        <f>IF(C574="",0,IFERROR(VLOOKUP(COUNTIF($A$1:A574,"ANALISIS DE PRECIOS"),T_Rendimiento_Equipo,5,FALSE),0))</f>
        <v>0</v>
      </c>
      <c r="G574" s="453">
        <f t="shared" si="163"/>
        <v>0</v>
      </c>
    </row>
    <row r="575" spans="1:7" ht="19.899999999999999" customHeight="1" x14ac:dyDescent="0.2">
      <c r="A575" s="497"/>
      <c r="B575" s="440"/>
      <c r="C575" s="155"/>
      <c r="D575" s="440"/>
      <c r="E575" s="441"/>
      <c r="F575" s="462" t="s">
        <v>28</v>
      </c>
      <c r="G575" s="499">
        <f>SUBTOTAL(9,G568:G574)</f>
        <v>0</v>
      </c>
    </row>
    <row r="576" spans="1:7" ht="19.899999999999999" customHeight="1" x14ac:dyDescent="0.2">
      <c r="A576" s="494"/>
      <c r="B576" s="155"/>
      <c r="C576" s="436" t="s">
        <v>990</v>
      </c>
      <c r="D576" s="440"/>
      <c r="E576" s="441"/>
      <c r="F576" s="442"/>
      <c r="G576" s="495"/>
    </row>
    <row r="577" spans="1:7" ht="19.899999999999999" customHeight="1" x14ac:dyDescent="0.2">
      <c r="A577" s="677" t="s">
        <v>576</v>
      </c>
      <c r="B577" s="678"/>
      <c r="C577" s="679" t="s">
        <v>0</v>
      </c>
      <c r="D577" s="679" t="s">
        <v>1733</v>
      </c>
      <c r="E577" s="681" t="s">
        <v>24</v>
      </c>
      <c r="F577" s="683" t="s">
        <v>25</v>
      </c>
      <c r="G577" s="685" t="s">
        <v>26</v>
      </c>
    </row>
    <row r="578" spans="1:7" ht="19.899999999999999" customHeight="1" x14ac:dyDescent="0.2">
      <c r="A578" s="458" t="s">
        <v>577</v>
      </c>
      <c r="B578" s="458" t="s">
        <v>578</v>
      </c>
      <c r="C578" s="680"/>
      <c r="D578" s="680"/>
      <c r="E578" s="682"/>
      <c r="F578" s="684"/>
      <c r="G578" s="686"/>
    </row>
    <row r="579" spans="1:7" ht="19.899999999999999" customHeight="1" x14ac:dyDescent="0.2">
      <c r="A579" s="496">
        <f t="shared" ref="A579:A589" si="164">IFERROR(VLOOKUP(C579,T_Insumos,4,FALSE),0)</f>
        <v>0</v>
      </c>
      <c r="B579" s="459">
        <f t="shared" ref="B579:B589" si="165">IFERROR(VLOOKUP(C579,T_Insumos,5,FALSE),0)</f>
        <v>0</v>
      </c>
      <c r="C579" s="459">
        <f>+Insumos!A126</f>
        <v>0</v>
      </c>
      <c r="D579" s="507">
        <f t="shared" ref="D579:D589" si="166">IFERROR(VLOOKUP(C579,T_Insumos,2,FALSE),0)</f>
        <v>0</v>
      </c>
      <c r="E579" s="451"/>
      <c r="F579" s="453">
        <f t="shared" ref="F579:F589" si="167">IFERROR(VLOOKUP(C579,T_Insumos,3,FALSE),0)</f>
        <v>0</v>
      </c>
      <c r="G579" s="453">
        <f>ROUND(E579*F579,2)</f>
        <v>0</v>
      </c>
    </row>
    <row r="580" spans="1:7" ht="19.899999999999999" customHeight="1" x14ac:dyDescent="0.2">
      <c r="A580" s="496">
        <f t="shared" si="164"/>
        <v>0</v>
      </c>
      <c r="B580" s="459">
        <f t="shared" si="165"/>
        <v>0</v>
      </c>
      <c r="C580" s="459">
        <f>+Insumos!A168</f>
        <v>0</v>
      </c>
      <c r="D580" s="507">
        <f t="shared" si="166"/>
        <v>0</v>
      </c>
      <c r="E580" s="451"/>
      <c r="F580" s="453">
        <f t="shared" si="167"/>
        <v>0</v>
      </c>
      <c r="G580" s="453">
        <f>ROUND(E580*F580,2)</f>
        <v>0</v>
      </c>
    </row>
    <row r="581" spans="1:7" ht="19.899999999999999" customHeight="1" x14ac:dyDescent="0.2">
      <c r="A581" s="496">
        <f t="shared" si="164"/>
        <v>0</v>
      </c>
      <c r="B581" s="459">
        <f t="shared" si="165"/>
        <v>0</v>
      </c>
      <c r="C581" s="459"/>
      <c r="D581" s="507">
        <f t="shared" si="166"/>
        <v>0</v>
      </c>
      <c r="E581" s="451"/>
      <c r="F581" s="453">
        <f t="shared" si="167"/>
        <v>0</v>
      </c>
      <c r="G581" s="453">
        <f t="shared" ref="G581:G589" si="168">ROUND(E581*F581,2)</f>
        <v>0</v>
      </c>
    </row>
    <row r="582" spans="1:7" ht="19.899999999999999" customHeight="1" x14ac:dyDescent="0.2">
      <c r="A582" s="496">
        <f t="shared" si="164"/>
        <v>0</v>
      </c>
      <c r="B582" s="459">
        <f t="shared" si="165"/>
        <v>0</v>
      </c>
      <c r="C582" s="459"/>
      <c r="D582" s="507">
        <f t="shared" si="166"/>
        <v>0</v>
      </c>
      <c r="E582" s="451"/>
      <c r="F582" s="453">
        <f t="shared" si="167"/>
        <v>0</v>
      </c>
      <c r="G582" s="453">
        <f t="shared" si="168"/>
        <v>0</v>
      </c>
    </row>
    <row r="583" spans="1:7" ht="19.899999999999999" customHeight="1" x14ac:dyDescent="0.2">
      <c r="A583" s="496">
        <f t="shared" si="164"/>
        <v>0</v>
      </c>
      <c r="B583" s="459">
        <f t="shared" si="165"/>
        <v>0</v>
      </c>
      <c r="C583" s="459"/>
      <c r="D583" s="507">
        <f t="shared" si="166"/>
        <v>0</v>
      </c>
      <c r="E583" s="451"/>
      <c r="F583" s="453">
        <f t="shared" si="167"/>
        <v>0</v>
      </c>
      <c r="G583" s="453">
        <f t="shared" si="168"/>
        <v>0</v>
      </c>
    </row>
    <row r="584" spans="1:7" ht="19.899999999999999" customHeight="1" x14ac:dyDescent="0.2">
      <c r="A584" s="496">
        <f t="shared" si="164"/>
        <v>0</v>
      </c>
      <c r="B584" s="459">
        <f t="shared" si="165"/>
        <v>0</v>
      </c>
      <c r="C584" s="459"/>
      <c r="D584" s="507">
        <f t="shared" si="166"/>
        <v>0</v>
      </c>
      <c r="E584" s="451"/>
      <c r="F584" s="453">
        <f t="shared" si="167"/>
        <v>0</v>
      </c>
      <c r="G584" s="453">
        <f t="shared" si="168"/>
        <v>0</v>
      </c>
    </row>
    <row r="585" spans="1:7" ht="19.899999999999999" customHeight="1" x14ac:dyDescent="0.2">
      <c r="A585" s="496">
        <f t="shared" si="164"/>
        <v>0</v>
      </c>
      <c r="B585" s="459">
        <f t="shared" si="165"/>
        <v>0</v>
      </c>
      <c r="C585" s="459"/>
      <c r="D585" s="507">
        <f t="shared" si="166"/>
        <v>0</v>
      </c>
      <c r="E585" s="451"/>
      <c r="F585" s="453">
        <f t="shared" si="167"/>
        <v>0</v>
      </c>
      <c r="G585" s="453">
        <f t="shared" si="168"/>
        <v>0</v>
      </c>
    </row>
    <row r="586" spans="1:7" ht="19.899999999999999" customHeight="1" x14ac:dyDescent="0.2">
      <c r="A586" s="496">
        <f t="shared" si="164"/>
        <v>0</v>
      </c>
      <c r="B586" s="459">
        <f t="shared" si="165"/>
        <v>0</v>
      </c>
      <c r="C586" s="459"/>
      <c r="D586" s="507">
        <f t="shared" si="166"/>
        <v>0</v>
      </c>
      <c r="E586" s="451"/>
      <c r="F586" s="453">
        <f t="shared" si="167"/>
        <v>0</v>
      </c>
      <c r="G586" s="453">
        <f t="shared" si="168"/>
        <v>0</v>
      </c>
    </row>
    <row r="587" spans="1:7" ht="19.899999999999999" customHeight="1" x14ac:dyDescent="0.2">
      <c r="A587" s="496">
        <f t="shared" si="164"/>
        <v>0</v>
      </c>
      <c r="B587" s="459">
        <f t="shared" si="165"/>
        <v>0</v>
      </c>
      <c r="C587" s="459"/>
      <c r="D587" s="507">
        <f t="shared" si="166"/>
        <v>0</v>
      </c>
      <c r="E587" s="451"/>
      <c r="F587" s="453">
        <f t="shared" si="167"/>
        <v>0</v>
      </c>
      <c r="G587" s="453">
        <f t="shared" si="168"/>
        <v>0</v>
      </c>
    </row>
    <row r="588" spans="1:7" ht="19.899999999999999" customHeight="1" x14ac:dyDescent="0.2">
      <c r="A588" s="496">
        <f t="shared" si="164"/>
        <v>0</v>
      </c>
      <c r="B588" s="459">
        <f t="shared" si="165"/>
        <v>0</v>
      </c>
      <c r="C588" s="459"/>
      <c r="D588" s="507">
        <f t="shared" si="166"/>
        <v>0</v>
      </c>
      <c r="E588" s="451"/>
      <c r="F588" s="453">
        <f t="shared" si="167"/>
        <v>0</v>
      </c>
      <c r="G588" s="453">
        <f t="shared" si="168"/>
        <v>0</v>
      </c>
    </row>
    <row r="589" spans="1:7" ht="19.899999999999999" customHeight="1" x14ac:dyDescent="0.2">
      <c r="A589" s="496">
        <f t="shared" si="164"/>
        <v>0</v>
      </c>
      <c r="B589" s="459">
        <f t="shared" si="165"/>
        <v>0</v>
      </c>
      <c r="C589" s="459"/>
      <c r="D589" s="507">
        <f t="shared" si="166"/>
        <v>0</v>
      </c>
      <c r="E589" s="451"/>
      <c r="F589" s="453">
        <f t="shared" si="167"/>
        <v>0</v>
      </c>
      <c r="G589" s="453">
        <f t="shared" si="168"/>
        <v>0</v>
      </c>
    </row>
    <row r="590" spans="1:7" ht="19.899999999999999" customHeight="1" x14ac:dyDescent="0.2">
      <c r="A590" s="494"/>
      <c r="B590" s="155"/>
      <c r="C590" s="155"/>
      <c r="D590" s="440"/>
      <c r="E590" s="441"/>
      <c r="F590" s="462" t="s">
        <v>29</v>
      </c>
      <c r="G590" s="499">
        <f>SUBTOTAL(9,G579:G589)</f>
        <v>0</v>
      </c>
    </row>
    <row r="591" spans="1:7" ht="19.899999999999999" customHeight="1" x14ac:dyDescent="0.2">
      <c r="A591" s="494"/>
      <c r="B591" s="155"/>
      <c r="C591" s="436" t="s">
        <v>991</v>
      </c>
      <c r="D591" s="440"/>
      <c r="E591" s="441"/>
      <c r="F591" s="442"/>
      <c r="G591" s="495"/>
    </row>
    <row r="592" spans="1:7" ht="19.899999999999999" customHeight="1" x14ac:dyDescent="0.2">
      <c r="A592" s="677" t="s">
        <v>576</v>
      </c>
      <c r="B592" s="678"/>
      <c r="C592" s="679" t="s">
        <v>0</v>
      </c>
      <c r="D592" s="679" t="s">
        <v>1733</v>
      </c>
      <c r="E592" s="681" t="s">
        <v>24</v>
      </c>
      <c r="F592" s="683" t="s">
        <v>25</v>
      </c>
      <c r="G592" s="685" t="s">
        <v>26</v>
      </c>
    </row>
    <row r="593" spans="1:7" ht="19.899999999999999" customHeight="1" x14ac:dyDescent="0.2">
      <c r="A593" s="458" t="s">
        <v>577</v>
      </c>
      <c r="B593" s="458" t="s">
        <v>578</v>
      </c>
      <c r="C593" s="680"/>
      <c r="D593" s="680"/>
      <c r="E593" s="682"/>
      <c r="F593" s="684"/>
      <c r="G593" s="686"/>
    </row>
    <row r="594" spans="1:7" ht="19.899999999999999" customHeight="1" x14ac:dyDescent="0.2">
      <c r="A594" s="496">
        <f>IFERROR(VLOOKUP(C594,T_Insumos,4,FALSE),0)</f>
        <v>0</v>
      </c>
      <c r="B594" s="459">
        <f>IFERROR(VLOOKUP(C594,T_Insumos,5,FALSE),0)</f>
        <v>0</v>
      </c>
      <c r="C594" s="450"/>
      <c r="D594" s="507">
        <f>IF(C594=0,0,"$/tnkm")</f>
        <v>0</v>
      </c>
      <c r="E594" s="451"/>
      <c r="F594" s="453">
        <f>IFERROR(VLOOKUP(C594,T_Insumos,3,FALSE),0)</f>
        <v>0</v>
      </c>
      <c r="G594" s="453">
        <f>ROUND(E594*F594,2)</f>
        <v>0</v>
      </c>
    </row>
    <row r="595" spans="1:7" ht="19.899999999999999" customHeight="1" x14ac:dyDescent="0.2">
      <c r="A595" s="496">
        <f>IFERROR(VLOOKUP(C595,T_Insumos,4,FALSE),0)</f>
        <v>0</v>
      </c>
      <c r="B595" s="459">
        <f>IFERROR(VLOOKUP(C595,T_Insumos,5,FALSE),0)</f>
        <v>0</v>
      </c>
      <c r="C595" s="450"/>
      <c r="D595" s="507">
        <f>IF(C595=0,0,"$/tnkm")</f>
        <v>0</v>
      </c>
      <c r="E595" s="467"/>
      <c r="F595" s="453">
        <f>IFERROR(VLOOKUP(C595,T_Insumos,3,FALSE),0)</f>
        <v>0</v>
      </c>
      <c r="G595" s="453">
        <f t="shared" ref="G595" si="169">ROUND(E595*F595,2)</f>
        <v>0</v>
      </c>
    </row>
    <row r="596" spans="1:7" ht="19.899999999999999" customHeight="1" x14ac:dyDescent="0.2">
      <c r="A596" s="494"/>
      <c r="B596" s="155"/>
      <c r="C596" s="155"/>
      <c r="D596" s="440"/>
      <c r="E596" s="441"/>
      <c r="F596" s="462" t="s">
        <v>992</v>
      </c>
      <c r="G596" s="499">
        <f>SUBTOTAL(9,G594:G595)</f>
        <v>0</v>
      </c>
    </row>
    <row r="597" spans="1:7" ht="19.899999999999999" customHeight="1" x14ac:dyDescent="0.2">
      <c r="A597" s="497"/>
      <c r="B597" s="440"/>
      <c r="C597" s="155"/>
      <c r="D597" s="440"/>
      <c r="E597" s="441"/>
      <c r="F597" s="442"/>
      <c r="G597" s="495"/>
    </row>
    <row r="598" spans="1:7" ht="19.899999999999999" customHeight="1" x14ac:dyDescent="0.2">
      <c r="A598" s="555" t="str">
        <f>B532</f>
        <v>2.1.1</v>
      </c>
      <c r="B598" s="552" t="str">
        <f ca="1">C532</f>
        <v>Preparación y Limpieza de Superf.</v>
      </c>
      <c r="C598" s="440"/>
      <c r="D598" s="440" t="s">
        <v>1712</v>
      </c>
      <c r="E598" s="553"/>
      <c r="F598" s="554" t="str">
        <f ca="1">"$/"&amp;G532</f>
        <v>$/GL</v>
      </c>
      <c r="G598" s="504">
        <f>SUBTOTAL(9,G555:G597)</f>
        <v>0</v>
      </c>
    </row>
    <row r="599" spans="1:7" ht="19.899999999999999" customHeight="1" x14ac:dyDescent="0.2">
      <c r="A599" s="500"/>
      <c r="B599" s="501"/>
      <c r="C599" s="502"/>
      <c r="D599" s="502" t="s">
        <v>1908</v>
      </c>
      <c r="E599" s="503"/>
      <c r="F599" s="556" t="str">
        <f ca="1">"$/"&amp;G532</f>
        <v>$/GL</v>
      </c>
      <c r="G599" s="504">
        <f>ROUND(G598*Coeficiente_Paso,2)</f>
        <v>0</v>
      </c>
    </row>
    <row r="600" spans="1:7" ht="19.899999999999999" customHeight="1" x14ac:dyDescent="0.2">
      <c r="A600" s="687" t="s">
        <v>31</v>
      </c>
      <c r="B600" s="688"/>
      <c r="C600" s="688"/>
      <c r="D600" s="688"/>
      <c r="E600" s="688"/>
      <c r="F600" s="688"/>
      <c r="G600" s="689"/>
    </row>
    <row r="601" spans="1:7" ht="19.899999999999999" customHeight="1" x14ac:dyDescent="0.2">
      <c r="A601" s="483" t="s">
        <v>711</v>
      </c>
      <c r="B601" s="434" t="str">
        <f>Comitente</f>
        <v>DEPARTAMENTO DE HIDRÁULICA</v>
      </c>
      <c r="C601" s="435"/>
      <c r="D601" s="436"/>
      <c r="E601" s="436"/>
      <c r="F601" s="437"/>
      <c r="G601" s="484"/>
    </row>
    <row r="602" spans="1:7" ht="19.899999999999999" customHeight="1" x14ac:dyDescent="0.2">
      <c r="A602" s="483" t="s">
        <v>712</v>
      </c>
      <c r="B602" s="434">
        <f>Contratista</f>
        <v>0</v>
      </c>
      <c r="C602" s="438"/>
      <c r="D602" s="438"/>
      <c r="E602" s="438"/>
      <c r="F602" s="434"/>
      <c r="G602" s="485"/>
    </row>
    <row r="603" spans="1:7" ht="19.899999999999999" customHeight="1" x14ac:dyDescent="0.2">
      <c r="A603" s="483" t="s">
        <v>21</v>
      </c>
      <c r="B603" s="434" t="str">
        <f>Obra</f>
        <v>RECRECIMIENTO Y REPARACIÓN CANALES SARMIENTO, 9 DE JULIO Y CHIMBAS</v>
      </c>
      <c r="C603" s="438"/>
      <c r="D603" s="438"/>
      <c r="E603" s="438"/>
      <c r="F603" s="434" t="s">
        <v>32</v>
      </c>
      <c r="G603" s="485">
        <f>Fecha_Base</f>
        <v>0</v>
      </c>
    </row>
    <row r="604" spans="1:7" ht="19.899999999999999" customHeight="1" x14ac:dyDescent="0.2">
      <c r="A604" s="486" t="s">
        <v>710</v>
      </c>
      <c r="B604" s="439" t="str">
        <f>Ubicación</f>
        <v>DEPARTAMENTOS SARMIENTO, 9 DE JULIO Y CHIMBAS</v>
      </c>
      <c r="C604" s="439"/>
      <c r="D604" s="440"/>
      <c r="E604" s="441"/>
      <c r="F604" s="442"/>
      <c r="G604" s="487"/>
    </row>
    <row r="605" spans="1:7" ht="19.899999999999999" customHeight="1" x14ac:dyDescent="0.2">
      <c r="A605" s="486" t="s">
        <v>33</v>
      </c>
      <c r="B605" s="443">
        <f>IFERROR(VALUE(LEFT(B606,FIND(".",B606)-1)),"")</f>
        <v>2</v>
      </c>
      <c r="C605" s="155" t="str">
        <f ca="1">IFERROR(VLOOKUP(B605,T_Computo_Presupuesto,2,FALSE),0)</f>
        <v>DPTO. 9 DE JULIO (R. BALMACEDA y R. ZUNGRY ALDAY)</v>
      </c>
      <c r="D605" s="155"/>
      <c r="E605" s="441"/>
      <c r="F605" s="442"/>
      <c r="G605" s="487"/>
    </row>
    <row r="606" spans="1:7" ht="19.899999999999999" customHeight="1" x14ac:dyDescent="0.2">
      <c r="A606" s="486" t="s">
        <v>22</v>
      </c>
      <c r="B606" s="444" t="str">
        <f>IFERROR(VLOOKUP(COUNTIF($A$1:A606,"ANALISIS DE PRECIOS"),T_NumeroItem,2,FALSE),"")</f>
        <v>2.1.2</v>
      </c>
      <c r="C606" s="690" t="str">
        <f ca="1">IFERROR(VLOOKUP(B606,T_Computo_Presupuesto,2,FALSE),0)</f>
        <v>Replanteo</v>
      </c>
      <c r="D606" s="690"/>
      <c r="E606" s="690"/>
      <c r="F606" s="439" t="s">
        <v>23</v>
      </c>
      <c r="G606" s="488" t="str">
        <f ca="1">IFERROR(VLOOKUP(B606,T_Computo_Presupuesto,4,FALSE),0)</f>
        <v>GL</v>
      </c>
    </row>
    <row r="607" spans="1:7" ht="19.899999999999999" customHeight="1" x14ac:dyDescent="0.2">
      <c r="A607" s="486"/>
      <c r="B607" s="439"/>
      <c r="C607" s="155"/>
      <c r="D607" s="440"/>
      <c r="E607" s="441"/>
      <c r="F607" s="155"/>
      <c r="G607" s="489"/>
    </row>
    <row r="608" spans="1:7" ht="19.899999999999999" customHeight="1" x14ac:dyDescent="0.2">
      <c r="A608" s="490"/>
      <c r="B608" s="445"/>
      <c r="C608" s="446" t="s">
        <v>975</v>
      </c>
      <c r="D608" s="445"/>
      <c r="E608" s="445"/>
      <c r="F608" s="445"/>
      <c r="G608" s="491"/>
    </row>
    <row r="609" spans="1:7" ht="19.899999999999999" customHeight="1" x14ac:dyDescent="0.2">
      <c r="A609" s="486"/>
      <c r="B609" s="447"/>
      <c r="C609" s="155"/>
      <c r="D609" s="440"/>
      <c r="E609" s="441"/>
      <c r="F609" s="439"/>
      <c r="G609" s="488"/>
    </row>
    <row r="610" spans="1:7" ht="19.899999999999999" customHeight="1" x14ac:dyDescent="0.2">
      <c r="A610" s="486"/>
      <c r="B610" s="447"/>
      <c r="C610" s="448" t="s">
        <v>976</v>
      </c>
      <c r="D610" s="449" t="s">
        <v>24</v>
      </c>
      <c r="E610" s="449" t="s">
        <v>977</v>
      </c>
      <c r="F610" s="449" t="s">
        <v>978</v>
      </c>
      <c r="G610" s="448" t="s">
        <v>979</v>
      </c>
    </row>
    <row r="611" spans="1:7" ht="19.899999999999999" customHeight="1" x14ac:dyDescent="0.2">
      <c r="A611" s="486"/>
      <c r="B611" s="447"/>
      <c r="C611" s="450">
        <f>+Equipos!A165</f>
        <v>0</v>
      </c>
      <c r="D611" s="451"/>
      <c r="E611" s="452">
        <f t="shared" ref="E611:E620" si="170">IFERROR(VLOOKUP(C611,T_Equipos,4,FALSE),0)</f>
        <v>0</v>
      </c>
      <c r="F611" s="453">
        <f t="shared" ref="F611:F620" si="171">IFERROR(VLOOKUP(C611,T_Equipos,5,FALSE),0)</f>
        <v>0</v>
      </c>
      <c r="G611" s="453">
        <f>ROUND(D611*F611,2)</f>
        <v>0</v>
      </c>
    </row>
    <row r="612" spans="1:7" ht="19.899999999999999" customHeight="1" x14ac:dyDescent="0.2">
      <c r="A612" s="486"/>
      <c r="B612" s="447"/>
      <c r="C612" s="450">
        <f>+Equipos!A162</f>
        <v>0</v>
      </c>
      <c r="D612" s="451"/>
      <c r="E612" s="452">
        <f t="shared" si="170"/>
        <v>0</v>
      </c>
      <c r="F612" s="453">
        <f t="shared" si="171"/>
        <v>0</v>
      </c>
      <c r="G612" s="453">
        <f>ROUND(D612*F612,2)</f>
        <v>0</v>
      </c>
    </row>
    <row r="613" spans="1:7" ht="19.899999999999999" customHeight="1" x14ac:dyDescent="0.2">
      <c r="A613" s="486"/>
      <c r="B613" s="447"/>
      <c r="C613" s="450">
        <f>+Equipos!A174</f>
        <v>0</v>
      </c>
      <c r="D613" s="451"/>
      <c r="E613" s="452">
        <f t="shared" si="170"/>
        <v>0</v>
      </c>
      <c r="F613" s="453">
        <f t="shared" si="171"/>
        <v>0</v>
      </c>
      <c r="G613" s="453">
        <f>ROUND(D613*F613,2)</f>
        <v>0</v>
      </c>
    </row>
    <row r="614" spans="1:7" ht="19.899999999999999" customHeight="1" x14ac:dyDescent="0.2">
      <c r="A614" s="486"/>
      <c r="B614" s="447"/>
      <c r="C614" s="450">
        <f>+Equipos!A182</f>
        <v>0</v>
      </c>
      <c r="D614" s="451"/>
      <c r="E614" s="452">
        <f t="shared" si="170"/>
        <v>0</v>
      </c>
      <c r="F614" s="453">
        <f t="shared" si="171"/>
        <v>0</v>
      </c>
      <c r="G614" s="453">
        <f>ROUND(D614*F614,2)</f>
        <v>0</v>
      </c>
    </row>
    <row r="615" spans="1:7" ht="19.899999999999999" customHeight="1" x14ac:dyDescent="0.2">
      <c r="A615" s="486"/>
      <c r="B615" s="447"/>
      <c r="C615" s="450">
        <f>+Equipos!A171</f>
        <v>0</v>
      </c>
      <c r="D615" s="623"/>
      <c r="E615" s="452">
        <f t="shared" si="170"/>
        <v>0</v>
      </c>
      <c r="F615" s="453">
        <f t="shared" si="171"/>
        <v>0</v>
      </c>
      <c r="G615" s="453">
        <f t="shared" ref="G615:G620" si="172">ROUND(D615*F615,2)</f>
        <v>0</v>
      </c>
    </row>
    <row r="616" spans="1:7" ht="19.899999999999999" customHeight="1" x14ac:dyDescent="0.2">
      <c r="A616" s="486"/>
      <c r="B616" s="447"/>
      <c r="C616" s="450">
        <f>+Equipos!A167</f>
        <v>0</v>
      </c>
      <c r="D616" s="451"/>
      <c r="E616" s="452">
        <f t="shared" si="170"/>
        <v>0</v>
      </c>
      <c r="F616" s="453">
        <f t="shared" si="171"/>
        <v>0</v>
      </c>
      <c r="G616" s="453">
        <f t="shared" si="172"/>
        <v>0</v>
      </c>
    </row>
    <row r="617" spans="1:7" ht="19.899999999999999" customHeight="1" x14ac:dyDescent="0.2">
      <c r="A617" s="486"/>
      <c r="B617" s="447"/>
      <c r="C617" s="450"/>
      <c r="D617" s="451"/>
      <c r="E617" s="452">
        <f t="shared" si="170"/>
        <v>0</v>
      </c>
      <c r="F617" s="453">
        <f t="shared" si="171"/>
        <v>0</v>
      </c>
      <c r="G617" s="453">
        <f t="shared" si="172"/>
        <v>0</v>
      </c>
    </row>
    <row r="618" spans="1:7" ht="19.899999999999999" customHeight="1" x14ac:dyDescent="0.2">
      <c r="A618" s="486"/>
      <c r="B618" s="447"/>
      <c r="C618" s="450"/>
      <c r="D618" s="451"/>
      <c r="E618" s="452">
        <f t="shared" si="170"/>
        <v>0</v>
      </c>
      <c r="F618" s="453">
        <f t="shared" si="171"/>
        <v>0</v>
      </c>
      <c r="G618" s="453">
        <f t="shared" si="172"/>
        <v>0</v>
      </c>
    </row>
    <row r="619" spans="1:7" ht="19.899999999999999" customHeight="1" x14ac:dyDescent="0.2">
      <c r="A619" s="486"/>
      <c r="B619" s="447"/>
      <c r="C619" s="450"/>
      <c r="D619" s="451"/>
      <c r="E619" s="452">
        <f t="shared" si="170"/>
        <v>0</v>
      </c>
      <c r="F619" s="453">
        <f t="shared" si="171"/>
        <v>0</v>
      </c>
      <c r="G619" s="453">
        <f t="shared" si="172"/>
        <v>0</v>
      </c>
    </row>
    <row r="620" spans="1:7" ht="19.899999999999999" customHeight="1" x14ac:dyDescent="0.2">
      <c r="A620" s="486"/>
      <c r="B620" s="447"/>
      <c r="C620" s="450"/>
      <c r="D620" s="451"/>
      <c r="E620" s="452">
        <f t="shared" si="170"/>
        <v>0</v>
      </c>
      <c r="F620" s="453">
        <f t="shared" si="171"/>
        <v>0</v>
      </c>
      <c r="G620" s="453">
        <f t="shared" si="172"/>
        <v>0</v>
      </c>
    </row>
    <row r="621" spans="1:7" ht="19.899999999999999" customHeight="1" x14ac:dyDescent="0.2">
      <c r="A621" s="486"/>
      <c r="B621" s="447"/>
      <c r="C621" s="155"/>
      <c r="D621" s="155"/>
      <c r="E621" s="454"/>
      <c r="F621" s="439"/>
      <c r="G621" s="488"/>
    </row>
    <row r="622" spans="1:7" ht="19.899999999999999" customHeight="1" x14ac:dyDescent="0.2">
      <c r="A622" s="486"/>
      <c r="B622" s="155"/>
      <c r="C622" s="436" t="s">
        <v>980</v>
      </c>
      <c r="D622" s="439" t="s">
        <v>977</v>
      </c>
      <c r="E622" s="505">
        <f>SUMPRODUCT(D611:D620,E611:E620)</f>
        <v>0</v>
      </c>
      <c r="F622" s="439" t="s">
        <v>981</v>
      </c>
      <c r="G622" s="506">
        <f>SUM(G611:G620)</f>
        <v>0</v>
      </c>
    </row>
    <row r="623" spans="1:7" ht="19.899999999999999" customHeight="1" x14ac:dyDescent="0.2">
      <c r="A623" s="486"/>
      <c r="B623" s="447"/>
      <c r="C623" s="455"/>
      <c r="D623" s="454"/>
      <c r="E623" s="441"/>
      <c r="F623" s="439"/>
      <c r="G623" s="492"/>
    </row>
    <row r="624" spans="1:7" ht="19.899999999999999" customHeight="1" x14ac:dyDescent="0.2">
      <c r="A624" s="493"/>
      <c r="B624" s="447"/>
      <c r="C624" s="439" t="s">
        <v>982</v>
      </c>
      <c r="D624" s="456">
        <f>IFERROR(VLOOKUP(COUNTIF($A$1:A624,"ANALISIS DE PRECIOS"),T_Rendimiento_Equipo,5,FALSE),0)</f>
        <v>0</v>
      </c>
      <c r="E624" s="457" t="str">
        <f ca="1">G606&amp;"/día"</f>
        <v>GL/día</v>
      </c>
      <c r="F624" s="433"/>
      <c r="G624" s="488"/>
    </row>
    <row r="625" spans="1:7" ht="19.899999999999999" customHeight="1" x14ac:dyDescent="0.2">
      <c r="A625" s="486"/>
      <c r="B625" s="447"/>
      <c r="C625" s="155"/>
      <c r="D625" s="440"/>
      <c r="E625" s="441"/>
      <c r="F625" s="439"/>
      <c r="G625" s="488"/>
    </row>
    <row r="626" spans="1:7" ht="19.899999999999999" customHeight="1" x14ac:dyDescent="0.2">
      <c r="A626" s="677" t="s">
        <v>576</v>
      </c>
      <c r="B626" s="678"/>
      <c r="C626" s="679" t="s">
        <v>0</v>
      </c>
      <c r="D626" s="691" t="s">
        <v>1732</v>
      </c>
      <c r="E626" s="691" t="s">
        <v>1731</v>
      </c>
      <c r="F626" s="683" t="s">
        <v>983</v>
      </c>
      <c r="G626" s="685" t="s">
        <v>26</v>
      </c>
    </row>
    <row r="627" spans="1:7" ht="19.899999999999999" customHeight="1" x14ac:dyDescent="0.2">
      <c r="A627" s="458" t="s">
        <v>577</v>
      </c>
      <c r="B627" s="458" t="s">
        <v>578</v>
      </c>
      <c r="C627" s="680"/>
      <c r="D627" s="692"/>
      <c r="E627" s="682"/>
      <c r="F627" s="684"/>
      <c r="G627" s="686"/>
    </row>
    <row r="628" spans="1:7" ht="19.899999999999999" customHeight="1" x14ac:dyDescent="0.2">
      <c r="A628" s="494"/>
      <c r="B628" s="155"/>
      <c r="C628" s="436" t="s">
        <v>984</v>
      </c>
      <c r="D628" s="441"/>
      <c r="E628" s="441"/>
      <c r="F628" s="155"/>
      <c r="G628" s="495"/>
    </row>
    <row r="629" spans="1:7" ht="19.899999999999999" customHeight="1" x14ac:dyDescent="0.2">
      <c r="A629" s="496">
        <f t="shared" ref="A629:A637" si="173">IFERROR(VLOOKUP(C629,T_Insumos,4,FALSE),0)</f>
        <v>0</v>
      </c>
      <c r="B629" s="459">
        <f t="shared" ref="B629:B637" si="174">IFERROR(VLOOKUP(C629,T_Insumos,5,FALSE),0)</f>
        <v>0</v>
      </c>
      <c r="C629" s="450" t="str">
        <f>+C179</f>
        <v>A - EQUIPOS</v>
      </c>
      <c r="D629" s="460">
        <f t="shared" ref="D629:D637" si="175">IFERROR(VLOOKUP(C629,T_Insumos,3,FALSE),0)</f>
        <v>0</v>
      </c>
      <c r="E629" s="453">
        <f>D629*$G$473</f>
        <v>0</v>
      </c>
      <c r="F629" s="456">
        <f>IF(C629="",0,IFERROR(VLOOKUP(COUNTIF($A$1:A629,"ANALISIS DE PRECIOS"),T_Rendimiento_Equipo,5,FALSE),0))</f>
        <v>0</v>
      </c>
      <c r="G629" s="453">
        <f>IFERROR(ROUND(E629/F629,2),0)</f>
        <v>0</v>
      </c>
    </row>
    <row r="630" spans="1:7" ht="19.899999999999999" customHeight="1" x14ac:dyDescent="0.2">
      <c r="A630" s="496">
        <f t="shared" si="173"/>
        <v>0</v>
      </c>
      <c r="B630" s="459">
        <f t="shared" si="174"/>
        <v>0</v>
      </c>
      <c r="C630" s="450">
        <f t="shared" ref="C630:C632" si="176">+C180</f>
        <v>0</v>
      </c>
      <c r="D630" s="460">
        <f t="shared" si="175"/>
        <v>0</v>
      </c>
      <c r="E630" s="453">
        <f t="shared" ref="E630:E631" si="177">D630*$G$473</f>
        <v>0</v>
      </c>
      <c r="F630" s="456">
        <f>IF(C630="",0,IFERROR(VLOOKUP(COUNTIF($A$1:A630,"ANALISIS DE PRECIOS"),T_Rendimiento_Equipo,5,FALSE),0))</f>
        <v>0</v>
      </c>
      <c r="G630" s="453">
        <f t="shared" ref="G630:G637" si="178">IFERROR(ROUND(E630/F630,2),0)</f>
        <v>0</v>
      </c>
    </row>
    <row r="631" spans="1:7" ht="19.899999999999999" customHeight="1" x14ac:dyDescent="0.2">
      <c r="A631" s="496">
        <f t="shared" si="173"/>
        <v>0</v>
      </c>
      <c r="B631" s="459">
        <f t="shared" si="174"/>
        <v>0</v>
      </c>
      <c r="C631" s="450">
        <f t="shared" si="176"/>
        <v>0</v>
      </c>
      <c r="D631" s="460">
        <f t="shared" si="175"/>
        <v>0</v>
      </c>
      <c r="E631" s="453">
        <f t="shared" si="177"/>
        <v>0</v>
      </c>
      <c r="F631" s="456">
        <f>IF(C631="",0,IFERROR(VLOOKUP(COUNTIF($A$1:A631,"ANALISIS DE PRECIOS"),T_Rendimiento_Equipo,5,FALSE),0))</f>
        <v>0</v>
      </c>
      <c r="G631" s="453">
        <f t="shared" si="178"/>
        <v>0</v>
      </c>
    </row>
    <row r="632" spans="1:7" ht="19.899999999999999" customHeight="1" x14ac:dyDescent="0.2">
      <c r="A632" s="496">
        <f t="shared" si="173"/>
        <v>0</v>
      </c>
      <c r="B632" s="459">
        <f t="shared" si="174"/>
        <v>0</v>
      </c>
      <c r="C632" s="450">
        <f t="shared" si="176"/>
        <v>0</v>
      </c>
      <c r="D632" s="460">
        <f t="shared" si="175"/>
        <v>0</v>
      </c>
      <c r="E632" s="453">
        <f>D632*$E$473</f>
        <v>0</v>
      </c>
      <c r="F632" s="456">
        <f>IF(C632="",0,IFERROR(VLOOKUP(COUNTIF($A$1:A632,"ANALISIS DE PRECIOS"),T_Rendimiento_Equipo,5,FALSE),0))</f>
        <v>0</v>
      </c>
      <c r="G632" s="453">
        <f t="shared" si="178"/>
        <v>0</v>
      </c>
    </row>
    <row r="633" spans="1:7" ht="19.899999999999999" customHeight="1" x14ac:dyDescent="0.2">
      <c r="A633" s="496">
        <f t="shared" si="173"/>
        <v>0</v>
      </c>
      <c r="B633" s="459">
        <f t="shared" si="174"/>
        <v>0</v>
      </c>
      <c r="C633" s="461"/>
      <c r="D633" s="460">
        <f t="shared" si="175"/>
        <v>0</v>
      </c>
      <c r="E633" s="453"/>
      <c r="F633" s="456">
        <f>IF(C633="",0,IFERROR(VLOOKUP(COUNTIF($A$1:A633,"ANALISIS DE PRECIOS"),T_Rendimiento_Equipo,5,FALSE),0))</f>
        <v>0</v>
      </c>
      <c r="G633" s="453">
        <f t="shared" si="178"/>
        <v>0</v>
      </c>
    </row>
    <row r="634" spans="1:7" ht="19.899999999999999" customHeight="1" x14ac:dyDescent="0.2">
      <c r="A634" s="496">
        <f t="shared" si="173"/>
        <v>0</v>
      </c>
      <c r="B634" s="459">
        <f t="shared" si="174"/>
        <v>0</v>
      </c>
      <c r="C634" s="461"/>
      <c r="D634" s="460">
        <f t="shared" si="175"/>
        <v>0</v>
      </c>
      <c r="E634" s="453"/>
      <c r="F634" s="456">
        <f>IF(C634="",0,IFERROR(VLOOKUP(COUNTIF($A$1:A634,"ANALISIS DE PRECIOS"),T_Rendimiento_Equipo,5,FALSE),0))</f>
        <v>0</v>
      </c>
      <c r="G634" s="453">
        <f t="shared" si="178"/>
        <v>0</v>
      </c>
    </row>
    <row r="635" spans="1:7" ht="19.899999999999999" customHeight="1" x14ac:dyDescent="0.2">
      <c r="A635" s="496">
        <f t="shared" si="173"/>
        <v>0</v>
      </c>
      <c r="B635" s="459">
        <f t="shared" si="174"/>
        <v>0</v>
      </c>
      <c r="C635" s="461"/>
      <c r="D635" s="460">
        <f t="shared" si="175"/>
        <v>0</v>
      </c>
      <c r="E635" s="453"/>
      <c r="F635" s="456">
        <f>IF(C635="",0,IFERROR(VLOOKUP(COUNTIF($A$1:A635,"ANALISIS DE PRECIOS"),T_Rendimiento_Equipo,5,FALSE),0))</f>
        <v>0</v>
      </c>
      <c r="G635" s="453">
        <f t="shared" si="178"/>
        <v>0</v>
      </c>
    </row>
    <row r="636" spans="1:7" ht="19.899999999999999" customHeight="1" x14ac:dyDescent="0.2">
      <c r="A636" s="496">
        <f t="shared" si="173"/>
        <v>0</v>
      </c>
      <c r="B636" s="459">
        <f t="shared" si="174"/>
        <v>0</v>
      </c>
      <c r="C636" s="461"/>
      <c r="D636" s="460">
        <f t="shared" si="175"/>
        <v>0</v>
      </c>
      <c r="E636" s="453"/>
      <c r="F636" s="456">
        <f>IF(C636="",0,IFERROR(VLOOKUP(COUNTIF($A$1:A636,"ANALISIS DE PRECIOS"),T_Rendimiento_Equipo,5,FALSE),0))</f>
        <v>0</v>
      </c>
      <c r="G636" s="453">
        <f t="shared" si="178"/>
        <v>0</v>
      </c>
    </row>
    <row r="637" spans="1:7" ht="19.899999999999999" customHeight="1" x14ac:dyDescent="0.2">
      <c r="A637" s="496">
        <f t="shared" si="173"/>
        <v>0</v>
      </c>
      <c r="B637" s="459">
        <f t="shared" si="174"/>
        <v>0</v>
      </c>
      <c r="C637" s="450"/>
      <c r="D637" s="460">
        <f t="shared" si="175"/>
        <v>0</v>
      </c>
      <c r="E637" s="453"/>
      <c r="F637" s="456">
        <f>IF(C637="",0,IFERROR(VLOOKUP(COUNTIF($A$1:A637,"ANALISIS DE PRECIOS"),T_Rendimiento_Equipo,5,FALSE),0))</f>
        <v>0</v>
      </c>
      <c r="G637" s="453">
        <f t="shared" si="178"/>
        <v>0</v>
      </c>
    </row>
    <row r="638" spans="1:7" ht="19.899999999999999" customHeight="1" x14ac:dyDescent="0.2">
      <c r="A638" s="497"/>
      <c r="B638" s="440"/>
      <c r="C638" s="155"/>
      <c r="D638" s="440"/>
      <c r="E638" s="441"/>
      <c r="F638" s="462" t="s">
        <v>27</v>
      </c>
      <c r="G638" s="498">
        <f>SUBTOTAL(9,G629:G637)</f>
        <v>0</v>
      </c>
    </row>
    <row r="639" spans="1:7" ht="19.899999999999999" customHeight="1" x14ac:dyDescent="0.2">
      <c r="A639" s="494"/>
      <c r="B639" s="155"/>
      <c r="C639" s="436" t="s">
        <v>713</v>
      </c>
      <c r="D639" s="440"/>
      <c r="E639" s="441"/>
      <c r="F639" s="442"/>
      <c r="G639" s="495"/>
    </row>
    <row r="640" spans="1:7" ht="19.899999999999999" customHeight="1" x14ac:dyDescent="0.2">
      <c r="A640" s="677" t="s">
        <v>576</v>
      </c>
      <c r="B640" s="678"/>
      <c r="C640" s="679" t="s">
        <v>0</v>
      </c>
      <c r="D640" s="681" t="s">
        <v>24</v>
      </c>
      <c r="E640" s="681" t="s">
        <v>1711</v>
      </c>
      <c r="F640" s="683" t="s">
        <v>983</v>
      </c>
      <c r="G640" s="685" t="s">
        <v>26</v>
      </c>
    </row>
    <row r="641" spans="1:7" ht="19.899999999999999" customHeight="1" x14ac:dyDescent="0.2">
      <c r="A641" s="458" t="s">
        <v>577</v>
      </c>
      <c r="B641" s="458" t="s">
        <v>578</v>
      </c>
      <c r="C641" s="680"/>
      <c r="D641" s="682"/>
      <c r="E641" s="682"/>
      <c r="F641" s="684"/>
      <c r="G641" s="686"/>
    </row>
    <row r="642" spans="1:7" ht="19.899999999999999" customHeight="1" x14ac:dyDescent="0.2">
      <c r="A642" s="496">
        <f t="shared" ref="A642:A648" si="179">IFERROR(VLOOKUP(C642,T_Insumos,4,FALSE),0)</f>
        <v>0</v>
      </c>
      <c r="B642" s="459">
        <f t="shared" ref="B642:B648" si="180">IFERROR(VLOOKUP(C642,T_Insumos,5,FALSE),0)</f>
        <v>0</v>
      </c>
      <c r="C642" s="463">
        <f>+C192</f>
        <v>0</v>
      </c>
      <c r="D642" s="456"/>
      <c r="E642" s="453">
        <f t="shared" ref="E642:E648" si="181">IFERROR(VLOOKUP(C642,T_Insumos,3,FALSE),0)</f>
        <v>0</v>
      </c>
      <c r="F642" s="456">
        <f>IF(C642="",0,IFERROR(VLOOKUP(COUNTIF($A$1:A642,"ANALISIS DE PRECIOS"),T_Rendimiento_Equipo,5,FALSE),0))</f>
        <v>0</v>
      </c>
      <c r="G642" s="453">
        <f>IFERROR(ROUND(D642*E642/F642,2),0)</f>
        <v>0</v>
      </c>
    </row>
    <row r="643" spans="1:7" ht="19.899999999999999" customHeight="1" x14ac:dyDescent="0.2">
      <c r="A643" s="496">
        <f t="shared" si="179"/>
        <v>0</v>
      </c>
      <c r="B643" s="459">
        <f t="shared" si="180"/>
        <v>0</v>
      </c>
      <c r="C643" s="463">
        <f t="shared" ref="C643:C645" si="182">+C193</f>
        <v>0</v>
      </c>
      <c r="D643" s="456"/>
      <c r="E643" s="453">
        <f t="shared" si="181"/>
        <v>0</v>
      </c>
      <c r="F643" s="456">
        <f>IF(C643="",0,IFERROR(VLOOKUP(COUNTIF($A$1:A643,"ANALISIS DE PRECIOS"),T_Rendimiento_Equipo,5,FALSE),0))</f>
        <v>0</v>
      </c>
      <c r="G643" s="453">
        <f t="shared" ref="G643:G648" si="183">IFERROR(ROUND(D643*E643/F643,2),0)</f>
        <v>0</v>
      </c>
    </row>
    <row r="644" spans="1:7" ht="19.899999999999999" customHeight="1" x14ac:dyDescent="0.2">
      <c r="A644" s="496">
        <f t="shared" si="179"/>
        <v>0</v>
      </c>
      <c r="B644" s="459">
        <f t="shared" si="180"/>
        <v>0</v>
      </c>
      <c r="C644" s="463">
        <f t="shared" si="182"/>
        <v>0</v>
      </c>
      <c r="D644" s="456"/>
      <c r="E644" s="453">
        <f t="shared" si="181"/>
        <v>0</v>
      </c>
      <c r="F644" s="456">
        <f>IF(C644="",0,IFERROR(VLOOKUP(COUNTIF($A$1:A644,"ANALISIS DE PRECIOS"),T_Rendimiento_Equipo,5,FALSE),0))</f>
        <v>0</v>
      </c>
      <c r="G644" s="453">
        <f t="shared" si="183"/>
        <v>0</v>
      </c>
    </row>
    <row r="645" spans="1:7" ht="19.899999999999999" customHeight="1" x14ac:dyDescent="0.2">
      <c r="A645" s="496">
        <f t="shared" si="179"/>
        <v>0</v>
      </c>
      <c r="B645" s="459">
        <f t="shared" si="180"/>
        <v>0</v>
      </c>
      <c r="C645" s="463">
        <f t="shared" si="182"/>
        <v>0</v>
      </c>
      <c r="D645" s="456"/>
      <c r="E645" s="453">
        <f t="shared" si="181"/>
        <v>0</v>
      </c>
      <c r="F645" s="456">
        <f>IF(C645="",0,IFERROR(VLOOKUP(COUNTIF($A$1:A645,"ANALISIS DE PRECIOS"),T_Rendimiento_Equipo,5,FALSE),0))</f>
        <v>0</v>
      </c>
      <c r="G645" s="453">
        <f>IFERROR(ROUND(D645*E645/F645,2),0)</f>
        <v>0</v>
      </c>
    </row>
    <row r="646" spans="1:7" ht="19.899999999999999" customHeight="1" x14ac:dyDescent="0.2">
      <c r="A646" s="496">
        <f t="shared" si="179"/>
        <v>0</v>
      </c>
      <c r="B646" s="459">
        <f t="shared" si="180"/>
        <v>0</v>
      </c>
      <c r="C646" s="450"/>
      <c r="D646" s="456"/>
      <c r="E646" s="453">
        <f t="shared" si="181"/>
        <v>0</v>
      </c>
      <c r="F646" s="456">
        <f>IF(C646="",0,IFERROR(VLOOKUP(COUNTIF($A$1:A646,"ANALISIS DE PRECIOS"),T_Rendimiento_Equipo,5,FALSE),0))</f>
        <v>0</v>
      </c>
      <c r="G646" s="453">
        <f t="shared" ref="G646:G651" si="184">IFERROR(ROUND(D646*E646/F646,2),0)</f>
        <v>0</v>
      </c>
    </row>
    <row r="647" spans="1:7" ht="19.899999999999999" customHeight="1" x14ac:dyDescent="0.2">
      <c r="A647" s="496">
        <f t="shared" si="179"/>
        <v>0</v>
      </c>
      <c r="B647" s="459">
        <f t="shared" si="180"/>
        <v>0</v>
      </c>
      <c r="C647" s="450"/>
      <c r="D647" s="464"/>
      <c r="E647" s="453">
        <f t="shared" si="181"/>
        <v>0</v>
      </c>
      <c r="F647" s="456">
        <f>IF(C647="",0,IFERROR(VLOOKUP(COUNTIF($A$1:A647,"ANALISIS DE PRECIOS"),T_Rendimiento_Equipo,5,FALSE),0))</f>
        <v>0</v>
      </c>
      <c r="G647" s="453">
        <f t="shared" si="184"/>
        <v>0</v>
      </c>
    </row>
    <row r="648" spans="1:7" ht="19.899999999999999" customHeight="1" x14ac:dyDescent="0.2">
      <c r="A648" s="496">
        <f t="shared" si="179"/>
        <v>0</v>
      </c>
      <c r="B648" s="459">
        <f t="shared" si="180"/>
        <v>0</v>
      </c>
      <c r="C648" s="459"/>
      <c r="D648" s="465"/>
      <c r="E648" s="453">
        <f t="shared" si="181"/>
        <v>0</v>
      </c>
      <c r="F648" s="456">
        <f>IF(C648="",0,IFERROR(VLOOKUP(COUNTIF($A$1:A648,"ANALISIS DE PRECIOS"),T_Rendimiento_Equipo,5,FALSE),0))</f>
        <v>0</v>
      </c>
      <c r="G648" s="453">
        <f t="shared" si="184"/>
        <v>0</v>
      </c>
    </row>
    <row r="649" spans="1:7" ht="19.899999999999999" customHeight="1" x14ac:dyDescent="0.2">
      <c r="A649" s="497"/>
      <c r="B649" s="440"/>
      <c r="C649" s="155"/>
      <c r="D649" s="440"/>
      <c r="E649" s="441"/>
      <c r="F649" s="462" t="s">
        <v>28</v>
      </c>
      <c r="G649" s="499">
        <f>SUBTOTAL(9,G642:G648)</f>
        <v>0</v>
      </c>
    </row>
    <row r="650" spans="1:7" ht="19.899999999999999" customHeight="1" x14ac:dyDescent="0.2">
      <c r="A650" s="494"/>
      <c r="B650" s="155"/>
      <c r="C650" s="436" t="s">
        <v>990</v>
      </c>
      <c r="D650" s="440"/>
      <c r="E650" s="441"/>
      <c r="F650" s="442"/>
      <c r="G650" s="495"/>
    </row>
    <row r="651" spans="1:7" ht="19.899999999999999" customHeight="1" x14ac:dyDescent="0.2">
      <c r="A651" s="677" t="s">
        <v>576</v>
      </c>
      <c r="B651" s="678"/>
      <c r="C651" s="679" t="s">
        <v>0</v>
      </c>
      <c r="D651" s="679" t="s">
        <v>1733</v>
      </c>
      <c r="E651" s="681" t="s">
        <v>24</v>
      </c>
      <c r="F651" s="683" t="s">
        <v>25</v>
      </c>
      <c r="G651" s="685" t="s">
        <v>26</v>
      </c>
    </row>
    <row r="652" spans="1:7" ht="19.899999999999999" customHeight="1" x14ac:dyDescent="0.2">
      <c r="A652" s="458" t="s">
        <v>577</v>
      </c>
      <c r="B652" s="458" t="s">
        <v>578</v>
      </c>
      <c r="C652" s="680"/>
      <c r="D652" s="680"/>
      <c r="E652" s="682"/>
      <c r="F652" s="684"/>
      <c r="G652" s="686"/>
    </row>
    <row r="653" spans="1:7" ht="19.899999999999999" customHeight="1" x14ac:dyDescent="0.2">
      <c r="A653" s="496">
        <f t="shared" ref="A653:A663" si="185">IFERROR(VLOOKUP(C653,T_Insumos,4,FALSE),0)</f>
        <v>0</v>
      </c>
      <c r="B653" s="459">
        <f t="shared" ref="B653:B663" si="186">IFERROR(VLOOKUP(C653,T_Insumos,5,FALSE),0)</f>
        <v>0</v>
      </c>
      <c r="C653" s="459">
        <f>+Insumos!A200</f>
        <v>0</v>
      </c>
      <c r="D653" s="507">
        <f t="shared" ref="D653:D663" si="187">IFERROR(VLOOKUP(C653,T_Insumos,2,FALSE),0)</f>
        <v>0</v>
      </c>
      <c r="E653" s="451"/>
      <c r="F653" s="453">
        <f t="shared" ref="F653:F663" si="188">IFERROR(VLOOKUP(C653,T_Insumos,3,FALSE),0)</f>
        <v>0</v>
      </c>
      <c r="G653" s="453">
        <f>ROUND(E653*F653,2)</f>
        <v>0</v>
      </c>
    </row>
    <row r="654" spans="1:7" ht="19.899999999999999" customHeight="1" x14ac:dyDescent="0.2">
      <c r="A654" s="496">
        <f t="shared" si="185"/>
        <v>0</v>
      </c>
      <c r="B654" s="459">
        <f t="shared" si="186"/>
        <v>0</v>
      </c>
      <c r="C654" s="459">
        <f>+Insumos!A242</f>
        <v>0</v>
      </c>
      <c r="D654" s="507">
        <f t="shared" si="187"/>
        <v>0</v>
      </c>
      <c r="E654" s="451"/>
      <c r="F654" s="453">
        <f t="shared" si="188"/>
        <v>0</v>
      </c>
      <c r="G654" s="453">
        <f>ROUND(E654*F654,2)</f>
        <v>0</v>
      </c>
    </row>
    <row r="655" spans="1:7" ht="19.899999999999999" customHeight="1" x14ac:dyDescent="0.2">
      <c r="A655" s="496">
        <f t="shared" si="185"/>
        <v>0</v>
      </c>
      <c r="B655" s="459">
        <f t="shared" si="186"/>
        <v>0</v>
      </c>
      <c r="C655" s="459"/>
      <c r="D655" s="507">
        <f t="shared" si="187"/>
        <v>0</v>
      </c>
      <c r="E655" s="451"/>
      <c r="F655" s="453">
        <f t="shared" si="188"/>
        <v>0</v>
      </c>
      <c r="G655" s="453">
        <f t="shared" ref="G655:G663" si="189">ROUND(E655*F655,2)</f>
        <v>0</v>
      </c>
    </row>
    <row r="656" spans="1:7" ht="19.899999999999999" customHeight="1" x14ac:dyDescent="0.2">
      <c r="A656" s="496">
        <f t="shared" si="185"/>
        <v>0</v>
      </c>
      <c r="B656" s="459">
        <f t="shared" si="186"/>
        <v>0</v>
      </c>
      <c r="C656" s="459"/>
      <c r="D656" s="507">
        <f t="shared" si="187"/>
        <v>0</v>
      </c>
      <c r="E656" s="451"/>
      <c r="F656" s="453">
        <f t="shared" si="188"/>
        <v>0</v>
      </c>
      <c r="G656" s="453">
        <f t="shared" si="189"/>
        <v>0</v>
      </c>
    </row>
    <row r="657" spans="1:7" ht="19.899999999999999" customHeight="1" x14ac:dyDescent="0.2">
      <c r="A657" s="496">
        <f t="shared" si="185"/>
        <v>0</v>
      </c>
      <c r="B657" s="459">
        <f t="shared" si="186"/>
        <v>0</v>
      </c>
      <c r="C657" s="459"/>
      <c r="D657" s="507">
        <f t="shared" si="187"/>
        <v>0</v>
      </c>
      <c r="E657" s="451"/>
      <c r="F657" s="453">
        <f t="shared" si="188"/>
        <v>0</v>
      </c>
      <c r="G657" s="453">
        <f t="shared" si="189"/>
        <v>0</v>
      </c>
    </row>
    <row r="658" spans="1:7" ht="19.899999999999999" customHeight="1" x14ac:dyDescent="0.2">
      <c r="A658" s="496">
        <f t="shared" si="185"/>
        <v>0</v>
      </c>
      <c r="B658" s="459">
        <f t="shared" si="186"/>
        <v>0</v>
      </c>
      <c r="C658" s="459"/>
      <c r="D658" s="507">
        <f t="shared" si="187"/>
        <v>0</v>
      </c>
      <c r="E658" s="451"/>
      <c r="F658" s="453">
        <f t="shared" si="188"/>
        <v>0</v>
      </c>
      <c r="G658" s="453">
        <f t="shared" si="189"/>
        <v>0</v>
      </c>
    </row>
    <row r="659" spans="1:7" ht="19.899999999999999" customHeight="1" x14ac:dyDescent="0.2">
      <c r="A659" s="496">
        <f t="shared" si="185"/>
        <v>0</v>
      </c>
      <c r="B659" s="459">
        <f t="shared" si="186"/>
        <v>0</v>
      </c>
      <c r="C659" s="459"/>
      <c r="D659" s="507">
        <f t="shared" si="187"/>
        <v>0</v>
      </c>
      <c r="E659" s="451"/>
      <c r="F659" s="453">
        <f t="shared" si="188"/>
        <v>0</v>
      </c>
      <c r="G659" s="453">
        <f t="shared" si="189"/>
        <v>0</v>
      </c>
    </row>
    <row r="660" spans="1:7" ht="19.899999999999999" customHeight="1" x14ac:dyDescent="0.2">
      <c r="A660" s="496">
        <f t="shared" si="185"/>
        <v>0</v>
      </c>
      <c r="B660" s="459">
        <f t="shared" si="186"/>
        <v>0</v>
      </c>
      <c r="C660" s="459"/>
      <c r="D660" s="507">
        <f t="shared" si="187"/>
        <v>0</v>
      </c>
      <c r="E660" s="451"/>
      <c r="F660" s="453">
        <f t="shared" si="188"/>
        <v>0</v>
      </c>
      <c r="G660" s="453">
        <f t="shared" si="189"/>
        <v>0</v>
      </c>
    </row>
    <row r="661" spans="1:7" ht="19.899999999999999" customHeight="1" x14ac:dyDescent="0.2">
      <c r="A661" s="496">
        <f t="shared" si="185"/>
        <v>0</v>
      </c>
      <c r="B661" s="459">
        <f t="shared" si="186"/>
        <v>0</v>
      </c>
      <c r="C661" s="459"/>
      <c r="D661" s="507">
        <f t="shared" si="187"/>
        <v>0</v>
      </c>
      <c r="E661" s="451"/>
      <c r="F661" s="453">
        <f t="shared" si="188"/>
        <v>0</v>
      </c>
      <c r="G661" s="453">
        <f t="shared" si="189"/>
        <v>0</v>
      </c>
    </row>
    <row r="662" spans="1:7" ht="19.899999999999999" customHeight="1" x14ac:dyDescent="0.2">
      <c r="A662" s="496">
        <f t="shared" si="185"/>
        <v>0</v>
      </c>
      <c r="B662" s="459">
        <f t="shared" si="186"/>
        <v>0</v>
      </c>
      <c r="C662" s="459"/>
      <c r="D662" s="507">
        <f t="shared" si="187"/>
        <v>0</v>
      </c>
      <c r="E662" s="451"/>
      <c r="F662" s="453">
        <f t="shared" si="188"/>
        <v>0</v>
      </c>
      <c r="G662" s="453">
        <f t="shared" si="189"/>
        <v>0</v>
      </c>
    </row>
    <row r="663" spans="1:7" ht="19.899999999999999" customHeight="1" x14ac:dyDescent="0.2">
      <c r="A663" s="496">
        <f t="shared" si="185"/>
        <v>0</v>
      </c>
      <c r="B663" s="459">
        <f t="shared" si="186"/>
        <v>0</v>
      </c>
      <c r="C663" s="459"/>
      <c r="D663" s="507">
        <f t="shared" si="187"/>
        <v>0</v>
      </c>
      <c r="E663" s="451"/>
      <c r="F663" s="453">
        <f t="shared" si="188"/>
        <v>0</v>
      </c>
      <c r="G663" s="453">
        <f t="shared" si="189"/>
        <v>0</v>
      </c>
    </row>
    <row r="664" spans="1:7" ht="19.899999999999999" customHeight="1" x14ac:dyDescent="0.2">
      <c r="A664" s="494"/>
      <c r="B664" s="155"/>
      <c r="C664" s="155"/>
      <c r="D664" s="440"/>
      <c r="E664" s="441"/>
      <c r="F664" s="462" t="s">
        <v>29</v>
      </c>
      <c r="G664" s="499">
        <f>SUBTOTAL(9,G653:G663)</f>
        <v>0</v>
      </c>
    </row>
    <row r="665" spans="1:7" ht="19.899999999999999" customHeight="1" x14ac:dyDescent="0.2">
      <c r="A665" s="494"/>
      <c r="B665" s="155"/>
      <c r="C665" s="436" t="s">
        <v>991</v>
      </c>
      <c r="D665" s="440"/>
      <c r="E665" s="441"/>
      <c r="F665" s="442"/>
      <c r="G665" s="495"/>
    </row>
    <row r="666" spans="1:7" ht="19.899999999999999" customHeight="1" x14ac:dyDescent="0.2">
      <c r="A666" s="677" t="s">
        <v>576</v>
      </c>
      <c r="B666" s="678"/>
      <c r="C666" s="679" t="s">
        <v>0</v>
      </c>
      <c r="D666" s="679" t="s">
        <v>1733</v>
      </c>
      <c r="E666" s="681" t="s">
        <v>24</v>
      </c>
      <c r="F666" s="683" t="s">
        <v>25</v>
      </c>
      <c r="G666" s="685" t="s">
        <v>26</v>
      </c>
    </row>
    <row r="667" spans="1:7" ht="19.899999999999999" customHeight="1" x14ac:dyDescent="0.2">
      <c r="A667" s="458" t="s">
        <v>577</v>
      </c>
      <c r="B667" s="458" t="s">
        <v>578</v>
      </c>
      <c r="C667" s="680"/>
      <c r="D667" s="680"/>
      <c r="E667" s="682"/>
      <c r="F667" s="684"/>
      <c r="G667" s="686"/>
    </row>
    <row r="668" spans="1:7" ht="19.899999999999999" customHeight="1" x14ac:dyDescent="0.2">
      <c r="A668" s="496">
        <f>IFERROR(VLOOKUP(C668,T_Insumos,4,FALSE),0)</f>
        <v>0</v>
      </c>
      <c r="B668" s="459">
        <f>IFERROR(VLOOKUP(C668,T_Insumos,5,FALSE),0)</f>
        <v>0</v>
      </c>
      <c r="C668" s="450"/>
      <c r="D668" s="507">
        <f>IF(C668=0,0,"$/tnkm")</f>
        <v>0</v>
      </c>
      <c r="E668" s="451"/>
      <c r="F668" s="453">
        <f>IFERROR(VLOOKUP(C668,T_Insumos,3,FALSE),0)</f>
        <v>0</v>
      </c>
      <c r="G668" s="453">
        <f>ROUND(E668*F668,2)</f>
        <v>0</v>
      </c>
    </row>
    <row r="669" spans="1:7" ht="19.899999999999999" customHeight="1" x14ac:dyDescent="0.2">
      <c r="A669" s="496">
        <f>IFERROR(VLOOKUP(C669,T_Insumos,4,FALSE),0)</f>
        <v>0</v>
      </c>
      <c r="B669" s="459">
        <f>IFERROR(VLOOKUP(C669,T_Insumos,5,FALSE),0)</f>
        <v>0</v>
      </c>
      <c r="C669" s="450"/>
      <c r="D669" s="507">
        <f>IF(C669=0,0,"$/tnkm")</f>
        <v>0</v>
      </c>
      <c r="E669" s="467"/>
      <c r="F669" s="453">
        <f>IFERROR(VLOOKUP(C669,T_Insumos,3,FALSE),0)</f>
        <v>0</v>
      </c>
      <c r="G669" s="453">
        <f t="shared" ref="G669" si="190">ROUND(E669*F669,2)</f>
        <v>0</v>
      </c>
    </row>
    <row r="670" spans="1:7" ht="19.899999999999999" customHeight="1" x14ac:dyDescent="0.2">
      <c r="A670" s="494"/>
      <c r="B670" s="155"/>
      <c r="C670" s="155"/>
      <c r="D670" s="440"/>
      <c r="E670" s="441"/>
      <c r="F670" s="462" t="s">
        <v>992</v>
      </c>
      <c r="G670" s="499">
        <f>SUBTOTAL(9,G668:G669)</f>
        <v>0</v>
      </c>
    </row>
    <row r="671" spans="1:7" ht="19.899999999999999" customHeight="1" x14ac:dyDescent="0.2">
      <c r="A671" s="497"/>
      <c r="B671" s="440"/>
      <c r="C671" s="155"/>
      <c r="D671" s="440"/>
      <c r="E671" s="441"/>
      <c r="F671" s="442"/>
      <c r="G671" s="495"/>
    </row>
    <row r="672" spans="1:7" ht="19.899999999999999" customHeight="1" x14ac:dyDescent="0.2">
      <c r="A672" s="555" t="str">
        <f>B606</f>
        <v>2.1.2</v>
      </c>
      <c r="B672" s="552" t="str">
        <f ca="1">C606</f>
        <v>Replanteo</v>
      </c>
      <c r="C672" s="440"/>
      <c r="D672" s="440" t="s">
        <v>1712</v>
      </c>
      <c r="E672" s="553"/>
      <c r="F672" s="554" t="str">
        <f ca="1">"$/"&amp;G606</f>
        <v>$/GL</v>
      </c>
      <c r="G672" s="504">
        <f>SUBTOTAL(9,G629:G671)</f>
        <v>0</v>
      </c>
    </row>
    <row r="673" spans="1:7" ht="19.899999999999999" customHeight="1" x14ac:dyDescent="0.2">
      <c r="A673" s="500"/>
      <c r="B673" s="501"/>
      <c r="C673" s="502"/>
      <c r="D673" s="502" t="s">
        <v>1908</v>
      </c>
      <c r="E673" s="503"/>
      <c r="F673" s="556" t="str">
        <f ca="1">"$/"&amp;G606</f>
        <v>$/GL</v>
      </c>
      <c r="G673" s="504">
        <f>ROUND(G672*Coeficiente_Paso,2)</f>
        <v>0</v>
      </c>
    </row>
    <row r="674" spans="1:7" ht="19.899999999999999" customHeight="1" x14ac:dyDescent="0.2">
      <c r="A674" s="687" t="s">
        <v>31</v>
      </c>
      <c r="B674" s="688"/>
      <c r="C674" s="688"/>
      <c r="D674" s="688"/>
      <c r="E674" s="688"/>
      <c r="F674" s="688"/>
      <c r="G674" s="689"/>
    </row>
    <row r="675" spans="1:7" ht="19.899999999999999" customHeight="1" x14ac:dyDescent="0.2">
      <c r="A675" s="483" t="s">
        <v>711</v>
      </c>
      <c r="B675" s="434" t="str">
        <f>Comitente</f>
        <v>DEPARTAMENTO DE HIDRÁULICA</v>
      </c>
      <c r="C675" s="435"/>
      <c r="D675" s="436"/>
      <c r="E675" s="436"/>
      <c r="F675" s="437"/>
      <c r="G675" s="484"/>
    </row>
    <row r="676" spans="1:7" ht="19.899999999999999" customHeight="1" x14ac:dyDescent="0.2">
      <c r="A676" s="483" t="s">
        <v>712</v>
      </c>
      <c r="B676" s="434">
        <f>Contratista</f>
        <v>0</v>
      </c>
      <c r="C676" s="438"/>
      <c r="D676" s="438"/>
      <c r="E676" s="438"/>
      <c r="F676" s="434"/>
      <c r="G676" s="485"/>
    </row>
    <row r="677" spans="1:7" ht="19.899999999999999" customHeight="1" x14ac:dyDescent="0.2">
      <c r="A677" s="483" t="s">
        <v>21</v>
      </c>
      <c r="B677" s="434" t="str">
        <f>Obra</f>
        <v>RECRECIMIENTO Y REPARACIÓN CANALES SARMIENTO, 9 DE JULIO Y CHIMBAS</v>
      </c>
      <c r="C677" s="438"/>
      <c r="D677" s="438"/>
      <c r="E677" s="438"/>
      <c r="F677" s="434" t="s">
        <v>32</v>
      </c>
      <c r="G677" s="485">
        <f>Fecha_Base</f>
        <v>0</v>
      </c>
    </row>
    <row r="678" spans="1:7" ht="19.899999999999999" customHeight="1" x14ac:dyDescent="0.2">
      <c r="A678" s="486" t="s">
        <v>710</v>
      </c>
      <c r="B678" s="439" t="str">
        <f>Ubicación</f>
        <v>DEPARTAMENTOS SARMIENTO, 9 DE JULIO Y CHIMBAS</v>
      </c>
      <c r="C678" s="439"/>
      <c r="D678" s="440"/>
      <c r="E678" s="441"/>
      <c r="F678" s="442"/>
      <c r="G678" s="487"/>
    </row>
    <row r="679" spans="1:7" ht="19.899999999999999" customHeight="1" x14ac:dyDescent="0.2">
      <c r="A679" s="486" t="s">
        <v>33</v>
      </c>
      <c r="B679" s="443">
        <f>IFERROR(VALUE(LEFT(B680,FIND(".",B680)-1)),"")</f>
        <v>2</v>
      </c>
      <c r="C679" s="155" t="str">
        <f ca="1">IFERROR(VLOOKUP(B679,T_Computo_Presupuesto,2,FALSE),0)</f>
        <v>DPTO. 9 DE JULIO (R. BALMACEDA y R. ZUNGRY ALDAY)</v>
      </c>
      <c r="D679" s="155"/>
      <c r="E679" s="441"/>
      <c r="F679" s="442"/>
      <c r="G679" s="487"/>
    </row>
    <row r="680" spans="1:7" ht="19.899999999999999" customHeight="1" x14ac:dyDescent="0.2">
      <c r="A680" s="486" t="s">
        <v>22</v>
      </c>
      <c r="B680" s="444" t="str">
        <f>IFERROR(VLOOKUP(COUNTIF($A$1:A680,"ANALISIS DE PRECIOS"),T_NumeroItem,2,FALSE),"")</f>
        <v>2.2.1</v>
      </c>
      <c r="C680" s="690" t="str">
        <f ca="1">IFERROR(VLOOKUP(B680,T_Computo_Presupuesto,2,FALSE),0)</f>
        <v xml:space="preserve">Hormigón H-21  </v>
      </c>
      <c r="D680" s="690"/>
      <c r="E680" s="690"/>
      <c r="F680" s="439" t="s">
        <v>23</v>
      </c>
      <c r="G680" s="488" t="str">
        <f ca="1">IFERROR(VLOOKUP(B680,T_Computo_Presupuesto,4,FALSE),0)</f>
        <v>M3</v>
      </c>
    </row>
    <row r="681" spans="1:7" ht="19.899999999999999" customHeight="1" x14ac:dyDescent="0.2">
      <c r="A681" s="486"/>
      <c r="B681" s="439"/>
      <c r="C681" s="155"/>
      <c r="D681" s="440"/>
      <c r="E681" s="441"/>
      <c r="F681" s="155"/>
      <c r="G681" s="489"/>
    </row>
    <row r="682" spans="1:7" ht="19.899999999999999" customHeight="1" x14ac:dyDescent="0.2">
      <c r="A682" s="490"/>
      <c r="B682" s="445"/>
      <c r="C682" s="446" t="s">
        <v>975</v>
      </c>
      <c r="D682" s="445"/>
      <c r="E682" s="445"/>
      <c r="F682" s="445"/>
      <c r="G682" s="491"/>
    </row>
    <row r="683" spans="1:7" ht="19.899999999999999" customHeight="1" x14ac:dyDescent="0.2">
      <c r="A683" s="486"/>
      <c r="B683" s="447"/>
      <c r="C683" s="155"/>
      <c r="D683" s="440"/>
      <c r="E683" s="441"/>
      <c r="F683" s="439"/>
      <c r="G683" s="488"/>
    </row>
    <row r="684" spans="1:7" ht="19.899999999999999" customHeight="1" x14ac:dyDescent="0.2">
      <c r="A684" s="486"/>
      <c r="B684" s="447"/>
      <c r="C684" s="448" t="s">
        <v>976</v>
      </c>
      <c r="D684" s="449" t="s">
        <v>24</v>
      </c>
      <c r="E684" s="449" t="s">
        <v>977</v>
      </c>
      <c r="F684" s="449" t="s">
        <v>978</v>
      </c>
      <c r="G684" s="448" t="s">
        <v>979</v>
      </c>
    </row>
    <row r="685" spans="1:7" ht="19.899999999999999" customHeight="1" x14ac:dyDescent="0.2">
      <c r="A685" s="486"/>
      <c r="B685" s="447"/>
      <c r="C685" s="450">
        <f>+Equipos!A239</f>
        <v>0</v>
      </c>
      <c r="D685" s="451"/>
      <c r="E685" s="452">
        <f t="shared" ref="E685:E694" si="191">IFERROR(VLOOKUP(C685,T_Equipos,4,FALSE),0)</f>
        <v>0</v>
      </c>
      <c r="F685" s="453">
        <f t="shared" ref="F685:F694" si="192">IFERROR(VLOOKUP(C685,T_Equipos,5,FALSE),0)</f>
        <v>0</v>
      </c>
      <c r="G685" s="453">
        <f>ROUND(D685*F685,2)</f>
        <v>0</v>
      </c>
    </row>
    <row r="686" spans="1:7" ht="19.899999999999999" customHeight="1" x14ac:dyDescent="0.2">
      <c r="A686" s="486"/>
      <c r="B686" s="447"/>
      <c r="C686" s="450">
        <f>+Equipos!A236</f>
        <v>0</v>
      </c>
      <c r="D686" s="451"/>
      <c r="E686" s="452">
        <f t="shared" si="191"/>
        <v>0</v>
      </c>
      <c r="F686" s="453">
        <f t="shared" si="192"/>
        <v>0</v>
      </c>
      <c r="G686" s="453">
        <f>ROUND(D686*F686,2)</f>
        <v>0</v>
      </c>
    </row>
    <row r="687" spans="1:7" ht="19.899999999999999" customHeight="1" x14ac:dyDescent="0.2">
      <c r="A687" s="486"/>
      <c r="B687" s="447"/>
      <c r="C687" s="450">
        <f>+Equipos!A248</f>
        <v>0</v>
      </c>
      <c r="D687" s="451"/>
      <c r="E687" s="452">
        <f t="shared" si="191"/>
        <v>0</v>
      </c>
      <c r="F687" s="453">
        <f t="shared" si="192"/>
        <v>0</v>
      </c>
      <c r="G687" s="453">
        <f>ROUND(D687*F687,2)</f>
        <v>0</v>
      </c>
    </row>
    <row r="688" spans="1:7" ht="19.899999999999999" customHeight="1" x14ac:dyDescent="0.2">
      <c r="A688" s="486"/>
      <c r="B688" s="447"/>
      <c r="C688" s="450">
        <f>+Equipos!A256</f>
        <v>0</v>
      </c>
      <c r="D688" s="451"/>
      <c r="E688" s="452">
        <f t="shared" si="191"/>
        <v>0</v>
      </c>
      <c r="F688" s="453">
        <f t="shared" si="192"/>
        <v>0</v>
      </c>
      <c r="G688" s="453">
        <f>ROUND(D688*F688,2)</f>
        <v>0</v>
      </c>
    </row>
    <row r="689" spans="1:7" ht="19.899999999999999" customHeight="1" x14ac:dyDescent="0.2">
      <c r="A689" s="486"/>
      <c r="B689" s="447"/>
      <c r="C689" s="450">
        <f>+Equipos!A245</f>
        <v>0</v>
      </c>
      <c r="D689" s="623"/>
      <c r="E689" s="452">
        <f t="shared" si="191"/>
        <v>0</v>
      </c>
      <c r="F689" s="453">
        <f t="shared" si="192"/>
        <v>0</v>
      </c>
      <c r="G689" s="453">
        <f t="shared" ref="G689:G694" si="193">ROUND(D689*F689,2)</f>
        <v>0</v>
      </c>
    </row>
    <row r="690" spans="1:7" ht="19.899999999999999" customHeight="1" x14ac:dyDescent="0.2">
      <c r="A690" s="486"/>
      <c r="B690" s="447"/>
      <c r="C690" s="450">
        <f>+Equipos!A241</f>
        <v>0</v>
      </c>
      <c r="D690" s="451"/>
      <c r="E690" s="452">
        <f t="shared" si="191"/>
        <v>0</v>
      </c>
      <c r="F690" s="453">
        <f t="shared" si="192"/>
        <v>0</v>
      </c>
      <c r="G690" s="453">
        <f t="shared" si="193"/>
        <v>0</v>
      </c>
    </row>
    <row r="691" spans="1:7" ht="19.899999999999999" customHeight="1" x14ac:dyDescent="0.2">
      <c r="A691" s="486"/>
      <c r="B691" s="447"/>
      <c r="C691" s="450"/>
      <c r="D691" s="451"/>
      <c r="E691" s="452">
        <f t="shared" si="191"/>
        <v>0</v>
      </c>
      <c r="F691" s="453">
        <f t="shared" si="192"/>
        <v>0</v>
      </c>
      <c r="G691" s="453">
        <f t="shared" si="193"/>
        <v>0</v>
      </c>
    </row>
    <row r="692" spans="1:7" ht="19.899999999999999" customHeight="1" x14ac:dyDescent="0.2">
      <c r="A692" s="486"/>
      <c r="B692" s="447"/>
      <c r="C692" s="450"/>
      <c r="D692" s="451"/>
      <c r="E692" s="452">
        <f t="shared" si="191"/>
        <v>0</v>
      </c>
      <c r="F692" s="453">
        <f t="shared" si="192"/>
        <v>0</v>
      </c>
      <c r="G692" s="453">
        <f t="shared" si="193"/>
        <v>0</v>
      </c>
    </row>
    <row r="693" spans="1:7" ht="19.899999999999999" customHeight="1" x14ac:dyDescent="0.2">
      <c r="A693" s="486"/>
      <c r="B693" s="447"/>
      <c r="C693" s="450"/>
      <c r="D693" s="451"/>
      <c r="E693" s="452">
        <f t="shared" si="191"/>
        <v>0</v>
      </c>
      <c r="F693" s="453">
        <f t="shared" si="192"/>
        <v>0</v>
      </c>
      <c r="G693" s="453">
        <f t="shared" si="193"/>
        <v>0</v>
      </c>
    </row>
    <row r="694" spans="1:7" ht="19.899999999999999" customHeight="1" x14ac:dyDescent="0.2">
      <c r="A694" s="486"/>
      <c r="B694" s="447"/>
      <c r="C694" s="450"/>
      <c r="D694" s="451"/>
      <c r="E694" s="452">
        <f t="shared" si="191"/>
        <v>0</v>
      </c>
      <c r="F694" s="453">
        <f t="shared" si="192"/>
        <v>0</v>
      </c>
      <c r="G694" s="453">
        <f t="shared" si="193"/>
        <v>0</v>
      </c>
    </row>
    <row r="695" spans="1:7" ht="19.899999999999999" customHeight="1" x14ac:dyDescent="0.2">
      <c r="A695" s="486"/>
      <c r="B695" s="447"/>
      <c r="C695" s="155"/>
      <c r="D695" s="155"/>
      <c r="E695" s="454"/>
      <c r="F695" s="439"/>
      <c r="G695" s="488"/>
    </row>
    <row r="696" spans="1:7" ht="19.899999999999999" customHeight="1" x14ac:dyDescent="0.2">
      <c r="A696" s="486"/>
      <c r="B696" s="155"/>
      <c r="C696" s="436" t="s">
        <v>980</v>
      </c>
      <c r="D696" s="439" t="s">
        <v>977</v>
      </c>
      <c r="E696" s="505">
        <f>SUMPRODUCT(D685:D694,E685:E694)</f>
        <v>0</v>
      </c>
      <c r="F696" s="439" t="s">
        <v>981</v>
      </c>
      <c r="G696" s="506">
        <f>SUM(G685:G694)</f>
        <v>0</v>
      </c>
    </row>
    <row r="697" spans="1:7" ht="19.899999999999999" customHeight="1" x14ac:dyDescent="0.2">
      <c r="A697" s="486"/>
      <c r="B697" s="447"/>
      <c r="C697" s="455"/>
      <c r="D697" s="454"/>
      <c r="E697" s="441"/>
      <c r="F697" s="439"/>
      <c r="G697" s="492"/>
    </row>
    <row r="698" spans="1:7" ht="19.899999999999999" customHeight="1" x14ac:dyDescent="0.2">
      <c r="A698" s="493"/>
      <c r="B698" s="447"/>
      <c r="C698" s="439" t="s">
        <v>982</v>
      </c>
      <c r="D698" s="456">
        <f>IFERROR(VLOOKUP(COUNTIF($A$1:A698,"ANALISIS DE PRECIOS"),T_Rendimiento_Equipo,5,FALSE),0)</f>
        <v>0</v>
      </c>
      <c r="E698" s="457" t="str">
        <f ca="1">G680&amp;"/día"</f>
        <v>M3/día</v>
      </c>
      <c r="F698" s="433"/>
      <c r="G698" s="488"/>
    </row>
    <row r="699" spans="1:7" ht="19.899999999999999" customHeight="1" x14ac:dyDescent="0.2">
      <c r="A699" s="486"/>
      <c r="B699" s="447"/>
      <c r="C699" s="155"/>
      <c r="D699" s="440"/>
      <c r="E699" s="441"/>
      <c r="F699" s="439"/>
      <c r="G699" s="488"/>
    </row>
    <row r="700" spans="1:7" ht="19.899999999999999" customHeight="1" x14ac:dyDescent="0.2">
      <c r="A700" s="677" t="s">
        <v>576</v>
      </c>
      <c r="B700" s="678"/>
      <c r="C700" s="679" t="s">
        <v>0</v>
      </c>
      <c r="D700" s="691" t="s">
        <v>1732</v>
      </c>
      <c r="E700" s="691" t="s">
        <v>1731</v>
      </c>
      <c r="F700" s="683" t="s">
        <v>983</v>
      </c>
      <c r="G700" s="685" t="s">
        <v>26</v>
      </c>
    </row>
    <row r="701" spans="1:7" ht="19.899999999999999" customHeight="1" x14ac:dyDescent="0.2">
      <c r="A701" s="458" t="s">
        <v>577</v>
      </c>
      <c r="B701" s="458" t="s">
        <v>578</v>
      </c>
      <c r="C701" s="680"/>
      <c r="D701" s="692"/>
      <c r="E701" s="682"/>
      <c r="F701" s="684"/>
      <c r="G701" s="686"/>
    </row>
    <row r="702" spans="1:7" ht="19.899999999999999" customHeight="1" x14ac:dyDescent="0.2">
      <c r="A702" s="494"/>
      <c r="B702" s="155"/>
      <c r="C702" s="436" t="s">
        <v>984</v>
      </c>
      <c r="D702" s="441"/>
      <c r="E702" s="441"/>
      <c r="F702" s="155"/>
      <c r="G702" s="495"/>
    </row>
    <row r="703" spans="1:7" ht="19.899999999999999" customHeight="1" x14ac:dyDescent="0.2">
      <c r="A703" s="496">
        <f t="shared" ref="A703:A711" si="194">IFERROR(VLOOKUP(C703,T_Insumos,4,FALSE),0)</f>
        <v>0</v>
      </c>
      <c r="B703" s="459">
        <f t="shared" ref="B703:B711" si="195">IFERROR(VLOOKUP(C703,T_Insumos,5,FALSE),0)</f>
        <v>0</v>
      </c>
      <c r="C703" s="450">
        <f>+C253</f>
        <v>0</v>
      </c>
      <c r="D703" s="460">
        <f t="shared" ref="D703:D711" si="196">IFERROR(VLOOKUP(C703,T_Insumos,3,FALSE),0)</f>
        <v>0</v>
      </c>
      <c r="E703" s="453">
        <f>D703*$G$473</f>
        <v>0</v>
      </c>
      <c r="F703" s="456">
        <f>IF(C703="",0,IFERROR(VLOOKUP(COUNTIF($A$1:A703,"ANALISIS DE PRECIOS"),T_Rendimiento_Equipo,5,FALSE),0))</f>
        <v>0</v>
      </c>
      <c r="G703" s="453">
        <f>IFERROR(ROUND(E703/F703,2),0)</f>
        <v>0</v>
      </c>
    </row>
    <row r="704" spans="1:7" ht="19.899999999999999" customHeight="1" x14ac:dyDescent="0.2">
      <c r="A704" s="496">
        <f t="shared" si="194"/>
        <v>0</v>
      </c>
      <c r="B704" s="459">
        <f t="shared" si="195"/>
        <v>0</v>
      </c>
      <c r="C704" s="450" t="str">
        <f t="shared" ref="C704:C706" si="197">+C254</f>
        <v>A - EQUIPOS</v>
      </c>
      <c r="D704" s="460">
        <f t="shared" si="196"/>
        <v>0</v>
      </c>
      <c r="E704" s="453">
        <f t="shared" ref="E704:E705" si="198">D704*$G$473</f>
        <v>0</v>
      </c>
      <c r="F704" s="456">
        <f>IF(C704="",0,IFERROR(VLOOKUP(COUNTIF($A$1:A704,"ANALISIS DE PRECIOS"),T_Rendimiento_Equipo,5,FALSE),0))</f>
        <v>0</v>
      </c>
      <c r="G704" s="453">
        <f t="shared" ref="G704:G711" si="199">IFERROR(ROUND(E704/F704,2),0)</f>
        <v>0</v>
      </c>
    </row>
    <row r="705" spans="1:7" ht="19.899999999999999" customHeight="1" x14ac:dyDescent="0.2">
      <c r="A705" s="496">
        <f t="shared" si="194"/>
        <v>0</v>
      </c>
      <c r="B705" s="459">
        <f t="shared" si="195"/>
        <v>0</v>
      </c>
      <c r="C705" s="450">
        <f t="shared" si="197"/>
        <v>0</v>
      </c>
      <c r="D705" s="460">
        <f t="shared" si="196"/>
        <v>0</v>
      </c>
      <c r="E705" s="453">
        <f t="shared" si="198"/>
        <v>0</v>
      </c>
      <c r="F705" s="456">
        <f>IF(C705="",0,IFERROR(VLOOKUP(COUNTIF($A$1:A705,"ANALISIS DE PRECIOS"),T_Rendimiento_Equipo,5,FALSE),0))</f>
        <v>0</v>
      </c>
      <c r="G705" s="453">
        <f t="shared" si="199"/>
        <v>0</v>
      </c>
    </row>
    <row r="706" spans="1:7" ht="19.899999999999999" customHeight="1" x14ac:dyDescent="0.2">
      <c r="A706" s="496">
        <f t="shared" si="194"/>
        <v>0</v>
      </c>
      <c r="B706" s="459">
        <f t="shared" si="195"/>
        <v>0</v>
      </c>
      <c r="C706" s="450">
        <f t="shared" si="197"/>
        <v>0</v>
      </c>
      <c r="D706" s="460">
        <f t="shared" si="196"/>
        <v>0</v>
      </c>
      <c r="E706" s="453">
        <f>D706*$E$473</f>
        <v>0</v>
      </c>
      <c r="F706" s="456">
        <f>IF(C706="",0,IFERROR(VLOOKUP(COUNTIF($A$1:A706,"ANALISIS DE PRECIOS"),T_Rendimiento_Equipo,5,FALSE),0))</f>
        <v>0</v>
      </c>
      <c r="G706" s="453">
        <f t="shared" si="199"/>
        <v>0</v>
      </c>
    </row>
    <row r="707" spans="1:7" ht="19.899999999999999" customHeight="1" x14ac:dyDescent="0.2">
      <c r="A707" s="496">
        <f t="shared" si="194"/>
        <v>0</v>
      </c>
      <c r="B707" s="459">
        <f t="shared" si="195"/>
        <v>0</v>
      </c>
      <c r="C707" s="461"/>
      <c r="D707" s="460">
        <f t="shared" si="196"/>
        <v>0</v>
      </c>
      <c r="E707" s="453"/>
      <c r="F707" s="456">
        <f>IF(C707="",0,IFERROR(VLOOKUP(COUNTIF($A$1:A707,"ANALISIS DE PRECIOS"),T_Rendimiento_Equipo,5,FALSE),0))</f>
        <v>0</v>
      </c>
      <c r="G707" s="453">
        <f t="shared" si="199"/>
        <v>0</v>
      </c>
    </row>
    <row r="708" spans="1:7" ht="19.899999999999999" customHeight="1" x14ac:dyDescent="0.2">
      <c r="A708" s="496">
        <f t="shared" si="194"/>
        <v>0</v>
      </c>
      <c r="B708" s="459">
        <f t="shared" si="195"/>
        <v>0</v>
      </c>
      <c r="C708" s="461"/>
      <c r="D708" s="460">
        <f t="shared" si="196"/>
        <v>0</v>
      </c>
      <c r="E708" s="453"/>
      <c r="F708" s="456">
        <f>IF(C708="",0,IFERROR(VLOOKUP(COUNTIF($A$1:A708,"ANALISIS DE PRECIOS"),T_Rendimiento_Equipo,5,FALSE),0))</f>
        <v>0</v>
      </c>
      <c r="G708" s="453">
        <f t="shared" si="199"/>
        <v>0</v>
      </c>
    </row>
    <row r="709" spans="1:7" ht="19.899999999999999" customHeight="1" x14ac:dyDescent="0.2">
      <c r="A709" s="496">
        <f t="shared" si="194"/>
        <v>0</v>
      </c>
      <c r="B709" s="459">
        <f t="shared" si="195"/>
        <v>0</v>
      </c>
      <c r="C709" s="461"/>
      <c r="D709" s="460">
        <f t="shared" si="196"/>
        <v>0</v>
      </c>
      <c r="E709" s="453"/>
      <c r="F709" s="456">
        <f>IF(C709="",0,IFERROR(VLOOKUP(COUNTIF($A$1:A709,"ANALISIS DE PRECIOS"),T_Rendimiento_Equipo,5,FALSE),0))</f>
        <v>0</v>
      </c>
      <c r="G709" s="453">
        <f t="shared" si="199"/>
        <v>0</v>
      </c>
    </row>
    <row r="710" spans="1:7" ht="19.899999999999999" customHeight="1" x14ac:dyDescent="0.2">
      <c r="A710" s="496">
        <f t="shared" si="194"/>
        <v>0</v>
      </c>
      <c r="B710" s="459">
        <f t="shared" si="195"/>
        <v>0</v>
      </c>
      <c r="C710" s="461"/>
      <c r="D710" s="460">
        <f t="shared" si="196"/>
        <v>0</v>
      </c>
      <c r="E710" s="453"/>
      <c r="F710" s="456">
        <f>IF(C710="",0,IFERROR(VLOOKUP(COUNTIF($A$1:A710,"ANALISIS DE PRECIOS"),T_Rendimiento_Equipo,5,FALSE),0))</f>
        <v>0</v>
      </c>
      <c r="G710" s="453">
        <f t="shared" si="199"/>
        <v>0</v>
      </c>
    </row>
    <row r="711" spans="1:7" ht="19.899999999999999" customHeight="1" x14ac:dyDescent="0.2">
      <c r="A711" s="496">
        <f t="shared" si="194"/>
        <v>0</v>
      </c>
      <c r="B711" s="459">
        <f t="shared" si="195"/>
        <v>0</v>
      </c>
      <c r="C711" s="450"/>
      <c r="D711" s="460">
        <f t="shared" si="196"/>
        <v>0</v>
      </c>
      <c r="E711" s="453"/>
      <c r="F711" s="456">
        <f>IF(C711="",0,IFERROR(VLOOKUP(COUNTIF($A$1:A711,"ANALISIS DE PRECIOS"),T_Rendimiento_Equipo,5,FALSE),0))</f>
        <v>0</v>
      </c>
      <c r="G711" s="453">
        <f t="shared" si="199"/>
        <v>0</v>
      </c>
    </row>
    <row r="712" spans="1:7" ht="19.899999999999999" customHeight="1" x14ac:dyDescent="0.2">
      <c r="A712" s="497"/>
      <c r="B712" s="440"/>
      <c r="C712" s="155"/>
      <c r="D712" s="440"/>
      <c r="E712" s="441"/>
      <c r="F712" s="462" t="s">
        <v>27</v>
      </c>
      <c r="G712" s="498">
        <f>SUBTOTAL(9,G703:G711)</f>
        <v>0</v>
      </c>
    </row>
    <row r="713" spans="1:7" ht="19.899999999999999" customHeight="1" x14ac:dyDescent="0.2">
      <c r="A713" s="494"/>
      <c r="B713" s="155"/>
      <c r="C713" s="436" t="s">
        <v>713</v>
      </c>
      <c r="D713" s="440"/>
      <c r="E713" s="441"/>
      <c r="F713" s="442"/>
      <c r="G713" s="495"/>
    </row>
    <row r="714" spans="1:7" ht="19.899999999999999" customHeight="1" x14ac:dyDescent="0.2">
      <c r="A714" s="677" t="s">
        <v>576</v>
      </c>
      <c r="B714" s="678"/>
      <c r="C714" s="679" t="s">
        <v>0</v>
      </c>
      <c r="D714" s="681" t="s">
        <v>24</v>
      </c>
      <c r="E714" s="681" t="s">
        <v>1711</v>
      </c>
      <c r="F714" s="683" t="s">
        <v>983</v>
      </c>
      <c r="G714" s="685" t="s">
        <v>26</v>
      </c>
    </row>
    <row r="715" spans="1:7" ht="19.899999999999999" customHeight="1" x14ac:dyDescent="0.2">
      <c r="A715" s="458" t="s">
        <v>577</v>
      </c>
      <c r="B715" s="458" t="s">
        <v>578</v>
      </c>
      <c r="C715" s="680"/>
      <c r="D715" s="682"/>
      <c r="E715" s="682"/>
      <c r="F715" s="684"/>
      <c r="G715" s="686"/>
    </row>
    <row r="716" spans="1:7" ht="19.899999999999999" customHeight="1" x14ac:dyDescent="0.2">
      <c r="A716" s="496">
        <f t="shared" ref="A716:A722" si="200">IFERROR(VLOOKUP(C716,T_Insumos,4,FALSE),0)</f>
        <v>0</v>
      </c>
      <c r="B716" s="459">
        <f t="shared" ref="B716:B722" si="201">IFERROR(VLOOKUP(C716,T_Insumos,5,FALSE),0)</f>
        <v>0</v>
      </c>
      <c r="C716" s="463" t="str">
        <f>+C266</f>
        <v>DESIGNACION</v>
      </c>
      <c r="D716" s="456"/>
      <c r="E716" s="453">
        <f t="shared" ref="E716:E722" si="202">IFERROR(VLOOKUP(C716,T_Insumos,3,FALSE),0)</f>
        <v>0</v>
      </c>
      <c r="F716" s="456">
        <f>IF(C716="",0,IFERROR(VLOOKUP(COUNTIF($A$1:A716,"ANALISIS DE PRECIOS"),T_Rendimiento_Equipo,5,FALSE),0))</f>
        <v>0</v>
      </c>
      <c r="G716" s="453">
        <f>IFERROR(ROUND(D716*E716/F716,2),0)</f>
        <v>0</v>
      </c>
    </row>
    <row r="717" spans="1:7" ht="19.899999999999999" customHeight="1" x14ac:dyDescent="0.2">
      <c r="A717" s="496">
        <f t="shared" si="200"/>
        <v>0</v>
      </c>
      <c r="B717" s="459">
        <f t="shared" si="201"/>
        <v>0</v>
      </c>
      <c r="C717" s="463">
        <f t="shared" ref="C717:C719" si="203">+C267</f>
        <v>0</v>
      </c>
      <c r="D717" s="456"/>
      <c r="E717" s="453">
        <f t="shared" si="202"/>
        <v>0</v>
      </c>
      <c r="F717" s="456">
        <f>IF(C717="",0,IFERROR(VLOOKUP(COUNTIF($A$1:A717,"ANALISIS DE PRECIOS"),T_Rendimiento_Equipo,5,FALSE),0))</f>
        <v>0</v>
      </c>
      <c r="G717" s="453">
        <f t="shared" ref="G717:G722" si="204">IFERROR(ROUND(D717*E717/F717,2),0)</f>
        <v>0</v>
      </c>
    </row>
    <row r="718" spans="1:7" ht="19.899999999999999" customHeight="1" x14ac:dyDescent="0.2">
      <c r="A718" s="496">
        <f t="shared" si="200"/>
        <v>0</v>
      </c>
      <c r="B718" s="459">
        <f t="shared" si="201"/>
        <v>0</v>
      </c>
      <c r="C718" s="463">
        <f t="shared" si="203"/>
        <v>0</v>
      </c>
      <c r="D718" s="456"/>
      <c r="E718" s="453">
        <f t="shared" si="202"/>
        <v>0</v>
      </c>
      <c r="F718" s="456">
        <f>IF(C718="",0,IFERROR(VLOOKUP(COUNTIF($A$1:A718,"ANALISIS DE PRECIOS"),T_Rendimiento_Equipo,5,FALSE),0))</f>
        <v>0</v>
      </c>
      <c r="G718" s="453">
        <f t="shared" si="204"/>
        <v>0</v>
      </c>
    </row>
    <row r="719" spans="1:7" ht="19.899999999999999" customHeight="1" x14ac:dyDescent="0.2">
      <c r="A719" s="496">
        <f t="shared" si="200"/>
        <v>0</v>
      </c>
      <c r="B719" s="459">
        <f t="shared" si="201"/>
        <v>0</v>
      </c>
      <c r="C719" s="463">
        <f t="shared" si="203"/>
        <v>0</v>
      </c>
      <c r="D719" s="456"/>
      <c r="E719" s="453">
        <f t="shared" si="202"/>
        <v>0</v>
      </c>
      <c r="F719" s="456">
        <f>IF(C719="",0,IFERROR(VLOOKUP(COUNTIF($A$1:A719,"ANALISIS DE PRECIOS"),T_Rendimiento_Equipo,5,FALSE),0))</f>
        <v>0</v>
      </c>
      <c r="G719" s="453">
        <f>IFERROR(ROUND(D719*E719/F719,2),0)</f>
        <v>0</v>
      </c>
    </row>
    <row r="720" spans="1:7" ht="19.899999999999999" customHeight="1" x14ac:dyDescent="0.2">
      <c r="A720" s="496">
        <f t="shared" si="200"/>
        <v>0</v>
      </c>
      <c r="B720" s="459">
        <f t="shared" si="201"/>
        <v>0</v>
      </c>
      <c r="C720" s="450"/>
      <c r="D720" s="456"/>
      <c r="E720" s="453">
        <f t="shared" si="202"/>
        <v>0</v>
      </c>
      <c r="F720" s="456">
        <f>IF(C720="",0,IFERROR(VLOOKUP(COUNTIF($A$1:A720,"ANALISIS DE PRECIOS"),T_Rendimiento_Equipo,5,FALSE),0))</f>
        <v>0</v>
      </c>
      <c r="G720" s="453">
        <f t="shared" ref="G720:G725" si="205">IFERROR(ROUND(D720*E720/F720,2),0)</f>
        <v>0</v>
      </c>
    </row>
    <row r="721" spans="1:7" ht="19.899999999999999" customHeight="1" x14ac:dyDescent="0.2">
      <c r="A721" s="496">
        <f t="shared" si="200"/>
        <v>0</v>
      </c>
      <c r="B721" s="459">
        <f t="shared" si="201"/>
        <v>0</v>
      </c>
      <c r="C721" s="450"/>
      <c r="D721" s="464"/>
      <c r="E721" s="453">
        <f t="shared" si="202"/>
        <v>0</v>
      </c>
      <c r="F721" s="456">
        <f>IF(C721="",0,IFERROR(VLOOKUP(COUNTIF($A$1:A721,"ANALISIS DE PRECIOS"),T_Rendimiento_Equipo,5,FALSE),0))</f>
        <v>0</v>
      </c>
      <c r="G721" s="453">
        <f t="shared" si="205"/>
        <v>0</v>
      </c>
    </row>
    <row r="722" spans="1:7" ht="19.899999999999999" customHeight="1" x14ac:dyDescent="0.2">
      <c r="A722" s="496">
        <f t="shared" si="200"/>
        <v>0</v>
      </c>
      <c r="B722" s="459">
        <f t="shared" si="201"/>
        <v>0</v>
      </c>
      <c r="C722" s="459"/>
      <c r="D722" s="465"/>
      <c r="E722" s="453">
        <f t="shared" si="202"/>
        <v>0</v>
      </c>
      <c r="F722" s="456">
        <f>IF(C722="",0,IFERROR(VLOOKUP(COUNTIF($A$1:A722,"ANALISIS DE PRECIOS"),T_Rendimiento_Equipo,5,FALSE),0))</f>
        <v>0</v>
      </c>
      <c r="G722" s="453">
        <f t="shared" si="205"/>
        <v>0</v>
      </c>
    </row>
    <row r="723" spans="1:7" ht="19.899999999999999" customHeight="1" x14ac:dyDescent="0.2">
      <c r="A723" s="497"/>
      <c r="B723" s="440"/>
      <c r="C723" s="155"/>
      <c r="D723" s="440"/>
      <c r="E723" s="441"/>
      <c r="F723" s="462" t="s">
        <v>28</v>
      </c>
      <c r="G723" s="499">
        <f>SUBTOTAL(9,G716:G722)</f>
        <v>0</v>
      </c>
    </row>
    <row r="724" spans="1:7" ht="19.899999999999999" customHeight="1" x14ac:dyDescent="0.2">
      <c r="A724" s="494"/>
      <c r="B724" s="155"/>
      <c r="C724" s="436" t="s">
        <v>990</v>
      </c>
      <c r="D724" s="440"/>
      <c r="E724" s="441"/>
      <c r="F724" s="442"/>
      <c r="G724" s="495"/>
    </row>
    <row r="725" spans="1:7" ht="19.899999999999999" customHeight="1" x14ac:dyDescent="0.2">
      <c r="A725" s="677" t="s">
        <v>576</v>
      </c>
      <c r="B725" s="678"/>
      <c r="C725" s="679" t="s">
        <v>0</v>
      </c>
      <c r="D725" s="679" t="s">
        <v>1733</v>
      </c>
      <c r="E725" s="681" t="s">
        <v>24</v>
      </c>
      <c r="F725" s="683" t="s">
        <v>25</v>
      </c>
      <c r="G725" s="685" t="s">
        <v>26</v>
      </c>
    </row>
    <row r="726" spans="1:7" ht="19.899999999999999" customHeight="1" x14ac:dyDescent="0.2">
      <c r="A726" s="458" t="s">
        <v>577</v>
      </c>
      <c r="B726" s="458" t="s">
        <v>578</v>
      </c>
      <c r="C726" s="680"/>
      <c r="D726" s="680"/>
      <c r="E726" s="682"/>
      <c r="F726" s="684"/>
      <c r="G726" s="686"/>
    </row>
    <row r="727" spans="1:7" ht="19.899999999999999" customHeight="1" x14ac:dyDescent="0.2">
      <c r="A727" s="496">
        <f t="shared" ref="A727:A737" si="206">IFERROR(VLOOKUP(C727,T_Insumos,4,FALSE),0)</f>
        <v>0</v>
      </c>
      <c r="B727" s="459">
        <f t="shared" ref="B727:B737" si="207">IFERROR(VLOOKUP(C727,T_Insumos,5,FALSE),0)</f>
        <v>0</v>
      </c>
      <c r="C727" s="459">
        <f>+Insumos!A274</f>
        <v>0</v>
      </c>
      <c r="D727" s="507">
        <f t="shared" ref="D727:D737" si="208">IFERROR(VLOOKUP(C727,T_Insumos,2,FALSE),0)</f>
        <v>0</v>
      </c>
      <c r="E727" s="451"/>
      <c r="F727" s="453">
        <f t="shared" ref="F727:F737" si="209">IFERROR(VLOOKUP(C727,T_Insumos,3,FALSE),0)</f>
        <v>0</v>
      </c>
      <c r="G727" s="453">
        <f>ROUND(E727*F727,2)</f>
        <v>0</v>
      </c>
    </row>
    <row r="728" spans="1:7" ht="19.899999999999999" customHeight="1" x14ac:dyDescent="0.2">
      <c r="A728" s="496">
        <f t="shared" si="206"/>
        <v>0</v>
      </c>
      <c r="B728" s="459">
        <f t="shared" si="207"/>
        <v>0</v>
      </c>
      <c r="C728" s="459">
        <f>+Insumos!A316</f>
        <v>0</v>
      </c>
      <c r="D728" s="507">
        <f t="shared" si="208"/>
        <v>0</v>
      </c>
      <c r="E728" s="451"/>
      <c r="F728" s="453">
        <f t="shared" si="209"/>
        <v>0</v>
      </c>
      <c r="G728" s="453">
        <f>ROUND(E728*F728,2)</f>
        <v>0</v>
      </c>
    </row>
    <row r="729" spans="1:7" ht="19.899999999999999" customHeight="1" x14ac:dyDescent="0.2">
      <c r="A729" s="496">
        <f t="shared" si="206"/>
        <v>0</v>
      </c>
      <c r="B729" s="459">
        <f t="shared" si="207"/>
        <v>0</v>
      </c>
      <c r="C729" s="459"/>
      <c r="D729" s="507">
        <f t="shared" si="208"/>
        <v>0</v>
      </c>
      <c r="E729" s="451"/>
      <c r="F729" s="453">
        <f t="shared" si="209"/>
        <v>0</v>
      </c>
      <c r="G729" s="453">
        <f t="shared" ref="G729:G737" si="210">ROUND(E729*F729,2)</f>
        <v>0</v>
      </c>
    </row>
    <row r="730" spans="1:7" ht="19.899999999999999" customHeight="1" x14ac:dyDescent="0.2">
      <c r="A730" s="496">
        <f t="shared" si="206"/>
        <v>0</v>
      </c>
      <c r="B730" s="459">
        <f t="shared" si="207"/>
        <v>0</v>
      </c>
      <c r="C730" s="459"/>
      <c r="D730" s="507">
        <f t="shared" si="208"/>
        <v>0</v>
      </c>
      <c r="E730" s="451"/>
      <c r="F730" s="453">
        <f t="shared" si="209"/>
        <v>0</v>
      </c>
      <c r="G730" s="453">
        <f t="shared" si="210"/>
        <v>0</v>
      </c>
    </row>
    <row r="731" spans="1:7" ht="19.899999999999999" customHeight="1" x14ac:dyDescent="0.2">
      <c r="A731" s="496">
        <f t="shared" si="206"/>
        <v>0</v>
      </c>
      <c r="B731" s="459">
        <f t="shared" si="207"/>
        <v>0</v>
      </c>
      <c r="C731" s="459"/>
      <c r="D731" s="507">
        <f t="shared" si="208"/>
        <v>0</v>
      </c>
      <c r="E731" s="451"/>
      <c r="F731" s="453">
        <f t="shared" si="209"/>
        <v>0</v>
      </c>
      <c r="G731" s="453">
        <f t="shared" si="210"/>
        <v>0</v>
      </c>
    </row>
    <row r="732" spans="1:7" ht="19.899999999999999" customHeight="1" x14ac:dyDescent="0.2">
      <c r="A732" s="496">
        <f t="shared" si="206"/>
        <v>0</v>
      </c>
      <c r="B732" s="459">
        <f t="shared" si="207"/>
        <v>0</v>
      </c>
      <c r="C732" s="459"/>
      <c r="D732" s="507">
        <f t="shared" si="208"/>
        <v>0</v>
      </c>
      <c r="E732" s="451"/>
      <c r="F732" s="453">
        <f t="shared" si="209"/>
        <v>0</v>
      </c>
      <c r="G732" s="453">
        <f t="shared" si="210"/>
        <v>0</v>
      </c>
    </row>
    <row r="733" spans="1:7" ht="19.899999999999999" customHeight="1" x14ac:dyDescent="0.2">
      <c r="A733" s="496">
        <f t="shared" si="206"/>
        <v>0</v>
      </c>
      <c r="B733" s="459">
        <f t="shared" si="207"/>
        <v>0</v>
      </c>
      <c r="C733" s="459"/>
      <c r="D733" s="507">
        <f t="shared" si="208"/>
        <v>0</v>
      </c>
      <c r="E733" s="451"/>
      <c r="F733" s="453">
        <f t="shared" si="209"/>
        <v>0</v>
      </c>
      <c r="G733" s="453">
        <f t="shared" si="210"/>
        <v>0</v>
      </c>
    </row>
    <row r="734" spans="1:7" ht="19.899999999999999" customHeight="1" x14ac:dyDescent="0.2">
      <c r="A734" s="496">
        <f t="shared" si="206"/>
        <v>0</v>
      </c>
      <c r="B734" s="459">
        <f t="shared" si="207"/>
        <v>0</v>
      </c>
      <c r="C734" s="459"/>
      <c r="D734" s="507">
        <f t="shared" si="208"/>
        <v>0</v>
      </c>
      <c r="E734" s="451"/>
      <c r="F734" s="453">
        <f t="shared" si="209"/>
        <v>0</v>
      </c>
      <c r="G734" s="453">
        <f t="shared" si="210"/>
        <v>0</v>
      </c>
    </row>
    <row r="735" spans="1:7" ht="19.899999999999999" customHeight="1" x14ac:dyDescent="0.2">
      <c r="A735" s="496">
        <f t="shared" si="206"/>
        <v>0</v>
      </c>
      <c r="B735" s="459">
        <f t="shared" si="207"/>
        <v>0</v>
      </c>
      <c r="C735" s="459"/>
      <c r="D735" s="507">
        <f t="shared" si="208"/>
        <v>0</v>
      </c>
      <c r="E735" s="451"/>
      <c r="F735" s="453">
        <f t="shared" si="209"/>
        <v>0</v>
      </c>
      <c r="G735" s="453">
        <f t="shared" si="210"/>
        <v>0</v>
      </c>
    </row>
    <row r="736" spans="1:7" ht="19.899999999999999" customHeight="1" x14ac:dyDescent="0.2">
      <c r="A736" s="496">
        <f t="shared" si="206"/>
        <v>0</v>
      </c>
      <c r="B736" s="459">
        <f t="shared" si="207"/>
        <v>0</v>
      </c>
      <c r="C736" s="459"/>
      <c r="D736" s="507">
        <f t="shared" si="208"/>
        <v>0</v>
      </c>
      <c r="E736" s="451"/>
      <c r="F736" s="453">
        <f t="shared" si="209"/>
        <v>0</v>
      </c>
      <c r="G736" s="453">
        <f t="shared" si="210"/>
        <v>0</v>
      </c>
    </row>
    <row r="737" spans="1:7" ht="19.899999999999999" customHeight="1" x14ac:dyDescent="0.2">
      <c r="A737" s="496">
        <f t="shared" si="206"/>
        <v>0</v>
      </c>
      <c r="B737" s="459">
        <f t="shared" si="207"/>
        <v>0</v>
      </c>
      <c r="C737" s="459"/>
      <c r="D737" s="507">
        <f t="shared" si="208"/>
        <v>0</v>
      </c>
      <c r="E737" s="451"/>
      <c r="F737" s="453">
        <f t="shared" si="209"/>
        <v>0</v>
      </c>
      <c r="G737" s="453">
        <f t="shared" si="210"/>
        <v>0</v>
      </c>
    </row>
    <row r="738" spans="1:7" ht="19.899999999999999" customHeight="1" x14ac:dyDescent="0.2">
      <c r="A738" s="494"/>
      <c r="B738" s="155"/>
      <c r="C738" s="155"/>
      <c r="D738" s="440"/>
      <c r="E738" s="441"/>
      <c r="F738" s="462" t="s">
        <v>29</v>
      </c>
      <c r="G738" s="499">
        <f>SUBTOTAL(9,G727:G737)</f>
        <v>0</v>
      </c>
    </row>
    <row r="739" spans="1:7" ht="19.899999999999999" customHeight="1" x14ac:dyDescent="0.2">
      <c r="A739" s="494"/>
      <c r="B739" s="155"/>
      <c r="C739" s="436" t="s">
        <v>991</v>
      </c>
      <c r="D739" s="440"/>
      <c r="E739" s="441"/>
      <c r="F739" s="442"/>
      <c r="G739" s="495"/>
    </row>
    <row r="740" spans="1:7" ht="19.899999999999999" customHeight="1" x14ac:dyDescent="0.2">
      <c r="A740" s="677" t="s">
        <v>576</v>
      </c>
      <c r="B740" s="678"/>
      <c r="C740" s="679" t="s">
        <v>0</v>
      </c>
      <c r="D740" s="679" t="s">
        <v>1733</v>
      </c>
      <c r="E740" s="681" t="s">
        <v>24</v>
      </c>
      <c r="F740" s="683" t="s">
        <v>25</v>
      </c>
      <c r="G740" s="685" t="s">
        <v>26</v>
      </c>
    </row>
    <row r="741" spans="1:7" ht="19.899999999999999" customHeight="1" x14ac:dyDescent="0.2">
      <c r="A741" s="458" t="s">
        <v>577</v>
      </c>
      <c r="B741" s="458" t="s">
        <v>578</v>
      </c>
      <c r="C741" s="680"/>
      <c r="D741" s="680"/>
      <c r="E741" s="682"/>
      <c r="F741" s="684"/>
      <c r="G741" s="686"/>
    </row>
    <row r="742" spans="1:7" ht="19.899999999999999" customHeight="1" x14ac:dyDescent="0.2">
      <c r="A742" s="496">
        <f>IFERROR(VLOOKUP(C742,T_Insumos,4,FALSE),0)</f>
        <v>0</v>
      </c>
      <c r="B742" s="459">
        <f>IFERROR(VLOOKUP(C742,T_Insumos,5,FALSE),0)</f>
        <v>0</v>
      </c>
      <c r="C742" s="450"/>
      <c r="D742" s="507">
        <f>IF(C742=0,0,"$/tnkm")</f>
        <v>0</v>
      </c>
      <c r="E742" s="451"/>
      <c r="F742" s="453">
        <f>IFERROR(VLOOKUP(C742,T_Insumos,3,FALSE),0)</f>
        <v>0</v>
      </c>
      <c r="G742" s="453">
        <f>ROUND(E742*F742,2)</f>
        <v>0</v>
      </c>
    </row>
    <row r="743" spans="1:7" ht="19.899999999999999" customHeight="1" x14ac:dyDescent="0.2">
      <c r="A743" s="496">
        <f>IFERROR(VLOOKUP(C743,T_Insumos,4,FALSE),0)</f>
        <v>0</v>
      </c>
      <c r="B743" s="459">
        <f>IFERROR(VLOOKUP(C743,T_Insumos,5,FALSE),0)</f>
        <v>0</v>
      </c>
      <c r="C743" s="450"/>
      <c r="D743" s="507">
        <f>IF(C743=0,0,"$/tnkm")</f>
        <v>0</v>
      </c>
      <c r="E743" s="467"/>
      <c r="F743" s="453">
        <f>IFERROR(VLOOKUP(C743,T_Insumos,3,FALSE),0)</f>
        <v>0</v>
      </c>
      <c r="G743" s="453">
        <f t="shared" ref="G743" si="211">ROUND(E743*F743,2)</f>
        <v>0</v>
      </c>
    </row>
    <row r="744" spans="1:7" ht="19.899999999999999" customHeight="1" x14ac:dyDescent="0.2">
      <c r="A744" s="494"/>
      <c r="B744" s="155"/>
      <c r="C744" s="155"/>
      <c r="D744" s="440"/>
      <c r="E744" s="441"/>
      <c r="F744" s="462" t="s">
        <v>992</v>
      </c>
      <c r="G744" s="499">
        <f>SUBTOTAL(9,G742:G743)</f>
        <v>0</v>
      </c>
    </row>
    <row r="745" spans="1:7" ht="19.899999999999999" customHeight="1" x14ac:dyDescent="0.2">
      <c r="A745" s="497"/>
      <c r="B745" s="440"/>
      <c r="C745" s="155"/>
      <c r="D745" s="440"/>
      <c r="E745" s="441"/>
      <c r="F745" s="442"/>
      <c r="G745" s="495"/>
    </row>
    <row r="746" spans="1:7" ht="19.899999999999999" customHeight="1" x14ac:dyDescent="0.2">
      <c r="A746" s="555" t="str">
        <f>B680</f>
        <v>2.2.1</v>
      </c>
      <c r="B746" s="552" t="str">
        <f ca="1">C680</f>
        <v xml:space="preserve">Hormigón H-21  </v>
      </c>
      <c r="C746" s="440"/>
      <c r="D746" s="440" t="s">
        <v>1712</v>
      </c>
      <c r="E746" s="553"/>
      <c r="F746" s="554" t="str">
        <f ca="1">"$/"&amp;G680</f>
        <v>$/M3</v>
      </c>
      <c r="G746" s="504">
        <f>SUBTOTAL(9,G703:G745)</f>
        <v>0</v>
      </c>
    </row>
    <row r="747" spans="1:7" ht="19.899999999999999" customHeight="1" x14ac:dyDescent="0.2">
      <c r="A747" s="500"/>
      <c r="B747" s="501"/>
      <c r="C747" s="502"/>
      <c r="D747" s="502" t="s">
        <v>1908</v>
      </c>
      <c r="E747" s="503"/>
      <c r="F747" s="556" t="str">
        <f ca="1">"$/"&amp;G680</f>
        <v>$/M3</v>
      </c>
      <c r="G747" s="504">
        <f>ROUND(G746*Coeficiente_Paso,2)</f>
        <v>0</v>
      </c>
    </row>
    <row r="748" spans="1:7" ht="19.899999999999999" customHeight="1" x14ac:dyDescent="0.2">
      <c r="A748" s="687" t="s">
        <v>31</v>
      </c>
      <c r="B748" s="688"/>
      <c r="C748" s="688"/>
      <c r="D748" s="688"/>
      <c r="E748" s="688"/>
      <c r="F748" s="688"/>
      <c r="G748" s="689"/>
    </row>
    <row r="749" spans="1:7" ht="19.899999999999999" customHeight="1" x14ac:dyDescent="0.2">
      <c r="A749" s="483" t="s">
        <v>711</v>
      </c>
      <c r="B749" s="434" t="str">
        <f>Comitente</f>
        <v>DEPARTAMENTO DE HIDRÁULICA</v>
      </c>
      <c r="C749" s="435"/>
      <c r="D749" s="436"/>
      <c r="E749" s="436"/>
      <c r="F749" s="437"/>
      <c r="G749" s="484"/>
    </row>
    <row r="750" spans="1:7" ht="19.899999999999999" customHeight="1" x14ac:dyDescent="0.2">
      <c r="A750" s="483" t="s">
        <v>712</v>
      </c>
      <c r="B750" s="434">
        <f>Contratista</f>
        <v>0</v>
      </c>
      <c r="C750" s="438"/>
      <c r="D750" s="438"/>
      <c r="E750" s="438"/>
      <c r="F750" s="434"/>
      <c r="G750" s="485"/>
    </row>
    <row r="751" spans="1:7" ht="19.899999999999999" customHeight="1" x14ac:dyDescent="0.2">
      <c r="A751" s="483" t="s">
        <v>21</v>
      </c>
      <c r="B751" s="434" t="str">
        <f>Obra</f>
        <v>RECRECIMIENTO Y REPARACIÓN CANALES SARMIENTO, 9 DE JULIO Y CHIMBAS</v>
      </c>
      <c r="C751" s="438"/>
      <c r="D751" s="438"/>
      <c r="E751" s="438"/>
      <c r="F751" s="434" t="s">
        <v>32</v>
      </c>
      <c r="G751" s="485">
        <f>Fecha_Base</f>
        <v>0</v>
      </c>
    </row>
    <row r="752" spans="1:7" ht="19.899999999999999" customHeight="1" x14ac:dyDescent="0.2">
      <c r="A752" s="486" t="s">
        <v>710</v>
      </c>
      <c r="B752" s="439" t="str">
        <f>Ubicación</f>
        <v>DEPARTAMENTOS SARMIENTO, 9 DE JULIO Y CHIMBAS</v>
      </c>
      <c r="C752" s="439"/>
      <c r="D752" s="440"/>
      <c r="E752" s="441"/>
      <c r="F752" s="442"/>
      <c r="G752" s="487"/>
    </row>
    <row r="753" spans="1:7" ht="19.899999999999999" customHeight="1" x14ac:dyDescent="0.2">
      <c r="A753" s="486" t="s">
        <v>33</v>
      </c>
      <c r="B753" s="443">
        <f>IFERROR(VALUE(LEFT(B754,FIND(".",B754)-1)),"")</f>
        <v>2</v>
      </c>
      <c r="C753" s="155" t="str">
        <f ca="1">IFERROR(VLOOKUP(B753,T_Computo_Presupuesto,2,FALSE),0)</f>
        <v>DPTO. 9 DE JULIO (R. BALMACEDA y R. ZUNGRY ALDAY)</v>
      </c>
      <c r="D753" s="155"/>
      <c r="E753" s="441"/>
      <c r="F753" s="442"/>
      <c r="G753" s="487"/>
    </row>
    <row r="754" spans="1:7" ht="19.899999999999999" customHeight="1" x14ac:dyDescent="0.2">
      <c r="A754" s="486" t="s">
        <v>22</v>
      </c>
      <c r="B754" s="444" t="str">
        <f>IFERROR(VLOOKUP(COUNTIF($A$1:A754,"ANALISIS DE PRECIOS"),T_NumeroItem,2,FALSE),"")</f>
        <v>2.2.2</v>
      </c>
      <c r="C754" s="690" t="str">
        <f ca="1">IFERROR(VLOOKUP(B754,T_Computo_Presupuesto,2,FALSE),0)</f>
        <v>Armadura puesta en obra</v>
      </c>
      <c r="D754" s="690"/>
      <c r="E754" s="690"/>
      <c r="F754" s="439" t="s">
        <v>23</v>
      </c>
      <c r="G754" s="488" t="str">
        <f ca="1">IFERROR(VLOOKUP(B754,T_Computo_Presupuesto,4,FALSE),0)</f>
        <v>KG</v>
      </c>
    </row>
    <row r="755" spans="1:7" ht="19.899999999999999" customHeight="1" x14ac:dyDescent="0.2">
      <c r="A755" s="486"/>
      <c r="B755" s="439"/>
      <c r="C755" s="155"/>
      <c r="D755" s="440"/>
      <c r="E755" s="441"/>
      <c r="F755" s="155"/>
      <c r="G755" s="489"/>
    </row>
    <row r="756" spans="1:7" ht="19.899999999999999" customHeight="1" x14ac:dyDescent="0.2">
      <c r="A756" s="490"/>
      <c r="B756" s="445"/>
      <c r="C756" s="446" t="s">
        <v>975</v>
      </c>
      <c r="D756" s="445"/>
      <c r="E756" s="445"/>
      <c r="F756" s="445"/>
      <c r="G756" s="491"/>
    </row>
    <row r="757" spans="1:7" ht="19.899999999999999" customHeight="1" x14ac:dyDescent="0.2">
      <c r="A757" s="486"/>
      <c r="B757" s="447"/>
      <c r="C757" s="155"/>
      <c r="D757" s="440"/>
      <c r="E757" s="441"/>
      <c r="F757" s="439"/>
      <c r="G757" s="488"/>
    </row>
    <row r="758" spans="1:7" ht="19.899999999999999" customHeight="1" x14ac:dyDescent="0.2">
      <c r="A758" s="486"/>
      <c r="B758" s="447"/>
      <c r="C758" s="448" t="s">
        <v>976</v>
      </c>
      <c r="D758" s="449" t="s">
        <v>24</v>
      </c>
      <c r="E758" s="449" t="s">
        <v>977</v>
      </c>
      <c r="F758" s="449" t="s">
        <v>978</v>
      </c>
      <c r="G758" s="448" t="s">
        <v>979</v>
      </c>
    </row>
    <row r="759" spans="1:7" ht="19.899999999999999" customHeight="1" x14ac:dyDescent="0.2">
      <c r="A759" s="486"/>
      <c r="B759" s="447"/>
      <c r="C759" s="450">
        <f>+Equipos!A313</f>
        <v>0</v>
      </c>
      <c r="D759" s="451"/>
      <c r="E759" s="452">
        <f t="shared" ref="E759:E768" si="212">IFERROR(VLOOKUP(C759,T_Equipos,4,FALSE),0)</f>
        <v>0</v>
      </c>
      <c r="F759" s="453">
        <f t="shared" ref="F759:F768" si="213">IFERROR(VLOOKUP(C759,T_Equipos,5,FALSE),0)</f>
        <v>0</v>
      </c>
      <c r="G759" s="453">
        <f>ROUND(D759*F759,2)</f>
        <v>0</v>
      </c>
    </row>
    <row r="760" spans="1:7" ht="19.899999999999999" customHeight="1" x14ac:dyDescent="0.2">
      <c r="A760" s="486"/>
      <c r="B760" s="447"/>
      <c r="C760" s="450">
        <f>+Equipos!A310</f>
        <v>0</v>
      </c>
      <c r="D760" s="451"/>
      <c r="E760" s="452">
        <f t="shared" si="212"/>
        <v>0</v>
      </c>
      <c r="F760" s="453">
        <f t="shared" si="213"/>
        <v>0</v>
      </c>
      <c r="G760" s="453">
        <f>ROUND(D760*F760,2)</f>
        <v>0</v>
      </c>
    </row>
    <row r="761" spans="1:7" ht="19.899999999999999" customHeight="1" x14ac:dyDescent="0.2">
      <c r="A761" s="486"/>
      <c r="B761" s="447"/>
      <c r="C761" s="450">
        <f>+Equipos!A322</f>
        <v>0</v>
      </c>
      <c r="D761" s="451"/>
      <c r="E761" s="452">
        <f t="shared" si="212"/>
        <v>0</v>
      </c>
      <c r="F761" s="453">
        <f t="shared" si="213"/>
        <v>0</v>
      </c>
      <c r="G761" s="453">
        <f>ROUND(D761*F761,2)</f>
        <v>0</v>
      </c>
    </row>
    <row r="762" spans="1:7" ht="19.899999999999999" customHeight="1" x14ac:dyDescent="0.2">
      <c r="A762" s="486"/>
      <c r="B762" s="447"/>
      <c r="C762" s="450">
        <f>+Equipos!A330</f>
        <v>0</v>
      </c>
      <c r="D762" s="451"/>
      <c r="E762" s="452">
        <f t="shared" si="212"/>
        <v>0</v>
      </c>
      <c r="F762" s="453">
        <f t="shared" si="213"/>
        <v>0</v>
      </c>
      <c r="G762" s="453">
        <f>ROUND(D762*F762,2)</f>
        <v>0</v>
      </c>
    </row>
    <row r="763" spans="1:7" ht="19.899999999999999" customHeight="1" x14ac:dyDescent="0.2">
      <c r="A763" s="486"/>
      <c r="B763" s="447"/>
      <c r="C763" s="450">
        <f>+Equipos!A319</f>
        <v>0</v>
      </c>
      <c r="D763" s="623"/>
      <c r="E763" s="452">
        <f t="shared" si="212"/>
        <v>0</v>
      </c>
      <c r="F763" s="453">
        <f t="shared" si="213"/>
        <v>0</v>
      </c>
      <c r="G763" s="453">
        <f t="shared" ref="G763:G768" si="214">ROUND(D763*F763,2)</f>
        <v>0</v>
      </c>
    </row>
    <row r="764" spans="1:7" ht="19.899999999999999" customHeight="1" x14ac:dyDescent="0.2">
      <c r="A764" s="486"/>
      <c r="B764" s="447"/>
      <c r="C764" s="450">
        <f>+Equipos!A315</f>
        <v>0</v>
      </c>
      <c r="D764" s="451"/>
      <c r="E764" s="452">
        <f t="shared" si="212"/>
        <v>0</v>
      </c>
      <c r="F764" s="453">
        <f t="shared" si="213"/>
        <v>0</v>
      </c>
      <c r="G764" s="453">
        <f t="shared" si="214"/>
        <v>0</v>
      </c>
    </row>
    <row r="765" spans="1:7" ht="19.899999999999999" customHeight="1" x14ac:dyDescent="0.2">
      <c r="A765" s="486"/>
      <c r="B765" s="447"/>
      <c r="C765" s="450"/>
      <c r="D765" s="451"/>
      <c r="E765" s="452">
        <f t="shared" si="212"/>
        <v>0</v>
      </c>
      <c r="F765" s="453">
        <f t="shared" si="213"/>
        <v>0</v>
      </c>
      <c r="G765" s="453">
        <f t="shared" si="214"/>
        <v>0</v>
      </c>
    </row>
    <row r="766" spans="1:7" ht="19.899999999999999" customHeight="1" x14ac:dyDescent="0.2">
      <c r="A766" s="486"/>
      <c r="B766" s="447"/>
      <c r="C766" s="450"/>
      <c r="D766" s="451"/>
      <c r="E766" s="452">
        <f t="shared" si="212"/>
        <v>0</v>
      </c>
      <c r="F766" s="453">
        <f t="shared" si="213"/>
        <v>0</v>
      </c>
      <c r="G766" s="453">
        <f t="shared" si="214"/>
        <v>0</v>
      </c>
    </row>
    <row r="767" spans="1:7" ht="19.899999999999999" customHeight="1" x14ac:dyDescent="0.2">
      <c r="A767" s="486"/>
      <c r="B767" s="447"/>
      <c r="C767" s="450"/>
      <c r="D767" s="451"/>
      <c r="E767" s="452">
        <f t="shared" si="212"/>
        <v>0</v>
      </c>
      <c r="F767" s="453">
        <f t="shared" si="213"/>
        <v>0</v>
      </c>
      <c r="G767" s="453">
        <f t="shared" si="214"/>
        <v>0</v>
      </c>
    </row>
    <row r="768" spans="1:7" ht="19.899999999999999" customHeight="1" x14ac:dyDescent="0.2">
      <c r="A768" s="486"/>
      <c r="B768" s="447"/>
      <c r="C768" s="450"/>
      <c r="D768" s="451"/>
      <c r="E768" s="452">
        <f t="shared" si="212"/>
        <v>0</v>
      </c>
      <c r="F768" s="453">
        <f t="shared" si="213"/>
        <v>0</v>
      </c>
      <c r="G768" s="453">
        <f t="shared" si="214"/>
        <v>0</v>
      </c>
    </row>
    <row r="769" spans="1:7" ht="19.899999999999999" customHeight="1" x14ac:dyDescent="0.2">
      <c r="A769" s="486"/>
      <c r="B769" s="447"/>
      <c r="C769" s="155"/>
      <c r="D769" s="155"/>
      <c r="E769" s="454"/>
      <c r="F769" s="439"/>
      <c r="G769" s="488"/>
    </row>
    <row r="770" spans="1:7" ht="19.899999999999999" customHeight="1" x14ac:dyDescent="0.2">
      <c r="A770" s="486"/>
      <c r="B770" s="155"/>
      <c r="C770" s="436" t="s">
        <v>980</v>
      </c>
      <c r="D770" s="439" t="s">
        <v>977</v>
      </c>
      <c r="E770" s="505">
        <f>SUMPRODUCT(D759:D768,E759:E768)</f>
        <v>0</v>
      </c>
      <c r="F770" s="439" t="s">
        <v>981</v>
      </c>
      <c r="G770" s="506">
        <f>SUM(G759:G768)</f>
        <v>0</v>
      </c>
    </row>
    <row r="771" spans="1:7" ht="19.899999999999999" customHeight="1" x14ac:dyDescent="0.2">
      <c r="A771" s="486"/>
      <c r="B771" s="447"/>
      <c r="C771" s="455"/>
      <c r="D771" s="454"/>
      <c r="E771" s="441"/>
      <c r="F771" s="439"/>
      <c r="G771" s="492"/>
    </row>
    <row r="772" spans="1:7" ht="19.899999999999999" customHeight="1" x14ac:dyDescent="0.2">
      <c r="A772" s="493"/>
      <c r="B772" s="447"/>
      <c r="C772" s="439" t="s">
        <v>982</v>
      </c>
      <c r="D772" s="456">
        <f>IFERROR(VLOOKUP(COUNTIF($A$1:A772,"ANALISIS DE PRECIOS"),T_Rendimiento_Equipo,5,FALSE),0)</f>
        <v>0</v>
      </c>
      <c r="E772" s="457" t="str">
        <f ca="1">G754&amp;"/día"</f>
        <v>KG/día</v>
      </c>
      <c r="F772" s="433"/>
      <c r="G772" s="488"/>
    </row>
    <row r="773" spans="1:7" ht="19.899999999999999" customHeight="1" x14ac:dyDescent="0.2">
      <c r="A773" s="486"/>
      <c r="B773" s="447"/>
      <c r="C773" s="155"/>
      <c r="D773" s="440"/>
      <c r="E773" s="441"/>
      <c r="F773" s="439"/>
      <c r="G773" s="488"/>
    </row>
    <row r="774" spans="1:7" ht="19.899999999999999" customHeight="1" x14ac:dyDescent="0.2">
      <c r="A774" s="677" t="s">
        <v>576</v>
      </c>
      <c r="B774" s="678"/>
      <c r="C774" s="679" t="s">
        <v>0</v>
      </c>
      <c r="D774" s="691" t="s">
        <v>1732</v>
      </c>
      <c r="E774" s="691" t="s">
        <v>1731</v>
      </c>
      <c r="F774" s="683" t="s">
        <v>983</v>
      </c>
      <c r="G774" s="685" t="s">
        <v>26</v>
      </c>
    </row>
    <row r="775" spans="1:7" ht="19.899999999999999" customHeight="1" x14ac:dyDescent="0.2">
      <c r="A775" s="458" t="s">
        <v>577</v>
      </c>
      <c r="B775" s="458" t="s">
        <v>578</v>
      </c>
      <c r="C775" s="680"/>
      <c r="D775" s="692"/>
      <c r="E775" s="682"/>
      <c r="F775" s="684"/>
      <c r="G775" s="686"/>
    </row>
    <row r="776" spans="1:7" ht="19.899999999999999" customHeight="1" x14ac:dyDescent="0.2">
      <c r="A776" s="494"/>
      <c r="B776" s="155"/>
      <c r="C776" s="436" t="s">
        <v>984</v>
      </c>
      <c r="D776" s="441"/>
      <c r="E776" s="441"/>
      <c r="F776" s="155"/>
      <c r="G776" s="495"/>
    </row>
    <row r="777" spans="1:7" ht="19.899999999999999" customHeight="1" x14ac:dyDescent="0.2">
      <c r="A777" s="496">
        <f t="shared" ref="A777:A785" si="215">IFERROR(VLOOKUP(C777,T_Insumos,4,FALSE),0)</f>
        <v>0</v>
      </c>
      <c r="B777" s="459">
        <f t="shared" ref="B777:B785" si="216">IFERROR(VLOOKUP(C777,T_Insumos,5,FALSE),0)</f>
        <v>0</v>
      </c>
      <c r="C777" s="450" t="str">
        <f>+C327</f>
        <v>DESIGNACION</v>
      </c>
      <c r="D777" s="460">
        <f t="shared" ref="D777:D785" si="217">IFERROR(VLOOKUP(C777,T_Insumos,3,FALSE),0)</f>
        <v>0</v>
      </c>
      <c r="E777" s="453">
        <f>D777*$G$473</f>
        <v>0</v>
      </c>
      <c r="F777" s="456">
        <f>IF(C777="",0,IFERROR(VLOOKUP(COUNTIF($A$1:A777,"ANALISIS DE PRECIOS"),T_Rendimiento_Equipo,5,FALSE),0))</f>
        <v>0</v>
      </c>
      <c r="G777" s="453">
        <f>IFERROR(ROUND(E777/F777,2),0)</f>
        <v>0</v>
      </c>
    </row>
    <row r="778" spans="1:7" ht="19.899999999999999" customHeight="1" x14ac:dyDescent="0.2">
      <c r="A778" s="496">
        <f t="shared" si="215"/>
        <v>0</v>
      </c>
      <c r="B778" s="459">
        <f t="shared" si="216"/>
        <v>0</v>
      </c>
      <c r="C778" s="450">
        <f t="shared" ref="C778:C780" si="218">+C328</f>
        <v>0</v>
      </c>
      <c r="D778" s="460">
        <f t="shared" si="217"/>
        <v>0</v>
      </c>
      <c r="E778" s="453">
        <f t="shared" ref="E778:E779" si="219">D778*$G$473</f>
        <v>0</v>
      </c>
      <c r="F778" s="456">
        <f>IF(C778="",0,IFERROR(VLOOKUP(COUNTIF($A$1:A778,"ANALISIS DE PRECIOS"),T_Rendimiento_Equipo,5,FALSE),0))</f>
        <v>0</v>
      </c>
      <c r="G778" s="453">
        <f t="shared" ref="G778:G785" si="220">IFERROR(ROUND(E778/F778,2),0)</f>
        <v>0</v>
      </c>
    </row>
    <row r="779" spans="1:7" ht="19.899999999999999" customHeight="1" x14ac:dyDescent="0.2">
      <c r="A779" s="496">
        <f t="shared" si="215"/>
        <v>0</v>
      </c>
      <c r="B779" s="459">
        <f t="shared" si="216"/>
        <v>0</v>
      </c>
      <c r="C779" s="450" t="str">
        <f t="shared" si="218"/>
        <v>A - EQUIPOS</v>
      </c>
      <c r="D779" s="460">
        <f t="shared" si="217"/>
        <v>0</v>
      </c>
      <c r="E779" s="453">
        <f t="shared" si="219"/>
        <v>0</v>
      </c>
      <c r="F779" s="456">
        <f>IF(C779="",0,IFERROR(VLOOKUP(COUNTIF($A$1:A779,"ANALISIS DE PRECIOS"),T_Rendimiento_Equipo,5,FALSE),0))</f>
        <v>0</v>
      </c>
      <c r="G779" s="453">
        <f t="shared" si="220"/>
        <v>0</v>
      </c>
    </row>
    <row r="780" spans="1:7" ht="19.899999999999999" customHeight="1" x14ac:dyDescent="0.2">
      <c r="A780" s="496">
        <f t="shared" si="215"/>
        <v>0</v>
      </c>
      <c r="B780" s="459">
        <f t="shared" si="216"/>
        <v>0</v>
      </c>
      <c r="C780" s="450">
        <f t="shared" si="218"/>
        <v>0</v>
      </c>
      <c r="D780" s="460">
        <f t="shared" si="217"/>
        <v>0</v>
      </c>
      <c r="E780" s="453">
        <f>D780*$E$473</f>
        <v>0</v>
      </c>
      <c r="F780" s="456">
        <f>IF(C780="",0,IFERROR(VLOOKUP(COUNTIF($A$1:A780,"ANALISIS DE PRECIOS"),T_Rendimiento_Equipo,5,FALSE),0))</f>
        <v>0</v>
      </c>
      <c r="G780" s="453">
        <f t="shared" si="220"/>
        <v>0</v>
      </c>
    </row>
    <row r="781" spans="1:7" ht="19.899999999999999" customHeight="1" x14ac:dyDescent="0.2">
      <c r="A781" s="496">
        <f t="shared" si="215"/>
        <v>0</v>
      </c>
      <c r="B781" s="459">
        <f t="shared" si="216"/>
        <v>0</v>
      </c>
      <c r="C781" s="461"/>
      <c r="D781" s="460">
        <f t="shared" si="217"/>
        <v>0</v>
      </c>
      <c r="E781" s="453"/>
      <c r="F781" s="456">
        <f>IF(C781="",0,IFERROR(VLOOKUP(COUNTIF($A$1:A781,"ANALISIS DE PRECIOS"),T_Rendimiento_Equipo,5,FALSE),0))</f>
        <v>0</v>
      </c>
      <c r="G781" s="453">
        <f t="shared" si="220"/>
        <v>0</v>
      </c>
    </row>
    <row r="782" spans="1:7" ht="19.899999999999999" customHeight="1" x14ac:dyDescent="0.2">
      <c r="A782" s="496">
        <f t="shared" si="215"/>
        <v>0</v>
      </c>
      <c r="B782" s="459">
        <f t="shared" si="216"/>
        <v>0</v>
      </c>
      <c r="C782" s="461"/>
      <c r="D782" s="460">
        <f t="shared" si="217"/>
        <v>0</v>
      </c>
      <c r="E782" s="453"/>
      <c r="F782" s="456">
        <f>IF(C782="",0,IFERROR(VLOOKUP(COUNTIF($A$1:A782,"ANALISIS DE PRECIOS"),T_Rendimiento_Equipo,5,FALSE),0))</f>
        <v>0</v>
      </c>
      <c r="G782" s="453">
        <f t="shared" si="220"/>
        <v>0</v>
      </c>
    </row>
    <row r="783" spans="1:7" ht="19.899999999999999" customHeight="1" x14ac:dyDescent="0.2">
      <c r="A783" s="496">
        <f t="shared" si="215"/>
        <v>0</v>
      </c>
      <c r="B783" s="459">
        <f t="shared" si="216"/>
        <v>0</v>
      </c>
      <c r="C783" s="461"/>
      <c r="D783" s="460">
        <f t="shared" si="217"/>
        <v>0</v>
      </c>
      <c r="E783" s="453"/>
      <c r="F783" s="456">
        <f>IF(C783="",0,IFERROR(VLOOKUP(COUNTIF($A$1:A783,"ANALISIS DE PRECIOS"),T_Rendimiento_Equipo,5,FALSE),0))</f>
        <v>0</v>
      </c>
      <c r="G783" s="453">
        <f t="shared" si="220"/>
        <v>0</v>
      </c>
    </row>
    <row r="784" spans="1:7" ht="19.899999999999999" customHeight="1" x14ac:dyDescent="0.2">
      <c r="A784" s="496">
        <f t="shared" si="215"/>
        <v>0</v>
      </c>
      <c r="B784" s="459">
        <f t="shared" si="216"/>
        <v>0</v>
      </c>
      <c r="C784" s="461"/>
      <c r="D784" s="460">
        <f t="shared" si="217"/>
        <v>0</v>
      </c>
      <c r="E784" s="453"/>
      <c r="F784" s="456">
        <f>IF(C784="",0,IFERROR(VLOOKUP(COUNTIF($A$1:A784,"ANALISIS DE PRECIOS"),T_Rendimiento_Equipo,5,FALSE),0))</f>
        <v>0</v>
      </c>
      <c r="G784" s="453">
        <f t="shared" si="220"/>
        <v>0</v>
      </c>
    </row>
    <row r="785" spans="1:7" ht="19.899999999999999" customHeight="1" x14ac:dyDescent="0.2">
      <c r="A785" s="496">
        <f t="shared" si="215"/>
        <v>0</v>
      </c>
      <c r="B785" s="459">
        <f t="shared" si="216"/>
        <v>0</v>
      </c>
      <c r="C785" s="450"/>
      <c r="D785" s="460">
        <f t="shared" si="217"/>
        <v>0</v>
      </c>
      <c r="E785" s="453"/>
      <c r="F785" s="456">
        <f>IF(C785="",0,IFERROR(VLOOKUP(COUNTIF($A$1:A785,"ANALISIS DE PRECIOS"),T_Rendimiento_Equipo,5,FALSE),0))</f>
        <v>0</v>
      </c>
      <c r="G785" s="453">
        <f t="shared" si="220"/>
        <v>0</v>
      </c>
    </row>
    <row r="786" spans="1:7" ht="19.899999999999999" customHeight="1" x14ac:dyDescent="0.2">
      <c r="A786" s="497"/>
      <c r="B786" s="440"/>
      <c r="C786" s="155"/>
      <c r="D786" s="440"/>
      <c r="E786" s="441"/>
      <c r="F786" s="462" t="s">
        <v>27</v>
      </c>
      <c r="G786" s="498">
        <f>SUBTOTAL(9,G777:G785)</f>
        <v>0</v>
      </c>
    </row>
    <row r="787" spans="1:7" ht="19.899999999999999" customHeight="1" x14ac:dyDescent="0.2">
      <c r="A787" s="494"/>
      <c r="B787" s="155"/>
      <c r="C787" s="436" t="s">
        <v>713</v>
      </c>
      <c r="D787" s="440"/>
      <c r="E787" s="441"/>
      <c r="F787" s="442"/>
      <c r="G787" s="495"/>
    </row>
    <row r="788" spans="1:7" ht="19.899999999999999" customHeight="1" x14ac:dyDescent="0.2">
      <c r="A788" s="677" t="s">
        <v>576</v>
      </c>
      <c r="B788" s="678"/>
      <c r="C788" s="679" t="s">
        <v>0</v>
      </c>
      <c r="D788" s="681" t="s">
        <v>24</v>
      </c>
      <c r="E788" s="681" t="s">
        <v>1711</v>
      </c>
      <c r="F788" s="683" t="s">
        <v>983</v>
      </c>
      <c r="G788" s="685" t="s">
        <v>26</v>
      </c>
    </row>
    <row r="789" spans="1:7" ht="19.899999999999999" customHeight="1" x14ac:dyDescent="0.2">
      <c r="A789" s="458" t="s">
        <v>577</v>
      </c>
      <c r="B789" s="458" t="s">
        <v>578</v>
      </c>
      <c r="C789" s="680"/>
      <c r="D789" s="682"/>
      <c r="E789" s="682"/>
      <c r="F789" s="684"/>
      <c r="G789" s="686"/>
    </row>
    <row r="790" spans="1:7" ht="19.899999999999999" customHeight="1" x14ac:dyDescent="0.2">
      <c r="A790" s="496">
        <f t="shared" ref="A790:A796" si="221">IFERROR(VLOOKUP(C790,T_Insumos,4,FALSE),0)</f>
        <v>0</v>
      </c>
      <c r="B790" s="459">
        <f t="shared" ref="B790:B796" si="222">IFERROR(VLOOKUP(C790,T_Insumos,5,FALSE),0)</f>
        <v>0</v>
      </c>
      <c r="C790" s="463" t="str">
        <f>+C340</f>
        <v>B - MANO DE OBRA</v>
      </c>
      <c r="D790" s="456"/>
      <c r="E790" s="453">
        <f t="shared" ref="E790:E796" si="223">IFERROR(VLOOKUP(C790,T_Insumos,3,FALSE),0)</f>
        <v>0</v>
      </c>
      <c r="F790" s="456">
        <f>IF(C790="",0,IFERROR(VLOOKUP(COUNTIF($A$1:A790,"ANALISIS DE PRECIOS"),T_Rendimiento_Equipo,5,FALSE),0))</f>
        <v>0</v>
      </c>
      <c r="G790" s="453">
        <f>IFERROR(ROUND(D790*E790/F790,2),0)</f>
        <v>0</v>
      </c>
    </row>
    <row r="791" spans="1:7" ht="19.899999999999999" customHeight="1" x14ac:dyDescent="0.2">
      <c r="A791" s="496">
        <f t="shared" si="221"/>
        <v>0</v>
      </c>
      <c r="B791" s="459">
        <f t="shared" si="222"/>
        <v>0</v>
      </c>
      <c r="C791" s="463" t="str">
        <f t="shared" ref="C791:C793" si="224">+C341</f>
        <v>DESIGNACION</v>
      </c>
      <c r="D791" s="456"/>
      <c r="E791" s="453">
        <f t="shared" si="223"/>
        <v>0</v>
      </c>
      <c r="F791" s="456">
        <f>IF(C791="",0,IFERROR(VLOOKUP(COUNTIF($A$1:A791,"ANALISIS DE PRECIOS"),T_Rendimiento_Equipo,5,FALSE),0))</f>
        <v>0</v>
      </c>
      <c r="G791" s="453">
        <f t="shared" ref="G791:G796" si="225">IFERROR(ROUND(D791*E791/F791,2),0)</f>
        <v>0</v>
      </c>
    </row>
    <row r="792" spans="1:7" ht="19.899999999999999" customHeight="1" x14ac:dyDescent="0.2">
      <c r="A792" s="496">
        <f t="shared" si="221"/>
        <v>0</v>
      </c>
      <c r="B792" s="459">
        <f t="shared" si="222"/>
        <v>0</v>
      </c>
      <c r="C792" s="463">
        <f t="shared" si="224"/>
        <v>0</v>
      </c>
      <c r="D792" s="456"/>
      <c r="E792" s="453">
        <f t="shared" si="223"/>
        <v>0</v>
      </c>
      <c r="F792" s="456">
        <f>IF(C792="",0,IFERROR(VLOOKUP(COUNTIF($A$1:A792,"ANALISIS DE PRECIOS"),T_Rendimiento_Equipo,5,FALSE),0))</f>
        <v>0</v>
      </c>
      <c r="G792" s="453">
        <f t="shared" si="225"/>
        <v>0</v>
      </c>
    </row>
    <row r="793" spans="1:7" ht="19.899999999999999" customHeight="1" x14ac:dyDescent="0.2">
      <c r="A793" s="496">
        <f t="shared" si="221"/>
        <v>0</v>
      </c>
      <c r="B793" s="459">
        <f t="shared" si="222"/>
        <v>0</v>
      </c>
      <c r="C793" s="463">
        <f t="shared" si="224"/>
        <v>0</v>
      </c>
      <c r="D793" s="456"/>
      <c r="E793" s="453">
        <f t="shared" si="223"/>
        <v>0</v>
      </c>
      <c r="F793" s="456">
        <f>IF(C793="",0,IFERROR(VLOOKUP(COUNTIF($A$1:A793,"ANALISIS DE PRECIOS"),T_Rendimiento_Equipo,5,FALSE),0))</f>
        <v>0</v>
      </c>
      <c r="G793" s="453">
        <f>IFERROR(ROUND(D793*E793/F793,2),0)</f>
        <v>0</v>
      </c>
    </row>
    <row r="794" spans="1:7" ht="19.899999999999999" customHeight="1" x14ac:dyDescent="0.2">
      <c r="A794" s="496">
        <f t="shared" si="221"/>
        <v>0</v>
      </c>
      <c r="B794" s="459">
        <f t="shared" si="222"/>
        <v>0</v>
      </c>
      <c r="C794" s="450"/>
      <c r="D794" s="456"/>
      <c r="E794" s="453">
        <f t="shared" si="223"/>
        <v>0</v>
      </c>
      <c r="F794" s="456">
        <f>IF(C794="",0,IFERROR(VLOOKUP(COUNTIF($A$1:A794,"ANALISIS DE PRECIOS"),T_Rendimiento_Equipo,5,FALSE),0))</f>
        <v>0</v>
      </c>
      <c r="G794" s="453">
        <f t="shared" ref="G794:G799" si="226">IFERROR(ROUND(D794*E794/F794,2),0)</f>
        <v>0</v>
      </c>
    </row>
    <row r="795" spans="1:7" ht="19.899999999999999" customHeight="1" x14ac:dyDescent="0.2">
      <c r="A795" s="496">
        <f t="shared" si="221"/>
        <v>0</v>
      </c>
      <c r="B795" s="459">
        <f t="shared" si="222"/>
        <v>0</v>
      </c>
      <c r="C795" s="450"/>
      <c r="D795" s="464"/>
      <c r="E795" s="453">
        <f t="shared" si="223"/>
        <v>0</v>
      </c>
      <c r="F795" s="456">
        <f>IF(C795="",0,IFERROR(VLOOKUP(COUNTIF($A$1:A795,"ANALISIS DE PRECIOS"),T_Rendimiento_Equipo,5,FALSE),0))</f>
        <v>0</v>
      </c>
      <c r="G795" s="453">
        <f t="shared" si="226"/>
        <v>0</v>
      </c>
    </row>
    <row r="796" spans="1:7" ht="19.899999999999999" customHeight="1" x14ac:dyDescent="0.2">
      <c r="A796" s="496">
        <f t="shared" si="221"/>
        <v>0</v>
      </c>
      <c r="B796" s="459">
        <f t="shared" si="222"/>
        <v>0</v>
      </c>
      <c r="C796" s="459"/>
      <c r="D796" s="465"/>
      <c r="E796" s="453">
        <f t="shared" si="223"/>
        <v>0</v>
      </c>
      <c r="F796" s="456">
        <f>IF(C796="",0,IFERROR(VLOOKUP(COUNTIF($A$1:A796,"ANALISIS DE PRECIOS"),T_Rendimiento_Equipo,5,FALSE),0))</f>
        <v>0</v>
      </c>
      <c r="G796" s="453">
        <f t="shared" si="226"/>
        <v>0</v>
      </c>
    </row>
    <row r="797" spans="1:7" ht="19.899999999999999" customHeight="1" x14ac:dyDescent="0.2">
      <c r="A797" s="497"/>
      <c r="B797" s="440"/>
      <c r="C797" s="155"/>
      <c r="D797" s="440"/>
      <c r="E797" s="441"/>
      <c r="F797" s="462" t="s">
        <v>28</v>
      </c>
      <c r="G797" s="499">
        <f>SUBTOTAL(9,G790:G796)</f>
        <v>0</v>
      </c>
    </row>
    <row r="798" spans="1:7" ht="19.899999999999999" customHeight="1" x14ac:dyDescent="0.2">
      <c r="A798" s="494"/>
      <c r="B798" s="155"/>
      <c r="C798" s="436" t="s">
        <v>990</v>
      </c>
      <c r="D798" s="440"/>
      <c r="E798" s="441"/>
      <c r="F798" s="442"/>
      <c r="G798" s="495"/>
    </row>
    <row r="799" spans="1:7" ht="19.899999999999999" customHeight="1" x14ac:dyDescent="0.2">
      <c r="A799" s="677" t="s">
        <v>576</v>
      </c>
      <c r="B799" s="678"/>
      <c r="C799" s="679" t="s">
        <v>0</v>
      </c>
      <c r="D799" s="679" t="s">
        <v>1733</v>
      </c>
      <c r="E799" s="681" t="s">
        <v>24</v>
      </c>
      <c r="F799" s="683" t="s">
        <v>25</v>
      </c>
      <c r="G799" s="685" t="s">
        <v>26</v>
      </c>
    </row>
    <row r="800" spans="1:7" ht="19.899999999999999" customHeight="1" x14ac:dyDescent="0.2">
      <c r="A800" s="458" t="s">
        <v>577</v>
      </c>
      <c r="B800" s="458" t="s">
        <v>578</v>
      </c>
      <c r="C800" s="680"/>
      <c r="D800" s="680"/>
      <c r="E800" s="682"/>
      <c r="F800" s="684"/>
      <c r="G800" s="686"/>
    </row>
    <row r="801" spans="1:7" ht="19.899999999999999" customHeight="1" x14ac:dyDescent="0.2">
      <c r="A801" s="496">
        <f t="shared" ref="A801:A811" si="227">IFERROR(VLOOKUP(C801,T_Insumos,4,FALSE),0)</f>
        <v>0</v>
      </c>
      <c r="B801" s="459">
        <f t="shared" ref="B801:B811" si="228">IFERROR(VLOOKUP(C801,T_Insumos,5,FALSE),0)</f>
        <v>0</v>
      </c>
      <c r="C801" s="459">
        <f>+Insumos!A348</f>
        <v>0</v>
      </c>
      <c r="D801" s="507">
        <f t="shared" ref="D801:D811" si="229">IFERROR(VLOOKUP(C801,T_Insumos,2,FALSE),0)</f>
        <v>0</v>
      </c>
      <c r="E801" s="451"/>
      <c r="F801" s="453">
        <f t="shared" ref="F801:F811" si="230">IFERROR(VLOOKUP(C801,T_Insumos,3,FALSE),0)</f>
        <v>0</v>
      </c>
      <c r="G801" s="453">
        <f>ROUND(E801*F801,2)</f>
        <v>0</v>
      </c>
    </row>
    <row r="802" spans="1:7" ht="19.899999999999999" customHeight="1" x14ac:dyDescent="0.2">
      <c r="A802" s="496">
        <f t="shared" si="227"/>
        <v>0</v>
      </c>
      <c r="B802" s="459">
        <f t="shared" si="228"/>
        <v>0</v>
      </c>
      <c r="C802" s="459">
        <f>+Insumos!A390</f>
        <v>0</v>
      </c>
      <c r="D802" s="507">
        <f t="shared" si="229"/>
        <v>0</v>
      </c>
      <c r="E802" s="451"/>
      <c r="F802" s="453">
        <f t="shared" si="230"/>
        <v>0</v>
      </c>
      <c r="G802" s="453">
        <f>ROUND(E802*F802,2)</f>
        <v>0</v>
      </c>
    </row>
    <row r="803" spans="1:7" ht="19.899999999999999" customHeight="1" x14ac:dyDescent="0.2">
      <c r="A803" s="496">
        <f t="shared" si="227"/>
        <v>0</v>
      </c>
      <c r="B803" s="459">
        <f t="shared" si="228"/>
        <v>0</v>
      </c>
      <c r="C803" s="459"/>
      <c r="D803" s="507">
        <f t="shared" si="229"/>
        <v>0</v>
      </c>
      <c r="E803" s="451"/>
      <c r="F803" s="453">
        <f t="shared" si="230"/>
        <v>0</v>
      </c>
      <c r="G803" s="453">
        <f t="shared" ref="G803:G811" si="231">ROUND(E803*F803,2)</f>
        <v>0</v>
      </c>
    </row>
    <row r="804" spans="1:7" ht="19.899999999999999" customHeight="1" x14ac:dyDescent="0.2">
      <c r="A804" s="496">
        <f t="shared" si="227"/>
        <v>0</v>
      </c>
      <c r="B804" s="459">
        <f t="shared" si="228"/>
        <v>0</v>
      </c>
      <c r="C804" s="459"/>
      <c r="D804" s="507">
        <f t="shared" si="229"/>
        <v>0</v>
      </c>
      <c r="E804" s="451"/>
      <c r="F804" s="453">
        <f t="shared" si="230"/>
        <v>0</v>
      </c>
      <c r="G804" s="453">
        <f t="shared" si="231"/>
        <v>0</v>
      </c>
    </row>
    <row r="805" spans="1:7" ht="19.899999999999999" customHeight="1" x14ac:dyDescent="0.2">
      <c r="A805" s="496">
        <f t="shared" si="227"/>
        <v>0</v>
      </c>
      <c r="B805" s="459">
        <f t="shared" si="228"/>
        <v>0</v>
      </c>
      <c r="C805" s="459"/>
      <c r="D805" s="507">
        <f t="shared" si="229"/>
        <v>0</v>
      </c>
      <c r="E805" s="451"/>
      <c r="F805" s="453">
        <f t="shared" si="230"/>
        <v>0</v>
      </c>
      <c r="G805" s="453">
        <f t="shared" si="231"/>
        <v>0</v>
      </c>
    </row>
    <row r="806" spans="1:7" ht="19.899999999999999" customHeight="1" x14ac:dyDescent="0.2">
      <c r="A806" s="496">
        <f t="shared" si="227"/>
        <v>0</v>
      </c>
      <c r="B806" s="459">
        <f t="shared" si="228"/>
        <v>0</v>
      </c>
      <c r="C806" s="459"/>
      <c r="D806" s="507">
        <f t="shared" si="229"/>
        <v>0</v>
      </c>
      <c r="E806" s="451"/>
      <c r="F806" s="453">
        <f t="shared" si="230"/>
        <v>0</v>
      </c>
      <c r="G806" s="453">
        <f t="shared" si="231"/>
        <v>0</v>
      </c>
    </row>
    <row r="807" spans="1:7" ht="19.899999999999999" customHeight="1" x14ac:dyDescent="0.2">
      <c r="A807" s="496">
        <f t="shared" si="227"/>
        <v>0</v>
      </c>
      <c r="B807" s="459">
        <f t="shared" si="228"/>
        <v>0</v>
      </c>
      <c r="C807" s="459"/>
      <c r="D807" s="507">
        <f t="shared" si="229"/>
        <v>0</v>
      </c>
      <c r="E807" s="451"/>
      <c r="F807" s="453">
        <f t="shared" si="230"/>
        <v>0</v>
      </c>
      <c r="G807" s="453">
        <f t="shared" si="231"/>
        <v>0</v>
      </c>
    </row>
    <row r="808" spans="1:7" ht="19.899999999999999" customHeight="1" x14ac:dyDescent="0.2">
      <c r="A808" s="496">
        <f t="shared" si="227"/>
        <v>0</v>
      </c>
      <c r="B808" s="459">
        <f t="shared" si="228"/>
        <v>0</v>
      </c>
      <c r="C808" s="459"/>
      <c r="D808" s="507">
        <f t="shared" si="229"/>
        <v>0</v>
      </c>
      <c r="E808" s="451"/>
      <c r="F808" s="453">
        <f t="shared" si="230"/>
        <v>0</v>
      </c>
      <c r="G808" s="453">
        <f t="shared" si="231"/>
        <v>0</v>
      </c>
    </row>
    <row r="809" spans="1:7" ht="19.899999999999999" customHeight="1" x14ac:dyDescent="0.2">
      <c r="A809" s="496">
        <f t="shared" si="227"/>
        <v>0</v>
      </c>
      <c r="B809" s="459">
        <f t="shared" si="228"/>
        <v>0</v>
      </c>
      <c r="C809" s="459"/>
      <c r="D809" s="507">
        <f t="shared" si="229"/>
        <v>0</v>
      </c>
      <c r="E809" s="451"/>
      <c r="F809" s="453">
        <f t="shared" si="230"/>
        <v>0</v>
      </c>
      <c r="G809" s="453">
        <f t="shared" si="231"/>
        <v>0</v>
      </c>
    </row>
    <row r="810" spans="1:7" ht="19.899999999999999" customHeight="1" x14ac:dyDescent="0.2">
      <c r="A810" s="496">
        <f t="shared" si="227"/>
        <v>0</v>
      </c>
      <c r="B810" s="459">
        <f t="shared" si="228"/>
        <v>0</v>
      </c>
      <c r="C810" s="459"/>
      <c r="D810" s="507">
        <f t="shared" si="229"/>
        <v>0</v>
      </c>
      <c r="E810" s="451"/>
      <c r="F810" s="453">
        <f t="shared" si="230"/>
        <v>0</v>
      </c>
      <c r="G810" s="453">
        <f t="shared" si="231"/>
        <v>0</v>
      </c>
    </row>
    <row r="811" spans="1:7" ht="19.899999999999999" customHeight="1" x14ac:dyDescent="0.2">
      <c r="A811" s="496">
        <f t="shared" si="227"/>
        <v>0</v>
      </c>
      <c r="B811" s="459">
        <f t="shared" si="228"/>
        <v>0</v>
      </c>
      <c r="C811" s="459"/>
      <c r="D811" s="507">
        <f t="shared" si="229"/>
        <v>0</v>
      </c>
      <c r="E811" s="451"/>
      <c r="F811" s="453">
        <f t="shared" si="230"/>
        <v>0</v>
      </c>
      <c r="G811" s="453">
        <f t="shared" si="231"/>
        <v>0</v>
      </c>
    </row>
    <row r="812" spans="1:7" ht="19.899999999999999" customHeight="1" x14ac:dyDescent="0.2">
      <c r="A812" s="494"/>
      <c r="B812" s="155"/>
      <c r="C812" s="155"/>
      <c r="D812" s="440"/>
      <c r="E812" s="441"/>
      <c r="F812" s="462" t="s">
        <v>29</v>
      </c>
      <c r="G812" s="499">
        <f>SUBTOTAL(9,G801:G811)</f>
        <v>0</v>
      </c>
    </row>
    <row r="813" spans="1:7" ht="19.899999999999999" customHeight="1" x14ac:dyDescent="0.2">
      <c r="A813" s="494"/>
      <c r="B813" s="155"/>
      <c r="C813" s="436" t="s">
        <v>991</v>
      </c>
      <c r="D813" s="440"/>
      <c r="E813" s="441"/>
      <c r="F813" s="442"/>
      <c r="G813" s="495"/>
    </row>
    <row r="814" spans="1:7" ht="19.899999999999999" customHeight="1" x14ac:dyDescent="0.2">
      <c r="A814" s="677" t="s">
        <v>576</v>
      </c>
      <c r="B814" s="678"/>
      <c r="C814" s="679" t="s">
        <v>0</v>
      </c>
      <c r="D814" s="679" t="s">
        <v>1733</v>
      </c>
      <c r="E814" s="681" t="s">
        <v>24</v>
      </c>
      <c r="F814" s="683" t="s">
        <v>25</v>
      </c>
      <c r="G814" s="685" t="s">
        <v>26</v>
      </c>
    </row>
    <row r="815" spans="1:7" ht="19.899999999999999" customHeight="1" x14ac:dyDescent="0.2">
      <c r="A815" s="458" t="s">
        <v>577</v>
      </c>
      <c r="B815" s="458" t="s">
        <v>578</v>
      </c>
      <c r="C815" s="680"/>
      <c r="D815" s="680"/>
      <c r="E815" s="682"/>
      <c r="F815" s="684"/>
      <c r="G815" s="686"/>
    </row>
    <row r="816" spans="1:7" ht="19.899999999999999" customHeight="1" x14ac:dyDescent="0.2">
      <c r="A816" s="496">
        <f>IFERROR(VLOOKUP(C816,T_Insumos,4,FALSE),0)</f>
        <v>0</v>
      </c>
      <c r="B816" s="459">
        <f>IFERROR(VLOOKUP(C816,T_Insumos,5,FALSE),0)</f>
        <v>0</v>
      </c>
      <c r="C816" s="450"/>
      <c r="D816" s="507">
        <f>IF(C816=0,0,"$/tnkm")</f>
        <v>0</v>
      </c>
      <c r="E816" s="451"/>
      <c r="F816" s="453">
        <f>IFERROR(VLOOKUP(C816,T_Insumos,3,FALSE),0)</f>
        <v>0</v>
      </c>
      <c r="G816" s="453">
        <f>ROUND(E816*F816,2)</f>
        <v>0</v>
      </c>
    </row>
    <row r="817" spans="1:7" ht="19.899999999999999" customHeight="1" x14ac:dyDescent="0.2">
      <c r="A817" s="496">
        <f>IFERROR(VLOOKUP(C817,T_Insumos,4,FALSE),0)</f>
        <v>0</v>
      </c>
      <c r="B817" s="459">
        <f>IFERROR(VLOOKUP(C817,T_Insumos,5,FALSE),0)</f>
        <v>0</v>
      </c>
      <c r="C817" s="450"/>
      <c r="D817" s="507">
        <f>IF(C817=0,0,"$/tnkm")</f>
        <v>0</v>
      </c>
      <c r="E817" s="467"/>
      <c r="F817" s="453">
        <f>IFERROR(VLOOKUP(C817,T_Insumos,3,FALSE),0)</f>
        <v>0</v>
      </c>
      <c r="G817" s="453">
        <f t="shared" ref="G817" si="232">ROUND(E817*F817,2)</f>
        <v>0</v>
      </c>
    </row>
    <row r="818" spans="1:7" ht="19.899999999999999" customHeight="1" x14ac:dyDescent="0.2">
      <c r="A818" s="494"/>
      <c r="B818" s="155"/>
      <c r="C818" s="155"/>
      <c r="D818" s="440"/>
      <c r="E818" s="441"/>
      <c r="F818" s="462" t="s">
        <v>992</v>
      </c>
      <c r="G818" s="499">
        <f>SUBTOTAL(9,G816:G817)</f>
        <v>0</v>
      </c>
    </row>
    <row r="819" spans="1:7" ht="19.899999999999999" customHeight="1" x14ac:dyDescent="0.2">
      <c r="A819" s="497"/>
      <c r="B819" s="440"/>
      <c r="C819" s="155"/>
      <c r="D819" s="440"/>
      <c r="E819" s="441"/>
      <c r="F819" s="442"/>
      <c r="G819" s="495"/>
    </row>
    <row r="820" spans="1:7" ht="19.899999999999999" customHeight="1" x14ac:dyDescent="0.2">
      <c r="A820" s="555" t="str">
        <f>B754</f>
        <v>2.2.2</v>
      </c>
      <c r="B820" s="552" t="str">
        <f ca="1">C754</f>
        <v>Armadura puesta en obra</v>
      </c>
      <c r="C820" s="440"/>
      <c r="D820" s="440" t="s">
        <v>1712</v>
      </c>
      <c r="E820" s="553"/>
      <c r="F820" s="554" t="str">
        <f ca="1">"$/"&amp;G754</f>
        <v>$/KG</v>
      </c>
      <c r="G820" s="504">
        <f>SUBTOTAL(9,G777:G819)</f>
        <v>0</v>
      </c>
    </row>
    <row r="821" spans="1:7" ht="19.899999999999999" customHeight="1" x14ac:dyDescent="0.2">
      <c r="A821" s="500"/>
      <c r="B821" s="501"/>
      <c r="C821" s="502"/>
      <c r="D821" s="502" t="s">
        <v>1908</v>
      </c>
      <c r="E821" s="503"/>
      <c r="F821" s="556" t="str">
        <f ca="1">"$/"&amp;G754</f>
        <v>$/KG</v>
      </c>
      <c r="G821" s="504">
        <f>ROUND(G820*Coeficiente_Paso,2)</f>
        <v>0</v>
      </c>
    </row>
    <row r="822" spans="1:7" ht="19.899999999999999" customHeight="1" x14ac:dyDescent="0.2">
      <c r="A822" s="687" t="s">
        <v>31</v>
      </c>
      <c r="B822" s="688"/>
      <c r="C822" s="688"/>
      <c r="D822" s="688"/>
      <c r="E822" s="688"/>
      <c r="F822" s="688"/>
      <c r="G822" s="689"/>
    </row>
    <row r="823" spans="1:7" ht="19.899999999999999" customHeight="1" x14ac:dyDescent="0.2">
      <c r="A823" s="483" t="s">
        <v>711</v>
      </c>
      <c r="B823" s="434" t="str">
        <f>Comitente</f>
        <v>DEPARTAMENTO DE HIDRÁULICA</v>
      </c>
      <c r="C823" s="435"/>
      <c r="D823" s="436"/>
      <c r="E823" s="436"/>
      <c r="F823" s="437"/>
      <c r="G823" s="484"/>
    </row>
    <row r="824" spans="1:7" ht="19.899999999999999" customHeight="1" x14ac:dyDescent="0.2">
      <c r="A824" s="483" t="s">
        <v>712</v>
      </c>
      <c r="B824" s="434">
        <f>Contratista</f>
        <v>0</v>
      </c>
      <c r="C824" s="438"/>
      <c r="D824" s="438"/>
      <c r="E824" s="438"/>
      <c r="F824" s="434"/>
      <c r="G824" s="485"/>
    </row>
    <row r="825" spans="1:7" ht="19.899999999999999" customHeight="1" x14ac:dyDescent="0.2">
      <c r="A825" s="483" t="s">
        <v>21</v>
      </c>
      <c r="B825" s="434" t="str">
        <f>Obra</f>
        <v>RECRECIMIENTO Y REPARACIÓN CANALES SARMIENTO, 9 DE JULIO Y CHIMBAS</v>
      </c>
      <c r="C825" s="438"/>
      <c r="D825" s="438"/>
      <c r="E825" s="438"/>
      <c r="F825" s="434" t="s">
        <v>32</v>
      </c>
      <c r="G825" s="485">
        <f>Fecha_Base</f>
        <v>0</v>
      </c>
    </row>
    <row r="826" spans="1:7" ht="19.899999999999999" customHeight="1" x14ac:dyDescent="0.2">
      <c r="A826" s="486" t="s">
        <v>710</v>
      </c>
      <c r="B826" s="439" t="str">
        <f>Ubicación</f>
        <v>DEPARTAMENTOS SARMIENTO, 9 DE JULIO Y CHIMBAS</v>
      </c>
      <c r="C826" s="439"/>
      <c r="D826" s="440"/>
      <c r="E826" s="441"/>
      <c r="F826" s="442"/>
      <c r="G826" s="487"/>
    </row>
    <row r="827" spans="1:7" ht="19.899999999999999" customHeight="1" x14ac:dyDescent="0.2">
      <c r="A827" s="486" t="s">
        <v>33</v>
      </c>
      <c r="B827" s="443">
        <f>IFERROR(VALUE(LEFT(B828,FIND(".",B828)-1)),"")</f>
        <v>2</v>
      </c>
      <c r="C827" s="155" t="str">
        <f ca="1">IFERROR(VLOOKUP(B827,T_Computo_Presupuesto,2,FALSE),0)</f>
        <v>DPTO. 9 DE JULIO (R. BALMACEDA y R. ZUNGRY ALDAY)</v>
      </c>
      <c r="D827" s="155"/>
      <c r="E827" s="441"/>
      <c r="F827" s="442"/>
      <c r="G827" s="487"/>
    </row>
    <row r="828" spans="1:7" ht="19.899999999999999" customHeight="1" x14ac:dyDescent="0.2">
      <c r="A828" s="486" t="s">
        <v>22</v>
      </c>
      <c r="B828" s="444" t="str">
        <f>IFERROR(VLOOKUP(COUNTIF($A$1:A828,"ANALISIS DE PRECIOS"),T_NumeroItem,2,FALSE),"")</f>
        <v>2.2.3</v>
      </c>
      <c r="C828" s="690" t="str">
        <f ca="1">IFERROR(VLOOKUP(B828,T_Computo_Presupuesto,2,FALSE),0)</f>
        <v>Anclajes Químicos</v>
      </c>
      <c r="D828" s="690"/>
      <c r="E828" s="690"/>
      <c r="F828" s="439" t="s">
        <v>23</v>
      </c>
      <c r="G828" s="488" t="str">
        <f ca="1">IFERROR(VLOOKUP(B828,T_Computo_Presupuesto,4,FALSE),0)</f>
        <v>GL</v>
      </c>
    </row>
    <row r="829" spans="1:7" ht="19.899999999999999" customHeight="1" x14ac:dyDescent="0.2">
      <c r="A829" s="486"/>
      <c r="B829" s="439"/>
      <c r="C829" s="155"/>
      <c r="D829" s="440"/>
      <c r="E829" s="441"/>
      <c r="F829" s="155"/>
      <c r="G829" s="489"/>
    </row>
    <row r="830" spans="1:7" ht="19.899999999999999" customHeight="1" x14ac:dyDescent="0.2">
      <c r="A830" s="490"/>
      <c r="B830" s="445"/>
      <c r="C830" s="446" t="s">
        <v>975</v>
      </c>
      <c r="D830" s="445"/>
      <c r="E830" s="445"/>
      <c r="F830" s="445"/>
      <c r="G830" s="491"/>
    </row>
    <row r="831" spans="1:7" ht="19.899999999999999" customHeight="1" x14ac:dyDescent="0.2">
      <c r="A831" s="486"/>
      <c r="B831" s="447"/>
      <c r="C831" s="155"/>
      <c r="D831" s="440"/>
      <c r="E831" s="441"/>
      <c r="F831" s="439"/>
      <c r="G831" s="488"/>
    </row>
    <row r="832" spans="1:7" ht="19.899999999999999" customHeight="1" x14ac:dyDescent="0.2">
      <c r="A832" s="486"/>
      <c r="B832" s="447"/>
      <c r="C832" s="448" t="s">
        <v>976</v>
      </c>
      <c r="D832" s="449" t="s">
        <v>24</v>
      </c>
      <c r="E832" s="449" t="s">
        <v>977</v>
      </c>
      <c r="F832" s="449" t="s">
        <v>978</v>
      </c>
      <c r="G832" s="448" t="s">
        <v>979</v>
      </c>
    </row>
    <row r="833" spans="1:7" ht="19.899999999999999" customHeight="1" x14ac:dyDescent="0.2">
      <c r="A833" s="486"/>
      <c r="B833" s="447"/>
      <c r="C833" s="450">
        <f>+Equipos!A387</f>
        <v>0</v>
      </c>
      <c r="D833" s="451"/>
      <c r="E833" s="452">
        <f t="shared" ref="E833:E842" si="233">IFERROR(VLOOKUP(C833,T_Equipos,4,FALSE),0)</f>
        <v>0</v>
      </c>
      <c r="F833" s="453">
        <f t="shared" ref="F833:F842" si="234">IFERROR(VLOOKUP(C833,T_Equipos,5,FALSE),0)</f>
        <v>0</v>
      </c>
      <c r="G833" s="453">
        <f>ROUND(D833*F833,2)</f>
        <v>0</v>
      </c>
    </row>
    <row r="834" spans="1:7" ht="19.899999999999999" customHeight="1" x14ac:dyDescent="0.2">
      <c r="A834" s="486"/>
      <c r="B834" s="447"/>
      <c r="C834" s="450">
        <f>+Equipos!A384</f>
        <v>0</v>
      </c>
      <c r="D834" s="451"/>
      <c r="E834" s="452">
        <f t="shared" si="233"/>
        <v>0</v>
      </c>
      <c r="F834" s="453">
        <f t="shared" si="234"/>
        <v>0</v>
      </c>
      <c r="G834" s="453">
        <f>ROUND(D834*F834,2)</f>
        <v>0</v>
      </c>
    </row>
    <row r="835" spans="1:7" ht="19.899999999999999" customHeight="1" x14ac:dyDescent="0.2">
      <c r="A835" s="486"/>
      <c r="B835" s="447"/>
      <c r="C835" s="450">
        <f>+Equipos!A396</f>
        <v>0</v>
      </c>
      <c r="D835" s="451"/>
      <c r="E835" s="452">
        <f t="shared" si="233"/>
        <v>0</v>
      </c>
      <c r="F835" s="453">
        <f t="shared" si="234"/>
        <v>0</v>
      </c>
      <c r="G835" s="453">
        <f>ROUND(D835*F835,2)</f>
        <v>0</v>
      </c>
    </row>
    <row r="836" spans="1:7" ht="19.899999999999999" customHeight="1" x14ac:dyDescent="0.2">
      <c r="A836" s="486"/>
      <c r="B836" s="447"/>
      <c r="C836" s="450">
        <f>+Equipos!A404</f>
        <v>0</v>
      </c>
      <c r="D836" s="451"/>
      <c r="E836" s="452">
        <f t="shared" si="233"/>
        <v>0</v>
      </c>
      <c r="F836" s="453">
        <f t="shared" si="234"/>
        <v>0</v>
      </c>
      <c r="G836" s="453">
        <f>ROUND(D836*F836,2)</f>
        <v>0</v>
      </c>
    </row>
    <row r="837" spans="1:7" ht="19.899999999999999" customHeight="1" x14ac:dyDescent="0.2">
      <c r="A837" s="486"/>
      <c r="B837" s="447"/>
      <c r="C837" s="450">
        <f>+Equipos!A393</f>
        <v>0</v>
      </c>
      <c r="D837" s="623"/>
      <c r="E837" s="452">
        <f t="shared" si="233"/>
        <v>0</v>
      </c>
      <c r="F837" s="453">
        <f t="shared" si="234"/>
        <v>0</v>
      </c>
      <c r="G837" s="453">
        <f t="shared" ref="G837:G842" si="235">ROUND(D837*F837,2)</f>
        <v>0</v>
      </c>
    </row>
    <row r="838" spans="1:7" ht="19.899999999999999" customHeight="1" x14ac:dyDescent="0.2">
      <c r="A838" s="486"/>
      <c r="B838" s="447"/>
      <c r="C838" s="450">
        <f>+Equipos!A389</f>
        <v>0</v>
      </c>
      <c r="D838" s="451"/>
      <c r="E838" s="452">
        <f t="shared" si="233"/>
        <v>0</v>
      </c>
      <c r="F838" s="453">
        <f t="shared" si="234"/>
        <v>0</v>
      </c>
      <c r="G838" s="453">
        <f t="shared" si="235"/>
        <v>0</v>
      </c>
    </row>
    <row r="839" spans="1:7" ht="19.899999999999999" customHeight="1" x14ac:dyDescent="0.2">
      <c r="A839" s="486"/>
      <c r="B839" s="447"/>
      <c r="C839" s="450"/>
      <c r="D839" s="451"/>
      <c r="E839" s="452">
        <f t="shared" si="233"/>
        <v>0</v>
      </c>
      <c r="F839" s="453">
        <f t="shared" si="234"/>
        <v>0</v>
      </c>
      <c r="G839" s="453">
        <f t="shared" si="235"/>
        <v>0</v>
      </c>
    </row>
    <row r="840" spans="1:7" ht="19.899999999999999" customHeight="1" x14ac:dyDescent="0.2">
      <c r="A840" s="486"/>
      <c r="B840" s="447"/>
      <c r="C840" s="450"/>
      <c r="D840" s="451"/>
      <c r="E840" s="452">
        <f t="shared" si="233"/>
        <v>0</v>
      </c>
      <c r="F840" s="453">
        <f t="shared" si="234"/>
        <v>0</v>
      </c>
      <c r="G840" s="453">
        <f t="shared" si="235"/>
        <v>0</v>
      </c>
    </row>
    <row r="841" spans="1:7" ht="19.899999999999999" customHeight="1" x14ac:dyDescent="0.2">
      <c r="A841" s="486"/>
      <c r="B841" s="447"/>
      <c r="C841" s="450"/>
      <c r="D841" s="451"/>
      <c r="E841" s="452">
        <f t="shared" si="233"/>
        <v>0</v>
      </c>
      <c r="F841" s="453">
        <f t="shared" si="234"/>
        <v>0</v>
      </c>
      <c r="G841" s="453">
        <f t="shared" si="235"/>
        <v>0</v>
      </c>
    </row>
    <row r="842" spans="1:7" ht="19.899999999999999" customHeight="1" x14ac:dyDescent="0.2">
      <c r="A842" s="486"/>
      <c r="B842" s="447"/>
      <c r="C842" s="450"/>
      <c r="D842" s="451"/>
      <c r="E842" s="452">
        <f t="shared" si="233"/>
        <v>0</v>
      </c>
      <c r="F842" s="453">
        <f t="shared" si="234"/>
        <v>0</v>
      </c>
      <c r="G842" s="453">
        <f t="shared" si="235"/>
        <v>0</v>
      </c>
    </row>
    <row r="843" spans="1:7" ht="19.899999999999999" customHeight="1" x14ac:dyDescent="0.2">
      <c r="A843" s="486"/>
      <c r="B843" s="447"/>
      <c r="C843" s="155"/>
      <c r="D843" s="155"/>
      <c r="E843" s="454"/>
      <c r="F843" s="439"/>
      <c r="G843" s="488"/>
    </row>
    <row r="844" spans="1:7" ht="19.899999999999999" customHeight="1" x14ac:dyDescent="0.2">
      <c r="A844" s="486"/>
      <c r="B844" s="155"/>
      <c r="C844" s="436" t="s">
        <v>980</v>
      </c>
      <c r="D844" s="439" t="s">
        <v>977</v>
      </c>
      <c r="E844" s="505">
        <f>SUMPRODUCT(D833:D842,E833:E842)</f>
        <v>0</v>
      </c>
      <c r="F844" s="439" t="s">
        <v>981</v>
      </c>
      <c r="G844" s="506">
        <f>SUM(G833:G842)</f>
        <v>0</v>
      </c>
    </row>
    <row r="845" spans="1:7" ht="19.899999999999999" customHeight="1" x14ac:dyDescent="0.2">
      <c r="A845" s="486"/>
      <c r="B845" s="447"/>
      <c r="C845" s="455"/>
      <c r="D845" s="454"/>
      <c r="E845" s="441"/>
      <c r="F845" s="439"/>
      <c r="G845" s="492"/>
    </row>
    <row r="846" spans="1:7" ht="19.899999999999999" customHeight="1" x14ac:dyDescent="0.2">
      <c r="A846" s="493"/>
      <c r="B846" s="447"/>
      <c r="C846" s="439" t="s">
        <v>982</v>
      </c>
      <c r="D846" s="456">
        <f>IFERROR(VLOOKUP(COUNTIF($A$1:A846,"ANALISIS DE PRECIOS"),T_Rendimiento_Equipo,5,FALSE),0)</f>
        <v>0</v>
      </c>
      <c r="E846" s="457" t="str">
        <f ca="1">G828&amp;"/día"</f>
        <v>GL/día</v>
      </c>
      <c r="F846" s="433"/>
      <c r="G846" s="488"/>
    </row>
    <row r="847" spans="1:7" ht="19.899999999999999" customHeight="1" x14ac:dyDescent="0.2">
      <c r="A847" s="486"/>
      <c r="B847" s="447"/>
      <c r="C847" s="155"/>
      <c r="D847" s="440"/>
      <c r="E847" s="441"/>
      <c r="F847" s="439"/>
      <c r="G847" s="488"/>
    </row>
    <row r="848" spans="1:7" ht="19.899999999999999" customHeight="1" x14ac:dyDescent="0.2">
      <c r="A848" s="677" t="s">
        <v>576</v>
      </c>
      <c r="B848" s="678"/>
      <c r="C848" s="679" t="s">
        <v>0</v>
      </c>
      <c r="D848" s="691" t="s">
        <v>1732</v>
      </c>
      <c r="E848" s="691" t="s">
        <v>1731</v>
      </c>
      <c r="F848" s="683" t="s">
        <v>983</v>
      </c>
      <c r="G848" s="685" t="s">
        <v>26</v>
      </c>
    </row>
    <row r="849" spans="1:7" ht="19.899999999999999" customHeight="1" x14ac:dyDescent="0.2">
      <c r="A849" s="458" t="s">
        <v>577</v>
      </c>
      <c r="B849" s="458" t="s">
        <v>578</v>
      </c>
      <c r="C849" s="680"/>
      <c r="D849" s="692"/>
      <c r="E849" s="682"/>
      <c r="F849" s="684"/>
      <c r="G849" s="686"/>
    </row>
    <row r="850" spans="1:7" ht="19.899999999999999" customHeight="1" x14ac:dyDescent="0.2">
      <c r="A850" s="494"/>
      <c r="B850" s="155"/>
      <c r="C850" s="436" t="s">
        <v>984</v>
      </c>
      <c r="D850" s="441"/>
      <c r="E850" s="441"/>
      <c r="F850" s="155"/>
      <c r="G850" s="495"/>
    </row>
    <row r="851" spans="1:7" ht="19.899999999999999" customHeight="1" x14ac:dyDescent="0.2">
      <c r="A851" s="496">
        <f t="shared" ref="A851:A859" si="236">IFERROR(VLOOKUP(C851,T_Insumos,4,FALSE),0)</f>
        <v>0</v>
      </c>
      <c r="B851" s="459">
        <f t="shared" ref="B851:B859" si="237">IFERROR(VLOOKUP(C851,T_Insumos,5,FALSE),0)</f>
        <v>0</v>
      </c>
      <c r="C851" s="450">
        <f>+C401</f>
        <v>0</v>
      </c>
      <c r="D851" s="460">
        <f t="shared" ref="D851:D859" si="238">IFERROR(VLOOKUP(C851,T_Insumos,3,FALSE),0)</f>
        <v>0</v>
      </c>
      <c r="E851" s="453">
        <f>D851*$G$473</f>
        <v>0</v>
      </c>
      <c r="F851" s="456">
        <f>IF(C851="",0,IFERROR(VLOOKUP(COUNTIF($A$1:A851,"ANALISIS DE PRECIOS"),T_Rendimiento_Equipo,5,FALSE),0))</f>
        <v>0</v>
      </c>
      <c r="G851" s="453">
        <f>IFERROR(ROUND(E851/F851,2),0)</f>
        <v>0</v>
      </c>
    </row>
    <row r="852" spans="1:7" ht="19.899999999999999" customHeight="1" x14ac:dyDescent="0.2">
      <c r="A852" s="496">
        <f t="shared" si="236"/>
        <v>0</v>
      </c>
      <c r="B852" s="459">
        <f t="shared" si="237"/>
        <v>0</v>
      </c>
      <c r="C852" s="450" t="str">
        <f t="shared" ref="C852:C854" si="239">+C402</f>
        <v>DESIGNACION</v>
      </c>
      <c r="D852" s="460">
        <f t="shared" si="238"/>
        <v>0</v>
      </c>
      <c r="E852" s="453">
        <f t="shared" ref="E852:E853" si="240">D852*$G$473</f>
        <v>0</v>
      </c>
      <c r="F852" s="456">
        <f>IF(C852="",0,IFERROR(VLOOKUP(COUNTIF($A$1:A852,"ANALISIS DE PRECIOS"),T_Rendimiento_Equipo,5,FALSE),0))</f>
        <v>0</v>
      </c>
      <c r="G852" s="453">
        <f t="shared" ref="G852:G859" si="241">IFERROR(ROUND(E852/F852,2),0)</f>
        <v>0</v>
      </c>
    </row>
    <row r="853" spans="1:7" ht="19.899999999999999" customHeight="1" x14ac:dyDescent="0.2">
      <c r="A853" s="496">
        <f t="shared" si="236"/>
        <v>0</v>
      </c>
      <c r="B853" s="459">
        <f t="shared" si="237"/>
        <v>0</v>
      </c>
      <c r="C853" s="450">
        <f t="shared" si="239"/>
        <v>0</v>
      </c>
      <c r="D853" s="460">
        <f t="shared" si="238"/>
        <v>0</v>
      </c>
      <c r="E853" s="453">
        <f t="shared" si="240"/>
        <v>0</v>
      </c>
      <c r="F853" s="456">
        <f>IF(C853="",0,IFERROR(VLOOKUP(COUNTIF($A$1:A853,"ANALISIS DE PRECIOS"),T_Rendimiento_Equipo,5,FALSE),0))</f>
        <v>0</v>
      </c>
      <c r="G853" s="453">
        <f t="shared" si="241"/>
        <v>0</v>
      </c>
    </row>
    <row r="854" spans="1:7" ht="19.899999999999999" customHeight="1" x14ac:dyDescent="0.2">
      <c r="A854" s="496">
        <f t="shared" si="236"/>
        <v>0</v>
      </c>
      <c r="B854" s="459">
        <f t="shared" si="237"/>
        <v>0</v>
      </c>
      <c r="C854" s="450" t="str">
        <f t="shared" si="239"/>
        <v>A - EQUIPOS</v>
      </c>
      <c r="D854" s="460">
        <f t="shared" si="238"/>
        <v>0</v>
      </c>
      <c r="E854" s="453">
        <f>D854*$E$473</f>
        <v>0</v>
      </c>
      <c r="F854" s="456">
        <f>IF(C854="",0,IFERROR(VLOOKUP(COUNTIF($A$1:A854,"ANALISIS DE PRECIOS"),T_Rendimiento_Equipo,5,FALSE),0))</f>
        <v>0</v>
      </c>
      <c r="G854" s="453">
        <f t="shared" si="241"/>
        <v>0</v>
      </c>
    </row>
    <row r="855" spans="1:7" ht="19.899999999999999" customHeight="1" x14ac:dyDescent="0.2">
      <c r="A855" s="496">
        <f t="shared" si="236"/>
        <v>0</v>
      </c>
      <c r="B855" s="459">
        <f t="shared" si="237"/>
        <v>0</v>
      </c>
      <c r="C855" s="461"/>
      <c r="D855" s="460">
        <f t="shared" si="238"/>
        <v>0</v>
      </c>
      <c r="E855" s="453"/>
      <c r="F855" s="456">
        <f>IF(C855="",0,IFERROR(VLOOKUP(COUNTIF($A$1:A855,"ANALISIS DE PRECIOS"),T_Rendimiento_Equipo,5,FALSE),0))</f>
        <v>0</v>
      </c>
      <c r="G855" s="453">
        <f t="shared" si="241"/>
        <v>0</v>
      </c>
    </row>
    <row r="856" spans="1:7" ht="19.899999999999999" customHeight="1" x14ac:dyDescent="0.2">
      <c r="A856" s="496">
        <f t="shared" si="236"/>
        <v>0</v>
      </c>
      <c r="B856" s="459">
        <f t="shared" si="237"/>
        <v>0</v>
      </c>
      <c r="C856" s="461"/>
      <c r="D856" s="460">
        <f t="shared" si="238"/>
        <v>0</v>
      </c>
      <c r="E856" s="453"/>
      <c r="F856" s="456">
        <f>IF(C856="",0,IFERROR(VLOOKUP(COUNTIF($A$1:A856,"ANALISIS DE PRECIOS"),T_Rendimiento_Equipo,5,FALSE),0))</f>
        <v>0</v>
      </c>
      <c r="G856" s="453">
        <f t="shared" si="241"/>
        <v>0</v>
      </c>
    </row>
    <row r="857" spans="1:7" ht="19.899999999999999" customHeight="1" x14ac:dyDescent="0.2">
      <c r="A857" s="496">
        <f t="shared" si="236"/>
        <v>0</v>
      </c>
      <c r="B857" s="459">
        <f t="shared" si="237"/>
        <v>0</v>
      </c>
      <c r="C857" s="461"/>
      <c r="D857" s="460">
        <f t="shared" si="238"/>
        <v>0</v>
      </c>
      <c r="E857" s="453"/>
      <c r="F857" s="456">
        <f>IF(C857="",0,IFERROR(VLOOKUP(COUNTIF($A$1:A857,"ANALISIS DE PRECIOS"),T_Rendimiento_Equipo,5,FALSE),0))</f>
        <v>0</v>
      </c>
      <c r="G857" s="453">
        <f t="shared" si="241"/>
        <v>0</v>
      </c>
    </row>
    <row r="858" spans="1:7" ht="19.899999999999999" customHeight="1" x14ac:dyDescent="0.2">
      <c r="A858" s="496">
        <f t="shared" si="236"/>
        <v>0</v>
      </c>
      <c r="B858" s="459">
        <f t="shared" si="237"/>
        <v>0</v>
      </c>
      <c r="C858" s="461"/>
      <c r="D858" s="460">
        <f t="shared" si="238"/>
        <v>0</v>
      </c>
      <c r="E858" s="453"/>
      <c r="F858" s="456">
        <f>IF(C858="",0,IFERROR(VLOOKUP(COUNTIF($A$1:A858,"ANALISIS DE PRECIOS"),T_Rendimiento_Equipo,5,FALSE),0))</f>
        <v>0</v>
      </c>
      <c r="G858" s="453">
        <f t="shared" si="241"/>
        <v>0</v>
      </c>
    </row>
    <row r="859" spans="1:7" ht="19.899999999999999" customHeight="1" x14ac:dyDescent="0.2">
      <c r="A859" s="496">
        <f t="shared" si="236"/>
        <v>0</v>
      </c>
      <c r="B859" s="459">
        <f t="shared" si="237"/>
        <v>0</v>
      </c>
      <c r="C859" s="450"/>
      <c r="D859" s="460">
        <f t="shared" si="238"/>
        <v>0</v>
      </c>
      <c r="E859" s="453"/>
      <c r="F859" s="456">
        <f>IF(C859="",0,IFERROR(VLOOKUP(COUNTIF($A$1:A859,"ANALISIS DE PRECIOS"),T_Rendimiento_Equipo,5,FALSE),0))</f>
        <v>0</v>
      </c>
      <c r="G859" s="453">
        <f t="shared" si="241"/>
        <v>0</v>
      </c>
    </row>
    <row r="860" spans="1:7" ht="19.899999999999999" customHeight="1" x14ac:dyDescent="0.2">
      <c r="A860" s="497"/>
      <c r="B860" s="440"/>
      <c r="C860" s="155"/>
      <c r="D860" s="440"/>
      <c r="E860" s="441"/>
      <c r="F860" s="462" t="s">
        <v>27</v>
      </c>
      <c r="G860" s="498">
        <f>SUBTOTAL(9,G851:G859)</f>
        <v>0</v>
      </c>
    </row>
    <row r="861" spans="1:7" ht="19.899999999999999" customHeight="1" x14ac:dyDescent="0.2">
      <c r="A861" s="494"/>
      <c r="B861" s="155"/>
      <c r="C861" s="436" t="s">
        <v>713</v>
      </c>
      <c r="D861" s="440"/>
      <c r="E861" s="441"/>
      <c r="F861" s="442"/>
      <c r="G861" s="495"/>
    </row>
    <row r="862" spans="1:7" ht="19.899999999999999" customHeight="1" x14ac:dyDescent="0.2">
      <c r="A862" s="677" t="s">
        <v>576</v>
      </c>
      <c r="B862" s="678"/>
      <c r="C862" s="679" t="s">
        <v>0</v>
      </c>
      <c r="D862" s="681" t="s">
        <v>24</v>
      </c>
      <c r="E862" s="681" t="s">
        <v>1711</v>
      </c>
      <c r="F862" s="683" t="s">
        <v>983</v>
      </c>
      <c r="G862" s="685" t="s">
        <v>26</v>
      </c>
    </row>
    <row r="863" spans="1:7" ht="19.899999999999999" customHeight="1" x14ac:dyDescent="0.2">
      <c r="A863" s="458" t="s">
        <v>577</v>
      </c>
      <c r="B863" s="458" t="s">
        <v>578</v>
      </c>
      <c r="C863" s="680"/>
      <c r="D863" s="682"/>
      <c r="E863" s="682"/>
      <c r="F863" s="684"/>
      <c r="G863" s="686"/>
    </row>
    <row r="864" spans="1:7" ht="19.899999999999999" customHeight="1" x14ac:dyDescent="0.2">
      <c r="A864" s="496">
        <f t="shared" ref="A864:A870" si="242">IFERROR(VLOOKUP(C864,T_Insumos,4,FALSE),0)</f>
        <v>0</v>
      </c>
      <c r="B864" s="459">
        <f t="shared" ref="B864:B870" si="243">IFERROR(VLOOKUP(C864,T_Insumos,5,FALSE),0)</f>
        <v>0</v>
      </c>
      <c r="C864" s="463">
        <f>+C414</f>
        <v>0</v>
      </c>
      <c r="D864" s="456"/>
      <c r="E864" s="453">
        <f t="shared" ref="E864:E870" si="244">IFERROR(VLOOKUP(C864,T_Insumos,3,FALSE),0)</f>
        <v>0</v>
      </c>
      <c r="F864" s="456">
        <f>IF(C864="",0,IFERROR(VLOOKUP(COUNTIF($A$1:A864,"ANALISIS DE PRECIOS"),T_Rendimiento_Equipo,5,FALSE),0))</f>
        <v>0</v>
      </c>
      <c r="G864" s="453">
        <f>IFERROR(ROUND(D864*E864/F864,2),0)</f>
        <v>0</v>
      </c>
    </row>
    <row r="865" spans="1:7" ht="19.899999999999999" customHeight="1" x14ac:dyDescent="0.2">
      <c r="A865" s="496">
        <f t="shared" si="242"/>
        <v>0</v>
      </c>
      <c r="B865" s="459">
        <f t="shared" si="243"/>
        <v>0</v>
      </c>
      <c r="C865" s="463" t="str">
        <f t="shared" ref="C865:C867" si="245">+C415</f>
        <v>B - MANO DE OBRA</v>
      </c>
      <c r="D865" s="456"/>
      <c r="E865" s="453">
        <f t="shared" si="244"/>
        <v>0</v>
      </c>
      <c r="F865" s="456">
        <f>IF(C865="",0,IFERROR(VLOOKUP(COUNTIF($A$1:A865,"ANALISIS DE PRECIOS"),T_Rendimiento_Equipo,5,FALSE),0))</f>
        <v>0</v>
      </c>
      <c r="G865" s="453">
        <f t="shared" ref="G865:G870" si="246">IFERROR(ROUND(D865*E865/F865,2),0)</f>
        <v>0</v>
      </c>
    </row>
    <row r="866" spans="1:7" ht="19.899999999999999" customHeight="1" x14ac:dyDescent="0.2">
      <c r="A866" s="496">
        <f t="shared" si="242"/>
        <v>0</v>
      </c>
      <c r="B866" s="459">
        <f t="shared" si="243"/>
        <v>0</v>
      </c>
      <c r="C866" s="463" t="str">
        <f t="shared" si="245"/>
        <v>DESIGNACION</v>
      </c>
      <c r="D866" s="456"/>
      <c r="E866" s="453">
        <f t="shared" si="244"/>
        <v>0</v>
      </c>
      <c r="F866" s="456">
        <f>IF(C866="",0,IFERROR(VLOOKUP(COUNTIF($A$1:A866,"ANALISIS DE PRECIOS"),T_Rendimiento_Equipo,5,FALSE),0))</f>
        <v>0</v>
      </c>
      <c r="G866" s="453">
        <f t="shared" si="246"/>
        <v>0</v>
      </c>
    </row>
    <row r="867" spans="1:7" ht="19.899999999999999" customHeight="1" x14ac:dyDescent="0.2">
      <c r="A867" s="496">
        <f t="shared" si="242"/>
        <v>0</v>
      </c>
      <c r="B867" s="459">
        <f t="shared" si="243"/>
        <v>0</v>
      </c>
      <c r="C867" s="463">
        <f t="shared" si="245"/>
        <v>0</v>
      </c>
      <c r="D867" s="456"/>
      <c r="E867" s="453">
        <f t="shared" si="244"/>
        <v>0</v>
      </c>
      <c r="F867" s="456">
        <f>IF(C867="",0,IFERROR(VLOOKUP(COUNTIF($A$1:A867,"ANALISIS DE PRECIOS"),T_Rendimiento_Equipo,5,FALSE),0))</f>
        <v>0</v>
      </c>
      <c r="G867" s="453">
        <f>IFERROR(ROUND(D867*E867/F867,2),0)</f>
        <v>0</v>
      </c>
    </row>
    <row r="868" spans="1:7" ht="19.899999999999999" customHeight="1" x14ac:dyDescent="0.2">
      <c r="A868" s="496">
        <f t="shared" si="242"/>
        <v>0</v>
      </c>
      <c r="B868" s="459">
        <f t="shared" si="243"/>
        <v>0</v>
      </c>
      <c r="C868" s="450"/>
      <c r="D868" s="456"/>
      <c r="E868" s="453">
        <f t="shared" si="244"/>
        <v>0</v>
      </c>
      <c r="F868" s="456">
        <f>IF(C868="",0,IFERROR(VLOOKUP(COUNTIF($A$1:A868,"ANALISIS DE PRECIOS"),T_Rendimiento_Equipo,5,FALSE),0))</f>
        <v>0</v>
      </c>
      <c r="G868" s="453">
        <f t="shared" ref="G868:G873" si="247">IFERROR(ROUND(D868*E868/F868,2),0)</f>
        <v>0</v>
      </c>
    </row>
    <row r="869" spans="1:7" ht="19.899999999999999" customHeight="1" x14ac:dyDescent="0.2">
      <c r="A869" s="496">
        <f t="shared" si="242"/>
        <v>0</v>
      </c>
      <c r="B869" s="459">
        <f t="shared" si="243"/>
        <v>0</v>
      </c>
      <c r="C869" s="450"/>
      <c r="D869" s="464"/>
      <c r="E869" s="453">
        <f t="shared" si="244"/>
        <v>0</v>
      </c>
      <c r="F869" s="456">
        <f>IF(C869="",0,IFERROR(VLOOKUP(COUNTIF($A$1:A869,"ANALISIS DE PRECIOS"),T_Rendimiento_Equipo,5,FALSE),0))</f>
        <v>0</v>
      </c>
      <c r="G869" s="453">
        <f t="shared" si="247"/>
        <v>0</v>
      </c>
    </row>
    <row r="870" spans="1:7" ht="19.899999999999999" customHeight="1" x14ac:dyDescent="0.2">
      <c r="A870" s="496">
        <f t="shared" si="242"/>
        <v>0</v>
      </c>
      <c r="B870" s="459">
        <f t="shared" si="243"/>
        <v>0</v>
      </c>
      <c r="C870" s="459"/>
      <c r="D870" s="465"/>
      <c r="E870" s="453">
        <f t="shared" si="244"/>
        <v>0</v>
      </c>
      <c r="F870" s="456">
        <f>IF(C870="",0,IFERROR(VLOOKUP(COUNTIF($A$1:A870,"ANALISIS DE PRECIOS"),T_Rendimiento_Equipo,5,FALSE),0))</f>
        <v>0</v>
      </c>
      <c r="G870" s="453">
        <f t="shared" si="247"/>
        <v>0</v>
      </c>
    </row>
    <row r="871" spans="1:7" ht="19.899999999999999" customHeight="1" x14ac:dyDescent="0.2">
      <c r="A871" s="497"/>
      <c r="B871" s="440"/>
      <c r="C871" s="155"/>
      <c r="D871" s="440"/>
      <c r="E871" s="441"/>
      <c r="F871" s="462" t="s">
        <v>28</v>
      </c>
      <c r="G871" s="499">
        <f>SUBTOTAL(9,G864:G870)</f>
        <v>0</v>
      </c>
    </row>
    <row r="872" spans="1:7" ht="19.899999999999999" customHeight="1" x14ac:dyDescent="0.2">
      <c r="A872" s="494"/>
      <c r="B872" s="155"/>
      <c r="C872" s="436" t="s">
        <v>990</v>
      </c>
      <c r="D872" s="440"/>
      <c r="E872" s="441"/>
      <c r="F872" s="442"/>
      <c r="G872" s="495"/>
    </row>
    <row r="873" spans="1:7" ht="19.899999999999999" customHeight="1" x14ac:dyDescent="0.2">
      <c r="A873" s="677" t="s">
        <v>576</v>
      </c>
      <c r="B873" s="678"/>
      <c r="C873" s="679" t="s">
        <v>0</v>
      </c>
      <c r="D873" s="679" t="s">
        <v>1733</v>
      </c>
      <c r="E873" s="681" t="s">
        <v>24</v>
      </c>
      <c r="F873" s="683" t="s">
        <v>25</v>
      </c>
      <c r="G873" s="685" t="s">
        <v>26</v>
      </c>
    </row>
    <row r="874" spans="1:7" ht="19.899999999999999" customHeight="1" x14ac:dyDescent="0.2">
      <c r="A874" s="458" t="s">
        <v>577</v>
      </c>
      <c r="B874" s="458" t="s">
        <v>578</v>
      </c>
      <c r="C874" s="680"/>
      <c r="D874" s="680"/>
      <c r="E874" s="682"/>
      <c r="F874" s="684"/>
      <c r="G874" s="686"/>
    </row>
    <row r="875" spans="1:7" ht="19.899999999999999" customHeight="1" x14ac:dyDescent="0.2">
      <c r="A875" s="496">
        <f t="shared" ref="A875:A885" si="248">IFERROR(VLOOKUP(C875,T_Insumos,4,FALSE),0)</f>
        <v>0</v>
      </c>
      <c r="B875" s="459">
        <f t="shared" ref="B875:B885" si="249">IFERROR(VLOOKUP(C875,T_Insumos,5,FALSE),0)</f>
        <v>0</v>
      </c>
      <c r="C875" s="459">
        <f>+Insumos!A422</f>
        <v>0</v>
      </c>
      <c r="D875" s="507">
        <f t="shared" ref="D875:D885" si="250">IFERROR(VLOOKUP(C875,T_Insumos,2,FALSE),0)</f>
        <v>0</v>
      </c>
      <c r="E875" s="451"/>
      <c r="F875" s="453">
        <f t="shared" ref="F875:F885" si="251">IFERROR(VLOOKUP(C875,T_Insumos,3,FALSE),0)</f>
        <v>0</v>
      </c>
      <c r="G875" s="453">
        <f>ROUND(E875*F875,2)</f>
        <v>0</v>
      </c>
    </row>
    <row r="876" spans="1:7" ht="19.899999999999999" customHeight="1" x14ac:dyDescent="0.2">
      <c r="A876" s="496">
        <f t="shared" si="248"/>
        <v>0</v>
      </c>
      <c r="B876" s="459">
        <f t="shared" si="249"/>
        <v>0</v>
      </c>
      <c r="C876" s="459">
        <f>+Insumos!A464</f>
        <v>0</v>
      </c>
      <c r="D876" s="507">
        <f t="shared" si="250"/>
        <v>0</v>
      </c>
      <c r="E876" s="451"/>
      <c r="F876" s="453">
        <f t="shared" si="251"/>
        <v>0</v>
      </c>
      <c r="G876" s="453">
        <f>ROUND(E876*F876,2)</f>
        <v>0</v>
      </c>
    </row>
    <row r="877" spans="1:7" ht="19.899999999999999" customHeight="1" x14ac:dyDescent="0.2">
      <c r="A877" s="496">
        <f t="shared" si="248"/>
        <v>0</v>
      </c>
      <c r="B877" s="459">
        <f t="shared" si="249"/>
        <v>0</v>
      </c>
      <c r="C877" s="459"/>
      <c r="D877" s="507">
        <f t="shared" si="250"/>
        <v>0</v>
      </c>
      <c r="E877" s="451"/>
      <c r="F877" s="453">
        <f t="shared" si="251"/>
        <v>0</v>
      </c>
      <c r="G877" s="453">
        <f t="shared" ref="G877:G885" si="252">ROUND(E877*F877,2)</f>
        <v>0</v>
      </c>
    </row>
    <row r="878" spans="1:7" ht="19.899999999999999" customHeight="1" x14ac:dyDescent="0.2">
      <c r="A878" s="496">
        <f t="shared" si="248"/>
        <v>0</v>
      </c>
      <c r="B878" s="459">
        <f t="shared" si="249"/>
        <v>0</v>
      </c>
      <c r="C878" s="459"/>
      <c r="D878" s="507">
        <f t="shared" si="250"/>
        <v>0</v>
      </c>
      <c r="E878" s="451"/>
      <c r="F878" s="453">
        <f t="shared" si="251"/>
        <v>0</v>
      </c>
      <c r="G878" s="453">
        <f t="shared" si="252"/>
        <v>0</v>
      </c>
    </row>
    <row r="879" spans="1:7" ht="19.899999999999999" customHeight="1" x14ac:dyDescent="0.2">
      <c r="A879" s="496">
        <f t="shared" si="248"/>
        <v>0</v>
      </c>
      <c r="B879" s="459">
        <f t="shared" si="249"/>
        <v>0</v>
      </c>
      <c r="C879" s="459"/>
      <c r="D879" s="507">
        <f t="shared" si="250"/>
        <v>0</v>
      </c>
      <c r="E879" s="451"/>
      <c r="F879" s="453">
        <f t="shared" si="251"/>
        <v>0</v>
      </c>
      <c r="G879" s="453">
        <f t="shared" si="252"/>
        <v>0</v>
      </c>
    </row>
    <row r="880" spans="1:7" ht="19.899999999999999" customHeight="1" x14ac:dyDescent="0.2">
      <c r="A880" s="496">
        <f t="shared" si="248"/>
        <v>0</v>
      </c>
      <c r="B880" s="459">
        <f t="shared" si="249"/>
        <v>0</v>
      </c>
      <c r="C880" s="459"/>
      <c r="D880" s="507">
        <f t="shared" si="250"/>
        <v>0</v>
      </c>
      <c r="E880" s="451"/>
      <c r="F880" s="453">
        <f t="shared" si="251"/>
        <v>0</v>
      </c>
      <c r="G880" s="453">
        <f t="shared" si="252"/>
        <v>0</v>
      </c>
    </row>
    <row r="881" spans="1:7" ht="19.899999999999999" customHeight="1" x14ac:dyDescent="0.2">
      <c r="A881" s="496">
        <f t="shared" si="248"/>
        <v>0</v>
      </c>
      <c r="B881" s="459">
        <f t="shared" si="249"/>
        <v>0</v>
      </c>
      <c r="C881" s="459"/>
      <c r="D881" s="507">
        <f t="shared" si="250"/>
        <v>0</v>
      </c>
      <c r="E881" s="451"/>
      <c r="F881" s="453">
        <f t="shared" si="251"/>
        <v>0</v>
      </c>
      <c r="G881" s="453">
        <f t="shared" si="252"/>
        <v>0</v>
      </c>
    </row>
    <row r="882" spans="1:7" ht="19.899999999999999" customHeight="1" x14ac:dyDescent="0.2">
      <c r="A882" s="496">
        <f t="shared" si="248"/>
        <v>0</v>
      </c>
      <c r="B882" s="459">
        <f t="shared" si="249"/>
        <v>0</v>
      </c>
      <c r="C882" s="459"/>
      <c r="D882" s="507">
        <f t="shared" si="250"/>
        <v>0</v>
      </c>
      <c r="E882" s="451"/>
      <c r="F882" s="453">
        <f t="shared" si="251"/>
        <v>0</v>
      </c>
      <c r="G882" s="453">
        <f t="shared" si="252"/>
        <v>0</v>
      </c>
    </row>
    <row r="883" spans="1:7" ht="19.899999999999999" customHeight="1" x14ac:dyDescent="0.2">
      <c r="A883" s="496">
        <f t="shared" si="248"/>
        <v>0</v>
      </c>
      <c r="B883" s="459">
        <f t="shared" si="249"/>
        <v>0</v>
      </c>
      <c r="C883" s="459"/>
      <c r="D883" s="507">
        <f t="shared" si="250"/>
        <v>0</v>
      </c>
      <c r="E883" s="451"/>
      <c r="F883" s="453">
        <f t="shared" si="251"/>
        <v>0</v>
      </c>
      <c r="G883" s="453">
        <f t="shared" si="252"/>
        <v>0</v>
      </c>
    </row>
    <row r="884" spans="1:7" ht="19.899999999999999" customHeight="1" x14ac:dyDescent="0.2">
      <c r="A884" s="496">
        <f t="shared" si="248"/>
        <v>0</v>
      </c>
      <c r="B884" s="459">
        <f t="shared" si="249"/>
        <v>0</v>
      </c>
      <c r="C884" s="459"/>
      <c r="D884" s="507">
        <f t="shared" si="250"/>
        <v>0</v>
      </c>
      <c r="E884" s="451"/>
      <c r="F884" s="453">
        <f t="shared" si="251"/>
        <v>0</v>
      </c>
      <c r="G884" s="453">
        <f t="shared" si="252"/>
        <v>0</v>
      </c>
    </row>
    <row r="885" spans="1:7" ht="19.899999999999999" customHeight="1" x14ac:dyDescent="0.2">
      <c r="A885" s="496">
        <f t="shared" si="248"/>
        <v>0</v>
      </c>
      <c r="B885" s="459">
        <f t="shared" si="249"/>
        <v>0</v>
      </c>
      <c r="C885" s="459"/>
      <c r="D885" s="507">
        <f t="shared" si="250"/>
        <v>0</v>
      </c>
      <c r="E885" s="451"/>
      <c r="F885" s="453">
        <f t="shared" si="251"/>
        <v>0</v>
      </c>
      <c r="G885" s="453">
        <f t="shared" si="252"/>
        <v>0</v>
      </c>
    </row>
    <row r="886" spans="1:7" ht="19.899999999999999" customHeight="1" x14ac:dyDescent="0.2">
      <c r="A886" s="494"/>
      <c r="B886" s="155"/>
      <c r="C886" s="155"/>
      <c r="D886" s="440"/>
      <c r="E886" s="441"/>
      <c r="F886" s="462" t="s">
        <v>29</v>
      </c>
      <c r="G886" s="499">
        <f>SUBTOTAL(9,G875:G885)</f>
        <v>0</v>
      </c>
    </row>
    <row r="887" spans="1:7" ht="19.899999999999999" customHeight="1" x14ac:dyDescent="0.2">
      <c r="A887" s="494"/>
      <c r="B887" s="155"/>
      <c r="C887" s="436" t="s">
        <v>991</v>
      </c>
      <c r="D887" s="440"/>
      <c r="E887" s="441"/>
      <c r="F887" s="442"/>
      <c r="G887" s="495"/>
    </row>
    <row r="888" spans="1:7" ht="19.899999999999999" customHeight="1" x14ac:dyDescent="0.2">
      <c r="A888" s="677" t="s">
        <v>576</v>
      </c>
      <c r="B888" s="678"/>
      <c r="C888" s="679" t="s">
        <v>0</v>
      </c>
      <c r="D888" s="679" t="s">
        <v>1733</v>
      </c>
      <c r="E888" s="681" t="s">
        <v>24</v>
      </c>
      <c r="F888" s="683" t="s">
        <v>25</v>
      </c>
      <c r="G888" s="685" t="s">
        <v>26</v>
      </c>
    </row>
    <row r="889" spans="1:7" ht="19.899999999999999" customHeight="1" x14ac:dyDescent="0.2">
      <c r="A889" s="458" t="s">
        <v>577</v>
      </c>
      <c r="B889" s="458" t="s">
        <v>578</v>
      </c>
      <c r="C889" s="680"/>
      <c r="D889" s="680"/>
      <c r="E889" s="682"/>
      <c r="F889" s="684"/>
      <c r="G889" s="686"/>
    </row>
    <row r="890" spans="1:7" ht="19.899999999999999" customHeight="1" x14ac:dyDescent="0.2">
      <c r="A890" s="496">
        <f>IFERROR(VLOOKUP(C890,T_Insumos,4,FALSE),0)</f>
        <v>0</v>
      </c>
      <c r="B890" s="459">
        <f>IFERROR(VLOOKUP(C890,T_Insumos,5,FALSE),0)</f>
        <v>0</v>
      </c>
      <c r="C890" s="450"/>
      <c r="D890" s="507">
        <f>IF(C890=0,0,"$/tnkm")</f>
        <v>0</v>
      </c>
      <c r="E890" s="451"/>
      <c r="F890" s="453">
        <f>IFERROR(VLOOKUP(C890,T_Insumos,3,FALSE),0)</f>
        <v>0</v>
      </c>
      <c r="G890" s="453">
        <f>ROUND(E890*F890,2)</f>
        <v>0</v>
      </c>
    </row>
    <row r="891" spans="1:7" ht="19.899999999999999" customHeight="1" x14ac:dyDescent="0.2">
      <c r="A891" s="496">
        <f>IFERROR(VLOOKUP(C891,T_Insumos,4,FALSE),0)</f>
        <v>0</v>
      </c>
      <c r="B891" s="459">
        <f>IFERROR(VLOOKUP(C891,T_Insumos,5,FALSE),0)</f>
        <v>0</v>
      </c>
      <c r="C891" s="450"/>
      <c r="D891" s="507">
        <f>IF(C891=0,0,"$/tnkm")</f>
        <v>0</v>
      </c>
      <c r="E891" s="467"/>
      <c r="F891" s="453">
        <f>IFERROR(VLOOKUP(C891,T_Insumos,3,FALSE),0)</f>
        <v>0</v>
      </c>
      <c r="G891" s="453">
        <f t="shared" ref="G891" si="253">ROUND(E891*F891,2)</f>
        <v>0</v>
      </c>
    </row>
    <row r="892" spans="1:7" ht="19.899999999999999" customHeight="1" x14ac:dyDescent="0.2">
      <c r="A892" s="494"/>
      <c r="B892" s="155"/>
      <c r="C892" s="155"/>
      <c r="D892" s="440"/>
      <c r="E892" s="441"/>
      <c r="F892" s="462" t="s">
        <v>992</v>
      </c>
      <c r="G892" s="499">
        <f>SUBTOTAL(9,G890:G891)</f>
        <v>0</v>
      </c>
    </row>
    <row r="893" spans="1:7" ht="19.899999999999999" customHeight="1" x14ac:dyDescent="0.2">
      <c r="A893" s="497"/>
      <c r="B893" s="440"/>
      <c r="C893" s="155"/>
      <c r="D893" s="440"/>
      <c r="E893" s="441"/>
      <c r="F893" s="442"/>
      <c r="G893" s="495"/>
    </row>
    <row r="894" spans="1:7" ht="19.899999999999999" customHeight="1" x14ac:dyDescent="0.2">
      <c r="A894" s="555" t="str">
        <f>B828</f>
        <v>2.2.3</v>
      </c>
      <c r="B894" s="552" t="str">
        <f ca="1">C828</f>
        <v>Anclajes Químicos</v>
      </c>
      <c r="C894" s="440"/>
      <c r="D894" s="440" t="s">
        <v>1712</v>
      </c>
      <c r="E894" s="553"/>
      <c r="F894" s="554" t="str">
        <f ca="1">"$/"&amp;G828</f>
        <v>$/GL</v>
      </c>
      <c r="G894" s="504">
        <f>SUBTOTAL(9,G851:G893)</f>
        <v>0</v>
      </c>
    </row>
    <row r="895" spans="1:7" ht="19.899999999999999" customHeight="1" x14ac:dyDescent="0.2">
      <c r="A895" s="500"/>
      <c r="B895" s="501"/>
      <c r="C895" s="502"/>
      <c r="D895" s="502" t="s">
        <v>1908</v>
      </c>
      <c r="E895" s="503"/>
      <c r="F895" s="556" t="str">
        <f ca="1">"$/"&amp;G828</f>
        <v>$/GL</v>
      </c>
      <c r="G895" s="504">
        <f>ROUND(G894*Coeficiente_Paso,2)</f>
        <v>0</v>
      </c>
    </row>
    <row r="896" spans="1:7" ht="19.899999999999999" customHeight="1" x14ac:dyDescent="0.2">
      <c r="A896" s="687" t="s">
        <v>31</v>
      </c>
      <c r="B896" s="688"/>
      <c r="C896" s="688"/>
      <c r="D896" s="688"/>
      <c r="E896" s="688"/>
      <c r="F896" s="688"/>
      <c r="G896" s="689"/>
    </row>
    <row r="897" spans="1:7" ht="19.899999999999999" customHeight="1" x14ac:dyDescent="0.2">
      <c r="A897" s="483" t="s">
        <v>711</v>
      </c>
      <c r="B897" s="434" t="str">
        <f>Comitente</f>
        <v>DEPARTAMENTO DE HIDRÁULICA</v>
      </c>
      <c r="C897" s="435"/>
      <c r="D897" s="436"/>
      <c r="E897" s="436"/>
      <c r="F897" s="437"/>
      <c r="G897" s="484"/>
    </row>
    <row r="898" spans="1:7" ht="19.899999999999999" customHeight="1" x14ac:dyDescent="0.2">
      <c r="A898" s="483" t="s">
        <v>712</v>
      </c>
      <c r="B898" s="434">
        <f>Contratista</f>
        <v>0</v>
      </c>
      <c r="C898" s="438"/>
      <c r="D898" s="438"/>
      <c r="E898" s="438"/>
      <c r="F898" s="434"/>
      <c r="G898" s="485"/>
    </row>
    <row r="899" spans="1:7" ht="19.899999999999999" customHeight="1" x14ac:dyDescent="0.2">
      <c r="A899" s="483" t="s">
        <v>21</v>
      </c>
      <c r="B899" s="434" t="str">
        <f>Obra</f>
        <v>RECRECIMIENTO Y REPARACIÓN CANALES SARMIENTO, 9 DE JULIO Y CHIMBAS</v>
      </c>
      <c r="C899" s="438"/>
      <c r="D899" s="438"/>
      <c r="E899" s="438"/>
      <c r="F899" s="434" t="s">
        <v>32</v>
      </c>
      <c r="G899" s="485">
        <f>Fecha_Base</f>
        <v>0</v>
      </c>
    </row>
    <row r="900" spans="1:7" ht="19.899999999999999" customHeight="1" x14ac:dyDescent="0.2">
      <c r="A900" s="486" t="s">
        <v>710</v>
      </c>
      <c r="B900" s="439" t="str">
        <f>Ubicación</f>
        <v>DEPARTAMENTOS SARMIENTO, 9 DE JULIO Y CHIMBAS</v>
      </c>
      <c r="C900" s="439"/>
      <c r="D900" s="440"/>
      <c r="E900" s="441"/>
      <c r="F900" s="442"/>
      <c r="G900" s="487"/>
    </row>
    <row r="901" spans="1:7" ht="19.899999999999999" customHeight="1" x14ac:dyDescent="0.2">
      <c r="A901" s="486" t="s">
        <v>33</v>
      </c>
      <c r="B901" s="443">
        <f>IFERROR(VALUE(LEFT(B902,FIND(".",B902)-1)),"")</f>
        <v>2</v>
      </c>
      <c r="C901" s="155" t="str">
        <f ca="1">IFERROR(VLOOKUP(B901,T_Computo_Presupuesto,2,FALSE),0)</f>
        <v>DPTO. 9 DE JULIO (R. BALMACEDA y R. ZUNGRY ALDAY)</v>
      </c>
      <c r="D901" s="155"/>
      <c r="E901" s="441"/>
      <c r="F901" s="442"/>
      <c r="G901" s="487"/>
    </row>
    <row r="902" spans="1:7" ht="19.899999999999999" customHeight="1" x14ac:dyDescent="0.2">
      <c r="A902" s="486" t="s">
        <v>22</v>
      </c>
      <c r="B902" s="444" t="str">
        <f>IFERROR(VLOOKUP(COUNTIF($A$1:A902,"ANALISIS DE PRECIOS"),T_NumeroItem,2,FALSE),"")</f>
        <v>2.2.4</v>
      </c>
      <c r="C902" s="690" t="str">
        <f ca="1">IFERROR(VLOOKUP(B902,T_Computo_Presupuesto,2,FALSE),0)</f>
        <v>Puente de Adherencia</v>
      </c>
      <c r="D902" s="690"/>
      <c r="E902" s="690"/>
      <c r="F902" s="439" t="s">
        <v>23</v>
      </c>
      <c r="G902" s="488" t="str">
        <f ca="1">IFERROR(VLOOKUP(B902,T_Computo_Presupuesto,4,FALSE),0)</f>
        <v>GL</v>
      </c>
    </row>
    <row r="903" spans="1:7" ht="19.899999999999999" customHeight="1" x14ac:dyDescent="0.2">
      <c r="A903" s="486"/>
      <c r="B903" s="439"/>
      <c r="C903" s="155"/>
      <c r="D903" s="440"/>
      <c r="E903" s="441"/>
      <c r="F903" s="155"/>
      <c r="G903" s="489"/>
    </row>
    <row r="904" spans="1:7" ht="19.899999999999999" customHeight="1" x14ac:dyDescent="0.2">
      <c r="A904" s="490"/>
      <c r="B904" s="445"/>
      <c r="C904" s="446" t="s">
        <v>975</v>
      </c>
      <c r="D904" s="445"/>
      <c r="E904" s="445"/>
      <c r="F904" s="445"/>
      <c r="G904" s="491"/>
    </row>
    <row r="905" spans="1:7" ht="19.899999999999999" customHeight="1" x14ac:dyDescent="0.2">
      <c r="A905" s="486"/>
      <c r="B905" s="447"/>
      <c r="C905" s="155"/>
      <c r="D905" s="440"/>
      <c r="E905" s="441"/>
      <c r="F905" s="439"/>
      <c r="G905" s="488"/>
    </row>
    <row r="906" spans="1:7" ht="19.899999999999999" customHeight="1" x14ac:dyDescent="0.2">
      <c r="A906" s="486"/>
      <c r="B906" s="447"/>
      <c r="C906" s="448" t="s">
        <v>976</v>
      </c>
      <c r="D906" s="449" t="s">
        <v>24</v>
      </c>
      <c r="E906" s="449" t="s">
        <v>977</v>
      </c>
      <c r="F906" s="449" t="s">
        <v>978</v>
      </c>
      <c r="G906" s="448" t="s">
        <v>979</v>
      </c>
    </row>
    <row r="907" spans="1:7" ht="19.899999999999999" customHeight="1" x14ac:dyDescent="0.2">
      <c r="A907" s="486"/>
      <c r="B907" s="447"/>
      <c r="C907" s="450">
        <f>+Equipos!A461</f>
        <v>0</v>
      </c>
      <c r="D907" s="451"/>
      <c r="E907" s="452">
        <f t="shared" ref="E907:E916" si="254">IFERROR(VLOOKUP(C907,T_Equipos,4,FALSE),0)</f>
        <v>0</v>
      </c>
      <c r="F907" s="453">
        <f t="shared" ref="F907:F916" si="255">IFERROR(VLOOKUP(C907,T_Equipos,5,FALSE),0)</f>
        <v>0</v>
      </c>
      <c r="G907" s="453">
        <f>ROUND(D907*F907,2)</f>
        <v>0</v>
      </c>
    </row>
    <row r="908" spans="1:7" ht="19.899999999999999" customHeight="1" x14ac:dyDescent="0.2">
      <c r="A908" s="486"/>
      <c r="B908" s="447"/>
      <c r="C908" s="450">
        <f>+Equipos!A458</f>
        <v>0</v>
      </c>
      <c r="D908" s="451"/>
      <c r="E908" s="452">
        <f t="shared" si="254"/>
        <v>0</v>
      </c>
      <c r="F908" s="453">
        <f t="shared" si="255"/>
        <v>0</v>
      </c>
      <c r="G908" s="453">
        <f>ROUND(D908*F908,2)</f>
        <v>0</v>
      </c>
    </row>
    <row r="909" spans="1:7" ht="19.899999999999999" customHeight="1" x14ac:dyDescent="0.2">
      <c r="A909" s="486"/>
      <c r="B909" s="447"/>
      <c r="C909" s="450">
        <f>+Equipos!A470</f>
        <v>0</v>
      </c>
      <c r="D909" s="451"/>
      <c r="E909" s="452">
        <f t="shared" si="254"/>
        <v>0</v>
      </c>
      <c r="F909" s="453">
        <f t="shared" si="255"/>
        <v>0</v>
      </c>
      <c r="G909" s="453">
        <f>ROUND(D909*F909,2)</f>
        <v>0</v>
      </c>
    </row>
    <row r="910" spans="1:7" ht="19.899999999999999" customHeight="1" x14ac:dyDescent="0.2">
      <c r="A910" s="486"/>
      <c r="B910" s="447"/>
      <c r="C910" s="450">
        <f>+Equipos!A478</f>
        <v>0</v>
      </c>
      <c r="D910" s="451"/>
      <c r="E910" s="452">
        <f t="shared" si="254"/>
        <v>0</v>
      </c>
      <c r="F910" s="453">
        <f t="shared" si="255"/>
        <v>0</v>
      </c>
      <c r="G910" s="453">
        <f>ROUND(D910*F910,2)</f>
        <v>0</v>
      </c>
    </row>
    <row r="911" spans="1:7" ht="19.899999999999999" customHeight="1" x14ac:dyDescent="0.2">
      <c r="A911" s="486"/>
      <c r="B911" s="447"/>
      <c r="C911" s="450">
        <f>+Equipos!A467</f>
        <v>0</v>
      </c>
      <c r="D911" s="623"/>
      <c r="E911" s="452">
        <f t="shared" si="254"/>
        <v>0</v>
      </c>
      <c r="F911" s="453">
        <f t="shared" si="255"/>
        <v>0</v>
      </c>
      <c r="G911" s="453">
        <f t="shared" ref="G911:G916" si="256">ROUND(D911*F911,2)</f>
        <v>0</v>
      </c>
    </row>
    <row r="912" spans="1:7" ht="19.899999999999999" customHeight="1" x14ac:dyDescent="0.2">
      <c r="A912" s="486"/>
      <c r="B912" s="447"/>
      <c r="C912" s="450">
        <f>+Equipos!A463</f>
        <v>0</v>
      </c>
      <c r="D912" s="451"/>
      <c r="E912" s="452">
        <f t="shared" si="254"/>
        <v>0</v>
      </c>
      <c r="F912" s="453">
        <f t="shared" si="255"/>
        <v>0</v>
      </c>
      <c r="G912" s="453">
        <f t="shared" si="256"/>
        <v>0</v>
      </c>
    </row>
    <row r="913" spans="1:7" ht="19.899999999999999" customHeight="1" x14ac:dyDescent="0.2">
      <c r="A913" s="486"/>
      <c r="B913" s="447"/>
      <c r="C913" s="450"/>
      <c r="D913" s="451"/>
      <c r="E913" s="452">
        <f t="shared" si="254"/>
        <v>0</v>
      </c>
      <c r="F913" s="453">
        <f t="shared" si="255"/>
        <v>0</v>
      </c>
      <c r="G913" s="453">
        <f t="shared" si="256"/>
        <v>0</v>
      </c>
    </row>
    <row r="914" spans="1:7" ht="19.899999999999999" customHeight="1" x14ac:dyDescent="0.2">
      <c r="A914" s="486"/>
      <c r="B914" s="447"/>
      <c r="C914" s="450"/>
      <c r="D914" s="451"/>
      <c r="E914" s="452">
        <f t="shared" si="254"/>
        <v>0</v>
      </c>
      <c r="F914" s="453">
        <f t="shared" si="255"/>
        <v>0</v>
      </c>
      <c r="G914" s="453">
        <f t="shared" si="256"/>
        <v>0</v>
      </c>
    </row>
    <row r="915" spans="1:7" ht="19.899999999999999" customHeight="1" x14ac:dyDescent="0.2">
      <c r="A915" s="486"/>
      <c r="B915" s="447"/>
      <c r="C915" s="450"/>
      <c r="D915" s="451"/>
      <c r="E915" s="452">
        <f t="shared" si="254"/>
        <v>0</v>
      </c>
      <c r="F915" s="453">
        <f t="shared" si="255"/>
        <v>0</v>
      </c>
      <c r="G915" s="453">
        <f t="shared" si="256"/>
        <v>0</v>
      </c>
    </row>
    <row r="916" spans="1:7" ht="19.899999999999999" customHeight="1" x14ac:dyDescent="0.2">
      <c r="A916" s="486"/>
      <c r="B916" s="447"/>
      <c r="C916" s="450"/>
      <c r="D916" s="451"/>
      <c r="E916" s="452">
        <f t="shared" si="254"/>
        <v>0</v>
      </c>
      <c r="F916" s="453">
        <f t="shared" si="255"/>
        <v>0</v>
      </c>
      <c r="G916" s="453">
        <f t="shared" si="256"/>
        <v>0</v>
      </c>
    </row>
    <row r="917" spans="1:7" ht="19.899999999999999" customHeight="1" x14ac:dyDescent="0.2">
      <c r="A917" s="486"/>
      <c r="B917" s="447"/>
      <c r="C917" s="155"/>
      <c r="D917" s="155"/>
      <c r="E917" s="454"/>
      <c r="F917" s="439"/>
      <c r="G917" s="488"/>
    </row>
    <row r="918" spans="1:7" ht="19.899999999999999" customHeight="1" x14ac:dyDescent="0.2">
      <c r="A918" s="486"/>
      <c r="B918" s="155"/>
      <c r="C918" s="436" t="s">
        <v>980</v>
      </c>
      <c r="D918" s="439" t="s">
        <v>977</v>
      </c>
      <c r="E918" s="505">
        <f>SUMPRODUCT(D907:D916,E907:E916)</f>
        <v>0</v>
      </c>
      <c r="F918" s="439" t="s">
        <v>981</v>
      </c>
      <c r="G918" s="506">
        <f>SUM(G907:G916)</f>
        <v>0</v>
      </c>
    </row>
    <row r="919" spans="1:7" ht="19.899999999999999" customHeight="1" x14ac:dyDescent="0.2">
      <c r="A919" s="486"/>
      <c r="B919" s="447"/>
      <c r="C919" s="455"/>
      <c r="D919" s="454"/>
      <c r="E919" s="441"/>
      <c r="F919" s="439"/>
      <c r="G919" s="492"/>
    </row>
    <row r="920" spans="1:7" ht="19.899999999999999" customHeight="1" x14ac:dyDescent="0.2">
      <c r="A920" s="493"/>
      <c r="B920" s="447"/>
      <c r="C920" s="439" t="s">
        <v>982</v>
      </c>
      <c r="D920" s="456">
        <f>IFERROR(VLOOKUP(COUNTIF($A$1:A920,"ANALISIS DE PRECIOS"),T_Rendimiento_Equipo,5,FALSE),0)</f>
        <v>0</v>
      </c>
      <c r="E920" s="457" t="str">
        <f ca="1">G902&amp;"/día"</f>
        <v>GL/día</v>
      </c>
      <c r="F920" s="433"/>
      <c r="G920" s="488"/>
    </row>
    <row r="921" spans="1:7" ht="19.899999999999999" customHeight="1" x14ac:dyDescent="0.2">
      <c r="A921" s="486"/>
      <c r="B921" s="447"/>
      <c r="C921" s="155"/>
      <c r="D921" s="440"/>
      <c r="E921" s="441"/>
      <c r="F921" s="439"/>
      <c r="G921" s="488"/>
    </row>
    <row r="922" spans="1:7" ht="19.899999999999999" customHeight="1" x14ac:dyDescent="0.2">
      <c r="A922" s="677" t="s">
        <v>576</v>
      </c>
      <c r="B922" s="678"/>
      <c r="C922" s="679" t="s">
        <v>0</v>
      </c>
      <c r="D922" s="691" t="s">
        <v>1732</v>
      </c>
      <c r="E922" s="691" t="s">
        <v>1731</v>
      </c>
      <c r="F922" s="683" t="s">
        <v>983</v>
      </c>
      <c r="G922" s="685" t="s">
        <v>26</v>
      </c>
    </row>
    <row r="923" spans="1:7" ht="19.899999999999999" customHeight="1" x14ac:dyDescent="0.2">
      <c r="A923" s="458" t="s">
        <v>577</v>
      </c>
      <c r="B923" s="458" t="s">
        <v>578</v>
      </c>
      <c r="C923" s="680"/>
      <c r="D923" s="692"/>
      <c r="E923" s="682"/>
      <c r="F923" s="684"/>
      <c r="G923" s="686"/>
    </row>
    <row r="924" spans="1:7" ht="19.899999999999999" customHeight="1" x14ac:dyDescent="0.2">
      <c r="A924" s="494"/>
      <c r="B924" s="155"/>
      <c r="C924" s="436" t="s">
        <v>984</v>
      </c>
      <c r="D924" s="441"/>
      <c r="E924" s="441"/>
      <c r="F924" s="155"/>
      <c r="G924" s="495"/>
    </row>
    <row r="925" spans="1:7" ht="19.899999999999999" customHeight="1" x14ac:dyDescent="0.2">
      <c r="A925" s="496">
        <f t="shared" ref="A925:A933" si="257">IFERROR(VLOOKUP(C925,T_Insumos,4,FALSE),0)</f>
        <v>0</v>
      </c>
      <c r="B925" s="459">
        <f t="shared" ref="B925:B933" si="258">IFERROR(VLOOKUP(C925,T_Insumos,5,FALSE),0)</f>
        <v>0</v>
      </c>
      <c r="C925" s="450" t="str">
        <f>+C475</f>
        <v>Rendimiento equipo de producción</v>
      </c>
      <c r="D925" s="460">
        <f t="shared" ref="D925:D933" si="259">IFERROR(VLOOKUP(C925,T_Insumos,3,FALSE),0)</f>
        <v>0</v>
      </c>
      <c r="E925" s="453">
        <f>D925*$G$473</f>
        <v>0</v>
      </c>
      <c r="F925" s="456">
        <f>IF(C925="",0,IFERROR(VLOOKUP(COUNTIF($A$1:A925,"ANALISIS DE PRECIOS"),T_Rendimiento_Equipo,5,FALSE),0))</f>
        <v>0</v>
      </c>
      <c r="G925" s="453">
        <f>IFERROR(ROUND(E925/F925,2),0)</f>
        <v>0</v>
      </c>
    </row>
    <row r="926" spans="1:7" ht="19.899999999999999" customHeight="1" x14ac:dyDescent="0.2">
      <c r="A926" s="496">
        <f t="shared" si="257"/>
        <v>0</v>
      </c>
      <c r="B926" s="459">
        <f t="shared" si="258"/>
        <v>0</v>
      </c>
      <c r="C926" s="450">
        <f t="shared" ref="C926:C928" si="260">+C476</f>
        <v>0</v>
      </c>
      <c r="D926" s="460">
        <f t="shared" si="259"/>
        <v>0</v>
      </c>
      <c r="E926" s="453">
        <f t="shared" ref="E926:E927" si="261">D926*$G$473</f>
        <v>0</v>
      </c>
      <c r="F926" s="456">
        <f>IF(C926="",0,IFERROR(VLOOKUP(COUNTIF($A$1:A926,"ANALISIS DE PRECIOS"),T_Rendimiento_Equipo,5,FALSE),0))</f>
        <v>0</v>
      </c>
      <c r="G926" s="453">
        <f t="shared" ref="G926:G933" si="262">IFERROR(ROUND(E926/F926,2),0)</f>
        <v>0</v>
      </c>
    </row>
    <row r="927" spans="1:7" ht="19.899999999999999" customHeight="1" x14ac:dyDescent="0.2">
      <c r="A927" s="496">
        <f t="shared" si="257"/>
        <v>0</v>
      </c>
      <c r="B927" s="459">
        <f t="shared" si="258"/>
        <v>0</v>
      </c>
      <c r="C927" s="450" t="str">
        <f t="shared" si="260"/>
        <v>DESIGNACION</v>
      </c>
      <c r="D927" s="460">
        <f t="shared" si="259"/>
        <v>0</v>
      </c>
      <c r="E927" s="453">
        <f t="shared" si="261"/>
        <v>0</v>
      </c>
      <c r="F927" s="456">
        <f>IF(C927="",0,IFERROR(VLOOKUP(COUNTIF($A$1:A927,"ANALISIS DE PRECIOS"),T_Rendimiento_Equipo,5,FALSE),0))</f>
        <v>0</v>
      </c>
      <c r="G927" s="453">
        <f t="shared" si="262"/>
        <v>0</v>
      </c>
    </row>
    <row r="928" spans="1:7" ht="19.899999999999999" customHeight="1" x14ac:dyDescent="0.2">
      <c r="A928" s="496">
        <f t="shared" si="257"/>
        <v>0</v>
      </c>
      <c r="B928" s="459">
        <f t="shared" si="258"/>
        <v>0</v>
      </c>
      <c r="C928" s="450">
        <f t="shared" si="260"/>
        <v>0</v>
      </c>
      <c r="D928" s="460">
        <f t="shared" si="259"/>
        <v>0</v>
      </c>
      <c r="E928" s="453">
        <f>D928*$E$473</f>
        <v>0</v>
      </c>
      <c r="F928" s="456">
        <f>IF(C928="",0,IFERROR(VLOOKUP(COUNTIF($A$1:A928,"ANALISIS DE PRECIOS"),T_Rendimiento_Equipo,5,FALSE),0))</f>
        <v>0</v>
      </c>
      <c r="G928" s="453">
        <f t="shared" si="262"/>
        <v>0</v>
      </c>
    </row>
    <row r="929" spans="1:7" ht="19.899999999999999" customHeight="1" x14ac:dyDescent="0.2">
      <c r="A929" s="496">
        <f t="shared" si="257"/>
        <v>0</v>
      </c>
      <c r="B929" s="459">
        <f t="shared" si="258"/>
        <v>0</v>
      </c>
      <c r="C929" s="461"/>
      <c r="D929" s="460">
        <f t="shared" si="259"/>
        <v>0</v>
      </c>
      <c r="E929" s="453"/>
      <c r="F929" s="456">
        <f>IF(C929="",0,IFERROR(VLOOKUP(COUNTIF($A$1:A929,"ANALISIS DE PRECIOS"),T_Rendimiento_Equipo,5,FALSE),0))</f>
        <v>0</v>
      </c>
      <c r="G929" s="453">
        <f t="shared" si="262"/>
        <v>0</v>
      </c>
    </row>
    <row r="930" spans="1:7" ht="19.899999999999999" customHeight="1" x14ac:dyDescent="0.2">
      <c r="A930" s="496">
        <f t="shared" si="257"/>
        <v>0</v>
      </c>
      <c r="B930" s="459">
        <f t="shared" si="258"/>
        <v>0</v>
      </c>
      <c r="C930" s="461"/>
      <c r="D930" s="460">
        <f t="shared" si="259"/>
        <v>0</v>
      </c>
      <c r="E930" s="453"/>
      <c r="F930" s="456">
        <f>IF(C930="",0,IFERROR(VLOOKUP(COUNTIF($A$1:A930,"ANALISIS DE PRECIOS"),T_Rendimiento_Equipo,5,FALSE),0))</f>
        <v>0</v>
      </c>
      <c r="G930" s="453">
        <f t="shared" si="262"/>
        <v>0</v>
      </c>
    </row>
    <row r="931" spans="1:7" ht="19.899999999999999" customHeight="1" x14ac:dyDescent="0.2">
      <c r="A931" s="496">
        <f t="shared" si="257"/>
        <v>0</v>
      </c>
      <c r="B931" s="459">
        <f t="shared" si="258"/>
        <v>0</v>
      </c>
      <c r="C931" s="461"/>
      <c r="D931" s="460">
        <f t="shared" si="259"/>
        <v>0</v>
      </c>
      <c r="E931" s="453"/>
      <c r="F931" s="456">
        <f>IF(C931="",0,IFERROR(VLOOKUP(COUNTIF($A$1:A931,"ANALISIS DE PRECIOS"),T_Rendimiento_Equipo,5,FALSE),0))</f>
        <v>0</v>
      </c>
      <c r="G931" s="453">
        <f t="shared" si="262"/>
        <v>0</v>
      </c>
    </row>
    <row r="932" spans="1:7" ht="19.899999999999999" customHeight="1" x14ac:dyDescent="0.2">
      <c r="A932" s="496">
        <f t="shared" si="257"/>
        <v>0</v>
      </c>
      <c r="B932" s="459">
        <f t="shared" si="258"/>
        <v>0</v>
      </c>
      <c r="C932" s="461"/>
      <c r="D932" s="460">
        <f t="shared" si="259"/>
        <v>0</v>
      </c>
      <c r="E932" s="453"/>
      <c r="F932" s="456">
        <f>IF(C932="",0,IFERROR(VLOOKUP(COUNTIF($A$1:A932,"ANALISIS DE PRECIOS"),T_Rendimiento_Equipo,5,FALSE),0))</f>
        <v>0</v>
      </c>
      <c r="G932" s="453">
        <f t="shared" si="262"/>
        <v>0</v>
      </c>
    </row>
    <row r="933" spans="1:7" ht="19.899999999999999" customHeight="1" x14ac:dyDescent="0.2">
      <c r="A933" s="496">
        <f t="shared" si="257"/>
        <v>0</v>
      </c>
      <c r="B933" s="459">
        <f t="shared" si="258"/>
        <v>0</v>
      </c>
      <c r="C933" s="450"/>
      <c r="D933" s="460">
        <f t="shared" si="259"/>
        <v>0</v>
      </c>
      <c r="E933" s="453"/>
      <c r="F933" s="456">
        <f>IF(C933="",0,IFERROR(VLOOKUP(COUNTIF($A$1:A933,"ANALISIS DE PRECIOS"),T_Rendimiento_Equipo,5,FALSE),0))</f>
        <v>0</v>
      </c>
      <c r="G933" s="453">
        <f t="shared" si="262"/>
        <v>0</v>
      </c>
    </row>
    <row r="934" spans="1:7" ht="19.899999999999999" customHeight="1" x14ac:dyDescent="0.2">
      <c r="A934" s="497"/>
      <c r="B934" s="440"/>
      <c r="C934" s="155"/>
      <c r="D934" s="440"/>
      <c r="E934" s="441"/>
      <c r="F934" s="462" t="s">
        <v>27</v>
      </c>
      <c r="G934" s="498">
        <f>SUBTOTAL(9,G925:G933)</f>
        <v>0</v>
      </c>
    </row>
    <row r="935" spans="1:7" ht="19.899999999999999" customHeight="1" x14ac:dyDescent="0.2">
      <c r="A935" s="494"/>
      <c r="B935" s="155"/>
      <c r="C935" s="436" t="s">
        <v>713</v>
      </c>
      <c r="D935" s="440"/>
      <c r="E935" s="441"/>
      <c r="F935" s="442"/>
      <c r="G935" s="495"/>
    </row>
    <row r="936" spans="1:7" ht="19.899999999999999" customHeight="1" x14ac:dyDescent="0.2">
      <c r="A936" s="677" t="s">
        <v>576</v>
      </c>
      <c r="B936" s="678"/>
      <c r="C936" s="679" t="s">
        <v>0</v>
      </c>
      <c r="D936" s="681" t="s">
        <v>24</v>
      </c>
      <c r="E936" s="681" t="s">
        <v>1711</v>
      </c>
      <c r="F936" s="683" t="s">
        <v>983</v>
      </c>
      <c r="G936" s="685" t="s">
        <v>26</v>
      </c>
    </row>
    <row r="937" spans="1:7" ht="19.899999999999999" customHeight="1" x14ac:dyDescent="0.2">
      <c r="A937" s="458" t="s">
        <v>577</v>
      </c>
      <c r="B937" s="458" t="s">
        <v>578</v>
      </c>
      <c r="C937" s="680"/>
      <c r="D937" s="682"/>
      <c r="E937" s="682"/>
      <c r="F937" s="684"/>
      <c r="G937" s="686"/>
    </row>
    <row r="938" spans="1:7" ht="19.899999999999999" customHeight="1" x14ac:dyDescent="0.2">
      <c r="A938" s="496">
        <f t="shared" ref="A938:A944" si="263">IFERROR(VLOOKUP(C938,T_Insumos,4,FALSE),0)</f>
        <v>0</v>
      </c>
      <c r="B938" s="459">
        <f t="shared" ref="B938:B944" si="264">IFERROR(VLOOKUP(C938,T_Insumos,5,FALSE),0)</f>
        <v>0</v>
      </c>
      <c r="C938" s="463">
        <f>+C488</f>
        <v>0</v>
      </c>
      <c r="D938" s="456"/>
      <c r="E938" s="453">
        <f t="shared" ref="E938:E944" si="265">IFERROR(VLOOKUP(C938,T_Insumos,3,FALSE),0)</f>
        <v>0</v>
      </c>
      <c r="F938" s="456">
        <f>IF(C938="",0,IFERROR(VLOOKUP(COUNTIF($A$1:A938,"ANALISIS DE PRECIOS"),T_Rendimiento_Equipo,5,FALSE),0))</f>
        <v>0</v>
      </c>
      <c r="G938" s="453">
        <f>IFERROR(ROUND(D938*E938/F938,2),0)</f>
        <v>0</v>
      </c>
    </row>
    <row r="939" spans="1:7" ht="19.899999999999999" customHeight="1" x14ac:dyDescent="0.2">
      <c r="A939" s="496">
        <f t="shared" si="263"/>
        <v>0</v>
      </c>
      <c r="B939" s="459">
        <f t="shared" si="264"/>
        <v>0</v>
      </c>
      <c r="C939" s="463">
        <f t="shared" ref="C939:C941" si="266">+C489</f>
        <v>0</v>
      </c>
      <c r="D939" s="456"/>
      <c r="E939" s="453">
        <f t="shared" si="265"/>
        <v>0</v>
      </c>
      <c r="F939" s="456">
        <f>IF(C939="",0,IFERROR(VLOOKUP(COUNTIF($A$1:A939,"ANALISIS DE PRECIOS"),T_Rendimiento_Equipo,5,FALSE),0))</f>
        <v>0</v>
      </c>
      <c r="G939" s="453">
        <f t="shared" ref="G939:G944" si="267">IFERROR(ROUND(D939*E939/F939,2),0)</f>
        <v>0</v>
      </c>
    </row>
    <row r="940" spans="1:7" ht="19.899999999999999" customHeight="1" x14ac:dyDescent="0.2">
      <c r="A940" s="496">
        <f t="shared" si="263"/>
        <v>0</v>
      </c>
      <c r="B940" s="459">
        <f t="shared" si="264"/>
        <v>0</v>
      </c>
      <c r="C940" s="463" t="str">
        <f t="shared" si="266"/>
        <v>B - MANO DE OBRA</v>
      </c>
      <c r="D940" s="456"/>
      <c r="E940" s="453">
        <f t="shared" si="265"/>
        <v>0</v>
      </c>
      <c r="F940" s="456">
        <f>IF(C940="",0,IFERROR(VLOOKUP(COUNTIF($A$1:A940,"ANALISIS DE PRECIOS"),T_Rendimiento_Equipo,5,FALSE),0))</f>
        <v>0</v>
      </c>
      <c r="G940" s="453">
        <f t="shared" si="267"/>
        <v>0</v>
      </c>
    </row>
    <row r="941" spans="1:7" ht="19.899999999999999" customHeight="1" x14ac:dyDescent="0.2">
      <c r="A941" s="496">
        <f t="shared" si="263"/>
        <v>0</v>
      </c>
      <c r="B941" s="459">
        <f t="shared" si="264"/>
        <v>0</v>
      </c>
      <c r="C941" s="463" t="str">
        <f t="shared" si="266"/>
        <v>DESIGNACION</v>
      </c>
      <c r="D941" s="456"/>
      <c r="E941" s="453">
        <f t="shared" si="265"/>
        <v>0</v>
      </c>
      <c r="F941" s="456">
        <f>IF(C941="",0,IFERROR(VLOOKUP(COUNTIF($A$1:A941,"ANALISIS DE PRECIOS"),T_Rendimiento_Equipo,5,FALSE),0))</f>
        <v>0</v>
      </c>
      <c r="G941" s="453">
        <f>IFERROR(ROUND(D941*E941/F941,2),0)</f>
        <v>0</v>
      </c>
    </row>
    <row r="942" spans="1:7" ht="19.899999999999999" customHeight="1" x14ac:dyDescent="0.2">
      <c r="A942" s="496">
        <f t="shared" si="263"/>
        <v>0</v>
      </c>
      <c r="B942" s="459">
        <f t="shared" si="264"/>
        <v>0</v>
      </c>
      <c r="C942" s="450"/>
      <c r="D942" s="456"/>
      <c r="E942" s="453">
        <f t="shared" si="265"/>
        <v>0</v>
      </c>
      <c r="F942" s="456">
        <f>IF(C942="",0,IFERROR(VLOOKUP(COUNTIF($A$1:A942,"ANALISIS DE PRECIOS"),T_Rendimiento_Equipo,5,FALSE),0))</f>
        <v>0</v>
      </c>
      <c r="G942" s="453">
        <f t="shared" ref="G942:G947" si="268">IFERROR(ROUND(D942*E942/F942,2),0)</f>
        <v>0</v>
      </c>
    </row>
    <row r="943" spans="1:7" ht="19.899999999999999" customHeight="1" x14ac:dyDescent="0.2">
      <c r="A943" s="496">
        <f t="shared" si="263"/>
        <v>0</v>
      </c>
      <c r="B943" s="459">
        <f t="shared" si="264"/>
        <v>0</v>
      </c>
      <c r="C943" s="450"/>
      <c r="D943" s="464"/>
      <c r="E943" s="453">
        <f t="shared" si="265"/>
        <v>0</v>
      </c>
      <c r="F943" s="456">
        <f>IF(C943="",0,IFERROR(VLOOKUP(COUNTIF($A$1:A943,"ANALISIS DE PRECIOS"),T_Rendimiento_Equipo,5,FALSE),0))</f>
        <v>0</v>
      </c>
      <c r="G943" s="453">
        <f t="shared" si="268"/>
        <v>0</v>
      </c>
    </row>
    <row r="944" spans="1:7" ht="19.899999999999999" customHeight="1" x14ac:dyDescent="0.2">
      <c r="A944" s="496">
        <f t="shared" si="263"/>
        <v>0</v>
      </c>
      <c r="B944" s="459">
        <f t="shared" si="264"/>
        <v>0</v>
      </c>
      <c r="C944" s="459"/>
      <c r="D944" s="465"/>
      <c r="E944" s="453">
        <f t="shared" si="265"/>
        <v>0</v>
      </c>
      <c r="F944" s="456">
        <f>IF(C944="",0,IFERROR(VLOOKUP(COUNTIF($A$1:A944,"ANALISIS DE PRECIOS"),T_Rendimiento_Equipo,5,FALSE),0))</f>
        <v>0</v>
      </c>
      <c r="G944" s="453">
        <f t="shared" si="268"/>
        <v>0</v>
      </c>
    </row>
    <row r="945" spans="1:7" ht="19.899999999999999" customHeight="1" x14ac:dyDescent="0.2">
      <c r="A945" s="497"/>
      <c r="B945" s="440"/>
      <c r="C945" s="155"/>
      <c r="D945" s="440"/>
      <c r="E945" s="441"/>
      <c r="F945" s="462" t="s">
        <v>28</v>
      </c>
      <c r="G945" s="499">
        <f>SUBTOTAL(9,G938:G944)</f>
        <v>0</v>
      </c>
    </row>
    <row r="946" spans="1:7" ht="19.899999999999999" customHeight="1" x14ac:dyDescent="0.2">
      <c r="A946" s="494"/>
      <c r="B946" s="155"/>
      <c r="C946" s="436" t="s">
        <v>990</v>
      </c>
      <c r="D946" s="440"/>
      <c r="E946" s="441"/>
      <c r="F946" s="442"/>
      <c r="G946" s="495"/>
    </row>
    <row r="947" spans="1:7" ht="19.899999999999999" customHeight="1" x14ac:dyDescent="0.2">
      <c r="A947" s="677" t="s">
        <v>576</v>
      </c>
      <c r="B947" s="678"/>
      <c r="C947" s="679" t="s">
        <v>0</v>
      </c>
      <c r="D947" s="679" t="s">
        <v>1733</v>
      </c>
      <c r="E947" s="681" t="s">
        <v>24</v>
      </c>
      <c r="F947" s="683" t="s">
        <v>25</v>
      </c>
      <c r="G947" s="685" t="s">
        <v>26</v>
      </c>
    </row>
    <row r="948" spans="1:7" ht="19.899999999999999" customHeight="1" x14ac:dyDescent="0.2">
      <c r="A948" s="458" t="s">
        <v>577</v>
      </c>
      <c r="B948" s="458" t="s">
        <v>578</v>
      </c>
      <c r="C948" s="680"/>
      <c r="D948" s="680"/>
      <c r="E948" s="682"/>
      <c r="F948" s="684"/>
      <c r="G948" s="686"/>
    </row>
    <row r="949" spans="1:7" ht="19.899999999999999" customHeight="1" x14ac:dyDescent="0.2">
      <c r="A949" s="496">
        <f t="shared" ref="A949:A959" si="269">IFERROR(VLOOKUP(C949,T_Insumos,4,FALSE),0)</f>
        <v>0</v>
      </c>
      <c r="B949" s="459">
        <f t="shared" ref="B949:B959" si="270">IFERROR(VLOOKUP(C949,T_Insumos,5,FALSE),0)</f>
        <v>0</v>
      </c>
      <c r="C949" s="459">
        <f>+Insumos!A496</f>
        <v>0</v>
      </c>
      <c r="D949" s="507">
        <f t="shared" ref="D949:D959" si="271">IFERROR(VLOOKUP(C949,T_Insumos,2,FALSE),0)</f>
        <v>0</v>
      </c>
      <c r="E949" s="451"/>
      <c r="F949" s="453">
        <f t="shared" ref="F949:F959" si="272">IFERROR(VLOOKUP(C949,T_Insumos,3,FALSE),0)</f>
        <v>0</v>
      </c>
      <c r="G949" s="453">
        <f>ROUND(E949*F949,2)</f>
        <v>0</v>
      </c>
    </row>
    <row r="950" spans="1:7" ht="19.899999999999999" customHeight="1" x14ac:dyDescent="0.2">
      <c r="A950" s="496">
        <f t="shared" si="269"/>
        <v>0</v>
      </c>
      <c r="B950" s="459">
        <f t="shared" si="270"/>
        <v>0</v>
      </c>
      <c r="C950" s="459">
        <f>+Insumos!A538</f>
        <v>0</v>
      </c>
      <c r="D950" s="507">
        <f t="shared" si="271"/>
        <v>0</v>
      </c>
      <c r="E950" s="451"/>
      <c r="F950" s="453">
        <f t="shared" si="272"/>
        <v>0</v>
      </c>
      <c r="G950" s="453">
        <f>ROUND(E950*F950,2)</f>
        <v>0</v>
      </c>
    </row>
    <row r="951" spans="1:7" ht="19.899999999999999" customHeight="1" x14ac:dyDescent="0.2">
      <c r="A951" s="496">
        <f t="shared" si="269"/>
        <v>0</v>
      </c>
      <c r="B951" s="459">
        <f t="shared" si="270"/>
        <v>0</v>
      </c>
      <c r="C951" s="459"/>
      <c r="D951" s="507">
        <f t="shared" si="271"/>
        <v>0</v>
      </c>
      <c r="E951" s="451"/>
      <c r="F951" s="453">
        <f t="shared" si="272"/>
        <v>0</v>
      </c>
      <c r="G951" s="453">
        <f t="shared" ref="G951:G959" si="273">ROUND(E951*F951,2)</f>
        <v>0</v>
      </c>
    </row>
    <row r="952" spans="1:7" ht="19.899999999999999" customHeight="1" x14ac:dyDescent="0.2">
      <c r="A952" s="496">
        <f t="shared" si="269"/>
        <v>0</v>
      </c>
      <c r="B952" s="459">
        <f t="shared" si="270"/>
        <v>0</v>
      </c>
      <c r="C952" s="459"/>
      <c r="D952" s="507">
        <f t="shared" si="271"/>
        <v>0</v>
      </c>
      <c r="E952" s="451"/>
      <c r="F952" s="453">
        <f t="shared" si="272"/>
        <v>0</v>
      </c>
      <c r="G952" s="453">
        <f t="shared" si="273"/>
        <v>0</v>
      </c>
    </row>
    <row r="953" spans="1:7" ht="19.899999999999999" customHeight="1" x14ac:dyDescent="0.2">
      <c r="A953" s="496">
        <f t="shared" si="269"/>
        <v>0</v>
      </c>
      <c r="B953" s="459">
        <f t="shared" si="270"/>
        <v>0</v>
      </c>
      <c r="C953" s="459"/>
      <c r="D953" s="507">
        <f t="shared" si="271"/>
        <v>0</v>
      </c>
      <c r="E953" s="451"/>
      <c r="F953" s="453">
        <f t="shared" si="272"/>
        <v>0</v>
      </c>
      <c r="G953" s="453">
        <f t="shared" si="273"/>
        <v>0</v>
      </c>
    </row>
    <row r="954" spans="1:7" ht="19.899999999999999" customHeight="1" x14ac:dyDescent="0.2">
      <c r="A954" s="496">
        <f t="shared" si="269"/>
        <v>0</v>
      </c>
      <c r="B954" s="459">
        <f t="shared" si="270"/>
        <v>0</v>
      </c>
      <c r="C954" s="459"/>
      <c r="D954" s="507">
        <f t="shared" si="271"/>
        <v>0</v>
      </c>
      <c r="E954" s="451"/>
      <c r="F954" s="453">
        <f t="shared" si="272"/>
        <v>0</v>
      </c>
      <c r="G954" s="453">
        <f t="shared" si="273"/>
        <v>0</v>
      </c>
    </row>
    <row r="955" spans="1:7" ht="19.899999999999999" customHeight="1" x14ac:dyDescent="0.2">
      <c r="A955" s="496">
        <f t="shared" si="269"/>
        <v>0</v>
      </c>
      <c r="B955" s="459">
        <f t="shared" si="270"/>
        <v>0</v>
      </c>
      <c r="C955" s="459"/>
      <c r="D955" s="507">
        <f t="shared" si="271"/>
        <v>0</v>
      </c>
      <c r="E955" s="451"/>
      <c r="F955" s="453">
        <f t="shared" si="272"/>
        <v>0</v>
      </c>
      <c r="G955" s="453">
        <f t="shared" si="273"/>
        <v>0</v>
      </c>
    </row>
    <row r="956" spans="1:7" ht="19.899999999999999" customHeight="1" x14ac:dyDescent="0.2">
      <c r="A956" s="496">
        <f t="shared" si="269"/>
        <v>0</v>
      </c>
      <c r="B956" s="459">
        <f t="shared" si="270"/>
        <v>0</v>
      </c>
      <c r="C956" s="459"/>
      <c r="D956" s="507">
        <f t="shared" si="271"/>
        <v>0</v>
      </c>
      <c r="E956" s="451"/>
      <c r="F956" s="453">
        <f t="shared" si="272"/>
        <v>0</v>
      </c>
      <c r="G956" s="453">
        <f t="shared" si="273"/>
        <v>0</v>
      </c>
    </row>
    <row r="957" spans="1:7" ht="19.899999999999999" customHeight="1" x14ac:dyDescent="0.2">
      <c r="A957" s="496">
        <f t="shared" si="269"/>
        <v>0</v>
      </c>
      <c r="B957" s="459">
        <f t="shared" si="270"/>
        <v>0</v>
      </c>
      <c r="C957" s="459"/>
      <c r="D957" s="507">
        <f t="shared" si="271"/>
        <v>0</v>
      </c>
      <c r="E957" s="451"/>
      <c r="F957" s="453">
        <f t="shared" si="272"/>
        <v>0</v>
      </c>
      <c r="G957" s="453">
        <f t="shared" si="273"/>
        <v>0</v>
      </c>
    </row>
    <row r="958" spans="1:7" ht="19.899999999999999" customHeight="1" x14ac:dyDescent="0.2">
      <c r="A958" s="496">
        <f t="shared" si="269"/>
        <v>0</v>
      </c>
      <c r="B958" s="459">
        <f t="shared" si="270"/>
        <v>0</v>
      </c>
      <c r="C958" s="459"/>
      <c r="D958" s="507">
        <f t="shared" si="271"/>
        <v>0</v>
      </c>
      <c r="E958" s="451"/>
      <c r="F958" s="453">
        <f t="shared" si="272"/>
        <v>0</v>
      </c>
      <c r="G958" s="453">
        <f t="shared" si="273"/>
        <v>0</v>
      </c>
    </row>
    <row r="959" spans="1:7" ht="19.899999999999999" customHeight="1" x14ac:dyDescent="0.2">
      <c r="A959" s="496">
        <f t="shared" si="269"/>
        <v>0</v>
      </c>
      <c r="B959" s="459">
        <f t="shared" si="270"/>
        <v>0</v>
      </c>
      <c r="C959" s="459"/>
      <c r="D959" s="507">
        <f t="shared" si="271"/>
        <v>0</v>
      </c>
      <c r="E959" s="451"/>
      <c r="F959" s="453">
        <f t="shared" si="272"/>
        <v>0</v>
      </c>
      <c r="G959" s="453">
        <f t="shared" si="273"/>
        <v>0</v>
      </c>
    </row>
    <row r="960" spans="1:7" ht="19.899999999999999" customHeight="1" x14ac:dyDescent="0.2">
      <c r="A960" s="494"/>
      <c r="B960" s="155"/>
      <c r="C960" s="155"/>
      <c r="D960" s="440"/>
      <c r="E960" s="441"/>
      <c r="F960" s="462" t="s">
        <v>29</v>
      </c>
      <c r="G960" s="499">
        <f>SUBTOTAL(9,G949:G959)</f>
        <v>0</v>
      </c>
    </row>
    <row r="961" spans="1:7" ht="19.899999999999999" customHeight="1" x14ac:dyDescent="0.2">
      <c r="A961" s="494"/>
      <c r="B961" s="155"/>
      <c r="C961" s="436" t="s">
        <v>991</v>
      </c>
      <c r="D961" s="440"/>
      <c r="E961" s="441"/>
      <c r="F961" s="442"/>
      <c r="G961" s="495"/>
    </row>
    <row r="962" spans="1:7" ht="19.899999999999999" customHeight="1" x14ac:dyDescent="0.2">
      <c r="A962" s="677" t="s">
        <v>576</v>
      </c>
      <c r="B962" s="678"/>
      <c r="C962" s="679" t="s">
        <v>0</v>
      </c>
      <c r="D962" s="679" t="s">
        <v>1733</v>
      </c>
      <c r="E962" s="681" t="s">
        <v>24</v>
      </c>
      <c r="F962" s="683" t="s">
        <v>25</v>
      </c>
      <c r="G962" s="685" t="s">
        <v>26</v>
      </c>
    </row>
    <row r="963" spans="1:7" ht="19.899999999999999" customHeight="1" x14ac:dyDescent="0.2">
      <c r="A963" s="458" t="s">
        <v>577</v>
      </c>
      <c r="B963" s="458" t="s">
        <v>578</v>
      </c>
      <c r="C963" s="680"/>
      <c r="D963" s="680"/>
      <c r="E963" s="682"/>
      <c r="F963" s="684"/>
      <c r="G963" s="686"/>
    </row>
    <row r="964" spans="1:7" ht="19.899999999999999" customHeight="1" x14ac:dyDescent="0.2">
      <c r="A964" s="496">
        <f>IFERROR(VLOOKUP(C964,T_Insumos,4,FALSE),0)</f>
        <v>0</v>
      </c>
      <c r="B964" s="459">
        <f>IFERROR(VLOOKUP(C964,T_Insumos,5,FALSE),0)</f>
        <v>0</v>
      </c>
      <c r="C964" s="450"/>
      <c r="D964" s="507">
        <f>IF(C964=0,0,"$/tnkm")</f>
        <v>0</v>
      </c>
      <c r="E964" s="451"/>
      <c r="F964" s="453">
        <f>IFERROR(VLOOKUP(C964,T_Insumos,3,FALSE),0)</f>
        <v>0</v>
      </c>
      <c r="G964" s="453">
        <f>ROUND(E964*F964,2)</f>
        <v>0</v>
      </c>
    </row>
    <row r="965" spans="1:7" ht="19.899999999999999" customHeight="1" x14ac:dyDescent="0.2">
      <c r="A965" s="496">
        <f>IFERROR(VLOOKUP(C965,T_Insumos,4,FALSE),0)</f>
        <v>0</v>
      </c>
      <c r="B965" s="459">
        <f>IFERROR(VLOOKUP(C965,T_Insumos,5,FALSE),0)</f>
        <v>0</v>
      </c>
      <c r="C965" s="450"/>
      <c r="D965" s="507">
        <f>IF(C965=0,0,"$/tnkm")</f>
        <v>0</v>
      </c>
      <c r="E965" s="467"/>
      <c r="F965" s="453">
        <f>IFERROR(VLOOKUP(C965,T_Insumos,3,FALSE),0)</f>
        <v>0</v>
      </c>
      <c r="G965" s="453">
        <f t="shared" ref="G965" si="274">ROUND(E965*F965,2)</f>
        <v>0</v>
      </c>
    </row>
    <row r="966" spans="1:7" ht="19.899999999999999" customHeight="1" x14ac:dyDescent="0.2">
      <c r="A966" s="494"/>
      <c r="B966" s="155"/>
      <c r="C966" s="155"/>
      <c r="D966" s="440"/>
      <c r="E966" s="441"/>
      <c r="F966" s="462" t="s">
        <v>992</v>
      </c>
      <c r="G966" s="499">
        <f>SUBTOTAL(9,G964:G965)</f>
        <v>0</v>
      </c>
    </row>
    <row r="967" spans="1:7" ht="19.899999999999999" customHeight="1" x14ac:dyDescent="0.2">
      <c r="A967" s="497"/>
      <c r="B967" s="440"/>
      <c r="C967" s="155"/>
      <c r="D967" s="440"/>
      <c r="E967" s="441"/>
      <c r="F967" s="442"/>
      <c r="G967" s="495"/>
    </row>
    <row r="968" spans="1:7" ht="19.899999999999999" customHeight="1" x14ac:dyDescent="0.2">
      <c r="A968" s="555" t="str">
        <f>B902</f>
        <v>2.2.4</v>
      </c>
      <c r="B968" s="552" t="str">
        <f ca="1">C902</f>
        <v>Puente de Adherencia</v>
      </c>
      <c r="C968" s="440"/>
      <c r="D968" s="440" t="s">
        <v>1712</v>
      </c>
      <c r="E968" s="553"/>
      <c r="F968" s="554" t="str">
        <f ca="1">"$/"&amp;G902</f>
        <v>$/GL</v>
      </c>
      <c r="G968" s="504">
        <f>SUBTOTAL(9,G925:G967)</f>
        <v>0</v>
      </c>
    </row>
    <row r="969" spans="1:7" ht="19.899999999999999" customHeight="1" x14ac:dyDescent="0.2">
      <c r="A969" s="500"/>
      <c r="B969" s="501"/>
      <c r="C969" s="502"/>
      <c r="D969" s="502" t="s">
        <v>1908</v>
      </c>
      <c r="E969" s="503"/>
      <c r="F969" s="556" t="str">
        <f ca="1">"$/"&amp;G902</f>
        <v>$/GL</v>
      </c>
      <c r="G969" s="504">
        <f>ROUND(G968*Coeficiente_Paso,2)</f>
        <v>0</v>
      </c>
    </row>
    <row r="970" spans="1:7" ht="19.899999999999999" customHeight="1" x14ac:dyDescent="0.2">
      <c r="A970" s="687" t="s">
        <v>31</v>
      </c>
      <c r="B970" s="688"/>
      <c r="C970" s="688"/>
      <c r="D970" s="688"/>
      <c r="E970" s="688"/>
      <c r="F970" s="688"/>
      <c r="G970" s="689"/>
    </row>
    <row r="971" spans="1:7" ht="19.899999999999999" customHeight="1" x14ac:dyDescent="0.2">
      <c r="A971" s="483" t="s">
        <v>711</v>
      </c>
      <c r="B971" s="434" t="str">
        <f>Comitente</f>
        <v>DEPARTAMENTO DE HIDRÁULICA</v>
      </c>
      <c r="C971" s="435"/>
      <c r="D971" s="436"/>
      <c r="E971" s="436"/>
      <c r="F971" s="437"/>
      <c r="G971" s="484"/>
    </row>
    <row r="972" spans="1:7" ht="19.899999999999999" customHeight="1" x14ac:dyDescent="0.2">
      <c r="A972" s="483" t="s">
        <v>712</v>
      </c>
      <c r="B972" s="434">
        <f>Contratista</f>
        <v>0</v>
      </c>
      <c r="C972" s="438"/>
      <c r="D972" s="438"/>
      <c r="E972" s="438"/>
      <c r="F972" s="434"/>
      <c r="G972" s="485"/>
    </row>
    <row r="973" spans="1:7" ht="19.899999999999999" customHeight="1" x14ac:dyDescent="0.2">
      <c r="A973" s="483" t="s">
        <v>21</v>
      </c>
      <c r="B973" s="434" t="str">
        <f>Obra</f>
        <v>RECRECIMIENTO Y REPARACIÓN CANALES SARMIENTO, 9 DE JULIO Y CHIMBAS</v>
      </c>
      <c r="C973" s="438"/>
      <c r="D973" s="438"/>
      <c r="E973" s="438"/>
      <c r="F973" s="434" t="s">
        <v>32</v>
      </c>
      <c r="G973" s="485">
        <f>Fecha_Base</f>
        <v>0</v>
      </c>
    </row>
    <row r="974" spans="1:7" ht="19.899999999999999" customHeight="1" x14ac:dyDescent="0.2">
      <c r="A974" s="486" t="s">
        <v>710</v>
      </c>
      <c r="B974" s="439" t="str">
        <f>Ubicación</f>
        <v>DEPARTAMENTOS SARMIENTO, 9 DE JULIO Y CHIMBAS</v>
      </c>
      <c r="C974" s="439"/>
      <c r="D974" s="440"/>
      <c r="E974" s="441"/>
      <c r="F974" s="442"/>
      <c r="G974" s="487"/>
    </row>
    <row r="975" spans="1:7" ht="19.899999999999999" customHeight="1" x14ac:dyDescent="0.2">
      <c r="A975" s="486" t="s">
        <v>33</v>
      </c>
      <c r="B975" s="443">
        <f>IFERROR(VALUE(LEFT(B976,FIND(".",B976)-1)),"")</f>
        <v>3</v>
      </c>
      <c r="C975" s="155" t="str">
        <f ca="1">IFERROR(VLOOKUP(B975,T_Computo_Presupuesto,2,FALSE),0)</f>
        <v>RECRECIMIENTO C. PASTORIZA-VIDELA</v>
      </c>
      <c r="D975" s="155"/>
      <c r="E975" s="441"/>
      <c r="F975" s="442"/>
      <c r="G975" s="487"/>
    </row>
    <row r="976" spans="1:7" ht="19.899999999999999" customHeight="1" x14ac:dyDescent="0.2">
      <c r="A976" s="486" t="s">
        <v>22</v>
      </c>
      <c r="B976" s="444" t="str">
        <f>IFERROR(VLOOKUP(COUNTIF($A$1:A976,"ANALISIS DE PRECIOS"),T_NumeroItem,2,FALSE),"")</f>
        <v>3.1.1</v>
      </c>
      <c r="C976" s="690" t="str">
        <f ca="1">IFERROR(VLOOKUP(B976,T_Computo_Presupuesto,2,FALSE),0)</f>
        <v>Preparación y Limpieza de Superf.</v>
      </c>
      <c r="D976" s="690"/>
      <c r="E976" s="690"/>
      <c r="F976" s="439" t="s">
        <v>23</v>
      </c>
      <c r="G976" s="488" t="str">
        <f ca="1">IFERROR(VLOOKUP(B976,T_Computo_Presupuesto,4,FALSE),0)</f>
        <v>GL</v>
      </c>
    </row>
    <row r="977" spans="1:7" ht="19.899999999999999" customHeight="1" x14ac:dyDescent="0.2">
      <c r="A977" s="486"/>
      <c r="B977" s="439"/>
      <c r="C977" s="155"/>
      <c r="D977" s="440"/>
      <c r="E977" s="441"/>
      <c r="F977" s="155"/>
      <c r="G977" s="489"/>
    </row>
    <row r="978" spans="1:7" ht="19.899999999999999" customHeight="1" x14ac:dyDescent="0.2">
      <c r="A978" s="490"/>
      <c r="B978" s="445"/>
      <c r="C978" s="446" t="s">
        <v>975</v>
      </c>
      <c r="D978" s="445"/>
      <c r="E978" s="445"/>
      <c r="F978" s="445"/>
      <c r="G978" s="491"/>
    </row>
    <row r="979" spans="1:7" ht="19.899999999999999" customHeight="1" x14ac:dyDescent="0.2">
      <c r="A979" s="486"/>
      <c r="B979" s="447"/>
      <c r="C979" s="155"/>
      <c r="D979" s="440"/>
      <c r="E979" s="441"/>
      <c r="F979" s="439"/>
      <c r="G979" s="488"/>
    </row>
    <row r="980" spans="1:7" ht="19.899999999999999" customHeight="1" x14ac:dyDescent="0.2">
      <c r="A980" s="486"/>
      <c r="B980" s="447"/>
      <c r="C980" s="448" t="s">
        <v>976</v>
      </c>
      <c r="D980" s="449" t="s">
        <v>24</v>
      </c>
      <c r="E980" s="449" t="s">
        <v>977</v>
      </c>
      <c r="F980" s="449" t="s">
        <v>978</v>
      </c>
      <c r="G980" s="448" t="s">
        <v>979</v>
      </c>
    </row>
    <row r="981" spans="1:7" ht="19.899999999999999" customHeight="1" x14ac:dyDescent="0.2">
      <c r="A981" s="486"/>
      <c r="B981" s="447"/>
      <c r="C981" s="450">
        <f>+Equipos!A535</f>
        <v>0</v>
      </c>
      <c r="D981" s="451"/>
      <c r="E981" s="452">
        <f t="shared" ref="E981:E990" si="275">IFERROR(VLOOKUP(C981,T_Equipos,4,FALSE),0)</f>
        <v>0</v>
      </c>
      <c r="F981" s="453">
        <f t="shared" ref="F981:F990" si="276">IFERROR(VLOOKUP(C981,T_Equipos,5,FALSE),0)</f>
        <v>0</v>
      </c>
      <c r="G981" s="453">
        <f>ROUND(D981*F981,2)</f>
        <v>0</v>
      </c>
    </row>
    <row r="982" spans="1:7" ht="19.899999999999999" customHeight="1" x14ac:dyDescent="0.2">
      <c r="A982" s="486"/>
      <c r="B982" s="447"/>
      <c r="C982" s="450">
        <f>+Equipos!A532</f>
        <v>0</v>
      </c>
      <c r="D982" s="451"/>
      <c r="E982" s="452">
        <f t="shared" si="275"/>
        <v>0</v>
      </c>
      <c r="F982" s="453">
        <f t="shared" si="276"/>
        <v>0</v>
      </c>
      <c r="G982" s="453">
        <f>ROUND(D982*F982,2)</f>
        <v>0</v>
      </c>
    </row>
    <row r="983" spans="1:7" ht="19.899999999999999" customHeight="1" x14ac:dyDescent="0.2">
      <c r="A983" s="486"/>
      <c r="B983" s="447"/>
      <c r="C983" s="450">
        <f>+Equipos!A544</f>
        <v>0</v>
      </c>
      <c r="D983" s="451"/>
      <c r="E983" s="452">
        <f t="shared" si="275"/>
        <v>0</v>
      </c>
      <c r="F983" s="453">
        <f t="shared" si="276"/>
        <v>0</v>
      </c>
      <c r="G983" s="453">
        <f>ROUND(D983*F983,2)</f>
        <v>0</v>
      </c>
    </row>
    <row r="984" spans="1:7" ht="19.899999999999999" customHeight="1" x14ac:dyDescent="0.2">
      <c r="A984" s="486"/>
      <c r="B984" s="447"/>
      <c r="C984" s="450">
        <f>+Equipos!A552</f>
        <v>0</v>
      </c>
      <c r="D984" s="451"/>
      <c r="E984" s="452">
        <f t="shared" si="275"/>
        <v>0</v>
      </c>
      <c r="F984" s="453">
        <f t="shared" si="276"/>
        <v>0</v>
      </c>
      <c r="G984" s="453">
        <f>ROUND(D984*F984,2)</f>
        <v>0</v>
      </c>
    </row>
    <row r="985" spans="1:7" ht="19.899999999999999" customHeight="1" x14ac:dyDescent="0.2">
      <c r="A985" s="486"/>
      <c r="B985" s="447"/>
      <c r="C985" s="450">
        <f>+Equipos!A541</f>
        <v>0</v>
      </c>
      <c r="D985" s="623"/>
      <c r="E985" s="452">
        <f t="shared" si="275"/>
        <v>0</v>
      </c>
      <c r="F985" s="453">
        <f t="shared" si="276"/>
        <v>0</v>
      </c>
      <c r="G985" s="453">
        <f t="shared" ref="G985:G990" si="277">ROUND(D985*F985,2)</f>
        <v>0</v>
      </c>
    </row>
    <row r="986" spans="1:7" ht="19.899999999999999" customHeight="1" x14ac:dyDescent="0.2">
      <c r="A986" s="486"/>
      <c r="B986" s="447"/>
      <c r="C986" s="450">
        <f>+Equipos!A537</f>
        <v>0</v>
      </c>
      <c r="D986" s="451"/>
      <c r="E986" s="452">
        <f t="shared" si="275"/>
        <v>0</v>
      </c>
      <c r="F986" s="453">
        <f t="shared" si="276"/>
        <v>0</v>
      </c>
      <c r="G986" s="453">
        <f t="shared" si="277"/>
        <v>0</v>
      </c>
    </row>
    <row r="987" spans="1:7" ht="19.899999999999999" customHeight="1" x14ac:dyDescent="0.2">
      <c r="A987" s="486"/>
      <c r="B987" s="447"/>
      <c r="C987" s="450"/>
      <c r="D987" s="451"/>
      <c r="E987" s="452">
        <f t="shared" si="275"/>
        <v>0</v>
      </c>
      <c r="F987" s="453">
        <f t="shared" si="276"/>
        <v>0</v>
      </c>
      <c r="G987" s="453">
        <f t="shared" si="277"/>
        <v>0</v>
      </c>
    </row>
    <row r="988" spans="1:7" ht="19.899999999999999" customHeight="1" x14ac:dyDescent="0.2">
      <c r="A988" s="486"/>
      <c r="B988" s="447"/>
      <c r="C988" s="450"/>
      <c r="D988" s="451"/>
      <c r="E988" s="452">
        <f t="shared" si="275"/>
        <v>0</v>
      </c>
      <c r="F988" s="453">
        <f t="shared" si="276"/>
        <v>0</v>
      </c>
      <c r="G988" s="453">
        <f t="shared" si="277"/>
        <v>0</v>
      </c>
    </row>
    <row r="989" spans="1:7" ht="19.899999999999999" customHeight="1" x14ac:dyDescent="0.2">
      <c r="A989" s="486"/>
      <c r="B989" s="447"/>
      <c r="C989" s="450"/>
      <c r="D989" s="451"/>
      <c r="E989" s="452">
        <f t="shared" si="275"/>
        <v>0</v>
      </c>
      <c r="F989" s="453">
        <f t="shared" si="276"/>
        <v>0</v>
      </c>
      <c r="G989" s="453">
        <f t="shared" si="277"/>
        <v>0</v>
      </c>
    </row>
    <row r="990" spans="1:7" ht="19.899999999999999" customHeight="1" x14ac:dyDescent="0.2">
      <c r="A990" s="486"/>
      <c r="B990" s="447"/>
      <c r="C990" s="450"/>
      <c r="D990" s="451"/>
      <c r="E990" s="452">
        <f t="shared" si="275"/>
        <v>0</v>
      </c>
      <c r="F990" s="453">
        <f t="shared" si="276"/>
        <v>0</v>
      </c>
      <c r="G990" s="453">
        <f t="shared" si="277"/>
        <v>0</v>
      </c>
    </row>
    <row r="991" spans="1:7" ht="19.899999999999999" customHeight="1" x14ac:dyDescent="0.2">
      <c r="A991" s="486"/>
      <c r="B991" s="447"/>
      <c r="C991" s="155"/>
      <c r="D991" s="155"/>
      <c r="E991" s="454"/>
      <c r="F991" s="439"/>
      <c r="G991" s="488"/>
    </row>
    <row r="992" spans="1:7" ht="19.899999999999999" customHeight="1" x14ac:dyDescent="0.2">
      <c r="A992" s="486"/>
      <c r="B992" s="155"/>
      <c r="C992" s="436" t="s">
        <v>980</v>
      </c>
      <c r="D992" s="439" t="s">
        <v>977</v>
      </c>
      <c r="E992" s="505">
        <f>SUMPRODUCT(D981:D990,E981:E990)</f>
        <v>0</v>
      </c>
      <c r="F992" s="439" t="s">
        <v>981</v>
      </c>
      <c r="G992" s="506">
        <f>SUM(G981:G990)</f>
        <v>0</v>
      </c>
    </row>
    <row r="993" spans="1:7" ht="19.899999999999999" customHeight="1" x14ac:dyDescent="0.2">
      <c r="A993" s="486"/>
      <c r="B993" s="447"/>
      <c r="C993" s="455"/>
      <c r="D993" s="454"/>
      <c r="E993" s="441"/>
      <c r="F993" s="439"/>
      <c r="G993" s="492"/>
    </row>
    <row r="994" spans="1:7" ht="19.899999999999999" customHeight="1" x14ac:dyDescent="0.2">
      <c r="A994" s="493"/>
      <c r="B994" s="447"/>
      <c r="C994" s="439" t="s">
        <v>982</v>
      </c>
      <c r="D994" s="456">
        <f>IFERROR(VLOOKUP(COUNTIF($A$1:A994,"ANALISIS DE PRECIOS"),T_Rendimiento_Equipo,5,FALSE),0)</f>
        <v>0</v>
      </c>
      <c r="E994" s="457" t="str">
        <f ca="1">G976&amp;"/día"</f>
        <v>GL/día</v>
      </c>
      <c r="F994" s="433"/>
      <c r="G994" s="488"/>
    </row>
    <row r="995" spans="1:7" ht="19.899999999999999" customHeight="1" x14ac:dyDescent="0.2">
      <c r="A995" s="486"/>
      <c r="B995" s="447"/>
      <c r="C995" s="155"/>
      <c r="D995" s="440"/>
      <c r="E995" s="441"/>
      <c r="F995" s="439"/>
      <c r="G995" s="488"/>
    </row>
    <row r="996" spans="1:7" ht="19.899999999999999" customHeight="1" x14ac:dyDescent="0.2">
      <c r="A996" s="677" t="s">
        <v>576</v>
      </c>
      <c r="B996" s="678"/>
      <c r="C996" s="679" t="s">
        <v>0</v>
      </c>
      <c r="D996" s="691" t="s">
        <v>1732</v>
      </c>
      <c r="E996" s="691" t="s">
        <v>1731</v>
      </c>
      <c r="F996" s="683" t="s">
        <v>983</v>
      </c>
      <c r="G996" s="685" t="s">
        <v>26</v>
      </c>
    </row>
    <row r="997" spans="1:7" ht="19.899999999999999" customHeight="1" x14ac:dyDescent="0.2">
      <c r="A997" s="458" t="s">
        <v>577</v>
      </c>
      <c r="B997" s="458" t="s">
        <v>578</v>
      </c>
      <c r="C997" s="680"/>
      <c r="D997" s="692"/>
      <c r="E997" s="682"/>
      <c r="F997" s="684"/>
      <c r="G997" s="686"/>
    </row>
    <row r="998" spans="1:7" ht="19.899999999999999" customHeight="1" x14ac:dyDescent="0.2">
      <c r="A998" s="494"/>
      <c r="B998" s="155"/>
      <c r="C998" s="436" t="s">
        <v>984</v>
      </c>
      <c r="D998" s="441"/>
      <c r="E998" s="441"/>
      <c r="F998" s="155"/>
      <c r="G998" s="495"/>
    </row>
    <row r="999" spans="1:7" ht="19.899999999999999" customHeight="1" x14ac:dyDescent="0.2">
      <c r="A999" s="496">
        <f t="shared" ref="A999:A1007" si="278">IFERROR(VLOOKUP(C999,T_Insumos,4,FALSE),0)</f>
        <v>0</v>
      </c>
      <c r="B999" s="459">
        <f t="shared" ref="B999:B1007" si="279">IFERROR(VLOOKUP(C999,T_Insumos,5,FALSE),0)</f>
        <v>0</v>
      </c>
      <c r="C999" s="450">
        <f>+C549</f>
        <v>0</v>
      </c>
      <c r="D999" s="460">
        <f t="shared" ref="D999:D1007" si="280">IFERROR(VLOOKUP(C999,T_Insumos,3,FALSE),0)</f>
        <v>0</v>
      </c>
      <c r="E999" s="453">
        <f>D999*$G$473</f>
        <v>0</v>
      </c>
      <c r="F999" s="456">
        <f>IF(C999="",0,IFERROR(VLOOKUP(COUNTIF($A$1:A999,"ANALISIS DE PRECIOS"),T_Rendimiento_Equipo,5,FALSE),0))</f>
        <v>0</v>
      </c>
      <c r="G999" s="453">
        <f>IFERROR(ROUND(E999/F999,2),0)</f>
        <v>0</v>
      </c>
    </row>
    <row r="1000" spans="1:7" ht="19.899999999999999" customHeight="1" x14ac:dyDescent="0.2">
      <c r="A1000" s="496">
        <f t="shared" si="278"/>
        <v>0</v>
      </c>
      <c r="B1000" s="459">
        <f t="shared" si="279"/>
        <v>0</v>
      </c>
      <c r="C1000" s="450" t="str">
        <f t="shared" ref="C1000:C1002" si="281">+C550</f>
        <v>Rendimiento equipo de producción</v>
      </c>
      <c r="D1000" s="460">
        <f t="shared" si="280"/>
        <v>0</v>
      </c>
      <c r="E1000" s="453">
        <f t="shared" ref="E1000:E1001" si="282">D1000*$G$473</f>
        <v>0</v>
      </c>
      <c r="F1000" s="456">
        <f>IF(C1000="",0,IFERROR(VLOOKUP(COUNTIF($A$1:A1000,"ANALISIS DE PRECIOS"),T_Rendimiento_Equipo,5,FALSE),0))</f>
        <v>0</v>
      </c>
      <c r="G1000" s="453">
        <f t="shared" ref="G1000:G1007" si="283">IFERROR(ROUND(E1000/F1000,2),0)</f>
        <v>0</v>
      </c>
    </row>
    <row r="1001" spans="1:7" ht="19.899999999999999" customHeight="1" x14ac:dyDescent="0.2">
      <c r="A1001" s="496">
        <f t="shared" si="278"/>
        <v>0</v>
      </c>
      <c r="B1001" s="459">
        <f t="shared" si="279"/>
        <v>0</v>
      </c>
      <c r="C1001" s="450">
        <f t="shared" si="281"/>
        <v>0</v>
      </c>
      <c r="D1001" s="460">
        <f t="shared" si="280"/>
        <v>0</v>
      </c>
      <c r="E1001" s="453">
        <f t="shared" si="282"/>
        <v>0</v>
      </c>
      <c r="F1001" s="456">
        <f>IF(C1001="",0,IFERROR(VLOOKUP(COUNTIF($A$1:A1001,"ANALISIS DE PRECIOS"),T_Rendimiento_Equipo,5,FALSE),0))</f>
        <v>0</v>
      </c>
      <c r="G1001" s="453">
        <f t="shared" si="283"/>
        <v>0</v>
      </c>
    </row>
    <row r="1002" spans="1:7" ht="19.899999999999999" customHeight="1" x14ac:dyDescent="0.2">
      <c r="A1002" s="496">
        <f t="shared" si="278"/>
        <v>0</v>
      </c>
      <c r="B1002" s="459">
        <f t="shared" si="279"/>
        <v>0</v>
      </c>
      <c r="C1002" s="450" t="str">
        <f t="shared" si="281"/>
        <v>DESIGNACION</v>
      </c>
      <c r="D1002" s="460">
        <f t="shared" si="280"/>
        <v>0</v>
      </c>
      <c r="E1002" s="453">
        <f>D1002*$E$473</f>
        <v>0</v>
      </c>
      <c r="F1002" s="456">
        <f>IF(C1002="",0,IFERROR(VLOOKUP(COUNTIF($A$1:A1002,"ANALISIS DE PRECIOS"),T_Rendimiento_Equipo,5,FALSE),0))</f>
        <v>0</v>
      </c>
      <c r="G1002" s="453">
        <f t="shared" si="283"/>
        <v>0</v>
      </c>
    </row>
    <row r="1003" spans="1:7" ht="19.899999999999999" customHeight="1" x14ac:dyDescent="0.2">
      <c r="A1003" s="496">
        <f t="shared" si="278"/>
        <v>0</v>
      </c>
      <c r="B1003" s="459">
        <f t="shared" si="279"/>
        <v>0</v>
      </c>
      <c r="C1003" s="461"/>
      <c r="D1003" s="460">
        <f t="shared" si="280"/>
        <v>0</v>
      </c>
      <c r="E1003" s="453"/>
      <c r="F1003" s="456">
        <f>IF(C1003="",0,IFERROR(VLOOKUP(COUNTIF($A$1:A1003,"ANALISIS DE PRECIOS"),T_Rendimiento_Equipo,5,FALSE),0))</f>
        <v>0</v>
      </c>
      <c r="G1003" s="453">
        <f t="shared" si="283"/>
        <v>0</v>
      </c>
    </row>
    <row r="1004" spans="1:7" ht="19.899999999999999" customHeight="1" x14ac:dyDescent="0.2">
      <c r="A1004" s="496">
        <f t="shared" si="278"/>
        <v>0</v>
      </c>
      <c r="B1004" s="459">
        <f t="shared" si="279"/>
        <v>0</v>
      </c>
      <c r="C1004" s="461"/>
      <c r="D1004" s="460">
        <f t="shared" si="280"/>
        <v>0</v>
      </c>
      <c r="E1004" s="453"/>
      <c r="F1004" s="456">
        <f>IF(C1004="",0,IFERROR(VLOOKUP(COUNTIF($A$1:A1004,"ANALISIS DE PRECIOS"),T_Rendimiento_Equipo,5,FALSE),0))</f>
        <v>0</v>
      </c>
      <c r="G1004" s="453">
        <f t="shared" si="283"/>
        <v>0</v>
      </c>
    </row>
    <row r="1005" spans="1:7" ht="19.899999999999999" customHeight="1" x14ac:dyDescent="0.2">
      <c r="A1005" s="496">
        <f t="shared" si="278"/>
        <v>0</v>
      </c>
      <c r="B1005" s="459">
        <f t="shared" si="279"/>
        <v>0</v>
      </c>
      <c r="C1005" s="461"/>
      <c r="D1005" s="460">
        <f t="shared" si="280"/>
        <v>0</v>
      </c>
      <c r="E1005" s="453"/>
      <c r="F1005" s="456">
        <f>IF(C1005="",0,IFERROR(VLOOKUP(COUNTIF($A$1:A1005,"ANALISIS DE PRECIOS"),T_Rendimiento_Equipo,5,FALSE),0))</f>
        <v>0</v>
      </c>
      <c r="G1005" s="453">
        <f t="shared" si="283"/>
        <v>0</v>
      </c>
    </row>
    <row r="1006" spans="1:7" ht="19.899999999999999" customHeight="1" x14ac:dyDescent="0.2">
      <c r="A1006" s="496">
        <f t="shared" si="278"/>
        <v>0</v>
      </c>
      <c r="B1006" s="459">
        <f t="shared" si="279"/>
        <v>0</v>
      </c>
      <c r="C1006" s="461"/>
      <c r="D1006" s="460">
        <f t="shared" si="280"/>
        <v>0</v>
      </c>
      <c r="E1006" s="453"/>
      <c r="F1006" s="456">
        <f>IF(C1006="",0,IFERROR(VLOOKUP(COUNTIF($A$1:A1006,"ANALISIS DE PRECIOS"),T_Rendimiento_Equipo,5,FALSE),0))</f>
        <v>0</v>
      </c>
      <c r="G1006" s="453">
        <f t="shared" si="283"/>
        <v>0</v>
      </c>
    </row>
    <row r="1007" spans="1:7" ht="19.899999999999999" customHeight="1" x14ac:dyDescent="0.2">
      <c r="A1007" s="496">
        <f t="shared" si="278"/>
        <v>0</v>
      </c>
      <c r="B1007" s="459">
        <f t="shared" si="279"/>
        <v>0</v>
      </c>
      <c r="C1007" s="450"/>
      <c r="D1007" s="460">
        <f t="shared" si="280"/>
        <v>0</v>
      </c>
      <c r="E1007" s="453"/>
      <c r="F1007" s="456">
        <f>IF(C1007="",0,IFERROR(VLOOKUP(COUNTIF($A$1:A1007,"ANALISIS DE PRECIOS"),T_Rendimiento_Equipo,5,FALSE),0))</f>
        <v>0</v>
      </c>
      <c r="G1007" s="453">
        <f t="shared" si="283"/>
        <v>0</v>
      </c>
    </row>
    <row r="1008" spans="1:7" ht="19.899999999999999" customHeight="1" x14ac:dyDescent="0.2">
      <c r="A1008" s="497"/>
      <c r="B1008" s="440"/>
      <c r="C1008" s="155"/>
      <c r="D1008" s="440"/>
      <c r="E1008" s="441"/>
      <c r="F1008" s="462" t="s">
        <v>27</v>
      </c>
      <c r="G1008" s="498">
        <f>SUBTOTAL(9,G999:G1007)</f>
        <v>0</v>
      </c>
    </row>
    <row r="1009" spans="1:7" ht="19.899999999999999" customHeight="1" x14ac:dyDescent="0.2">
      <c r="A1009" s="494"/>
      <c r="B1009" s="155"/>
      <c r="C1009" s="436" t="s">
        <v>713</v>
      </c>
      <c r="D1009" s="440"/>
      <c r="E1009" s="441"/>
      <c r="F1009" s="442"/>
      <c r="G1009" s="495"/>
    </row>
    <row r="1010" spans="1:7" ht="19.899999999999999" customHeight="1" x14ac:dyDescent="0.2">
      <c r="A1010" s="677" t="s">
        <v>576</v>
      </c>
      <c r="B1010" s="678"/>
      <c r="C1010" s="679" t="s">
        <v>0</v>
      </c>
      <c r="D1010" s="681" t="s">
        <v>24</v>
      </c>
      <c r="E1010" s="681" t="s">
        <v>1711</v>
      </c>
      <c r="F1010" s="683" t="s">
        <v>983</v>
      </c>
      <c r="G1010" s="685" t="s">
        <v>26</v>
      </c>
    </row>
    <row r="1011" spans="1:7" ht="19.899999999999999" customHeight="1" x14ac:dyDescent="0.2">
      <c r="A1011" s="458" t="s">
        <v>577</v>
      </c>
      <c r="B1011" s="458" t="s">
        <v>578</v>
      </c>
      <c r="C1011" s="680"/>
      <c r="D1011" s="682"/>
      <c r="E1011" s="682"/>
      <c r="F1011" s="684"/>
      <c r="G1011" s="686"/>
    </row>
    <row r="1012" spans="1:7" ht="19.899999999999999" customHeight="1" x14ac:dyDescent="0.2">
      <c r="A1012" s="496">
        <f t="shared" ref="A1012:A1018" si="284">IFERROR(VLOOKUP(C1012,T_Insumos,4,FALSE),0)</f>
        <v>0</v>
      </c>
      <c r="B1012" s="459">
        <f t="shared" ref="B1012:B1018" si="285">IFERROR(VLOOKUP(C1012,T_Insumos,5,FALSE),0)</f>
        <v>0</v>
      </c>
      <c r="C1012" s="463">
        <f>+C562</f>
        <v>0</v>
      </c>
      <c r="D1012" s="456"/>
      <c r="E1012" s="453">
        <f t="shared" ref="E1012:E1018" si="286">IFERROR(VLOOKUP(C1012,T_Insumos,3,FALSE),0)</f>
        <v>0</v>
      </c>
      <c r="F1012" s="456">
        <f>IF(C1012="",0,IFERROR(VLOOKUP(COUNTIF($A$1:A1012,"ANALISIS DE PRECIOS"),T_Rendimiento_Equipo,5,FALSE),0))</f>
        <v>0</v>
      </c>
      <c r="G1012" s="453">
        <f>IFERROR(ROUND(D1012*E1012/F1012,2),0)</f>
        <v>0</v>
      </c>
    </row>
    <row r="1013" spans="1:7" ht="19.899999999999999" customHeight="1" x14ac:dyDescent="0.2">
      <c r="A1013" s="496">
        <f t="shared" si="284"/>
        <v>0</v>
      </c>
      <c r="B1013" s="459">
        <f t="shared" si="285"/>
        <v>0</v>
      </c>
      <c r="C1013" s="463">
        <f t="shared" ref="C1013:C1015" si="287">+C563</f>
        <v>0</v>
      </c>
      <c r="D1013" s="456"/>
      <c r="E1013" s="453">
        <f t="shared" si="286"/>
        <v>0</v>
      </c>
      <c r="F1013" s="456">
        <f>IF(C1013="",0,IFERROR(VLOOKUP(COUNTIF($A$1:A1013,"ANALISIS DE PRECIOS"),T_Rendimiento_Equipo,5,FALSE),0))</f>
        <v>0</v>
      </c>
      <c r="G1013" s="453">
        <f t="shared" ref="G1013:G1018" si="288">IFERROR(ROUND(D1013*E1013/F1013,2),0)</f>
        <v>0</v>
      </c>
    </row>
    <row r="1014" spans="1:7" ht="19.899999999999999" customHeight="1" x14ac:dyDescent="0.2">
      <c r="A1014" s="496">
        <f t="shared" si="284"/>
        <v>0</v>
      </c>
      <c r="B1014" s="459">
        <f t="shared" si="285"/>
        <v>0</v>
      </c>
      <c r="C1014" s="463">
        <f t="shared" si="287"/>
        <v>0</v>
      </c>
      <c r="D1014" s="456"/>
      <c r="E1014" s="453">
        <f t="shared" si="286"/>
        <v>0</v>
      </c>
      <c r="F1014" s="456">
        <f>IF(C1014="",0,IFERROR(VLOOKUP(COUNTIF($A$1:A1014,"ANALISIS DE PRECIOS"),T_Rendimiento_Equipo,5,FALSE),0))</f>
        <v>0</v>
      </c>
      <c r="G1014" s="453">
        <f t="shared" si="288"/>
        <v>0</v>
      </c>
    </row>
    <row r="1015" spans="1:7" ht="19.899999999999999" customHeight="1" x14ac:dyDescent="0.2">
      <c r="A1015" s="496">
        <f t="shared" si="284"/>
        <v>0</v>
      </c>
      <c r="B1015" s="459">
        <f t="shared" si="285"/>
        <v>0</v>
      </c>
      <c r="C1015" s="463" t="str">
        <f t="shared" si="287"/>
        <v>B - MANO DE OBRA</v>
      </c>
      <c r="D1015" s="456"/>
      <c r="E1015" s="453">
        <f t="shared" si="286"/>
        <v>0</v>
      </c>
      <c r="F1015" s="456">
        <f>IF(C1015="",0,IFERROR(VLOOKUP(COUNTIF($A$1:A1015,"ANALISIS DE PRECIOS"),T_Rendimiento_Equipo,5,FALSE),0))</f>
        <v>0</v>
      </c>
      <c r="G1015" s="453">
        <f>IFERROR(ROUND(D1015*E1015/F1015,2),0)</f>
        <v>0</v>
      </c>
    </row>
    <row r="1016" spans="1:7" ht="19.899999999999999" customHeight="1" x14ac:dyDescent="0.2">
      <c r="A1016" s="496">
        <f t="shared" si="284"/>
        <v>0</v>
      </c>
      <c r="B1016" s="459">
        <f t="shared" si="285"/>
        <v>0</v>
      </c>
      <c r="C1016" s="450"/>
      <c r="D1016" s="456"/>
      <c r="E1016" s="453">
        <f t="shared" si="286"/>
        <v>0</v>
      </c>
      <c r="F1016" s="456">
        <f>IF(C1016="",0,IFERROR(VLOOKUP(COUNTIF($A$1:A1016,"ANALISIS DE PRECIOS"),T_Rendimiento_Equipo,5,FALSE),0))</f>
        <v>0</v>
      </c>
      <c r="G1016" s="453">
        <f t="shared" ref="G1016:G1021" si="289">IFERROR(ROUND(D1016*E1016/F1016,2),0)</f>
        <v>0</v>
      </c>
    </row>
    <row r="1017" spans="1:7" ht="19.899999999999999" customHeight="1" x14ac:dyDescent="0.2">
      <c r="A1017" s="496">
        <f t="shared" si="284"/>
        <v>0</v>
      </c>
      <c r="B1017" s="459">
        <f t="shared" si="285"/>
        <v>0</v>
      </c>
      <c r="C1017" s="450"/>
      <c r="D1017" s="464"/>
      <c r="E1017" s="453">
        <f t="shared" si="286"/>
        <v>0</v>
      </c>
      <c r="F1017" s="456">
        <f>IF(C1017="",0,IFERROR(VLOOKUP(COUNTIF($A$1:A1017,"ANALISIS DE PRECIOS"),T_Rendimiento_Equipo,5,FALSE),0))</f>
        <v>0</v>
      </c>
      <c r="G1017" s="453">
        <f t="shared" si="289"/>
        <v>0</v>
      </c>
    </row>
    <row r="1018" spans="1:7" ht="19.899999999999999" customHeight="1" x14ac:dyDescent="0.2">
      <c r="A1018" s="496">
        <f t="shared" si="284"/>
        <v>0</v>
      </c>
      <c r="B1018" s="459">
        <f t="shared" si="285"/>
        <v>0</v>
      </c>
      <c r="C1018" s="459"/>
      <c r="D1018" s="465"/>
      <c r="E1018" s="453">
        <f t="shared" si="286"/>
        <v>0</v>
      </c>
      <c r="F1018" s="456">
        <f>IF(C1018="",0,IFERROR(VLOOKUP(COUNTIF($A$1:A1018,"ANALISIS DE PRECIOS"),T_Rendimiento_Equipo,5,FALSE),0))</f>
        <v>0</v>
      </c>
      <c r="G1018" s="453">
        <f t="shared" si="289"/>
        <v>0</v>
      </c>
    </row>
    <row r="1019" spans="1:7" ht="19.899999999999999" customHeight="1" x14ac:dyDescent="0.2">
      <c r="A1019" s="497"/>
      <c r="B1019" s="440"/>
      <c r="C1019" s="155"/>
      <c r="D1019" s="440"/>
      <c r="E1019" s="441"/>
      <c r="F1019" s="462" t="s">
        <v>28</v>
      </c>
      <c r="G1019" s="499">
        <f>SUBTOTAL(9,G1012:G1018)</f>
        <v>0</v>
      </c>
    </row>
    <row r="1020" spans="1:7" ht="19.899999999999999" customHeight="1" x14ac:dyDescent="0.2">
      <c r="A1020" s="494"/>
      <c r="B1020" s="155"/>
      <c r="C1020" s="436" t="s">
        <v>990</v>
      </c>
      <c r="D1020" s="440"/>
      <c r="E1020" s="441"/>
      <c r="F1020" s="442"/>
      <c r="G1020" s="495"/>
    </row>
    <row r="1021" spans="1:7" ht="19.899999999999999" customHeight="1" x14ac:dyDescent="0.2">
      <c r="A1021" s="677" t="s">
        <v>576</v>
      </c>
      <c r="B1021" s="678"/>
      <c r="C1021" s="679" t="s">
        <v>0</v>
      </c>
      <c r="D1021" s="679" t="s">
        <v>1733</v>
      </c>
      <c r="E1021" s="681" t="s">
        <v>24</v>
      </c>
      <c r="F1021" s="683" t="s">
        <v>25</v>
      </c>
      <c r="G1021" s="685" t="s">
        <v>26</v>
      </c>
    </row>
    <row r="1022" spans="1:7" ht="19.899999999999999" customHeight="1" x14ac:dyDescent="0.2">
      <c r="A1022" s="458" t="s">
        <v>577</v>
      </c>
      <c r="B1022" s="458" t="s">
        <v>578</v>
      </c>
      <c r="C1022" s="680"/>
      <c r="D1022" s="680"/>
      <c r="E1022" s="682"/>
      <c r="F1022" s="684"/>
      <c r="G1022" s="686"/>
    </row>
    <row r="1023" spans="1:7" ht="19.899999999999999" customHeight="1" x14ac:dyDescent="0.2">
      <c r="A1023" s="496">
        <f t="shared" ref="A1023:A1033" si="290">IFERROR(VLOOKUP(C1023,T_Insumos,4,FALSE),0)</f>
        <v>0</v>
      </c>
      <c r="B1023" s="459">
        <f t="shared" ref="B1023:B1033" si="291">IFERROR(VLOOKUP(C1023,T_Insumos,5,FALSE),0)</f>
        <v>0</v>
      </c>
      <c r="C1023" s="459">
        <f>+Insumos!A570</f>
        <v>0</v>
      </c>
      <c r="D1023" s="507">
        <f t="shared" ref="D1023:D1033" si="292">IFERROR(VLOOKUP(C1023,T_Insumos,2,FALSE),0)</f>
        <v>0</v>
      </c>
      <c r="E1023" s="451"/>
      <c r="F1023" s="453">
        <f t="shared" ref="F1023:F1033" si="293">IFERROR(VLOOKUP(C1023,T_Insumos,3,FALSE),0)</f>
        <v>0</v>
      </c>
      <c r="G1023" s="453">
        <f>ROUND(E1023*F1023,2)</f>
        <v>0</v>
      </c>
    </row>
    <row r="1024" spans="1:7" ht="19.899999999999999" customHeight="1" x14ac:dyDescent="0.2">
      <c r="A1024" s="496">
        <f t="shared" si="290"/>
        <v>0</v>
      </c>
      <c r="B1024" s="459">
        <f t="shared" si="291"/>
        <v>0</v>
      </c>
      <c r="C1024" s="459">
        <f>+Insumos!A612</f>
        <v>0</v>
      </c>
      <c r="D1024" s="507">
        <f t="shared" si="292"/>
        <v>0</v>
      </c>
      <c r="E1024" s="451"/>
      <c r="F1024" s="453">
        <f t="shared" si="293"/>
        <v>0</v>
      </c>
      <c r="G1024" s="453">
        <f>ROUND(E1024*F1024,2)</f>
        <v>0</v>
      </c>
    </row>
    <row r="1025" spans="1:7" ht="19.899999999999999" customHeight="1" x14ac:dyDescent="0.2">
      <c r="A1025" s="496">
        <f t="shared" si="290"/>
        <v>0</v>
      </c>
      <c r="B1025" s="459">
        <f t="shared" si="291"/>
        <v>0</v>
      </c>
      <c r="C1025" s="459"/>
      <c r="D1025" s="507">
        <f t="shared" si="292"/>
        <v>0</v>
      </c>
      <c r="E1025" s="451"/>
      <c r="F1025" s="453">
        <f t="shared" si="293"/>
        <v>0</v>
      </c>
      <c r="G1025" s="453">
        <f t="shared" ref="G1025:G1033" si="294">ROUND(E1025*F1025,2)</f>
        <v>0</v>
      </c>
    </row>
    <row r="1026" spans="1:7" ht="19.899999999999999" customHeight="1" x14ac:dyDescent="0.2">
      <c r="A1026" s="496">
        <f t="shared" si="290"/>
        <v>0</v>
      </c>
      <c r="B1026" s="459">
        <f t="shared" si="291"/>
        <v>0</v>
      </c>
      <c r="C1026" s="459"/>
      <c r="D1026" s="507">
        <f t="shared" si="292"/>
        <v>0</v>
      </c>
      <c r="E1026" s="451"/>
      <c r="F1026" s="453">
        <f t="shared" si="293"/>
        <v>0</v>
      </c>
      <c r="G1026" s="453">
        <f t="shared" si="294"/>
        <v>0</v>
      </c>
    </row>
    <row r="1027" spans="1:7" ht="19.899999999999999" customHeight="1" x14ac:dyDescent="0.2">
      <c r="A1027" s="496">
        <f t="shared" si="290"/>
        <v>0</v>
      </c>
      <c r="B1027" s="459">
        <f t="shared" si="291"/>
        <v>0</v>
      </c>
      <c r="C1027" s="459"/>
      <c r="D1027" s="507">
        <f t="shared" si="292"/>
        <v>0</v>
      </c>
      <c r="E1027" s="451"/>
      <c r="F1027" s="453">
        <f t="shared" si="293"/>
        <v>0</v>
      </c>
      <c r="G1027" s="453">
        <f t="shared" si="294"/>
        <v>0</v>
      </c>
    </row>
    <row r="1028" spans="1:7" ht="19.899999999999999" customHeight="1" x14ac:dyDescent="0.2">
      <c r="A1028" s="496">
        <f t="shared" si="290"/>
        <v>0</v>
      </c>
      <c r="B1028" s="459">
        <f t="shared" si="291"/>
        <v>0</v>
      </c>
      <c r="C1028" s="459"/>
      <c r="D1028" s="507">
        <f t="shared" si="292"/>
        <v>0</v>
      </c>
      <c r="E1028" s="451"/>
      <c r="F1028" s="453">
        <f t="shared" si="293"/>
        <v>0</v>
      </c>
      <c r="G1028" s="453">
        <f t="shared" si="294"/>
        <v>0</v>
      </c>
    </row>
    <row r="1029" spans="1:7" ht="19.899999999999999" customHeight="1" x14ac:dyDescent="0.2">
      <c r="A1029" s="496">
        <f t="shared" si="290"/>
        <v>0</v>
      </c>
      <c r="B1029" s="459">
        <f t="shared" si="291"/>
        <v>0</v>
      </c>
      <c r="C1029" s="459"/>
      <c r="D1029" s="507">
        <f t="shared" si="292"/>
        <v>0</v>
      </c>
      <c r="E1029" s="451"/>
      <c r="F1029" s="453">
        <f t="shared" si="293"/>
        <v>0</v>
      </c>
      <c r="G1029" s="453">
        <f t="shared" si="294"/>
        <v>0</v>
      </c>
    </row>
    <row r="1030" spans="1:7" ht="19.899999999999999" customHeight="1" x14ac:dyDescent="0.2">
      <c r="A1030" s="496">
        <f t="shared" si="290"/>
        <v>0</v>
      </c>
      <c r="B1030" s="459">
        <f t="shared" si="291"/>
        <v>0</v>
      </c>
      <c r="C1030" s="459"/>
      <c r="D1030" s="507">
        <f t="shared" si="292"/>
        <v>0</v>
      </c>
      <c r="E1030" s="451"/>
      <c r="F1030" s="453">
        <f t="shared" si="293"/>
        <v>0</v>
      </c>
      <c r="G1030" s="453">
        <f t="shared" si="294"/>
        <v>0</v>
      </c>
    </row>
    <row r="1031" spans="1:7" ht="19.899999999999999" customHeight="1" x14ac:dyDescent="0.2">
      <c r="A1031" s="496">
        <f t="shared" si="290"/>
        <v>0</v>
      </c>
      <c r="B1031" s="459">
        <f t="shared" si="291"/>
        <v>0</v>
      </c>
      <c r="C1031" s="459"/>
      <c r="D1031" s="507">
        <f t="shared" si="292"/>
        <v>0</v>
      </c>
      <c r="E1031" s="451"/>
      <c r="F1031" s="453">
        <f t="shared" si="293"/>
        <v>0</v>
      </c>
      <c r="G1031" s="453">
        <f t="shared" si="294"/>
        <v>0</v>
      </c>
    </row>
    <row r="1032" spans="1:7" ht="19.899999999999999" customHeight="1" x14ac:dyDescent="0.2">
      <c r="A1032" s="496">
        <f t="shared" si="290"/>
        <v>0</v>
      </c>
      <c r="B1032" s="459">
        <f t="shared" si="291"/>
        <v>0</v>
      </c>
      <c r="C1032" s="459"/>
      <c r="D1032" s="507">
        <f t="shared" si="292"/>
        <v>0</v>
      </c>
      <c r="E1032" s="451"/>
      <c r="F1032" s="453">
        <f t="shared" si="293"/>
        <v>0</v>
      </c>
      <c r="G1032" s="453">
        <f t="shared" si="294"/>
        <v>0</v>
      </c>
    </row>
    <row r="1033" spans="1:7" ht="19.899999999999999" customHeight="1" x14ac:dyDescent="0.2">
      <c r="A1033" s="496">
        <f t="shared" si="290"/>
        <v>0</v>
      </c>
      <c r="B1033" s="459">
        <f t="shared" si="291"/>
        <v>0</v>
      </c>
      <c r="C1033" s="459"/>
      <c r="D1033" s="507">
        <f t="shared" si="292"/>
        <v>0</v>
      </c>
      <c r="E1033" s="451"/>
      <c r="F1033" s="453">
        <f t="shared" si="293"/>
        <v>0</v>
      </c>
      <c r="G1033" s="453">
        <f t="shared" si="294"/>
        <v>0</v>
      </c>
    </row>
    <row r="1034" spans="1:7" ht="19.899999999999999" customHeight="1" x14ac:dyDescent="0.2">
      <c r="A1034" s="494"/>
      <c r="B1034" s="155"/>
      <c r="C1034" s="155"/>
      <c r="D1034" s="440"/>
      <c r="E1034" s="441"/>
      <c r="F1034" s="462" t="s">
        <v>29</v>
      </c>
      <c r="G1034" s="499">
        <f>SUBTOTAL(9,G1023:G1033)</f>
        <v>0</v>
      </c>
    </row>
    <row r="1035" spans="1:7" ht="19.899999999999999" customHeight="1" x14ac:dyDescent="0.2">
      <c r="A1035" s="494"/>
      <c r="B1035" s="155"/>
      <c r="C1035" s="436" t="s">
        <v>991</v>
      </c>
      <c r="D1035" s="440"/>
      <c r="E1035" s="441"/>
      <c r="F1035" s="442"/>
      <c r="G1035" s="495"/>
    </row>
    <row r="1036" spans="1:7" ht="19.899999999999999" customHeight="1" x14ac:dyDescent="0.2">
      <c r="A1036" s="677" t="s">
        <v>576</v>
      </c>
      <c r="B1036" s="678"/>
      <c r="C1036" s="679" t="s">
        <v>0</v>
      </c>
      <c r="D1036" s="679" t="s">
        <v>1733</v>
      </c>
      <c r="E1036" s="681" t="s">
        <v>24</v>
      </c>
      <c r="F1036" s="683" t="s">
        <v>25</v>
      </c>
      <c r="G1036" s="685" t="s">
        <v>26</v>
      </c>
    </row>
    <row r="1037" spans="1:7" ht="19.899999999999999" customHeight="1" x14ac:dyDescent="0.2">
      <c r="A1037" s="458" t="s">
        <v>577</v>
      </c>
      <c r="B1037" s="458" t="s">
        <v>578</v>
      </c>
      <c r="C1037" s="680"/>
      <c r="D1037" s="680"/>
      <c r="E1037" s="682"/>
      <c r="F1037" s="684"/>
      <c r="G1037" s="686"/>
    </row>
    <row r="1038" spans="1:7" ht="19.899999999999999" customHeight="1" x14ac:dyDescent="0.2">
      <c r="A1038" s="496">
        <f>IFERROR(VLOOKUP(C1038,T_Insumos,4,FALSE),0)</f>
        <v>0</v>
      </c>
      <c r="B1038" s="459">
        <f>IFERROR(VLOOKUP(C1038,T_Insumos,5,FALSE),0)</f>
        <v>0</v>
      </c>
      <c r="C1038" s="450"/>
      <c r="D1038" s="507">
        <f>IF(C1038=0,0,"$/tnkm")</f>
        <v>0</v>
      </c>
      <c r="E1038" s="451"/>
      <c r="F1038" s="453">
        <f>IFERROR(VLOOKUP(C1038,T_Insumos,3,FALSE),0)</f>
        <v>0</v>
      </c>
      <c r="G1038" s="453">
        <f>ROUND(E1038*F1038,2)</f>
        <v>0</v>
      </c>
    </row>
    <row r="1039" spans="1:7" ht="19.899999999999999" customHeight="1" x14ac:dyDescent="0.2">
      <c r="A1039" s="496">
        <f>IFERROR(VLOOKUP(C1039,T_Insumos,4,FALSE),0)</f>
        <v>0</v>
      </c>
      <c r="B1039" s="459">
        <f>IFERROR(VLOOKUP(C1039,T_Insumos,5,FALSE),0)</f>
        <v>0</v>
      </c>
      <c r="C1039" s="450"/>
      <c r="D1039" s="507">
        <f>IF(C1039=0,0,"$/tnkm")</f>
        <v>0</v>
      </c>
      <c r="E1039" s="467"/>
      <c r="F1039" s="453">
        <f>IFERROR(VLOOKUP(C1039,T_Insumos,3,FALSE),0)</f>
        <v>0</v>
      </c>
      <c r="G1039" s="453">
        <f t="shared" ref="G1039" si="295">ROUND(E1039*F1039,2)</f>
        <v>0</v>
      </c>
    </row>
    <row r="1040" spans="1:7" ht="19.899999999999999" customHeight="1" x14ac:dyDescent="0.2">
      <c r="A1040" s="494"/>
      <c r="B1040" s="155"/>
      <c r="C1040" s="155"/>
      <c r="D1040" s="440"/>
      <c r="E1040" s="441"/>
      <c r="F1040" s="462" t="s">
        <v>992</v>
      </c>
      <c r="G1040" s="499">
        <f>SUBTOTAL(9,G1038:G1039)</f>
        <v>0</v>
      </c>
    </row>
    <row r="1041" spans="1:7" ht="19.899999999999999" customHeight="1" x14ac:dyDescent="0.2">
      <c r="A1041" s="497"/>
      <c r="B1041" s="440"/>
      <c r="C1041" s="155"/>
      <c r="D1041" s="440"/>
      <c r="E1041" s="441"/>
      <c r="F1041" s="442"/>
      <c r="G1041" s="495"/>
    </row>
    <row r="1042" spans="1:7" ht="19.899999999999999" customHeight="1" x14ac:dyDescent="0.2">
      <c r="A1042" s="555" t="str">
        <f>B976</f>
        <v>3.1.1</v>
      </c>
      <c r="B1042" s="552" t="str">
        <f ca="1">C976</f>
        <v>Preparación y Limpieza de Superf.</v>
      </c>
      <c r="C1042" s="440"/>
      <c r="D1042" s="440" t="s">
        <v>1712</v>
      </c>
      <c r="E1042" s="553"/>
      <c r="F1042" s="554" t="str">
        <f ca="1">"$/"&amp;G976</f>
        <v>$/GL</v>
      </c>
      <c r="G1042" s="504">
        <f>SUBTOTAL(9,G999:G1041)</f>
        <v>0</v>
      </c>
    </row>
    <row r="1043" spans="1:7" ht="19.899999999999999" customHeight="1" x14ac:dyDescent="0.2">
      <c r="A1043" s="500"/>
      <c r="B1043" s="501"/>
      <c r="C1043" s="502"/>
      <c r="D1043" s="502" t="s">
        <v>1908</v>
      </c>
      <c r="E1043" s="503"/>
      <c r="F1043" s="556" t="str">
        <f ca="1">"$/"&amp;G976</f>
        <v>$/GL</v>
      </c>
      <c r="G1043" s="504">
        <f>ROUND(G1042*Coeficiente_Paso,2)</f>
        <v>0</v>
      </c>
    </row>
    <row r="1044" spans="1:7" ht="19.899999999999999" customHeight="1" x14ac:dyDescent="0.2">
      <c r="A1044" s="687" t="s">
        <v>31</v>
      </c>
      <c r="B1044" s="688"/>
      <c r="C1044" s="688"/>
      <c r="D1044" s="688"/>
      <c r="E1044" s="688"/>
      <c r="F1044" s="688"/>
      <c r="G1044" s="689"/>
    </row>
    <row r="1045" spans="1:7" ht="19.899999999999999" customHeight="1" x14ac:dyDescent="0.2">
      <c r="A1045" s="483" t="s">
        <v>711</v>
      </c>
      <c r="B1045" s="434" t="str">
        <f>Comitente</f>
        <v>DEPARTAMENTO DE HIDRÁULICA</v>
      </c>
      <c r="C1045" s="435"/>
      <c r="D1045" s="436"/>
      <c r="E1045" s="436"/>
      <c r="F1045" s="437"/>
      <c r="G1045" s="484"/>
    </row>
    <row r="1046" spans="1:7" ht="19.899999999999999" customHeight="1" x14ac:dyDescent="0.2">
      <c r="A1046" s="483" t="s">
        <v>712</v>
      </c>
      <c r="B1046" s="434">
        <f>Contratista</f>
        <v>0</v>
      </c>
      <c r="C1046" s="438"/>
      <c r="D1046" s="438"/>
      <c r="E1046" s="438"/>
      <c r="F1046" s="434"/>
      <c r="G1046" s="485"/>
    </row>
    <row r="1047" spans="1:7" ht="19.899999999999999" customHeight="1" x14ac:dyDescent="0.2">
      <c r="A1047" s="483" t="s">
        <v>21</v>
      </c>
      <c r="B1047" s="434" t="str">
        <f>Obra</f>
        <v>RECRECIMIENTO Y REPARACIÓN CANALES SARMIENTO, 9 DE JULIO Y CHIMBAS</v>
      </c>
      <c r="C1047" s="438"/>
      <c r="D1047" s="438"/>
      <c r="E1047" s="438"/>
      <c r="F1047" s="434" t="s">
        <v>32</v>
      </c>
      <c r="G1047" s="485">
        <f>Fecha_Base</f>
        <v>0</v>
      </c>
    </row>
    <row r="1048" spans="1:7" ht="19.899999999999999" customHeight="1" x14ac:dyDescent="0.2">
      <c r="A1048" s="486" t="s">
        <v>710</v>
      </c>
      <c r="B1048" s="439" t="str">
        <f>Ubicación</f>
        <v>DEPARTAMENTOS SARMIENTO, 9 DE JULIO Y CHIMBAS</v>
      </c>
      <c r="C1048" s="439"/>
      <c r="D1048" s="440"/>
      <c r="E1048" s="441"/>
      <c r="F1048" s="442"/>
      <c r="G1048" s="487"/>
    </row>
    <row r="1049" spans="1:7" ht="19.899999999999999" customHeight="1" x14ac:dyDescent="0.2">
      <c r="A1049" s="486" t="s">
        <v>33</v>
      </c>
      <c r="B1049" s="443">
        <f>IFERROR(VALUE(LEFT(B1050,FIND(".",B1050)-1)),"")</f>
        <v>3</v>
      </c>
      <c r="C1049" s="155" t="str">
        <f ca="1">IFERROR(VLOOKUP(B1049,T_Computo_Presupuesto,2,FALSE),0)</f>
        <v>RECRECIMIENTO C. PASTORIZA-VIDELA</v>
      </c>
      <c r="D1049" s="155"/>
      <c r="E1049" s="441"/>
      <c r="F1049" s="442"/>
      <c r="G1049" s="487"/>
    </row>
    <row r="1050" spans="1:7" ht="19.899999999999999" customHeight="1" x14ac:dyDescent="0.2">
      <c r="A1050" s="486" t="s">
        <v>22</v>
      </c>
      <c r="B1050" s="444" t="str">
        <f>IFERROR(VLOOKUP(COUNTIF($A$1:A1050,"ANALISIS DE PRECIOS"),T_NumeroItem,2,FALSE),"")</f>
        <v>3.1.2</v>
      </c>
      <c r="C1050" s="690" t="str">
        <f ca="1">IFERROR(VLOOKUP(B1050,T_Computo_Presupuesto,2,FALSE),0)</f>
        <v>Replanteo</v>
      </c>
      <c r="D1050" s="690"/>
      <c r="E1050" s="690"/>
      <c r="F1050" s="439" t="s">
        <v>23</v>
      </c>
      <c r="G1050" s="488" t="str">
        <f ca="1">IFERROR(VLOOKUP(B1050,T_Computo_Presupuesto,4,FALSE),0)</f>
        <v>GL</v>
      </c>
    </row>
    <row r="1051" spans="1:7" ht="19.899999999999999" customHeight="1" x14ac:dyDescent="0.2">
      <c r="A1051" s="486"/>
      <c r="B1051" s="439"/>
      <c r="C1051" s="155"/>
      <c r="D1051" s="440"/>
      <c r="E1051" s="441"/>
      <c r="F1051" s="155"/>
      <c r="G1051" s="489"/>
    </row>
    <row r="1052" spans="1:7" ht="19.899999999999999" customHeight="1" x14ac:dyDescent="0.2">
      <c r="A1052" s="490"/>
      <c r="B1052" s="445"/>
      <c r="C1052" s="446" t="s">
        <v>975</v>
      </c>
      <c r="D1052" s="445"/>
      <c r="E1052" s="445"/>
      <c r="F1052" s="445"/>
      <c r="G1052" s="491"/>
    </row>
    <row r="1053" spans="1:7" ht="19.899999999999999" customHeight="1" x14ac:dyDescent="0.2">
      <c r="A1053" s="486"/>
      <c r="B1053" s="447"/>
      <c r="C1053" s="155"/>
      <c r="D1053" s="440"/>
      <c r="E1053" s="441"/>
      <c r="F1053" s="439"/>
      <c r="G1053" s="488"/>
    </row>
    <row r="1054" spans="1:7" ht="19.899999999999999" customHeight="1" x14ac:dyDescent="0.2">
      <c r="A1054" s="486"/>
      <c r="B1054" s="447"/>
      <c r="C1054" s="448" t="s">
        <v>976</v>
      </c>
      <c r="D1054" s="449" t="s">
        <v>24</v>
      </c>
      <c r="E1054" s="449" t="s">
        <v>977</v>
      </c>
      <c r="F1054" s="449" t="s">
        <v>978</v>
      </c>
      <c r="G1054" s="448" t="s">
        <v>979</v>
      </c>
    </row>
    <row r="1055" spans="1:7" ht="19.899999999999999" customHeight="1" x14ac:dyDescent="0.2">
      <c r="A1055" s="486"/>
      <c r="B1055" s="447"/>
      <c r="C1055" s="450">
        <f>+Equipos!A609</f>
        <v>0</v>
      </c>
      <c r="D1055" s="451"/>
      <c r="E1055" s="452">
        <f t="shared" ref="E1055:E1064" si="296">IFERROR(VLOOKUP(C1055,T_Equipos,4,FALSE),0)</f>
        <v>0</v>
      </c>
      <c r="F1055" s="453">
        <f t="shared" ref="F1055:F1064" si="297">IFERROR(VLOOKUP(C1055,T_Equipos,5,FALSE),0)</f>
        <v>0</v>
      </c>
      <c r="G1055" s="453">
        <f>ROUND(D1055*F1055,2)</f>
        <v>0</v>
      </c>
    </row>
    <row r="1056" spans="1:7" ht="19.899999999999999" customHeight="1" x14ac:dyDescent="0.2">
      <c r="A1056" s="486"/>
      <c r="B1056" s="447"/>
      <c r="C1056" s="450">
        <f>+Equipos!A606</f>
        <v>0</v>
      </c>
      <c r="D1056" s="451"/>
      <c r="E1056" s="452">
        <f t="shared" si="296"/>
        <v>0</v>
      </c>
      <c r="F1056" s="453">
        <f t="shared" si="297"/>
        <v>0</v>
      </c>
      <c r="G1056" s="453">
        <f>ROUND(D1056*F1056,2)</f>
        <v>0</v>
      </c>
    </row>
    <row r="1057" spans="1:7" ht="19.899999999999999" customHeight="1" x14ac:dyDescent="0.2">
      <c r="A1057" s="486"/>
      <c r="B1057" s="447"/>
      <c r="C1057" s="450">
        <f>+Equipos!A618</f>
        <v>0</v>
      </c>
      <c r="D1057" s="451"/>
      <c r="E1057" s="452">
        <f t="shared" si="296"/>
        <v>0</v>
      </c>
      <c r="F1057" s="453">
        <f t="shared" si="297"/>
        <v>0</v>
      </c>
      <c r="G1057" s="453">
        <f>ROUND(D1057*F1057,2)</f>
        <v>0</v>
      </c>
    </row>
    <row r="1058" spans="1:7" ht="19.899999999999999" customHeight="1" x14ac:dyDescent="0.2">
      <c r="A1058" s="486"/>
      <c r="B1058" s="447"/>
      <c r="C1058" s="450">
        <f>+Equipos!A626</f>
        <v>0</v>
      </c>
      <c r="D1058" s="451"/>
      <c r="E1058" s="452">
        <f t="shared" si="296"/>
        <v>0</v>
      </c>
      <c r="F1058" s="453">
        <f t="shared" si="297"/>
        <v>0</v>
      </c>
      <c r="G1058" s="453">
        <f>ROUND(D1058*F1058,2)</f>
        <v>0</v>
      </c>
    </row>
    <row r="1059" spans="1:7" ht="19.899999999999999" customHeight="1" x14ac:dyDescent="0.2">
      <c r="A1059" s="486"/>
      <c r="B1059" s="447"/>
      <c r="C1059" s="450">
        <f>+Equipos!A615</f>
        <v>0</v>
      </c>
      <c r="D1059" s="623"/>
      <c r="E1059" s="452">
        <f t="shared" si="296"/>
        <v>0</v>
      </c>
      <c r="F1059" s="453">
        <f t="shared" si="297"/>
        <v>0</v>
      </c>
      <c r="G1059" s="453">
        <f t="shared" ref="G1059:G1064" si="298">ROUND(D1059*F1059,2)</f>
        <v>0</v>
      </c>
    </row>
    <row r="1060" spans="1:7" ht="19.899999999999999" customHeight="1" x14ac:dyDescent="0.2">
      <c r="A1060" s="486"/>
      <c r="B1060" s="447"/>
      <c r="C1060" s="450">
        <f>+Equipos!A611</f>
        <v>0</v>
      </c>
      <c r="D1060" s="451"/>
      <c r="E1060" s="452">
        <f t="shared" si="296"/>
        <v>0</v>
      </c>
      <c r="F1060" s="453">
        <f t="shared" si="297"/>
        <v>0</v>
      </c>
      <c r="G1060" s="453">
        <f t="shared" si="298"/>
        <v>0</v>
      </c>
    </row>
    <row r="1061" spans="1:7" ht="19.899999999999999" customHeight="1" x14ac:dyDescent="0.2">
      <c r="A1061" s="486"/>
      <c r="B1061" s="447"/>
      <c r="C1061" s="450"/>
      <c r="D1061" s="451"/>
      <c r="E1061" s="452">
        <f t="shared" si="296"/>
        <v>0</v>
      </c>
      <c r="F1061" s="453">
        <f t="shared" si="297"/>
        <v>0</v>
      </c>
      <c r="G1061" s="453">
        <f t="shared" si="298"/>
        <v>0</v>
      </c>
    </row>
    <row r="1062" spans="1:7" ht="19.899999999999999" customHeight="1" x14ac:dyDescent="0.2">
      <c r="A1062" s="486"/>
      <c r="B1062" s="447"/>
      <c r="C1062" s="450"/>
      <c r="D1062" s="451"/>
      <c r="E1062" s="452">
        <f t="shared" si="296"/>
        <v>0</v>
      </c>
      <c r="F1062" s="453">
        <f t="shared" si="297"/>
        <v>0</v>
      </c>
      <c r="G1062" s="453">
        <f t="shared" si="298"/>
        <v>0</v>
      </c>
    </row>
    <row r="1063" spans="1:7" ht="19.899999999999999" customHeight="1" x14ac:dyDescent="0.2">
      <c r="A1063" s="486"/>
      <c r="B1063" s="447"/>
      <c r="C1063" s="450"/>
      <c r="D1063" s="451"/>
      <c r="E1063" s="452">
        <f t="shared" si="296"/>
        <v>0</v>
      </c>
      <c r="F1063" s="453">
        <f t="shared" si="297"/>
        <v>0</v>
      </c>
      <c r="G1063" s="453">
        <f t="shared" si="298"/>
        <v>0</v>
      </c>
    </row>
    <row r="1064" spans="1:7" ht="19.899999999999999" customHeight="1" x14ac:dyDescent="0.2">
      <c r="A1064" s="486"/>
      <c r="B1064" s="447"/>
      <c r="C1064" s="450"/>
      <c r="D1064" s="451"/>
      <c r="E1064" s="452">
        <f t="shared" si="296"/>
        <v>0</v>
      </c>
      <c r="F1064" s="453">
        <f t="shared" si="297"/>
        <v>0</v>
      </c>
      <c r="G1064" s="453">
        <f t="shared" si="298"/>
        <v>0</v>
      </c>
    </row>
    <row r="1065" spans="1:7" ht="19.899999999999999" customHeight="1" x14ac:dyDescent="0.2">
      <c r="A1065" s="486"/>
      <c r="B1065" s="447"/>
      <c r="C1065" s="155"/>
      <c r="D1065" s="155"/>
      <c r="E1065" s="454"/>
      <c r="F1065" s="439"/>
      <c r="G1065" s="488"/>
    </row>
    <row r="1066" spans="1:7" ht="19.899999999999999" customHeight="1" x14ac:dyDescent="0.2">
      <c r="A1066" s="486"/>
      <c r="B1066" s="155"/>
      <c r="C1066" s="436" t="s">
        <v>980</v>
      </c>
      <c r="D1066" s="439" t="s">
        <v>977</v>
      </c>
      <c r="E1066" s="505">
        <f>SUMPRODUCT(D1055:D1064,E1055:E1064)</f>
        <v>0</v>
      </c>
      <c r="F1066" s="439" t="s">
        <v>981</v>
      </c>
      <c r="G1066" s="506">
        <f>SUM(G1055:G1064)</f>
        <v>0</v>
      </c>
    </row>
    <row r="1067" spans="1:7" ht="19.899999999999999" customHeight="1" x14ac:dyDescent="0.2">
      <c r="A1067" s="486"/>
      <c r="B1067" s="447"/>
      <c r="C1067" s="455"/>
      <c r="D1067" s="454"/>
      <c r="E1067" s="441"/>
      <c r="F1067" s="439"/>
      <c r="G1067" s="492"/>
    </row>
    <row r="1068" spans="1:7" ht="19.899999999999999" customHeight="1" x14ac:dyDescent="0.2">
      <c r="A1068" s="493"/>
      <c r="B1068" s="447"/>
      <c r="C1068" s="439" t="s">
        <v>982</v>
      </c>
      <c r="D1068" s="456">
        <f>IFERROR(VLOOKUP(COUNTIF($A$1:A1068,"ANALISIS DE PRECIOS"),T_Rendimiento_Equipo,5,FALSE),0)</f>
        <v>0</v>
      </c>
      <c r="E1068" s="457" t="str">
        <f ca="1">G1050&amp;"/día"</f>
        <v>GL/día</v>
      </c>
      <c r="F1068" s="433"/>
      <c r="G1068" s="488"/>
    </row>
    <row r="1069" spans="1:7" ht="19.899999999999999" customHeight="1" x14ac:dyDescent="0.2">
      <c r="A1069" s="486"/>
      <c r="B1069" s="447"/>
      <c r="C1069" s="155"/>
      <c r="D1069" s="440"/>
      <c r="E1069" s="441"/>
      <c r="F1069" s="439"/>
      <c r="G1069" s="488"/>
    </row>
    <row r="1070" spans="1:7" ht="19.899999999999999" customHeight="1" x14ac:dyDescent="0.2">
      <c r="A1070" s="677" t="s">
        <v>576</v>
      </c>
      <c r="B1070" s="678"/>
      <c r="C1070" s="679" t="s">
        <v>0</v>
      </c>
      <c r="D1070" s="691" t="s">
        <v>1732</v>
      </c>
      <c r="E1070" s="691" t="s">
        <v>1731</v>
      </c>
      <c r="F1070" s="683" t="s">
        <v>983</v>
      </c>
      <c r="G1070" s="685" t="s">
        <v>26</v>
      </c>
    </row>
    <row r="1071" spans="1:7" ht="19.899999999999999" customHeight="1" x14ac:dyDescent="0.2">
      <c r="A1071" s="458" t="s">
        <v>577</v>
      </c>
      <c r="B1071" s="458" t="s">
        <v>578</v>
      </c>
      <c r="C1071" s="680"/>
      <c r="D1071" s="692"/>
      <c r="E1071" s="682"/>
      <c r="F1071" s="684"/>
      <c r="G1071" s="686"/>
    </row>
    <row r="1072" spans="1:7" ht="19.899999999999999" customHeight="1" x14ac:dyDescent="0.2">
      <c r="A1072" s="494"/>
      <c r="B1072" s="155"/>
      <c r="C1072" s="436" t="s">
        <v>984</v>
      </c>
      <c r="D1072" s="441"/>
      <c r="E1072" s="441"/>
      <c r="F1072" s="155"/>
      <c r="G1072" s="495"/>
    </row>
    <row r="1073" spans="1:7" ht="19.899999999999999" customHeight="1" x14ac:dyDescent="0.2">
      <c r="A1073" s="496">
        <f t="shared" ref="A1073:A1081" si="299">IFERROR(VLOOKUP(C1073,T_Insumos,4,FALSE),0)</f>
        <v>0</v>
      </c>
      <c r="B1073" s="459">
        <f t="shared" ref="B1073:B1081" si="300">IFERROR(VLOOKUP(C1073,T_Insumos,5,FALSE),0)</f>
        <v>0</v>
      </c>
      <c r="C1073" s="450">
        <f>+C623</f>
        <v>0</v>
      </c>
      <c r="D1073" s="460">
        <f t="shared" ref="D1073:D1081" si="301">IFERROR(VLOOKUP(C1073,T_Insumos,3,FALSE),0)</f>
        <v>0</v>
      </c>
      <c r="E1073" s="453">
        <f>D1073*$G$473</f>
        <v>0</v>
      </c>
      <c r="F1073" s="456">
        <f>IF(C1073="",0,IFERROR(VLOOKUP(COUNTIF($A$1:A1073,"ANALISIS DE PRECIOS"),T_Rendimiento_Equipo,5,FALSE),0))</f>
        <v>0</v>
      </c>
      <c r="G1073" s="453">
        <f>IFERROR(ROUND(E1073/F1073,2),0)</f>
        <v>0</v>
      </c>
    </row>
    <row r="1074" spans="1:7" ht="19.899999999999999" customHeight="1" x14ac:dyDescent="0.2">
      <c r="A1074" s="496">
        <f t="shared" si="299"/>
        <v>0</v>
      </c>
      <c r="B1074" s="459">
        <f t="shared" si="300"/>
        <v>0</v>
      </c>
      <c r="C1074" s="450" t="str">
        <f t="shared" ref="C1074:C1076" si="302">+C624</f>
        <v>Rendimiento equipo de producción</v>
      </c>
      <c r="D1074" s="460">
        <f t="shared" si="301"/>
        <v>0</v>
      </c>
      <c r="E1074" s="453">
        <f t="shared" ref="E1074:E1075" si="303">D1074*$G$473</f>
        <v>0</v>
      </c>
      <c r="F1074" s="456">
        <f>IF(C1074="",0,IFERROR(VLOOKUP(COUNTIF($A$1:A1074,"ANALISIS DE PRECIOS"),T_Rendimiento_Equipo,5,FALSE),0))</f>
        <v>0</v>
      </c>
      <c r="G1074" s="453">
        <f t="shared" ref="G1074:G1081" si="304">IFERROR(ROUND(E1074/F1074,2),0)</f>
        <v>0</v>
      </c>
    </row>
    <row r="1075" spans="1:7" ht="19.899999999999999" customHeight="1" x14ac:dyDescent="0.2">
      <c r="A1075" s="496">
        <f t="shared" si="299"/>
        <v>0</v>
      </c>
      <c r="B1075" s="459">
        <f t="shared" si="300"/>
        <v>0</v>
      </c>
      <c r="C1075" s="450">
        <f t="shared" si="302"/>
        <v>0</v>
      </c>
      <c r="D1075" s="460">
        <f t="shared" si="301"/>
        <v>0</v>
      </c>
      <c r="E1075" s="453">
        <f t="shared" si="303"/>
        <v>0</v>
      </c>
      <c r="F1075" s="456">
        <f>IF(C1075="",0,IFERROR(VLOOKUP(COUNTIF($A$1:A1075,"ANALISIS DE PRECIOS"),T_Rendimiento_Equipo,5,FALSE),0))</f>
        <v>0</v>
      </c>
      <c r="G1075" s="453">
        <f t="shared" si="304"/>
        <v>0</v>
      </c>
    </row>
    <row r="1076" spans="1:7" ht="19.899999999999999" customHeight="1" x14ac:dyDescent="0.2">
      <c r="A1076" s="496">
        <f t="shared" si="299"/>
        <v>0</v>
      </c>
      <c r="B1076" s="459">
        <f t="shared" si="300"/>
        <v>0</v>
      </c>
      <c r="C1076" s="450" t="str">
        <f t="shared" si="302"/>
        <v>DESIGNACION</v>
      </c>
      <c r="D1076" s="460">
        <f t="shared" si="301"/>
        <v>0</v>
      </c>
      <c r="E1076" s="453">
        <f>D1076*$E$473</f>
        <v>0</v>
      </c>
      <c r="F1076" s="456">
        <f>IF(C1076="",0,IFERROR(VLOOKUP(COUNTIF($A$1:A1076,"ANALISIS DE PRECIOS"),T_Rendimiento_Equipo,5,FALSE),0))</f>
        <v>0</v>
      </c>
      <c r="G1076" s="453">
        <f t="shared" si="304"/>
        <v>0</v>
      </c>
    </row>
    <row r="1077" spans="1:7" ht="19.899999999999999" customHeight="1" x14ac:dyDescent="0.2">
      <c r="A1077" s="496">
        <f t="shared" si="299"/>
        <v>0</v>
      </c>
      <c r="B1077" s="459">
        <f t="shared" si="300"/>
        <v>0</v>
      </c>
      <c r="C1077" s="461"/>
      <c r="D1077" s="460">
        <f t="shared" si="301"/>
        <v>0</v>
      </c>
      <c r="E1077" s="453"/>
      <c r="F1077" s="456">
        <f>IF(C1077="",0,IFERROR(VLOOKUP(COUNTIF($A$1:A1077,"ANALISIS DE PRECIOS"),T_Rendimiento_Equipo,5,FALSE),0))</f>
        <v>0</v>
      </c>
      <c r="G1077" s="453">
        <f t="shared" si="304"/>
        <v>0</v>
      </c>
    </row>
    <row r="1078" spans="1:7" ht="19.899999999999999" customHeight="1" x14ac:dyDescent="0.2">
      <c r="A1078" s="496">
        <f t="shared" si="299"/>
        <v>0</v>
      </c>
      <c r="B1078" s="459">
        <f t="shared" si="300"/>
        <v>0</v>
      </c>
      <c r="C1078" s="461"/>
      <c r="D1078" s="460">
        <f t="shared" si="301"/>
        <v>0</v>
      </c>
      <c r="E1078" s="453"/>
      <c r="F1078" s="456">
        <f>IF(C1078="",0,IFERROR(VLOOKUP(COUNTIF($A$1:A1078,"ANALISIS DE PRECIOS"),T_Rendimiento_Equipo,5,FALSE),0))</f>
        <v>0</v>
      </c>
      <c r="G1078" s="453">
        <f t="shared" si="304"/>
        <v>0</v>
      </c>
    </row>
    <row r="1079" spans="1:7" ht="19.899999999999999" customHeight="1" x14ac:dyDescent="0.2">
      <c r="A1079" s="496">
        <f t="shared" si="299"/>
        <v>0</v>
      </c>
      <c r="B1079" s="459">
        <f t="shared" si="300"/>
        <v>0</v>
      </c>
      <c r="C1079" s="461"/>
      <c r="D1079" s="460">
        <f t="shared" si="301"/>
        <v>0</v>
      </c>
      <c r="E1079" s="453"/>
      <c r="F1079" s="456">
        <f>IF(C1079="",0,IFERROR(VLOOKUP(COUNTIF($A$1:A1079,"ANALISIS DE PRECIOS"),T_Rendimiento_Equipo,5,FALSE),0))</f>
        <v>0</v>
      </c>
      <c r="G1079" s="453">
        <f t="shared" si="304"/>
        <v>0</v>
      </c>
    </row>
    <row r="1080" spans="1:7" ht="19.899999999999999" customHeight="1" x14ac:dyDescent="0.2">
      <c r="A1080" s="496">
        <f t="shared" si="299"/>
        <v>0</v>
      </c>
      <c r="B1080" s="459">
        <f t="shared" si="300"/>
        <v>0</v>
      </c>
      <c r="C1080" s="461"/>
      <c r="D1080" s="460">
        <f t="shared" si="301"/>
        <v>0</v>
      </c>
      <c r="E1080" s="453"/>
      <c r="F1080" s="456">
        <f>IF(C1080="",0,IFERROR(VLOOKUP(COUNTIF($A$1:A1080,"ANALISIS DE PRECIOS"),T_Rendimiento_Equipo,5,FALSE),0))</f>
        <v>0</v>
      </c>
      <c r="G1080" s="453">
        <f t="shared" si="304"/>
        <v>0</v>
      </c>
    </row>
    <row r="1081" spans="1:7" ht="19.899999999999999" customHeight="1" x14ac:dyDescent="0.2">
      <c r="A1081" s="496">
        <f t="shared" si="299"/>
        <v>0</v>
      </c>
      <c r="B1081" s="459">
        <f t="shared" si="300"/>
        <v>0</v>
      </c>
      <c r="C1081" s="450"/>
      <c r="D1081" s="460">
        <f t="shared" si="301"/>
        <v>0</v>
      </c>
      <c r="E1081" s="453"/>
      <c r="F1081" s="456">
        <f>IF(C1081="",0,IFERROR(VLOOKUP(COUNTIF($A$1:A1081,"ANALISIS DE PRECIOS"),T_Rendimiento_Equipo,5,FALSE),0))</f>
        <v>0</v>
      </c>
      <c r="G1081" s="453">
        <f t="shared" si="304"/>
        <v>0</v>
      </c>
    </row>
    <row r="1082" spans="1:7" ht="19.899999999999999" customHeight="1" x14ac:dyDescent="0.2">
      <c r="A1082" s="497"/>
      <c r="B1082" s="440"/>
      <c r="C1082" s="155"/>
      <c r="D1082" s="440"/>
      <c r="E1082" s="441"/>
      <c r="F1082" s="462" t="s">
        <v>27</v>
      </c>
      <c r="G1082" s="498">
        <f>SUBTOTAL(9,G1073:G1081)</f>
        <v>0</v>
      </c>
    </row>
    <row r="1083" spans="1:7" ht="19.899999999999999" customHeight="1" x14ac:dyDescent="0.2">
      <c r="A1083" s="494"/>
      <c r="B1083" s="155"/>
      <c r="C1083" s="436" t="s">
        <v>713</v>
      </c>
      <c r="D1083" s="440"/>
      <c r="E1083" s="441"/>
      <c r="F1083" s="442"/>
      <c r="G1083" s="495"/>
    </row>
    <row r="1084" spans="1:7" ht="19.899999999999999" customHeight="1" x14ac:dyDescent="0.2">
      <c r="A1084" s="677" t="s">
        <v>576</v>
      </c>
      <c r="B1084" s="678"/>
      <c r="C1084" s="679" t="s">
        <v>0</v>
      </c>
      <c r="D1084" s="681" t="s">
        <v>24</v>
      </c>
      <c r="E1084" s="681" t="s">
        <v>1711</v>
      </c>
      <c r="F1084" s="683" t="s">
        <v>983</v>
      </c>
      <c r="G1084" s="685" t="s">
        <v>26</v>
      </c>
    </row>
    <row r="1085" spans="1:7" ht="19.899999999999999" customHeight="1" x14ac:dyDescent="0.2">
      <c r="A1085" s="458" t="s">
        <v>577</v>
      </c>
      <c r="B1085" s="458" t="s">
        <v>578</v>
      </c>
      <c r="C1085" s="680"/>
      <c r="D1085" s="682"/>
      <c r="E1085" s="682"/>
      <c r="F1085" s="684"/>
      <c r="G1085" s="686"/>
    </row>
    <row r="1086" spans="1:7" ht="19.899999999999999" customHeight="1" x14ac:dyDescent="0.2">
      <c r="A1086" s="496">
        <f t="shared" ref="A1086:A1092" si="305">IFERROR(VLOOKUP(C1086,T_Insumos,4,FALSE),0)</f>
        <v>0</v>
      </c>
      <c r="B1086" s="459">
        <f t="shared" ref="B1086:B1092" si="306">IFERROR(VLOOKUP(C1086,T_Insumos,5,FALSE),0)</f>
        <v>0</v>
      </c>
      <c r="C1086" s="463">
        <f>+C636</f>
        <v>0</v>
      </c>
      <c r="D1086" s="456"/>
      <c r="E1086" s="453">
        <f t="shared" ref="E1086:E1092" si="307">IFERROR(VLOOKUP(C1086,T_Insumos,3,FALSE),0)</f>
        <v>0</v>
      </c>
      <c r="F1086" s="456">
        <f>IF(C1086="",0,IFERROR(VLOOKUP(COUNTIF($A$1:A1086,"ANALISIS DE PRECIOS"),T_Rendimiento_Equipo,5,FALSE),0))</f>
        <v>0</v>
      </c>
      <c r="G1086" s="453">
        <f>IFERROR(ROUND(D1086*E1086/F1086,2),0)</f>
        <v>0</v>
      </c>
    </row>
    <row r="1087" spans="1:7" ht="19.899999999999999" customHeight="1" x14ac:dyDescent="0.2">
      <c r="A1087" s="496">
        <f t="shared" si="305"/>
        <v>0</v>
      </c>
      <c r="B1087" s="459">
        <f t="shared" si="306"/>
        <v>0</v>
      </c>
      <c r="C1087" s="463">
        <f t="shared" ref="C1087:C1089" si="308">+C637</f>
        <v>0</v>
      </c>
      <c r="D1087" s="456"/>
      <c r="E1087" s="453">
        <f t="shared" si="307"/>
        <v>0</v>
      </c>
      <c r="F1087" s="456">
        <f>IF(C1087="",0,IFERROR(VLOOKUP(COUNTIF($A$1:A1087,"ANALISIS DE PRECIOS"),T_Rendimiento_Equipo,5,FALSE),0))</f>
        <v>0</v>
      </c>
      <c r="G1087" s="453">
        <f t="shared" ref="G1087:G1092" si="309">IFERROR(ROUND(D1087*E1087/F1087,2),0)</f>
        <v>0</v>
      </c>
    </row>
    <row r="1088" spans="1:7" ht="19.899999999999999" customHeight="1" x14ac:dyDescent="0.2">
      <c r="A1088" s="496">
        <f t="shared" si="305"/>
        <v>0</v>
      </c>
      <c r="B1088" s="459">
        <f t="shared" si="306"/>
        <v>0</v>
      </c>
      <c r="C1088" s="463">
        <f t="shared" si="308"/>
        <v>0</v>
      </c>
      <c r="D1088" s="456"/>
      <c r="E1088" s="453">
        <f t="shared" si="307"/>
        <v>0</v>
      </c>
      <c r="F1088" s="456">
        <f>IF(C1088="",0,IFERROR(VLOOKUP(COUNTIF($A$1:A1088,"ANALISIS DE PRECIOS"),T_Rendimiento_Equipo,5,FALSE),0))</f>
        <v>0</v>
      </c>
      <c r="G1088" s="453">
        <f t="shared" si="309"/>
        <v>0</v>
      </c>
    </row>
    <row r="1089" spans="1:7" ht="19.899999999999999" customHeight="1" x14ac:dyDescent="0.2">
      <c r="A1089" s="496">
        <f t="shared" si="305"/>
        <v>0</v>
      </c>
      <c r="B1089" s="459">
        <f t="shared" si="306"/>
        <v>0</v>
      </c>
      <c r="C1089" s="463" t="str">
        <f t="shared" si="308"/>
        <v>B - MANO DE OBRA</v>
      </c>
      <c r="D1089" s="456"/>
      <c r="E1089" s="453">
        <f t="shared" si="307"/>
        <v>0</v>
      </c>
      <c r="F1089" s="456">
        <f>IF(C1089="",0,IFERROR(VLOOKUP(COUNTIF($A$1:A1089,"ANALISIS DE PRECIOS"),T_Rendimiento_Equipo,5,FALSE),0))</f>
        <v>0</v>
      </c>
      <c r="G1089" s="453">
        <f>IFERROR(ROUND(D1089*E1089/F1089,2),0)</f>
        <v>0</v>
      </c>
    </row>
    <row r="1090" spans="1:7" ht="19.899999999999999" customHeight="1" x14ac:dyDescent="0.2">
      <c r="A1090" s="496">
        <f t="shared" si="305"/>
        <v>0</v>
      </c>
      <c r="B1090" s="459">
        <f t="shared" si="306"/>
        <v>0</v>
      </c>
      <c r="C1090" s="450"/>
      <c r="D1090" s="456"/>
      <c r="E1090" s="453">
        <f t="shared" si="307"/>
        <v>0</v>
      </c>
      <c r="F1090" s="456">
        <f>IF(C1090="",0,IFERROR(VLOOKUP(COUNTIF($A$1:A1090,"ANALISIS DE PRECIOS"),T_Rendimiento_Equipo,5,FALSE),0))</f>
        <v>0</v>
      </c>
      <c r="G1090" s="453">
        <f t="shared" ref="G1090:G1095" si="310">IFERROR(ROUND(D1090*E1090/F1090,2),0)</f>
        <v>0</v>
      </c>
    </row>
    <row r="1091" spans="1:7" ht="19.899999999999999" customHeight="1" x14ac:dyDescent="0.2">
      <c r="A1091" s="496">
        <f t="shared" si="305"/>
        <v>0</v>
      </c>
      <c r="B1091" s="459">
        <f t="shared" si="306"/>
        <v>0</v>
      </c>
      <c r="C1091" s="450"/>
      <c r="D1091" s="464"/>
      <c r="E1091" s="453">
        <f t="shared" si="307"/>
        <v>0</v>
      </c>
      <c r="F1091" s="456">
        <f>IF(C1091="",0,IFERROR(VLOOKUP(COUNTIF($A$1:A1091,"ANALISIS DE PRECIOS"),T_Rendimiento_Equipo,5,FALSE),0))</f>
        <v>0</v>
      </c>
      <c r="G1091" s="453">
        <f t="shared" si="310"/>
        <v>0</v>
      </c>
    </row>
    <row r="1092" spans="1:7" ht="19.899999999999999" customHeight="1" x14ac:dyDescent="0.2">
      <c r="A1092" s="496">
        <f t="shared" si="305"/>
        <v>0</v>
      </c>
      <c r="B1092" s="459">
        <f t="shared" si="306"/>
        <v>0</v>
      </c>
      <c r="C1092" s="459"/>
      <c r="D1092" s="465"/>
      <c r="E1092" s="453">
        <f t="shared" si="307"/>
        <v>0</v>
      </c>
      <c r="F1092" s="456">
        <f>IF(C1092="",0,IFERROR(VLOOKUP(COUNTIF($A$1:A1092,"ANALISIS DE PRECIOS"),T_Rendimiento_Equipo,5,FALSE),0))</f>
        <v>0</v>
      </c>
      <c r="G1092" s="453">
        <f t="shared" si="310"/>
        <v>0</v>
      </c>
    </row>
    <row r="1093" spans="1:7" ht="19.899999999999999" customHeight="1" x14ac:dyDescent="0.2">
      <c r="A1093" s="497"/>
      <c r="B1093" s="440"/>
      <c r="C1093" s="155"/>
      <c r="D1093" s="440"/>
      <c r="E1093" s="441"/>
      <c r="F1093" s="462" t="s">
        <v>28</v>
      </c>
      <c r="G1093" s="499">
        <f>SUBTOTAL(9,G1086:G1092)</f>
        <v>0</v>
      </c>
    </row>
    <row r="1094" spans="1:7" ht="19.899999999999999" customHeight="1" x14ac:dyDescent="0.2">
      <c r="A1094" s="494"/>
      <c r="B1094" s="155"/>
      <c r="C1094" s="436" t="s">
        <v>990</v>
      </c>
      <c r="D1094" s="440"/>
      <c r="E1094" s="441"/>
      <c r="F1094" s="442"/>
      <c r="G1094" s="495"/>
    </row>
    <row r="1095" spans="1:7" ht="19.899999999999999" customHeight="1" x14ac:dyDescent="0.2">
      <c r="A1095" s="677" t="s">
        <v>576</v>
      </c>
      <c r="B1095" s="678"/>
      <c r="C1095" s="679" t="s">
        <v>0</v>
      </c>
      <c r="D1095" s="679" t="s">
        <v>1733</v>
      </c>
      <c r="E1095" s="681" t="s">
        <v>24</v>
      </c>
      <c r="F1095" s="683" t="s">
        <v>25</v>
      </c>
      <c r="G1095" s="685" t="s">
        <v>26</v>
      </c>
    </row>
    <row r="1096" spans="1:7" ht="19.899999999999999" customHeight="1" x14ac:dyDescent="0.2">
      <c r="A1096" s="458" t="s">
        <v>577</v>
      </c>
      <c r="B1096" s="458" t="s">
        <v>578</v>
      </c>
      <c r="C1096" s="680"/>
      <c r="D1096" s="680"/>
      <c r="E1096" s="682"/>
      <c r="F1096" s="684"/>
      <c r="G1096" s="686"/>
    </row>
    <row r="1097" spans="1:7" ht="19.899999999999999" customHeight="1" x14ac:dyDescent="0.2">
      <c r="A1097" s="496">
        <f t="shared" ref="A1097:A1107" si="311">IFERROR(VLOOKUP(C1097,T_Insumos,4,FALSE),0)</f>
        <v>0</v>
      </c>
      <c r="B1097" s="459">
        <f t="shared" ref="B1097:B1107" si="312">IFERROR(VLOOKUP(C1097,T_Insumos,5,FALSE),0)</f>
        <v>0</v>
      </c>
      <c r="C1097" s="459">
        <f>+Insumos!A644</f>
        <v>0</v>
      </c>
      <c r="D1097" s="507">
        <f t="shared" ref="D1097:D1107" si="313">IFERROR(VLOOKUP(C1097,T_Insumos,2,FALSE),0)</f>
        <v>0</v>
      </c>
      <c r="E1097" s="451"/>
      <c r="F1097" s="453">
        <f t="shared" ref="F1097:F1107" si="314">IFERROR(VLOOKUP(C1097,T_Insumos,3,FALSE),0)</f>
        <v>0</v>
      </c>
      <c r="G1097" s="453">
        <f>ROUND(E1097*F1097,2)</f>
        <v>0</v>
      </c>
    </row>
    <row r="1098" spans="1:7" ht="19.899999999999999" customHeight="1" x14ac:dyDescent="0.2">
      <c r="A1098" s="496">
        <f t="shared" si="311"/>
        <v>0</v>
      </c>
      <c r="B1098" s="459">
        <f t="shared" si="312"/>
        <v>0</v>
      </c>
      <c r="C1098" s="459">
        <f>+Insumos!A686</f>
        <v>0</v>
      </c>
      <c r="D1098" s="507">
        <f t="shared" si="313"/>
        <v>0</v>
      </c>
      <c r="E1098" s="451"/>
      <c r="F1098" s="453">
        <f t="shared" si="314"/>
        <v>0</v>
      </c>
      <c r="G1098" s="453">
        <f>ROUND(E1098*F1098,2)</f>
        <v>0</v>
      </c>
    </row>
    <row r="1099" spans="1:7" ht="19.899999999999999" customHeight="1" x14ac:dyDescent="0.2">
      <c r="A1099" s="496">
        <f t="shared" si="311"/>
        <v>0</v>
      </c>
      <c r="B1099" s="459">
        <f t="shared" si="312"/>
        <v>0</v>
      </c>
      <c r="C1099" s="459"/>
      <c r="D1099" s="507">
        <f t="shared" si="313"/>
        <v>0</v>
      </c>
      <c r="E1099" s="451"/>
      <c r="F1099" s="453">
        <f t="shared" si="314"/>
        <v>0</v>
      </c>
      <c r="G1099" s="453">
        <f t="shared" ref="G1099:G1107" si="315">ROUND(E1099*F1099,2)</f>
        <v>0</v>
      </c>
    </row>
    <row r="1100" spans="1:7" ht="19.899999999999999" customHeight="1" x14ac:dyDescent="0.2">
      <c r="A1100" s="496">
        <f t="shared" si="311"/>
        <v>0</v>
      </c>
      <c r="B1100" s="459">
        <f t="shared" si="312"/>
        <v>0</v>
      </c>
      <c r="C1100" s="459"/>
      <c r="D1100" s="507">
        <f t="shared" si="313"/>
        <v>0</v>
      </c>
      <c r="E1100" s="451"/>
      <c r="F1100" s="453">
        <f t="shared" si="314"/>
        <v>0</v>
      </c>
      <c r="G1100" s="453">
        <f t="shared" si="315"/>
        <v>0</v>
      </c>
    </row>
    <row r="1101" spans="1:7" ht="19.899999999999999" customHeight="1" x14ac:dyDescent="0.2">
      <c r="A1101" s="496">
        <f t="shared" si="311"/>
        <v>0</v>
      </c>
      <c r="B1101" s="459">
        <f t="shared" si="312"/>
        <v>0</v>
      </c>
      <c r="C1101" s="459"/>
      <c r="D1101" s="507">
        <f t="shared" si="313"/>
        <v>0</v>
      </c>
      <c r="E1101" s="451"/>
      <c r="F1101" s="453">
        <f t="shared" si="314"/>
        <v>0</v>
      </c>
      <c r="G1101" s="453">
        <f t="shared" si="315"/>
        <v>0</v>
      </c>
    </row>
    <row r="1102" spans="1:7" ht="19.899999999999999" customHeight="1" x14ac:dyDescent="0.2">
      <c r="A1102" s="496">
        <f t="shared" si="311"/>
        <v>0</v>
      </c>
      <c r="B1102" s="459">
        <f t="shared" si="312"/>
        <v>0</v>
      </c>
      <c r="C1102" s="459"/>
      <c r="D1102" s="507">
        <f t="shared" si="313"/>
        <v>0</v>
      </c>
      <c r="E1102" s="451"/>
      <c r="F1102" s="453">
        <f t="shared" si="314"/>
        <v>0</v>
      </c>
      <c r="G1102" s="453">
        <f t="shared" si="315"/>
        <v>0</v>
      </c>
    </row>
    <row r="1103" spans="1:7" ht="19.899999999999999" customHeight="1" x14ac:dyDescent="0.2">
      <c r="A1103" s="496">
        <f t="shared" si="311"/>
        <v>0</v>
      </c>
      <c r="B1103" s="459">
        <f t="shared" si="312"/>
        <v>0</v>
      </c>
      <c r="C1103" s="459"/>
      <c r="D1103" s="507">
        <f t="shared" si="313"/>
        <v>0</v>
      </c>
      <c r="E1103" s="451"/>
      <c r="F1103" s="453">
        <f t="shared" si="314"/>
        <v>0</v>
      </c>
      <c r="G1103" s="453">
        <f t="shared" si="315"/>
        <v>0</v>
      </c>
    </row>
    <row r="1104" spans="1:7" ht="19.899999999999999" customHeight="1" x14ac:dyDescent="0.2">
      <c r="A1104" s="496">
        <f t="shared" si="311"/>
        <v>0</v>
      </c>
      <c r="B1104" s="459">
        <f t="shared" si="312"/>
        <v>0</v>
      </c>
      <c r="C1104" s="459"/>
      <c r="D1104" s="507">
        <f t="shared" si="313"/>
        <v>0</v>
      </c>
      <c r="E1104" s="451"/>
      <c r="F1104" s="453">
        <f t="shared" si="314"/>
        <v>0</v>
      </c>
      <c r="G1104" s="453">
        <f t="shared" si="315"/>
        <v>0</v>
      </c>
    </row>
    <row r="1105" spans="1:7" ht="19.899999999999999" customHeight="1" x14ac:dyDescent="0.2">
      <c r="A1105" s="496">
        <f t="shared" si="311"/>
        <v>0</v>
      </c>
      <c r="B1105" s="459">
        <f t="shared" si="312"/>
        <v>0</v>
      </c>
      <c r="C1105" s="459"/>
      <c r="D1105" s="507">
        <f t="shared" si="313"/>
        <v>0</v>
      </c>
      <c r="E1105" s="451"/>
      <c r="F1105" s="453">
        <f t="shared" si="314"/>
        <v>0</v>
      </c>
      <c r="G1105" s="453">
        <f t="shared" si="315"/>
        <v>0</v>
      </c>
    </row>
    <row r="1106" spans="1:7" ht="19.899999999999999" customHeight="1" x14ac:dyDescent="0.2">
      <c r="A1106" s="496">
        <f t="shared" si="311"/>
        <v>0</v>
      </c>
      <c r="B1106" s="459">
        <f t="shared" si="312"/>
        <v>0</v>
      </c>
      <c r="C1106" s="459"/>
      <c r="D1106" s="507">
        <f t="shared" si="313"/>
        <v>0</v>
      </c>
      <c r="E1106" s="451"/>
      <c r="F1106" s="453">
        <f t="shared" si="314"/>
        <v>0</v>
      </c>
      <c r="G1106" s="453">
        <f t="shared" si="315"/>
        <v>0</v>
      </c>
    </row>
    <row r="1107" spans="1:7" ht="19.899999999999999" customHeight="1" x14ac:dyDescent="0.2">
      <c r="A1107" s="496">
        <f t="shared" si="311"/>
        <v>0</v>
      </c>
      <c r="B1107" s="459">
        <f t="shared" si="312"/>
        <v>0</v>
      </c>
      <c r="C1107" s="459"/>
      <c r="D1107" s="507">
        <f t="shared" si="313"/>
        <v>0</v>
      </c>
      <c r="E1107" s="451"/>
      <c r="F1107" s="453">
        <f t="shared" si="314"/>
        <v>0</v>
      </c>
      <c r="G1107" s="453">
        <f t="shared" si="315"/>
        <v>0</v>
      </c>
    </row>
    <row r="1108" spans="1:7" ht="19.899999999999999" customHeight="1" x14ac:dyDescent="0.2">
      <c r="A1108" s="494"/>
      <c r="B1108" s="155"/>
      <c r="C1108" s="155"/>
      <c r="D1108" s="440"/>
      <c r="E1108" s="441"/>
      <c r="F1108" s="462" t="s">
        <v>29</v>
      </c>
      <c r="G1108" s="499">
        <f>SUBTOTAL(9,G1097:G1107)</f>
        <v>0</v>
      </c>
    </row>
    <row r="1109" spans="1:7" ht="19.899999999999999" customHeight="1" x14ac:dyDescent="0.2">
      <c r="A1109" s="494"/>
      <c r="B1109" s="155"/>
      <c r="C1109" s="436" t="s">
        <v>991</v>
      </c>
      <c r="D1109" s="440"/>
      <c r="E1109" s="441"/>
      <c r="F1109" s="442"/>
      <c r="G1109" s="495"/>
    </row>
    <row r="1110" spans="1:7" ht="19.899999999999999" customHeight="1" x14ac:dyDescent="0.2">
      <c r="A1110" s="677" t="s">
        <v>576</v>
      </c>
      <c r="B1110" s="678"/>
      <c r="C1110" s="679" t="s">
        <v>0</v>
      </c>
      <c r="D1110" s="679" t="s">
        <v>1733</v>
      </c>
      <c r="E1110" s="681" t="s">
        <v>24</v>
      </c>
      <c r="F1110" s="683" t="s">
        <v>25</v>
      </c>
      <c r="G1110" s="685" t="s">
        <v>26</v>
      </c>
    </row>
    <row r="1111" spans="1:7" ht="19.899999999999999" customHeight="1" x14ac:dyDescent="0.2">
      <c r="A1111" s="458" t="s">
        <v>577</v>
      </c>
      <c r="B1111" s="458" t="s">
        <v>578</v>
      </c>
      <c r="C1111" s="680"/>
      <c r="D1111" s="680"/>
      <c r="E1111" s="682"/>
      <c r="F1111" s="684"/>
      <c r="G1111" s="686"/>
    </row>
    <row r="1112" spans="1:7" ht="19.899999999999999" customHeight="1" x14ac:dyDescent="0.2">
      <c r="A1112" s="496">
        <f>IFERROR(VLOOKUP(C1112,T_Insumos,4,FALSE),0)</f>
        <v>0</v>
      </c>
      <c r="B1112" s="459">
        <f>IFERROR(VLOOKUP(C1112,T_Insumos,5,FALSE),0)</f>
        <v>0</v>
      </c>
      <c r="C1112" s="450"/>
      <c r="D1112" s="507">
        <f>IF(C1112=0,0,"$/tnkm")</f>
        <v>0</v>
      </c>
      <c r="E1112" s="451"/>
      <c r="F1112" s="453">
        <f>IFERROR(VLOOKUP(C1112,T_Insumos,3,FALSE),0)</f>
        <v>0</v>
      </c>
      <c r="G1112" s="453">
        <f>ROUND(E1112*F1112,2)</f>
        <v>0</v>
      </c>
    </row>
    <row r="1113" spans="1:7" ht="19.899999999999999" customHeight="1" x14ac:dyDescent="0.2">
      <c r="A1113" s="496">
        <f>IFERROR(VLOOKUP(C1113,T_Insumos,4,FALSE),0)</f>
        <v>0</v>
      </c>
      <c r="B1113" s="459">
        <f>IFERROR(VLOOKUP(C1113,T_Insumos,5,FALSE),0)</f>
        <v>0</v>
      </c>
      <c r="C1113" s="450"/>
      <c r="D1113" s="507">
        <f>IF(C1113=0,0,"$/tnkm")</f>
        <v>0</v>
      </c>
      <c r="E1113" s="467"/>
      <c r="F1113" s="453">
        <f>IFERROR(VLOOKUP(C1113,T_Insumos,3,FALSE),0)</f>
        <v>0</v>
      </c>
      <c r="G1113" s="453">
        <f t="shared" ref="G1113" si="316">ROUND(E1113*F1113,2)</f>
        <v>0</v>
      </c>
    </row>
    <row r="1114" spans="1:7" ht="19.899999999999999" customHeight="1" x14ac:dyDescent="0.2">
      <c r="A1114" s="494"/>
      <c r="B1114" s="155"/>
      <c r="C1114" s="155"/>
      <c r="D1114" s="440"/>
      <c r="E1114" s="441"/>
      <c r="F1114" s="462" t="s">
        <v>992</v>
      </c>
      <c r="G1114" s="499">
        <f>SUBTOTAL(9,G1112:G1113)</f>
        <v>0</v>
      </c>
    </row>
    <row r="1115" spans="1:7" ht="19.899999999999999" customHeight="1" x14ac:dyDescent="0.2">
      <c r="A1115" s="497"/>
      <c r="B1115" s="440"/>
      <c r="C1115" s="155"/>
      <c r="D1115" s="440"/>
      <c r="E1115" s="441"/>
      <c r="F1115" s="442"/>
      <c r="G1115" s="495"/>
    </row>
    <row r="1116" spans="1:7" ht="19.899999999999999" customHeight="1" x14ac:dyDescent="0.2">
      <c r="A1116" s="555" t="str">
        <f>B1050</f>
        <v>3.1.2</v>
      </c>
      <c r="B1116" s="552" t="str">
        <f ca="1">C1050</f>
        <v>Replanteo</v>
      </c>
      <c r="C1116" s="440"/>
      <c r="D1116" s="440" t="s">
        <v>1712</v>
      </c>
      <c r="E1116" s="553"/>
      <c r="F1116" s="554" t="str">
        <f ca="1">"$/"&amp;G1050</f>
        <v>$/GL</v>
      </c>
      <c r="G1116" s="504">
        <f>SUBTOTAL(9,G1073:G1115)</f>
        <v>0</v>
      </c>
    </row>
    <row r="1117" spans="1:7" ht="19.899999999999999" customHeight="1" x14ac:dyDescent="0.2">
      <c r="A1117" s="500"/>
      <c r="B1117" s="501"/>
      <c r="C1117" s="502"/>
      <c r="D1117" s="502" t="s">
        <v>1908</v>
      </c>
      <c r="E1117" s="503"/>
      <c r="F1117" s="556" t="str">
        <f ca="1">"$/"&amp;G1050</f>
        <v>$/GL</v>
      </c>
      <c r="G1117" s="504">
        <f>ROUND(G1116*Coeficiente_Paso,2)</f>
        <v>0</v>
      </c>
    </row>
    <row r="1118" spans="1:7" ht="19.899999999999999" customHeight="1" x14ac:dyDescent="0.2">
      <c r="A1118" s="687" t="s">
        <v>31</v>
      </c>
      <c r="B1118" s="688"/>
      <c r="C1118" s="688"/>
      <c r="D1118" s="688"/>
      <c r="E1118" s="688"/>
      <c r="F1118" s="688"/>
      <c r="G1118" s="689"/>
    </row>
    <row r="1119" spans="1:7" ht="19.899999999999999" customHeight="1" x14ac:dyDescent="0.2">
      <c r="A1119" s="483" t="s">
        <v>711</v>
      </c>
      <c r="B1119" s="434" t="str">
        <f>Comitente</f>
        <v>DEPARTAMENTO DE HIDRÁULICA</v>
      </c>
      <c r="C1119" s="435"/>
      <c r="D1119" s="436"/>
      <c r="E1119" s="436"/>
      <c r="F1119" s="437"/>
      <c r="G1119" s="484"/>
    </row>
    <row r="1120" spans="1:7" ht="19.899999999999999" customHeight="1" x14ac:dyDescent="0.2">
      <c r="A1120" s="483" t="s">
        <v>712</v>
      </c>
      <c r="B1120" s="434">
        <f>Contratista</f>
        <v>0</v>
      </c>
      <c r="C1120" s="438"/>
      <c r="D1120" s="438"/>
      <c r="E1120" s="438"/>
      <c r="F1120" s="434"/>
      <c r="G1120" s="485"/>
    </row>
    <row r="1121" spans="1:7" ht="19.899999999999999" customHeight="1" x14ac:dyDescent="0.2">
      <c r="A1121" s="483" t="s">
        <v>21</v>
      </c>
      <c r="B1121" s="434" t="str">
        <f>Obra</f>
        <v>RECRECIMIENTO Y REPARACIÓN CANALES SARMIENTO, 9 DE JULIO Y CHIMBAS</v>
      </c>
      <c r="C1121" s="438"/>
      <c r="D1121" s="438"/>
      <c r="E1121" s="438"/>
      <c r="F1121" s="434" t="s">
        <v>32</v>
      </c>
      <c r="G1121" s="485">
        <f>Fecha_Base</f>
        <v>0</v>
      </c>
    </row>
    <row r="1122" spans="1:7" ht="19.899999999999999" customHeight="1" x14ac:dyDescent="0.2">
      <c r="A1122" s="486" t="s">
        <v>710</v>
      </c>
      <c r="B1122" s="439" t="str">
        <f>Ubicación</f>
        <v>DEPARTAMENTOS SARMIENTO, 9 DE JULIO Y CHIMBAS</v>
      </c>
      <c r="C1122" s="439"/>
      <c r="D1122" s="440"/>
      <c r="E1122" s="441"/>
      <c r="F1122" s="442"/>
      <c r="G1122" s="487"/>
    </row>
    <row r="1123" spans="1:7" ht="19.899999999999999" customHeight="1" x14ac:dyDescent="0.2">
      <c r="A1123" s="486" t="s">
        <v>33</v>
      </c>
      <c r="B1123" s="443">
        <f>IFERROR(VALUE(LEFT(B1124,FIND(".",B1124)-1)),"")</f>
        <v>3</v>
      </c>
      <c r="C1123" s="155" t="str">
        <f ca="1">IFERROR(VLOOKUP(B1123,T_Computo_Presupuesto,2,FALSE),0)</f>
        <v>RECRECIMIENTO C. PASTORIZA-VIDELA</v>
      </c>
      <c r="D1123" s="155"/>
      <c r="E1123" s="441"/>
      <c r="F1123" s="442"/>
      <c r="G1123" s="487"/>
    </row>
    <row r="1124" spans="1:7" ht="19.899999999999999" customHeight="1" x14ac:dyDescent="0.2">
      <c r="A1124" s="486" t="s">
        <v>22</v>
      </c>
      <c r="B1124" s="444" t="str">
        <f>IFERROR(VLOOKUP(COUNTIF($A$1:A1124,"ANALISIS DE PRECIOS"),T_NumeroItem,2,FALSE),"")</f>
        <v>3.2.1</v>
      </c>
      <c r="C1124" s="690" t="str">
        <f ca="1">IFERROR(VLOOKUP(B1124,T_Computo_Presupuesto,2,FALSE),0)</f>
        <v xml:space="preserve">Hormigón H-21  </v>
      </c>
      <c r="D1124" s="690"/>
      <c r="E1124" s="690"/>
      <c r="F1124" s="439" t="s">
        <v>23</v>
      </c>
      <c r="G1124" s="488" t="str">
        <f ca="1">IFERROR(VLOOKUP(B1124,T_Computo_Presupuesto,4,FALSE),0)</f>
        <v>M3</v>
      </c>
    </row>
    <row r="1125" spans="1:7" ht="19.899999999999999" customHeight="1" x14ac:dyDescent="0.2">
      <c r="A1125" s="486"/>
      <c r="B1125" s="439"/>
      <c r="C1125" s="155"/>
      <c r="D1125" s="440"/>
      <c r="E1125" s="441"/>
      <c r="F1125" s="155"/>
      <c r="G1125" s="489"/>
    </row>
    <row r="1126" spans="1:7" ht="19.899999999999999" customHeight="1" x14ac:dyDescent="0.2">
      <c r="A1126" s="490"/>
      <c r="B1126" s="445"/>
      <c r="C1126" s="446" t="s">
        <v>975</v>
      </c>
      <c r="D1126" s="445"/>
      <c r="E1126" s="445"/>
      <c r="F1126" s="445"/>
      <c r="G1126" s="491"/>
    </row>
    <row r="1127" spans="1:7" ht="19.899999999999999" customHeight="1" x14ac:dyDescent="0.2">
      <c r="A1127" s="486"/>
      <c r="B1127" s="447"/>
      <c r="C1127" s="155"/>
      <c r="D1127" s="440"/>
      <c r="E1127" s="441"/>
      <c r="F1127" s="439"/>
      <c r="G1127" s="488"/>
    </row>
    <row r="1128" spans="1:7" ht="19.899999999999999" customHeight="1" x14ac:dyDescent="0.2">
      <c r="A1128" s="486"/>
      <c r="B1128" s="447"/>
      <c r="C1128" s="448" t="s">
        <v>976</v>
      </c>
      <c r="D1128" s="449" t="s">
        <v>24</v>
      </c>
      <c r="E1128" s="449" t="s">
        <v>977</v>
      </c>
      <c r="F1128" s="449" t="s">
        <v>978</v>
      </c>
      <c r="G1128" s="448" t="s">
        <v>979</v>
      </c>
    </row>
    <row r="1129" spans="1:7" ht="19.899999999999999" customHeight="1" x14ac:dyDescent="0.2">
      <c r="A1129" s="486"/>
      <c r="B1129" s="447"/>
      <c r="C1129" s="450">
        <f>+Equipos!A683</f>
        <v>0</v>
      </c>
      <c r="D1129" s="451"/>
      <c r="E1129" s="452">
        <f t="shared" ref="E1129:E1138" si="317">IFERROR(VLOOKUP(C1129,T_Equipos,4,FALSE),0)</f>
        <v>0</v>
      </c>
      <c r="F1129" s="453">
        <f t="shared" ref="F1129:F1138" si="318">IFERROR(VLOOKUP(C1129,T_Equipos,5,FALSE),0)</f>
        <v>0</v>
      </c>
      <c r="G1129" s="453">
        <f>ROUND(D1129*F1129,2)</f>
        <v>0</v>
      </c>
    </row>
    <row r="1130" spans="1:7" ht="19.899999999999999" customHeight="1" x14ac:dyDescent="0.2">
      <c r="A1130" s="486"/>
      <c r="B1130" s="447"/>
      <c r="C1130" s="450">
        <f>+Equipos!A680</f>
        <v>0</v>
      </c>
      <c r="D1130" s="451"/>
      <c r="E1130" s="452">
        <f t="shared" si="317"/>
        <v>0</v>
      </c>
      <c r="F1130" s="453">
        <f t="shared" si="318"/>
        <v>0</v>
      </c>
      <c r="G1130" s="453">
        <f>ROUND(D1130*F1130,2)</f>
        <v>0</v>
      </c>
    </row>
    <row r="1131" spans="1:7" ht="19.899999999999999" customHeight="1" x14ac:dyDescent="0.2">
      <c r="A1131" s="486"/>
      <c r="B1131" s="447"/>
      <c r="C1131" s="450">
        <f>+Equipos!A692</f>
        <v>0</v>
      </c>
      <c r="D1131" s="451"/>
      <c r="E1131" s="452">
        <f t="shared" si="317"/>
        <v>0</v>
      </c>
      <c r="F1131" s="453">
        <f t="shared" si="318"/>
        <v>0</v>
      </c>
      <c r="G1131" s="453">
        <f>ROUND(D1131*F1131,2)</f>
        <v>0</v>
      </c>
    </row>
    <row r="1132" spans="1:7" ht="19.899999999999999" customHeight="1" x14ac:dyDescent="0.2">
      <c r="A1132" s="486"/>
      <c r="B1132" s="447"/>
      <c r="C1132" s="450">
        <f>+Equipos!A700</f>
        <v>0</v>
      </c>
      <c r="D1132" s="451"/>
      <c r="E1132" s="452">
        <f t="shared" si="317"/>
        <v>0</v>
      </c>
      <c r="F1132" s="453">
        <f t="shared" si="318"/>
        <v>0</v>
      </c>
      <c r="G1132" s="453">
        <f>ROUND(D1132*F1132,2)</f>
        <v>0</v>
      </c>
    </row>
    <row r="1133" spans="1:7" ht="19.899999999999999" customHeight="1" x14ac:dyDescent="0.2">
      <c r="A1133" s="486"/>
      <c r="B1133" s="447"/>
      <c r="C1133" s="450">
        <f>+Equipos!A689</f>
        <v>0</v>
      </c>
      <c r="D1133" s="623"/>
      <c r="E1133" s="452">
        <f t="shared" si="317"/>
        <v>0</v>
      </c>
      <c r="F1133" s="453">
        <f t="shared" si="318"/>
        <v>0</v>
      </c>
      <c r="G1133" s="453">
        <f t="shared" ref="G1133:G1138" si="319">ROUND(D1133*F1133,2)</f>
        <v>0</v>
      </c>
    </row>
    <row r="1134" spans="1:7" ht="19.899999999999999" customHeight="1" x14ac:dyDescent="0.2">
      <c r="A1134" s="486"/>
      <c r="B1134" s="447"/>
      <c r="C1134" s="450">
        <f>+Equipos!A685</f>
        <v>0</v>
      </c>
      <c r="D1134" s="451"/>
      <c r="E1134" s="452">
        <f t="shared" si="317"/>
        <v>0</v>
      </c>
      <c r="F1134" s="453">
        <f t="shared" si="318"/>
        <v>0</v>
      </c>
      <c r="G1134" s="453">
        <f t="shared" si="319"/>
        <v>0</v>
      </c>
    </row>
    <row r="1135" spans="1:7" ht="19.899999999999999" customHeight="1" x14ac:dyDescent="0.2">
      <c r="A1135" s="486"/>
      <c r="B1135" s="447"/>
      <c r="C1135" s="450"/>
      <c r="D1135" s="451"/>
      <c r="E1135" s="452">
        <f t="shared" si="317"/>
        <v>0</v>
      </c>
      <c r="F1135" s="453">
        <f t="shared" si="318"/>
        <v>0</v>
      </c>
      <c r="G1135" s="453">
        <f t="shared" si="319"/>
        <v>0</v>
      </c>
    </row>
    <row r="1136" spans="1:7" ht="19.899999999999999" customHeight="1" x14ac:dyDescent="0.2">
      <c r="A1136" s="486"/>
      <c r="B1136" s="447"/>
      <c r="C1136" s="450"/>
      <c r="D1136" s="451"/>
      <c r="E1136" s="452">
        <f t="shared" si="317"/>
        <v>0</v>
      </c>
      <c r="F1136" s="453">
        <f t="shared" si="318"/>
        <v>0</v>
      </c>
      <c r="G1136" s="453">
        <f t="shared" si="319"/>
        <v>0</v>
      </c>
    </row>
    <row r="1137" spans="1:7" ht="19.899999999999999" customHeight="1" x14ac:dyDescent="0.2">
      <c r="A1137" s="486"/>
      <c r="B1137" s="447"/>
      <c r="C1137" s="450"/>
      <c r="D1137" s="451"/>
      <c r="E1137" s="452">
        <f t="shared" si="317"/>
        <v>0</v>
      </c>
      <c r="F1137" s="453">
        <f t="shared" si="318"/>
        <v>0</v>
      </c>
      <c r="G1137" s="453">
        <f t="shared" si="319"/>
        <v>0</v>
      </c>
    </row>
    <row r="1138" spans="1:7" ht="19.899999999999999" customHeight="1" x14ac:dyDescent="0.2">
      <c r="A1138" s="486"/>
      <c r="B1138" s="447"/>
      <c r="C1138" s="450"/>
      <c r="D1138" s="451"/>
      <c r="E1138" s="452">
        <f t="shared" si="317"/>
        <v>0</v>
      </c>
      <c r="F1138" s="453">
        <f t="shared" si="318"/>
        <v>0</v>
      </c>
      <c r="G1138" s="453">
        <f t="shared" si="319"/>
        <v>0</v>
      </c>
    </row>
    <row r="1139" spans="1:7" ht="19.899999999999999" customHeight="1" x14ac:dyDescent="0.2">
      <c r="A1139" s="486"/>
      <c r="B1139" s="447"/>
      <c r="C1139" s="155"/>
      <c r="D1139" s="155"/>
      <c r="E1139" s="454"/>
      <c r="F1139" s="439"/>
      <c r="G1139" s="488"/>
    </row>
    <row r="1140" spans="1:7" ht="19.899999999999999" customHeight="1" x14ac:dyDescent="0.2">
      <c r="A1140" s="486"/>
      <c r="B1140" s="155"/>
      <c r="C1140" s="436" t="s">
        <v>980</v>
      </c>
      <c r="D1140" s="439" t="s">
        <v>977</v>
      </c>
      <c r="E1140" s="505">
        <f>SUMPRODUCT(D1129:D1138,E1129:E1138)</f>
        <v>0</v>
      </c>
      <c r="F1140" s="439" t="s">
        <v>981</v>
      </c>
      <c r="G1140" s="506">
        <f>SUM(G1129:G1138)</f>
        <v>0</v>
      </c>
    </row>
    <row r="1141" spans="1:7" ht="19.899999999999999" customHeight="1" x14ac:dyDescent="0.2">
      <c r="A1141" s="486"/>
      <c r="B1141" s="447"/>
      <c r="C1141" s="455"/>
      <c r="D1141" s="454"/>
      <c r="E1141" s="441"/>
      <c r="F1141" s="439"/>
      <c r="G1141" s="492"/>
    </row>
    <row r="1142" spans="1:7" ht="19.899999999999999" customHeight="1" x14ac:dyDescent="0.2">
      <c r="A1142" s="493"/>
      <c r="B1142" s="447"/>
      <c r="C1142" s="439" t="s">
        <v>982</v>
      </c>
      <c r="D1142" s="456">
        <f>IFERROR(VLOOKUP(COUNTIF($A$1:A1142,"ANALISIS DE PRECIOS"),T_Rendimiento_Equipo,5,FALSE),0)</f>
        <v>0</v>
      </c>
      <c r="E1142" s="457" t="str">
        <f ca="1">G1124&amp;"/día"</f>
        <v>M3/día</v>
      </c>
      <c r="F1142" s="433"/>
      <c r="G1142" s="488"/>
    </row>
    <row r="1143" spans="1:7" ht="19.899999999999999" customHeight="1" x14ac:dyDescent="0.2">
      <c r="A1143" s="486"/>
      <c r="B1143" s="447"/>
      <c r="C1143" s="155"/>
      <c r="D1143" s="440"/>
      <c r="E1143" s="441"/>
      <c r="F1143" s="439"/>
      <c r="G1143" s="488"/>
    </row>
    <row r="1144" spans="1:7" ht="19.899999999999999" customHeight="1" x14ac:dyDescent="0.2">
      <c r="A1144" s="677" t="s">
        <v>576</v>
      </c>
      <c r="B1144" s="678"/>
      <c r="C1144" s="679" t="s">
        <v>0</v>
      </c>
      <c r="D1144" s="691" t="s">
        <v>1732</v>
      </c>
      <c r="E1144" s="691" t="s">
        <v>1731</v>
      </c>
      <c r="F1144" s="683" t="s">
        <v>983</v>
      </c>
      <c r="G1144" s="685" t="s">
        <v>26</v>
      </c>
    </row>
    <row r="1145" spans="1:7" ht="19.899999999999999" customHeight="1" x14ac:dyDescent="0.2">
      <c r="A1145" s="458" t="s">
        <v>577</v>
      </c>
      <c r="B1145" s="458" t="s">
        <v>578</v>
      </c>
      <c r="C1145" s="680"/>
      <c r="D1145" s="692"/>
      <c r="E1145" s="682"/>
      <c r="F1145" s="684"/>
      <c r="G1145" s="686"/>
    </row>
    <row r="1146" spans="1:7" ht="19.899999999999999" customHeight="1" x14ac:dyDescent="0.2">
      <c r="A1146" s="494"/>
      <c r="B1146" s="155"/>
      <c r="C1146" s="436" t="s">
        <v>984</v>
      </c>
      <c r="D1146" s="441"/>
      <c r="E1146" s="441"/>
      <c r="F1146" s="155"/>
      <c r="G1146" s="495"/>
    </row>
    <row r="1147" spans="1:7" ht="19.899999999999999" customHeight="1" x14ac:dyDescent="0.2">
      <c r="A1147" s="496">
        <f t="shared" ref="A1147:A1155" si="320">IFERROR(VLOOKUP(C1147,T_Insumos,4,FALSE),0)</f>
        <v>0</v>
      </c>
      <c r="B1147" s="459">
        <f t="shared" ref="B1147:B1155" si="321">IFERROR(VLOOKUP(C1147,T_Insumos,5,FALSE),0)</f>
        <v>0</v>
      </c>
      <c r="C1147" s="450">
        <f>+C697</f>
        <v>0</v>
      </c>
      <c r="D1147" s="460">
        <f t="shared" ref="D1147:D1155" si="322">IFERROR(VLOOKUP(C1147,T_Insumos,3,FALSE),0)</f>
        <v>0</v>
      </c>
      <c r="E1147" s="453">
        <f>D1147*$G$473</f>
        <v>0</v>
      </c>
      <c r="F1147" s="456">
        <f>IF(C1147="",0,IFERROR(VLOOKUP(COUNTIF($A$1:A1147,"ANALISIS DE PRECIOS"),T_Rendimiento_Equipo,5,FALSE),0))</f>
        <v>0</v>
      </c>
      <c r="G1147" s="453">
        <f>IFERROR(ROUND(E1147/F1147,2),0)</f>
        <v>0</v>
      </c>
    </row>
    <row r="1148" spans="1:7" ht="19.899999999999999" customHeight="1" x14ac:dyDescent="0.2">
      <c r="A1148" s="496">
        <f t="shared" si="320"/>
        <v>0</v>
      </c>
      <c r="B1148" s="459">
        <f t="shared" si="321"/>
        <v>0</v>
      </c>
      <c r="C1148" s="450" t="str">
        <f t="shared" ref="C1148:C1150" si="323">+C698</f>
        <v>Rendimiento equipo de producción</v>
      </c>
      <c r="D1148" s="460">
        <f t="shared" si="322"/>
        <v>0</v>
      </c>
      <c r="E1148" s="453">
        <f t="shared" ref="E1148:E1149" si="324">D1148*$G$473</f>
        <v>0</v>
      </c>
      <c r="F1148" s="456">
        <f>IF(C1148="",0,IFERROR(VLOOKUP(COUNTIF($A$1:A1148,"ANALISIS DE PRECIOS"),T_Rendimiento_Equipo,5,FALSE),0))</f>
        <v>0</v>
      </c>
      <c r="G1148" s="453">
        <f t="shared" ref="G1148:G1155" si="325">IFERROR(ROUND(E1148/F1148,2),0)</f>
        <v>0</v>
      </c>
    </row>
    <row r="1149" spans="1:7" ht="19.899999999999999" customHeight="1" x14ac:dyDescent="0.2">
      <c r="A1149" s="496">
        <f t="shared" si="320"/>
        <v>0</v>
      </c>
      <c r="B1149" s="459">
        <f t="shared" si="321"/>
        <v>0</v>
      </c>
      <c r="C1149" s="450">
        <f t="shared" si="323"/>
        <v>0</v>
      </c>
      <c r="D1149" s="460">
        <f t="shared" si="322"/>
        <v>0</v>
      </c>
      <c r="E1149" s="453">
        <f t="shared" si="324"/>
        <v>0</v>
      </c>
      <c r="F1149" s="456">
        <f>IF(C1149="",0,IFERROR(VLOOKUP(COUNTIF($A$1:A1149,"ANALISIS DE PRECIOS"),T_Rendimiento_Equipo,5,FALSE),0))</f>
        <v>0</v>
      </c>
      <c r="G1149" s="453">
        <f t="shared" si="325"/>
        <v>0</v>
      </c>
    </row>
    <row r="1150" spans="1:7" ht="19.899999999999999" customHeight="1" x14ac:dyDescent="0.2">
      <c r="A1150" s="496">
        <f t="shared" si="320"/>
        <v>0</v>
      </c>
      <c r="B1150" s="459">
        <f t="shared" si="321"/>
        <v>0</v>
      </c>
      <c r="C1150" s="450" t="str">
        <f t="shared" si="323"/>
        <v>DESIGNACION</v>
      </c>
      <c r="D1150" s="460">
        <f t="shared" si="322"/>
        <v>0</v>
      </c>
      <c r="E1150" s="453">
        <f>D1150*$E$473</f>
        <v>0</v>
      </c>
      <c r="F1150" s="456">
        <f>IF(C1150="",0,IFERROR(VLOOKUP(COUNTIF($A$1:A1150,"ANALISIS DE PRECIOS"),T_Rendimiento_Equipo,5,FALSE),0))</f>
        <v>0</v>
      </c>
      <c r="G1150" s="453">
        <f t="shared" si="325"/>
        <v>0</v>
      </c>
    </row>
    <row r="1151" spans="1:7" ht="19.899999999999999" customHeight="1" x14ac:dyDescent="0.2">
      <c r="A1151" s="496">
        <f t="shared" si="320"/>
        <v>0</v>
      </c>
      <c r="B1151" s="459">
        <f t="shared" si="321"/>
        <v>0</v>
      </c>
      <c r="C1151" s="461"/>
      <c r="D1151" s="460">
        <f t="shared" si="322"/>
        <v>0</v>
      </c>
      <c r="E1151" s="453"/>
      <c r="F1151" s="456">
        <f>IF(C1151="",0,IFERROR(VLOOKUP(COUNTIF($A$1:A1151,"ANALISIS DE PRECIOS"),T_Rendimiento_Equipo,5,FALSE),0))</f>
        <v>0</v>
      </c>
      <c r="G1151" s="453">
        <f t="shared" si="325"/>
        <v>0</v>
      </c>
    </row>
    <row r="1152" spans="1:7" ht="19.899999999999999" customHeight="1" x14ac:dyDescent="0.2">
      <c r="A1152" s="496">
        <f t="shared" si="320"/>
        <v>0</v>
      </c>
      <c r="B1152" s="459">
        <f t="shared" si="321"/>
        <v>0</v>
      </c>
      <c r="C1152" s="461"/>
      <c r="D1152" s="460">
        <f t="shared" si="322"/>
        <v>0</v>
      </c>
      <c r="E1152" s="453"/>
      <c r="F1152" s="456">
        <f>IF(C1152="",0,IFERROR(VLOOKUP(COUNTIF($A$1:A1152,"ANALISIS DE PRECIOS"),T_Rendimiento_Equipo,5,FALSE),0))</f>
        <v>0</v>
      </c>
      <c r="G1152" s="453">
        <f t="shared" si="325"/>
        <v>0</v>
      </c>
    </row>
    <row r="1153" spans="1:7" ht="19.899999999999999" customHeight="1" x14ac:dyDescent="0.2">
      <c r="A1153" s="496">
        <f t="shared" si="320"/>
        <v>0</v>
      </c>
      <c r="B1153" s="459">
        <f t="shared" si="321"/>
        <v>0</v>
      </c>
      <c r="C1153" s="461"/>
      <c r="D1153" s="460">
        <f t="shared" si="322"/>
        <v>0</v>
      </c>
      <c r="E1153" s="453"/>
      <c r="F1153" s="456">
        <f>IF(C1153="",0,IFERROR(VLOOKUP(COUNTIF($A$1:A1153,"ANALISIS DE PRECIOS"),T_Rendimiento_Equipo,5,FALSE),0))</f>
        <v>0</v>
      </c>
      <c r="G1153" s="453">
        <f t="shared" si="325"/>
        <v>0</v>
      </c>
    </row>
    <row r="1154" spans="1:7" ht="19.899999999999999" customHeight="1" x14ac:dyDescent="0.2">
      <c r="A1154" s="496">
        <f t="shared" si="320"/>
        <v>0</v>
      </c>
      <c r="B1154" s="459">
        <f t="shared" si="321"/>
        <v>0</v>
      </c>
      <c r="C1154" s="461"/>
      <c r="D1154" s="460">
        <f t="shared" si="322"/>
        <v>0</v>
      </c>
      <c r="E1154" s="453"/>
      <c r="F1154" s="456">
        <f>IF(C1154="",0,IFERROR(VLOOKUP(COUNTIF($A$1:A1154,"ANALISIS DE PRECIOS"),T_Rendimiento_Equipo,5,FALSE),0))</f>
        <v>0</v>
      </c>
      <c r="G1154" s="453">
        <f t="shared" si="325"/>
        <v>0</v>
      </c>
    </row>
    <row r="1155" spans="1:7" ht="19.899999999999999" customHeight="1" x14ac:dyDescent="0.2">
      <c r="A1155" s="496">
        <f t="shared" si="320"/>
        <v>0</v>
      </c>
      <c r="B1155" s="459">
        <f t="shared" si="321"/>
        <v>0</v>
      </c>
      <c r="C1155" s="450"/>
      <c r="D1155" s="460">
        <f t="shared" si="322"/>
        <v>0</v>
      </c>
      <c r="E1155" s="453"/>
      <c r="F1155" s="456">
        <f>IF(C1155="",0,IFERROR(VLOOKUP(COUNTIF($A$1:A1155,"ANALISIS DE PRECIOS"),T_Rendimiento_Equipo,5,FALSE),0))</f>
        <v>0</v>
      </c>
      <c r="G1155" s="453">
        <f t="shared" si="325"/>
        <v>0</v>
      </c>
    </row>
    <row r="1156" spans="1:7" ht="19.899999999999999" customHeight="1" x14ac:dyDescent="0.2">
      <c r="A1156" s="497"/>
      <c r="B1156" s="440"/>
      <c r="C1156" s="155"/>
      <c r="D1156" s="440"/>
      <c r="E1156" s="441"/>
      <c r="F1156" s="462" t="s">
        <v>27</v>
      </c>
      <c r="G1156" s="498">
        <f>SUBTOTAL(9,G1147:G1155)</f>
        <v>0</v>
      </c>
    </row>
    <row r="1157" spans="1:7" ht="19.899999999999999" customHeight="1" x14ac:dyDescent="0.2">
      <c r="A1157" s="494"/>
      <c r="B1157" s="155"/>
      <c r="C1157" s="436" t="s">
        <v>713</v>
      </c>
      <c r="D1157" s="440"/>
      <c r="E1157" s="441"/>
      <c r="F1157" s="442"/>
      <c r="G1157" s="495"/>
    </row>
    <row r="1158" spans="1:7" ht="19.899999999999999" customHeight="1" x14ac:dyDescent="0.2">
      <c r="A1158" s="677" t="s">
        <v>576</v>
      </c>
      <c r="B1158" s="678"/>
      <c r="C1158" s="679" t="s">
        <v>0</v>
      </c>
      <c r="D1158" s="681" t="s">
        <v>24</v>
      </c>
      <c r="E1158" s="681" t="s">
        <v>1711</v>
      </c>
      <c r="F1158" s="683" t="s">
        <v>983</v>
      </c>
      <c r="G1158" s="685" t="s">
        <v>26</v>
      </c>
    </row>
    <row r="1159" spans="1:7" ht="19.899999999999999" customHeight="1" x14ac:dyDescent="0.2">
      <c r="A1159" s="458" t="s">
        <v>577</v>
      </c>
      <c r="B1159" s="458" t="s">
        <v>578</v>
      </c>
      <c r="C1159" s="680"/>
      <c r="D1159" s="682"/>
      <c r="E1159" s="682"/>
      <c r="F1159" s="684"/>
      <c r="G1159" s="686"/>
    </row>
    <row r="1160" spans="1:7" ht="19.899999999999999" customHeight="1" x14ac:dyDescent="0.2">
      <c r="A1160" s="496">
        <f t="shared" ref="A1160:A1166" si="326">IFERROR(VLOOKUP(C1160,T_Insumos,4,FALSE),0)</f>
        <v>0</v>
      </c>
      <c r="B1160" s="459">
        <f t="shared" ref="B1160:B1166" si="327">IFERROR(VLOOKUP(C1160,T_Insumos,5,FALSE),0)</f>
        <v>0</v>
      </c>
      <c r="C1160" s="463">
        <f>+C710</f>
        <v>0</v>
      </c>
      <c r="D1160" s="456"/>
      <c r="E1160" s="453">
        <f t="shared" ref="E1160:E1166" si="328">IFERROR(VLOOKUP(C1160,T_Insumos,3,FALSE),0)</f>
        <v>0</v>
      </c>
      <c r="F1160" s="456">
        <f>IF(C1160="",0,IFERROR(VLOOKUP(COUNTIF($A$1:A1160,"ANALISIS DE PRECIOS"),T_Rendimiento_Equipo,5,FALSE),0))</f>
        <v>0</v>
      </c>
      <c r="G1160" s="453">
        <f>IFERROR(ROUND(D1160*E1160/F1160,2),0)</f>
        <v>0</v>
      </c>
    </row>
    <row r="1161" spans="1:7" ht="19.899999999999999" customHeight="1" x14ac:dyDescent="0.2">
      <c r="A1161" s="496">
        <f t="shared" si="326"/>
        <v>0</v>
      </c>
      <c r="B1161" s="459">
        <f t="shared" si="327"/>
        <v>0</v>
      </c>
      <c r="C1161" s="463">
        <f t="shared" ref="C1161:C1163" si="329">+C711</f>
        <v>0</v>
      </c>
      <c r="D1161" s="456"/>
      <c r="E1161" s="453">
        <f t="shared" si="328"/>
        <v>0</v>
      </c>
      <c r="F1161" s="456">
        <f>IF(C1161="",0,IFERROR(VLOOKUP(COUNTIF($A$1:A1161,"ANALISIS DE PRECIOS"),T_Rendimiento_Equipo,5,FALSE),0))</f>
        <v>0</v>
      </c>
      <c r="G1161" s="453">
        <f t="shared" ref="G1161:G1166" si="330">IFERROR(ROUND(D1161*E1161/F1161,2),0)</f>
        <v>0</v>
      </c>
    </row>
    <row r="1162" spans="1:7" ht="19.899999999999999" customHeight="1" x14ac:dyDescent="0.2">
      <c r="A1162" s="496">
        <f t="shared" si="326"/>
        <v>0</v>
      </c>
      <c r="B1162" s="459">
        <f t="shared" si="327"/>
        <v>0</v>
      </c>
      <c r="C1162" s="463">
        <f t="shared" si="329"/>
        <v>0</v>
      </c>
      <c r="D1162" s="456"/>
      <c r="E1162" s="453">
        <f t="shared" si="328"/>
        <v>0</v>
      </c>
      <c r="F1162" s="456">
        <f>IF(C1162="",0,IFERROR(VLOOKUP(COUNTIF($A$1:A1162,"ANALISIS DE PRECIOS"),T_Rendimiento_Equipo,5,FALSE),0))</f>
        <v>0</v>
      </c>
      <c r="G1162" s="453">
        <f t="shared" si="330"/>
        <v>0</v>
      </c>
    </row>
    <row r="1163" spans="1:7" ht="19.899999999999999" customHeight="1" x14ac:dyDescent="0.2">
      <c r="A1163" s="496">
        <f t="shared" si="326"/>
        <v>0</v>
      </c>
      <c r="B1163" s="459">
        <f t="shared" si="327"/>
        <v>0</v>
      </c>
      <c r="C1163" s="463" t="str">
        <f t="shared" si="329"/>
        <v>B - MANO DE OBRA</v>
      </c>
      <c r="D1163" s="456"/>
      <c r="E1163" s="453">
        <f t="shared" si="328"/>
        <v>0</v>
      </c>
      <c r="F1163" s="456">
        <f>IF(C1163="",0,IFERROR(VLOOKUP(COUNTIF($A$1:A1163,"ANALISIS DE PRECIOS"),T_Rendimiento_Equipo,5,FALSE),0))</f>
        <v>0</v>
      </c>
      <c r="G1163" s="453">
        <f>IFERROR(ROUND(D1163*E1163/F1163,2),0)</f>
        <v>0</v>
      </c>
    </row>
    <row r="1164" spans="1:7" ht="19.899999999999999" customHeight="1" x14ac:dyDescent="0.2">
      <c r="A1164" s="496">
        <f t="shared" si="326"/>
        <v>0</v>
      </c>
      <c r="B1164" s="459">
        <f t="shared" si="327"/>
        <v>0</v>
      </c>
      <c r="C1164" s="450"/>
      <c r="D1164" s="456"/>
      <c r="E1164" s="453">
        <f t="shared" si="328"/>
        <v>0</v>
      </c>
      <c r="F1164" s="456">
        <f>IF(C1164="",0,IFERROR(VLOOKUP(COUNTIF($A$1:A1164,"ANALISIS DE PRECIOS"),T_Rendimiento_Equipo,5,FALSE),0))</f>
        <v>0</v>
      </c>
      <c r="G1164" s="453">
        <f t="shared" ref="G1164:G1169" si="331">IFERROR(ROUND(D1164*E1164/F1164,2),0)</f>
        <v>0</v>
      </c>
    </row>
    <row r="1165" spans="1:7" ht="19.899999999999999" customHeight="1" x14ac:dyDescent="0.2">
      <c r="A1165" s="496">
        <f t="shared" si="326"/>
        <v>0</v>
      </c>
      <c r="B1165" s="459">
        <f t="shared" si="327"/>
        <v>0</v>
      </c>
      <c r="C1165" s="450"/>
      <c r="D1165" s="464"/>
      <c r="E1165" s="453">
        <f t="shared" si="328"/>
        <v>0</v>
      </c>
      <c r="F1165" s="456">
        <f>IF(C1165="",0,IFERROR(VLOOKUP(COUNTIF($A$1:A1165,"ANALISIS DE PRECIOS"),T_Rendimiento_Equipo,5,FALSE),0))</f>
        <v>0</v>
      </c>
      <c r="G1165" s="453">
        <f t="shared" si="331"/>
        <v>0</v>
      </c>
    </row>
    <row r="1166" spans="1:7" ht="19.899999999999999" customHeight="1" x14ac:dyDescent="0.2">
      <c r="A1166" s="496">
        <f t="shared" si="326"/>
        <v>0</v>
      </c>
      <c r="B1166" s="459">
        <f t="shared" si="327"/>
        <v>0</v>
      </c>
      <c r="C1166" s="459"/>
      <c r="D1166" s="465"/>
      <c r="E1166" s="453">
        <f t="shared" si="328"/>
        <v>0</v>
      </c>
      <c r="F1166" s="456">
        <f>IF(C1166="",0,IFERROR(VLOOKUP(COUNTIF($A$1:A1166,"ANALISIS DE PRECIOS"),T_Rendimiento_Equipo,5,FALSE),0))</f>
        <v>0</v>
      </c>
      <c r="G1166" s="453">
        <f t="shared" si="331"/>
        <v>0</v>
      </c>
    </row>
    <row r="1167" spans="1:7" ht="19.899999999999999" customHeight="1" x14ac:dyDescent="0.2">
      <c r="A1167" s="497"/>
      <c r="B1167" s="440"/>
      <c r="C1167" s="155"/>
      <c r="D1167" s="440"/>
      <c r="E1167" s="441"/>
      <c r="F1167" s="462" t="s">
        <v>28</v>
      </c>
      <c r="G1167" s="499">
        <f>SUBTOTAL(9,G1160:G1166)</f>
        <v>0</v>
      </c>
    </row>
    <row r="1168" spans="1:7" ht="19.899999999999999" customHeight="1" x14ac:dyDescent="0.2">
      <c r="A1168" s="494"/>
      <c r="B1168" s="155"/>
      <c r="C1168" s="436" t="s">
        <v>990</v>
      </c>
      <c r="D1168" s="440"/>
      <c r="E1168" s="441"/>
      <c r="F1168" s="442"/>
      <c r="G1168" s="495"/>
    </row>
    <row r="1169" spans="1:7" ht="19.899999999999999" customHeight="1" x14ac:dyDescent="0.2">
      <c r="A1169" s="677" t="s">
        <v>576</v>
      </c>
      <c r="B1169" s="678"/>
      <c r="C1169" s="679" t="s">
        <v>0</v>
      </c>
      <c r="D1169" s="679" t="s">
        <v>1733</v>
      </c>
      <c r="E1169" s="681" t="s">
        <v>24</v>
      </c>
      <c r="F1169" s="683" t="s">
        <v>25</v>
      </c>
      <c r="G1169" s="685" t="s">
        <v>26</v>
      </c>
    </row>
    <row r="1170" spans="1:7" ht="19.899999999999999" customHeight="1" x14ac:dyDescent="0.2">
      <c r="A1170" s="458" t="s">
        <v>577</v>
      </c>
      <c r="B1170" s="458" t="s">
        <v>578</v>
      </c>
      <c r="C1170" s="680"/>
      <c r="D1170" s="680"/>
      <c r="E1170" s="682"/>
      <c r="F1170" s="684"/>
      <c r="G1170" s="686"/>
    </row>
    <row r="1171" spans="1:7" ht="19.899999999999999" customHeight="1" x14ac:dyDescent="0.2">
      <c r="A1171" s="496">
        <f t="shared" ref="A1171:A1181" si="332">IFERROR(VLOOKUP(C1171,T_Insumos,4,FALSE),0)</f>
        <v>0</v>
      </c>
      <c r="B1171" s="459">
        <f t="shared" ref="B1171:B1181" si="333">IFERROR(VLOOKUP(C1171,T_Insumos,5,FALSE),0)</f>
        <v>0</v>
      </c>
      <c r="C1171" s="459">
        <f>+Insumos!A718</f>
        <v>0</v>
      </c>
      <c r="D1171" s="507">
        <f t="shared" ref="D1171:D1181" si="334">IFERROR(VLOOKUP(C1171,T_Insumos,2,FALSE),0)</f>
        <v>0</v>
      </c>
      <c r="E1171" s="451"/>
      <c r="F1171" s="453">
        <f t="shared" ref="F1171:F1181" si="335">IFERROR(VLOOKUP(C1171,T_Insumos,3,FALSE),0)</f>
        <v>0</v>
      </c>
      <c r="G1171" s="453">
        <f>ROUND(E1171*F1171,2)</f>
        <v>0</v>
      </c>
    </row>
    <row r="1172" spans="1:7" ht="19.899999999999999" customHeight="1" x14ac:dyDescent="0.2">
      <c r="A1172" s="496">
        <f t="shared" si="332"/>
        <v>0</v>
      </c>
      <c r="B1172" s="459">
        <f t="shared" si="333"/>
        <v>0</v>
      </c>
      <c r="C1172" s="459">
        <f>+Insumos!A760</f>
        <v>0</v>
      </c>
      <c r="D1172" s="507">
        <f t="shared" si="334"/>
        <v>0</v>
      </c>
      <c r="E1172" s="451"/>
      <c r="F1172" s="453">
        <f t="shared" si="335"/>
        <v>0</v>
      </c>
      <c r="G1172" s="453">
        <f>ROUND(E1172*F1172,2)</f>
        <v>0</v>
      </c>
    </row>
    <row r="1173" spans="1:7" ht="19.899999999999999" customHeight="1" x14ac:dyDescent="0.2">
      <c r="A1173" s="496">
        <f t="shared" si="332"/>
        <v>0</v>
      </c>
      <c r="B1173" s="459">
        <f t="shared" si="333"/>
        <v>0</v>
      </c>
      <c r="C1173" s="459"/>
      <c r="D1173" s="507">
        <f t="shared" si="334"/>
        <v>0</v>
      </c>
      <c r="E1173" s="451"/>
      <c r="F1173" s="453">
        <f t="shared" si="335"/>
        <v>0</v>
      </c>
      <c r="G1173" s="453">
        <f t="shared" ref="G1173:G1181" si="336">ROUND(E1173*F1173,2)</f>
        <v>0</v>
      </c>
    </row>
    <row r="1174" spans="1:7" ht="19.899999999999999" customHeight="1" x14ac:dyDescent="0.2">
      <c r="A1174" s="496">
        <f t="shared" si="332"/>
        <v>0</v>
      </c>
      <c r="B1174" s="459">
        <f t="shared" si="333"/>
        <v>0</v>
      </c>
      <c r="C1174" s="459"/>
      <c r="D1174" s="507">
        <f t="shared" si="334"/>
        <v>0</v>
      </c>
      <c r="E1174" s="451"/>
      <c r="F1174" s="453">
        <f t="shared" si="335"/>
        <v>0</v>
      </c>
      <c r="G1174" s="453">
        <f t="shared" si="336"/>
        <v>0</v>
      </c>
    </row>
    <row r="1175" spans="1:7" ht="19.899999999999999" customHeight="1" x14ac:dyDescent="0.2">
      <c r="A1175" s="496">
        <f t="shared" si="332"/>
        <v>0</v>
      </c>
      <c r="B1175" s="459">
        <f t="shared" si="333"/>
        <v>0</v>
      </c>
      <c r="C1175" s="459"/>
      <c r="D1175" s="507">
        <f t="shared" si="334"/>
        <v>0</v>
      </c>
      <c r="E1175" s="451"/>
      <c r="F1175" s="453">
        <f t="shared" si="335"/>
        <v>0</v>
      </c>
      <c r="G1175" s="453">
        <f t="shared" si="336"/>
        <v>0</v>
      </c>
    </row>
    <row r="1176" spans="1:7" ht="19.899999999999999" customHeight="1" x14ac:dyDescent="0.2">
      <c r="A1176" s="496">
        <f t="shared" si="332"/>
        <v>0</v>
      </c>
      <c r="B1176" s="459">
        <f t="shared" si="333"/>
        <v>0</v>
      </c>
      <c r="C1176" s="459"/>
      <c r="D1176" s="507">
        <f t="shared" si="334"/>
        <v>0</v>
      </c>
      <c r="E1176" s="451"/>
      <c r="F1176" s="453">
        <f t="shared" si="335"/>
        <v>0</v>
      </c>
      <c r="G1176" s="453">
        <f t="shared" si="336"/>
        <v>0</v>
      </c>
    </row>
    <row r="1177" spans="1:7" ht="19.899999999999999" customHeight="1" x14ac:dyDescent="0.2">
      <c r="A1177" s="496">
        <f t="shared" si="332"/>
        <v>0</v>
      </c>
      <c r="B1177" s="459">
        <f t="shared" si="333"/>
        <v>0</v>
      </c>
      <c r="C1177" s="459"/>
      <c r="D1177" s="507">
        <f t="shared" si="334"/>
        <v>0</v>
      </c>
      <c r="E1177" s="451"/>
      <c r="F1177" s="453">
        <f t="shared" si="335"/>
        <v>0</v>
      </c>
      <c r="G1177" s="453">
        <f t="shared" si="336"/>
        <v>0</v>
      </c>
    </row>
    <row r="1178" spans="1:7" ht="19.899999999999999" customHeight="1" x14ac:dyDescent="0.2">
      <c r="A1178" s="496">
        <f t="shared" si="332"/>
        <v>0</v>
      </c>
      <c r="B1178" s="459">
        <f t="shared" si="333"/>
        <v>0</v>
      </c>
      <c r="C1178" s="459"/>
      <c r="D1178" s="507">
        <f t="shared" si="334"/>
        <v>0</v>
      </c>
      <c r="E1178" s="451"/>
      <c r="F1178" s="453">
        <f t="shared" si="335"/>
        <v>0</v>
      </c>
      <c r="G1178" s="453">
        <f t="shared" si="336"/>
        <v>0</v>
      </c>
    </row>
    <row r="1179" spans="1:7" ht="19.899999999999999" customHeight="1" x14ac:dyDescent="0.2">
      <c r="A1179" s="496">
        <f t="shared" si="332"/>
        <v>0</v>
      </c>
      <c r="B1179" s="459">
        <f t="shared" si="333"/>
        <v>0</v>
      </c>
      <c r="C1179" s="459"/>
      <c r="D1179" s="507">
        <f t="shared" si="334"/>
        <v>0</v>
      </c>
      <c r="E1179" s="451"/>
      <c r="F1179" s="453">
        <f t="shared" si="335"/>
        <v>0</v>
      </c>
      <c r="G1179" s="453">
        <f t="shared" si="336"/>
        <v>0</v>
      </c>
    </row>
    <row r="1180" spans="1:7" ht="19.899999999999999" customHeight="1" x14ac:dyDescent="0.2">
      <c r="A1180" s="496">
        <f t="shared" si="332"/>
        <v>0</v>
      </c>
      <c r="B1180" s="459">
        <f t="shared" si="333"/>
        <v>0</v>
      </c>
      <c r="C1180" s="459"/>
      <c r="D1180" s="507">
        <f t="shared" si="334"/>
        <v>0</v>
      </c>
      <c r="E1180" s="451"/>
      <c r="F1180" s="453">
        <f t="shared" si="335"/>
        <v>0</v>
      </c>
      <c r="G1180" s="453">
        <f t="shared" si="336"/>
        <v>0</v>
      </c>
    </row>
    <row r="1181" spans="1:7" ht="19.899999999999999" customHeight="1" x14ac:dyDescent="0.2">
      <c r="A1181" s="496">
        <f t="shared" si="332"/>
        <v>0</v>
      </c>
      <c r="B1181" s="459">
        <f t="shared" si="333"/>
        <v>0</v>
      </c>
      <c r="C1181" s="459"/>
      <c r="D1181" s="507">
        <f t="shared" si="334"/>
        <v>0</v>
      </c>
      <c r="E1181" s="451"/>
      <c r="F1181" s="453">
        <f t="shared" si="335"/>
        <v>0</v>
      </c>
      <c r="G1181" s="453">
        <f t="shared" si="336"/>
        <v>0</v>
      </c>
    </row>
    <row r="1182" spans="1:7" ht="19.899999999999999" customHeight="1" x14ac:dyDescent="0.2">
      <c r="A1182" s="494"/>
      <c r="B1182" s="155"/>
      <c r="C1182" s="155"/>
      <c r="D1182" s="440"/>
      <c r="E1182" s="441"/>
      <c r="F1182" s="462" t="s">
        <v>29</v>
      </c>
      <c r="G1182" s="499">
        <f>SUBTOTAL(9,G1171:G1181)</f>
        <v>0</v>
      </c>
    </row>
    <row r="1183" spans="1:7" ht="19.899999999999999" customHeight="1" x14ac:dyDescent="0.2">
      <c r="A1183" s="494"/>
      <c r="B1183" s="155"/>
      <c r="C1183" s="436" t="s">
        <v>991</v>
      </c>
      <c r="D1183" s="440"/>
      <c r="E1183" s="441"/>
      <c r="F1183" s="442"/>
      <c r="G1183" s="495"/>
    </row>
    <row r="1184" spans="1:7" ht="19.899999999999999" customHeight="1" x14ac:dyDescent="0.2">
      <c r="A1184" s="677" t="s">
        <v>576</v>
      </c>
      <c r="B1184" s="678"/>
      <c r="C1184" s="679" t="s">
        <v>0</v>
      </c>
      <c r="D1184" s="679" t="s">
        <v>1733</v>
      </c>
      <c r="E1184" s="681" t="s">
        <v>24</v>
      </c>
      <c r="F1184" s="683" t="s">
        <v>25</v>
      </c>
      <c r="G1184" s="685" t="s">
        <v>26</v>
      </c>
    </row>
    <row r="1185" spans="1:7" ht="19.899999999999999" customHeight="1" x14ac:dyDescent="0.2">
      <c r="A1185" s="458" t="s">
        <v>577</v>
      </c>
      <c r="B1185" s="458" t="s">
        <v>578</v>
      </c>
      <c r="C1185" s="680"/>
      <c r="D1185" s="680"/>
      <c r="E1185" s="682"/>
      <c r="F1185" s="684"/>
      <c r="G1185" s="686"/>
    </row>
    <row r="1186" spans="1:7" ht="19.899999999999999" customHeight="1" x14ac:dyDescent="0.2">
      <c r="A1186" s="496">
        <f>IFERROR(VLOOKUP(C1186,T_Insumos,4,FALSE),0)</f>
        <v>0</v>
      </c>
      <c r="B1186" s="459">
        <f>IFERROR(VLOOKUP(C1186,T_Insumos,5,FALSE),0)</f>
        <v>0</v>
      </c>
      <c r="C1186" s="450"/>
      <c r="D1186" s="507">
        <f>IF(C1186=0,0,"$/tnkm")</f>
        <v>0</v>
      </c>
      <c r="E1186" s="451"/>
      <c r="F1186" s="453">
        <f>IFERROR(VLOOKUP(C1186,T_Insumos,3,FALSE),0)</f>
        <v>0</v>
      </c>
      <c r="G1186" s="453">
        <f>ROUND(E1186*F1186,2)</f>
        <v>0</v>
      </c>
    </row>
    <row r="1187" spans="1:7" ht="19.899999999999999" customHeight="1" x14ac:dyDescent="0.2">
      <c r="A1187" s="496">
        <f>IFERROR(VLOOKUP(C1187,T_Insumos,4,FALSE),0)</f>
        <v>0</v>
      </c>
      <c r="B1187" s="459">
        <f>IFERROR(VLOOKUP(C1187,T_Insumos,5,FALSE),0)</f>
        <v>0</v>
      </c>
      <c r="C1187" s="450"/>
      <c r="D1187" s="507">
        <f>IF(C1187=0,0,"$/tnkm")</f>
        <v>0</v>
      </c>
      <c r="E1187" s="467"/>
      <c r="F1187" s="453">
        <f>IFERROR(VLOOKUP(C1187,T_Insumos,3,FALSE),0)</f>
        <v>0</v>
      </c>
      <c r="G1187" s="453">
        <f t="shared" ref="G1187" si="337">ROUND(E1187*F1187,2)</f>
        <v>0</v>
      </c>
    </row>
    <row r="1188" spans="1:7" ht="19.899999999999999" customHeight="1" x14ac:dyDescent="0.2">
      <c r="A1188" s="494"/>
      <c r="B1188" s="155"/>
      <c r="C1188" s="155"/>
      <c r="D1188" s="440"/>
      <c r="E1188" s="441"/>
      <c r="F1188" s="462" t="s">
        <v>992</v>
      </c>
      <c r="G1188" s="499">
        <f>SUBTOTAL(9,G1186:G1187)</f>
        <v>0</v>
      </c>
    </row>
    <row r="1189" spans="1:7" ht="19.899999999999999" customHeight="1" x14ac:dyDescent="0.2">
      <c r="A1189" s="497"/>
      <c r="B1189" s="440"/>
      <c r="C1189" s="155"/>
      <c r="D1189" s="440"/>
      <c r="E1189" s="441"/>
      <c r="F1189" s="442"/>
      <c r="G1189" s="495"/>
    </row>
    <row r="1190" spans="1:7" ht="19.899999999999999" customHeight="1" x14ac:dyDescent="0.2">
      <c r="A1190" s="555" t="str">
        <f>B1124</f>
        <v>3.2.1</v>
      </c>
      <c r="B1190" s="552" t="str">
        <f ca="1">C1124</f>
        <v xml:space="preserve">Hormigón H-21  </v>
      </c>
      <c r="C1190" s="440"/>
      <c r="D1190" s="440" t="s">
        <v>1712</v>
      </c>
      <c r="E1190" s="553"/>
      <c r="F1190" s="554" t="str">
        <f ca="1">"$/"&amp;G1124</f>
        <v>$/M3</v>
      </c>
      <c r="G1190" s="504">
        <f>SUBTOTAL(9,G1147:G1189)</f>
        <v>0</v>
      </c>
    </row>
    <row r="1191" spans="1:7" ht="19.899999999999999" customHeight="1" x14ac:dyDescent="0.2">
      <c r="A1191" s="500"/>
      <c r="B1191" s="501"/>
      <c r="C1191" s="502"/>
      <c r="D1191" s="502" t="s">
        <v>1908</v>
      </c>
      <c r="E1191" s="503"/>
      <c r="F1191" s="556" t="str">
        <f ca="1">"$/"&amp;G1124</f>
        <v>$/M3</v>
      </c>
      <c r="G1191" s="504">
        <f>ROUND(G1190*Coeficiente_Paso,2)</f>
        <v>0</v>
      </c>
    </row>
    <row r="1192" spans="1:7" ht="19.899999999999999" customHeight="1" x14ac:dyDescent="0.2">
      <c r="A1192" s="687" t="s">
        <v>31</v>
      </c>
      <c r="B1192" s="688"/>
      <c r="C1192" s="688"/>
      <c r="D1192" s="688"/>
      <c r="E1192" s="688"/>
      <c r="F1192" s="688"/>
      <c r="G1192" s="689"/>
    </row>
    <row r="1193" spans="1:7" ht="19.899999999999999" customHeight="1" x14ac:dyDescent="0.2">
      <c r="A1193" s="483" t="s">
        <v>711</v>
      </c>
      <c r="B1193" s="434" t="str">
        <f>Comitente</f>
        <v>DEPARTAMENTO DE HIDRÁULICA</v>
      </c>
      <c r="C1193" s="435"/>
      <c r="D1193" s="436"/>
      <c r="E1193" s="436"/>
      <c r="F1193" s="437"/>
      <c r="G1193" s="484"/>
    </row>
    <row r="1194" spans="1:7" ht="19.899999999999999" customHeight="1" x14ac:dyDescent="0.2">
      <c r="A1194" s="483" t="s">
        <v>712</v>
      </c>
      <c r="B1194" s="434">
        <f>Contratista</f>
        <v>0</v>
      </c>
      <c r="C1194" s="438"/>
      <c r="D1194" s="438"/>
      <c r="E1194" s="438"/>
      <c r="F1194" s="434"/>
      <c r="G1194" s="485"/>
    </row>
    <row r="1195" spans="1:7" ht="19.899999999999999" customHeight="1" x14ac:dyDescent="0.2">
      <c r="A1195" s="483" t="s">
        <v>21</v>
      </c>
      <c r="B1195" s="434" t="str">
        <f>Obra</f>
        <v>RECRECIMIENTO Y REPARACIÓN CANALES SARMIENTO, 9 DE JULIO Y CHIMBAS</v>
      </c>
      <c r="C1195" s="438"/>
      <c r="D1195" s="438"/>
      <c r="E1195" s="438"/>
      <c r="F1195" s="434" t="s">
        <v>32</v>
      </c>
      <c r="G1195" s="485">
        <f>Fecha_Base</f>
        <v>0</v>
      </c>
    </row>
    <row r="1196" spans="1:7" ht="19.899999999999999" customHeight="1" x14ac:dyDescent="0.2">
      <c r="A1196" s="486" t="s">
        <v>710</v>
      </c>
      <c r="B1196" s="439" t="str">
        <f>Ubicación</f>
        <v>DEPARTAMENTOS SARMIENTO, 9 DE JULIO Y CHIMBAS</v>
      </c>
      <c r="C1196" s="439"/>
      <c r="D1196" s="440"/>
      <c r="E1196" s="441"/>
      <c r="F1196" s="442"/>
      <c r="G1196" s="487"/>
    </row>
    <row r="1197" spans="1:7" ht="19.899999999999999" customHeight="1" x14ac:dyDescent="0.2">
      <c r="A1197" s="486" t="s">
        <v>33</v>
      </c>
      <c r="B1197" s="443">
        <f>IFERROR(VALUE(LEFT(B1198,FIND(".",B1198)-1)),"")</f>
        <v>3</v>
      </c>
      <c r="C1197" s="155" t="str">
        <f ca="1">IFERROR(VLOOKUP(B1197,T_Computo_Presupuesto,2,FALSE),0)</f>
        <v>RECRECIMIENTO C. PASTORIZA-VIDELA</v>
      </c>
      <c r="D1197" s="155"/>
      <c r="E1197" s="441"/>
      <c r="F1197" s="442"/>
      <c r="G1197" s="487"/>
    </row>
    <row r="1198" spans="1:7" ht="19.899999999999999" customHeight="1" x14ac:dyDescent="0.2">
      <c r="A1198" s="486" t="s">
        <v>22</v>
      </c>
      <c r="B1198" s="444" t="str">
        <f>IFERROR(VLOOKUP(COUNTIF($A$1:A1198,"ANALISIS DE PRECIOS"),T_NumeroItem,2,FALSE),"")</f>
        <v>3.2.2</v>
      </c>
      <c r="C1198" s="690" t="str">
        <f ca="1">IFERROR(VLOOKUP(B1198,T_Computo_Presupuesto,2,FALSE),0)</f>
        <v>Armadura puesta en obra</v>
      </c>
      <c r="D1198" s="690"/>
      <c r="E1198" s="690"/>
      <c r="F1198" s="439" t="s">
        <v>23</v>
      </c>
      <c r="G1198" s="488" t="str">
        <f ca="1">IFERROR(VLOOKUP(B1198,T_Computo_Presupuesto,4,FALSE),0)</f>
        <v>KG</v>
      </c>
    </row>
    <row r="1199" spans="1:7" ht="19.899999999999999" customHeight="1" x14ac:dyDescent="0.2">
      <c r="A1199" s="486"/>
      <c r="B1199" s="439"/>
      <c r="C1199" s="155"/>
      <c r="D1199" s="440"/>
      <c r="E1199" s="441"/>
      <c r="F1199" s="155"/>
      <c r="G1199" s="489"/>
    </row>
    <row r="1200" spans="1:7" ht="19.899999999999999" customHeight="1" x14ac:dyDescent="0.2">
      <c r="A1200" s="490"/>
      <c r="B1200" s="445"/>
      <c r="C1200" s="446" t="s">
        <v>975</v>
      </c>
      <c r="D1200" s="445"/>
      <c r="E1200" s="445"/>
      <c r="F1200" s="445"/>
      <c r="G1200" s="491"/>
    </row>
    <row r="1201" spans="1:7" ht="19.899999999999999" customHeight="1" x14ac:dyDescent="0.2">
      <c r="A1201" s="486"/>
      <c r="B1201" s="447"/>
      <c r="C1201" s="155"/>
      <c r="D1201" s="440"/>
      <c r="E1201" s="441"/>
      <c r="F1201" s="439"/>
      <c r="G1201" s="488"/>
    </row>
    <row r="1202" spans="1:7" ht="19.899999999999999" customHeight="1" x14ac:dyDescent="0.2">
      <c r="A1202" s="486"/>
      <c r="B1202" s="447"/>
      <c r="C1202" s="448" t="s">
        <v>976</v>
      </c>
      <c r="D1202" s="449" t="s">
        <v>24</v>
      </c>
      <c r="E1202" s="449" t="s">
        <v>977</v>
      </c>
      <c r="F1202" s="449" t="s">
        <v>978</v>
      </c>
      <c r="G1202" s="448" t="s">
        <v>979</v>
      </c>
    </row>
    <row r="1203" spans="1:7" ht="19.899999999999999" customHeight="1" x14ac:dyDescent="0.2">
      <c r="A1203" s="486"/>
      <c r="B1203" s="447"/>
      <c r="C1203" s="450">
        <f>+Equipos!A757</f>
        <v>0</v>
      </c>
      <c r="D1203" s="451"/>
      <c r="E1203" s="452">
        <f t="shared" ref="E1203:E1212" si="338">IFERROR(VLOOKUP(C1203,T_Equipos,4,FALSE),0)</f>
        <v>0</v>
      </c>
      <c r="F1203" s="453">
        <f t="shared" ref="F1203:F1212" si="339">IFERROR(VLOOKUP(C1203,T_Equipos,5,FALSE),0)</f>
        <v>0</v>
      </c>
      <c r="G1203" s="453">
        <f>ROUND(D1203*F1203,2)</f>
        <v>0</v>
      </c>
    </row>
    <row r="1204" spans="1:7" ht="19.899999999999999" customHeight="1" x14ac:dyDescent="0.2">
      <c r="A1204" s="486"/>
      <c r="B1204" s="447"/>
      <c r="C1204" s="450">
        <f>+Equipos!A754</f>
        <v>0</v>
      </c>
      <c r="D1204" s="451"/>
      <c r="E1204" s="452">
        <f t="shared" si="338"/>
        <v>0</v>
      </c>
      <c r="F1204" s="453">
        <f t="shared" si="339"/>
        <v>0</v>
      </c>
      <c r="G1204" s="453">
        <f>ROUND(D1204*F1204,2)</f>
        <v>0</v>
      </c>
    </row>
    <row r="1205" spans="1:7" ht="19.899999999999999" customHeight="1" x14ac:dyDescent="0.2">
      <c r="A1205" s="486"/>
      <c r="B1205" s="447"/>
      <c r="C1205" s="450">
        <f>+Equipos!A766</f>
        <v>0</v>
      </c>
      <c r="D1205" s="451"/>
      <c r="E1205" s="452">
        <f t="shared" si="338"/>
        <v>0</v>
      </c>
      <c r="F1205" s="453">
        <f t="shared" si="339"/>
        <v>0</v>
      </c>
      <c r="G1205" s="453">
        <f>ROUND(D1205*F1205,2)</f>
        <v>0</v>
      </c>
    </row>
    <row r="1206" spans="1:7" ht="19.899999999999999" customHeight="1" x14ac:dyDescent="0.2">
      <c r="A1206" s="486"/>
      <c r="B1206" s="447"/>
      <c r="C1206" s="450">
        <f>+Equipos!A774</f>
        <v>0</v>
      </c>
      <c r="D1206" s="451"/>
      <c r="E1206" s="452">
        <f t="shared" si="338"/>
        <v>0</v>
      </c>
      <c r="F1206" s="453">
        <f t="shared" si="339"/>
        <v>0</v>
      </c>
      <c r="G1206" s="453">
        <f>ROUND(D1206*F1206,2)</f>
        <v>0</v>
      </c>
    </row>
    <row r="1207" spans="1:7" ht="19.899999999999999" customHeight="1" x14ac:dyDescent="0.2">
      <c r="A1207" s="486"/>
      <c r="B1207" s="447"/>
      <c r="C1207" s="450">
        <f>+Equipos!A763</f>
        <v>0</v>
      </c>
      <c r="D1207" s="623"/>
      <c r="E1207" s="452">
        <f t="shared" si="338"/>
        <v>0</v>
      </c>
      <c r="F1207" s="453">
        <f t="shared" si="339"/>
        <v>0</v>
      </c>
      <c r="G1207" s="453">
        <f t="shared" ref="G1207:G1212" si="340">ROUND(D1207*F1207,2)</f>
        <v>0</v>
      </c>
    </row>
    <row r="1208" spans="1:7" ht="19.899999999999999" customHeight="1" x14ac:dyDescent="0.2">
      <c r="A1208" s="486"/>
      <c r="B1208" s="447"/>
      <c r="C1208" s="450">
        <f>+Equipos!A759</f>
        <v>0</v>
      </c>
      <c r="D1208" s="451"/>
      <c r="E1208" s="452">
        <f t="shared" si="338"/>
        <v>0</v>
      </c>
      <c r="F1208" s="453">
        <f t="shared" si="339"/>
        <v>0</v>
      </c>
      <c r="G1208" s="453">
        <f t="shared" si="340"/>
        <v>0</v>
      </c>
    </row>
    <row r="1209" spans="1:7" ht="19.899999999999999" customHeight="1" x14ac:dyDescent="0.2">
      <c r="A1209" s="486"/>
      <c r="B1209" s="447"/>
      <c r="C1209" s="450"/>
      <c r="D1209" s="451"/>
      <c r="E1209" s="452">
        <f t="shared" si="338"/>
        <v>0</v>
      </c>
      <c r="F1209" s="453">
        <f t="shared" si="339"/>
        <v>0</v>
      </c>
      <c r="G1209" s="453">
        <f t="shared" si="340"/>
        <v>0</v>
      </c>
    </row>
    <row r="1210" spans="1:7" ht="19.899999999999999" customHeight="1" x14ac:dyDescent="0.2">
      <c r="A1210" s="486"/>
      <c r="B1210" s="447"/>
      <c r="C1210" s="450"/>
      <c r="D1210" s="451"/>
      <c r="E1210" s="452">
        <f t="shared" si="338"/>
        <v>0</v>
      </c>
      <c r="F1210" s="453">
        <f t="shared" si="339"/>
        <v>0</v>
      </c>
      <c r="G1210" s="453">
        <f t="shared" si="340"/>
        <v>0</v>
      </c>
    </row>
    <row r="1211" spans="1:7" ht="19.899999999999999" customHeight="1" x14ac:dyDescent="0.2">
      <c r="A1211" s="486"/>
      <c r="B1211" s="447"/>
      <c r="C1211" s="450"/>
      <c r="D1211" s="451"/>
      <c r="E1211" s="452">
        <f t="shared" si="338"/>
        <v>0</v>
      </c>
      <c r="F1211" s="453">
        <f t="shared" si="339"/>
        <v>0</v>
      </c>
      <c r="G1211" s="453">
        <f t="shared" si="340"/>
        <v>0</v>
      </c>
    </row>
    <row r="1212" spans="1:7" ht="19.899999999999999" customHeight="1" x14ac:dyDescent="0.2">
      <c r="A1212" s="486"/>
      <c r="B1212" s="447"/>
      <c r="C1212" s="450"/>
      <c r="D1212" s="451"/>
      <c r="E1212" s="452">
        <f t="shared" si="338"/>
        <v>0</v>
      </c>
      <c r="F1212" s="453">
        <f t="shared" si="339"/>
        <v>0</v>
      </c>
      <c r="G1212" s="453">
        <f t="shared" si="340"/>
        <v>0</v>
      </c>
    </row>
    <row r="1213" spans="1:7" ht="19.899999999999999" customHeight="1" x14ac:dyDescent="0.2">
      <c r="A1213" s="486"/>
      <c r="B1213" s="447"/>
      <c r="C1213" s="155"/>
      <c r="D1213" s="155"/>
      <c r="E1213" s="454"/>
      <c r="F1213" s="439"/>
      <c r="G1213" s="488"/>
    </row>
    <row r="1214" spans="1:7" ht="19.899999999999999" customHeight="1" x14ac:dyDescent="0.2">
      <c r="A1214" s="486"/>
      <c r="B1214" s="155"/>
      <c r="C1214" s="436" t="s">
        <v>980</v>
      </c>
      <c r="D1214" s="439" t="s">
        <v>977</v>
      </c>
      <c r="E1214" s="505">
        <f>SUMPRODUCT(D1203:D1212,E1203:E1212)</f>
        <v>0</v>
      </c>
      <c r="F1214" s="439" t="s">
        <v>981</v>
      </c>
      <c r="G1214" s="506">
        <f>SUM(G1203:G1212)</f>
        <v>0</v>
      </c>
    </row>
    <row r="1215" spans="1:7" ht="19.899999999999999" customHeight="1" x14ac:dyDescent="0.2">
      <c r="A1215" s="486"/>
      <c r="B1215" s="447"/>
      <c r="C1215" s="455"/>
      <c r="D1215" s="454"/>
      <c r="E1215" s="441"/>
      <c r="F1215" s="439"/>
      <c r="G1215" s="492"/>
    </row>
    <row r="1216" spans="1:7" ht="19.899999999999999" customHeight="1" x14ac:dyDescent="0.2">
      <c r="A1216" s="493"/>
      <c r="B1216" s="447"/>
      <c r="C1216" s="439" t="s">
        <v>982</v>
      </c>
      <c r="D1216" s="456">
        <f>IFERROR(VLOOKUP(COUNTIF($A$1:A1216,"ANALISIS DE PRECIOS"),T_Rendimiento_Equipo,5,FALSE),0)</f>
        <v>0</v>
      </c>
      <c r="E1216" s="457" t="str">
        <f ca="1">G1198&amp;"/día"</f>
        <v>KG/día</v>
      </c>
      <c r="F1216" s="433"/>
      <c r="G1216" s="488"/>
    </row>
    <row r="1217" spans="1:7" ht="19.899999999999999" customHeight="1" x14ac:dyDescent="0.2">
      <c r="A1217" s="486"/>
      <c r="B1217" s="447"/>
      <c r="C1217" s="155"/>
      <c r="D1217" s="440"/>
      <c r="E1217" s="441"/>
      <c r="F1217" s="439"/>
      <c r="G1217" s="488"/>
    </row>
    <row r="1218" spans="1:7" ht="19.899999999999999" customHeight="1" x14ac:dyDescent="0.2">
      <c r="A1218" s="677" t="s">
        <v>576</v>
      </c>
      <c r="B1218" s="678"/>
      <c r="C1218" s="679" t="s">
        <v>0</v>
      </c>
      <c r="D1218" s="691" t="s">
        <v>1732</v>
      </c>
      <c r="E1218" s="691" t="s">
        <v>1731</v>
      </c>
      <c r="F1218" s="683" t="s">
        <v>983</v>
      </c>
      <c r="G1218" s="685" t="s">
        <v>26</v>
      </c>
    </row>
    <row r="1219" spans="1:7" ht="19.899999999999999" customHeight="1" x14ac:dyDescent="0.2">
      <c r="A1219" s="458" t="s">
        <v>577</v>
      </c>
      <c r="B1219" s="458" t="s">
        <v>578</v>
      </c>
      <c r="C1219" s="680"/>
      <c r="D1219" s="692"/>
      <c r="E1219" s="682"/>
      <c r="F1219" s="684"/>
      <c r="G1219" s="686"/>
    </row>
    <row r="1220" spans="1:7" ht="19.899999999999999" customHeight="1" x14ac:dyDescent="0.2">
      <c r="A1220" s="494"/>
      <c r="B1220" s="155"/>
      <c r="C1220" s="436" t="s">
        <v>984</v>
      </c>
      <c r="D1220" s="441"/>
      <c r="E1220" s="441"/>
      <c r="F1220" s="155"/>
      <c r="G1220" s="495"/>
    </row>
    <row r="1221" spans="1:7" ht="19.899999999999999" customHeight="1" x14ac:dyDescent="0.2">
      <c r="A1221" s="496">
        <f t="shared" ref="A1221:A1229" si="341">IFERROR(VLOOKUP(C1221,T_Insumos,4,FALSE),0)</f>
        <v>0</v>
      </c>
      <c r="B1221" s="459">
        <f t="shared" ref="B1221:B1229" si="342">IFERROR(VLOOKUP(C1221,T_Insumos,5,FALSE),0)</f>
        <v>0</v>
      </c>
      <c r="C1221" s="450">
        <f>+C771</f>
        <v>0</v>
      </c>
      <c r="D1221" s="460">
        <f t="shared" ref="D1221:D1229" si="343">IFERROR(VLOOKUP(C1221,T_Insumos,3,FALSE),0)</f>
        <v>0</v>
      </c>
      <c r="E1221" s="453">
        <f>D1221*$G$473</f>
        <v>0</v>
      </c>
      <c r="F1221" s="456">
        <f>IF(C1221="",0,IFERROR(VLOOKUP(COUNTIF($A$1:A1221,"ANALISIS DE PRECIOS"),T_Rendimiento_Equipo,5,FALSE),0))</f>
        <v>0</v>
      </c>
      <c r="G1221" s="453">
        <f>IFERROR(ROUND(E1221/F1221,2),0)</f>
        <v>0</v>
      </c>
    </row>
    <row r="1222" spans="1:7" ht="19.899999999999999" customHeight="1" x14ac:dyDescent="0.2">
      <c r="A1222" s="496">
        <f t="shared" si="341"/>
        <v>0</v>
      </c>
      <c r="B1222" s="459">
        <f t="shared" si="342"/>
        <v>0</v>
      </c>
      <c r="C1222" s="450" t="str">
        <f t="shared" ref="C1222:C1224" si="344">+C772</f>
        <v>Rendimiento equipo de producción</v>
      </c>
      <c r="D1222" s="460">
        <f t="shared" si="343"/>
        <v>0</v>
      </c>
      <c r="E1222" s="453">
        <f t="shared" ref="E1222:E1223" si="345">D1222*$G$473</f>
        <v>0</v>
      </c>
      <c r="F1222" s="456">
        <f>IF(C1222="",0,IFERROR(VLOOKUP(COUNTIF($A$1:A1222,"ANALISIS DE PRECIOS"),T_Rendimiento_Equipo,5,FALSE),0))</f>
        <v>0</v>
      </c>
      <c r="G1222" s="453">
        <f t="shared" ref="G1222:G1229" si="346">IFERROR(ROUND(E1222/F1222,2),0)</f>
        <v>0</v>
      </c>
    </row>
    <row r="1223" spans="1:7" ht="19.899999999999999" customHeight="1" x14ac:dyDescent="0.2">
      <c r="A1223" s="496">
        <f t="shared" si="341"/>
        <v>0</v>
      </c>
      <c r="B1223" s="459">
        <f t="shared" si="342"/>
        <v>0</v>
      </c>
      <c r="C1223" s="450">
        <f t="shared" si="344"/>
        <v>0</v>
      </c>
      <c r="D1223" s="460">
        <f t="shared" si="343"/>
        <v>0</v>
      </c>
      <c r="E1223" s="453">
        <f t="shared" si="345"/>
        <v>0</v>
      </c>
      <c r="F1223" s="456">
        <f>IF(C1223="",0,IFERROR(VLOOKUP(COUNTIF($A$1:A1223,"ANALISIS DE PRECIOS"),T_Rendimiento_Equipo,5,FALSE),0))</f>
        <v>0</v>
      </c>
      <c r="G1223" s="453">
        <f t="shared" si="346"/>
        <v>0</v>
      </c>
    </row>
    <row r="1224" spans="1:7" ht="19.899999999999999" customHeight="1" x14ac:dyDescent="0.2">
      <c r="A1224" s="496">
        <f t="shared" si="341"/>
        <v>0</v>
      </c>
      <c r="B1224" s="459">
        <f t="shared" si="342"/>
        <v>0</v>
      </c>
      <c r="C1224" s="450" t="str">
        <f t="shared" si="344"/>
        <v>DESIGNACION</v>
      </c>
      <c r="D1224" s="460">
        <f t="shared" si="343"/>
        <v>0</v>
      </c>
      <c r="E1224" s="453">
        <f>D1224*$E$473</f>
        <v>0</v>
      </c>
      <c r="F1224" s="456">
        <f>IF(C1224="",0,IFERROR(VLOOKUP(COUNTIF($A$1:A1224,"ANALISIS DE PRECIOS"),T_Rendimiento_Equipo,5,FALSE),0))</f>
        <v>0</v>
      </c>
      <c r="G1224" s="453">
        <f t="shared" si="346"/>
        <v>0</v>
      </c>
    </row>
    <row r="1225" spans="1:7" ht="19.899999999999999" customHeight="1" x14ac:dyDescent="0.2">
      <c r="A1225" s="496">
        <f t="shared" si="341"/>
        <v>0</v>
      </c>
      <c r="B1225" s="459">
        <f t="shared" si="342"/>
        <v>0</v>
      </c>
      <c r="C1225" s="461"/>
      <c r="D1225" s="460">
        <f t="shared" si="343"/>
        <v>0</v>
      </c>
      <c r="E1225" s="453"/>
      <c r="F1225" s="456">
        <f>IF(C1225="",0,IFERROR(VLOOKUP(COUNTIF($A$1:A1225,"ANALISIS DE PRECIOS"),T_Rendimiento_Equipo,5,FALSE),0))</f>
        <v>0</v>
      </c>
      <c r="G1225" s="453">
        <f t="shared" si="346"/>
        <v>0</v>
      </c>
    </row>
    <row r="1226" spans="1:7" ht="19.899999999999999" customHeight="1" x14ac:dyDescent="0.2">
      <c r="A1226" s="496">
        <f t="shared" si="341"/>
        <v>0</v>
      </c>
      <c r="B1226" s="459">
        <f t="shared" si="342"/>
        <v>0</v>
      </c>
      <c r="C1226" s="461"/>
      <c r="D1226" s="460">
        <f t="shared" si="343"/>
        <v>0</v>
      </c>
      <c r="E1226" s="453"/>
      <c r="F1226" s="456">
        <f>IF(C1226="",0,IFERROR(VLOOKUP(COUNTIF($A$1:A1226,"ANALISIS DE PRECIOS"),T_Rendimiento_Equipo,5,FALSE),0))</f>
        <v>0</v>
      </c>
      <c r="G1226" s="453">
        <f t="shared" si="346"/>
        <v>0</v>
      </c>
    </row>
    <row r="1227" spans="1:7" ht="19.899999999999999" customHeight="1" x14ac:dyDescent="0.2">
      <c r="A1227" s="496">
        <f t="shared" si="341"/>
        <v>0</v>
      </c>
      <c r="B1227" s="459">
        <f t="shared" si="342"/>
        <v>0</v>
      </c>
      <c r="C1227" s="461"/>
      <c r="D1227" s="460">
        <f t="shared" si="343"/>
        <v>0</v>
      </c>
      <c r="E1227" s="453"/>
      <c r="F1227" s="456">
        <f>IF(C1227="",0,IFERROR(VLOOKUP(COUNTIF($A$1:A1227,"ANALISIS DE PRECIOS"),T_Rendimiento_Equipo,5,FALSE),0))</f>
        <v>0</v>
      </c>
      <c r="G1227" s="453">
        <f t="shared" si="346"/>
        <v>0</v>
      </c>
    </row>
    <row r="1228" spans="1:7" ht="19.899999999999999" customHeight="1" x14ac:dyDescent="0.2">
      <c r="A1228" s="496">
        <f t="shared" si="341"/>
        <v>0</v>
      </c>
      <c r="B1228" s="459">
        <f t="shared" si="342"/>
        <v>0</v>
      </c>
      <c r="C1228" s="461"/>
      <c r="D1228" s="460">
        <f t="shared" si="343"/>
        <v>0</v>
      </c>
      <c r="E1228" s="453"/>
      <c r="F1228" s="456">
        <f>IF(C1228="",0,IFERROR(VLOOKUP(COUNTIF($A$1:A1228,"ANALISIS DE PRECIOS"),T_Rendimiento_Equipo,5,FALSE),0))</f>
        <v>0</v>
      </c>
      <c r="G1228" s="453">
        <f t="shared" si="346"/>
        <v>0</v>
      </c>
    </row>
    <row r="1229" spans="1:7" ht="19.899999999999999" customHeight="1" x14ac:dyDescent="0.2">
      <c r="A1229" s="496">
        <f t="shared" si="341"/>
        <v>0</v>
      </c>
      <c r="B1229" s="459">
        <f t="shared" si="342"/>
        <v>0</v>
      </c>
      <c r="C1229" s="450"/>
      <c r="D1229" s="460">
        <f t="shared" si="343"/>
        <v>0</v>
      </c>
      <c r="E1229" s="453"/>
      <c r="F1229" s="456">
        <f>IF(C1229="",0,IFERROR(VLOOKUP(COUNTIF($A$1:A1229,"ANALISIS DE PRECIOS"),T_Rendimiento_Equipo,5,FALSE),0))</f>
        <v>0</v>
      </c>
      <c r="G1229" s="453">
        <f t="shared" si="346"/>
        <v>0</v>
      </c>
    </row>
    <row r="1230" spans="1:7" ht="19.899999999999999" customHeight="1" x14ac:dyDescent="0.2">
      <c r="A1230" s="497"/>
      <c r="B1230" s="440"/>
      <c r="C1230" s="155"/>
      <c r="D1230" s="440"/>
      <c r="E1230" s="441"/>
      <c r="F1230" s="462" t="s">
        <v>27</v>
      </c>
      <c r="G1230" s="498">
        <f>SUBTOTAL(9,G1221:G1229)</f>
        <v>0</v>
      </c>
    </row>
    <row r="1231" spans="1:7" ht="19.899999999999999" customHeight="1" x14ac:dyDescent="0.2">
      <c r="A1231" s="494"/>
      <c r="B1231" s="155"/>
      <c r="C1231" s="436" t="s">
        <v>713</v>
      </c>
      <c r="D1231" s="440"/>
      <c r="E1231" s="441"/>
      <c r="F1231" s="442"/>
      <c r="G1231" s="495"/>
    </row>
    <row r="1232" spans="1:7" ht="19.899999999999999" customHeight="1" x14ac:dyDescent="0.2">
      <c r="A1232" s="677" t="s">
        <v>576</v>
      </c>
      <c r="B1232" s="678"/>
      <c r="C1232" s="679" t="s">
        <v>0</v>
      </c>
      <c r="D1232" s="681" t="s">
        <v>24</v>
      </c>
      <c r="E1232" s="681" t="s">
        <v>1711</v>
      </c>
      <c r="F1232" s="683" t="s">
        <v>983</v>
      </c>
      <c r="G1232" s="685" t="s">
        <v>26</v>
      </c>
    </row>
    <row r="1233" spans="1:7" ht="19.899999999999999" customHeight="1" x14ac:dyDescent="0.2">
      <c r="A1233" s="458" t="s">
        <v>577</v>
      </c>
      <c r="B1233" s="458" t="s">
        <v>578</v>
      </c>
      <c r="C1233" s="680"/>
      <c r="D1233" s="682"/>
      <c r="E1233" s="682"/>
      <c r="F1233" s="684"/>
      <c r="G1233" s="686"/>
    </row>
    <row r="1234" spans="1:7" ht="19.899999999999999" customHeight="1" x14ac:dyDescent="0.2">
      <c r="A1234" s="496">
        <f t="shared" ref="A1234:A1240" si="347">IFERROR(VLOOKUP(C1234,T_Insumos,4,FALSE),0)</f>
        <v>0</v>
      </c>
      <c r="B1234" s="459">
        <f t="shared" ref="B1234:B1240" si="348">IFERROR(VLOOKUP(C1234,T_Insumos,5,FALSE),0)</f>
        <v>0</v>
      </c>
      <c r="C1234" s="463">
        <f>+C784</f>
        <v>0</v>
      </c>
      <c r="D1234" s="456"/>
      <c r="E1234" s="453">
        <f t="shared" ref="E1234:E1240" si="349">IFERROR(VLOOKUP(C1234,T_Insumos,3,FALSE),0)</f>
        <v>0</v>
      </c>
      <c r="F1234" s="456">
        <f>IF(C1234="",0,IFERROR(VLOOKUP(COUNTIF($A$1:A1234,"ANALISIS DE PRECIOS"),T_Rendimiento_Equipo,5,FALSE),0))</f>
        <v>0</v>
      </c>
      <c r="G1234" s="453">
        <f>IFERROR(ROUND(D1234*E1234/F1234,2),0)</f>
        <v>0</v>
      </c>
    </row>
    <row r="1235" spans="1:7" ht="19.899999999999999" customHeight="1" x14ac:dyDescent="0.2">
      <c r="A1235" s="496">
        <f t="shared" si="347"/>
        <v>0</v>
      </c>
      <c r="B1235" s="459">
        <f t="shared" si="348"/>
        <v>0</v>
      </c>
      <c r="C1235" s="463">
        <f t="shared" ref="C1235:C1237" si="350">+C785</f>
        <v>0</v>
      </c>
      <c r="D1235" s="456"/>
      <c r="E1235" s="453">
        <f t="shared" si="349"/>
        <v>0</v>
      </c>
      <c r="F1235" s="456">
        <f>IF(C1235="",0,IFERROR(VLOOKUP(COUNTIF($A$1:A1235,"ANALISIS DE PRECIOS"),T_Rendimiento_Equipo,5,FALSE),0))</f>
        <v>0</v>
      </c>
      <c r="G1235" s="453">
        <f t="shared" ref="G1235:G1240" si="351">IFERROR(ROUND(D1235*E1235/F1235,2),0)</f>
        <v>0</v>
      </c>
    </row>
    <row r="1236" spans="1:7" ht="19.899999999999999" customHeight="1" x14ac:dyDescent="0.2">
      <c r="A1236" s="496">
        <f t="shared" si="347"/>
        <v>0</v>
      </c>
      <c r="B1236" s="459">
        <f t="shared" si="348"/>
        <v>0</v>
      </c>
      <c r="C1236" s="463">
        <f t="shared" si="350"/>
        <v>0</v>
      </c>
      <c r="D1236" s="456"/>
      <c r="E1236" s="453">
        <f t="shared" si="349"/>
        <v>0</v>
      </c>
      <c r="F1236" s="456">
        <f>IF(C1236="",0,IFERROR(VLOOKUP(COUNTIF($A$1:A1236,"ANALISIS DE PRECIOS"),T_Rendimiento_Equipo,5,FALSE),0))</f>
        <v>0</v>
      </c>
      <c r="G1236" s="453">
        <f t="shared" si="351"/>
        <v>0</v>
      </c>
    </row>
    <row r="1237" spans="1:7" ht="19.899999999999999" customHeight="1" x14ac:dyDescent="0.2">
      <c r="A1237" s="496">
        <f t="shared" si="347"/>
        <v>0</v>
      </c>
      <c r="B1237" s="459">
        <f t="shared" si="348"/>
        <v>0</v>
      </c>
      <c r="C1237" s="463" t="str">
        <f t="shared" si="350"/>
        <v>B - MANO DE OBRA</v>
      </c>
      <c r="D1237" s="456"/>
      <c r="E1237" s="453">
        <f t="shared" si="349"/>
        <v>0</v>
      </c>
      <c r="F1237" s="456">
        <f>IF(C1237="",0,IFERROR(VLOOKUP(COUNTIF($A$1:A1237,"ANALISIS DE PRECIOS"),T_Rendimiento_Equipo,5,FALSE),0))</f>
        <v>0</v>
      </c>
      <c r="G1237" s="453">
        <f>IFERROR(ROUND(D1237*E1237/F1237,2),0)</f>
        <v>0</v>
      </c>
    </row>
    <row r="1238" spans="1:7" ht="19.899999999999999" customHeight="1" x14ac:dyDescent="0.2">
      <c r="A1238" s="496">
        <f t="shared" si="347"/>
        <v>0</v>
      </c>
      <c r="B1238" s="459">
        <f t="shared" si="348"/>
        <v>0</v>
      </c>
      <c r="C1238" s="450"/>
      <c r="D1238" s="456"/>
      <c r="E1238" s="453">
        <f t="shared" si="349"/>
        <v>0</v>
      </c>
      <c r="F1238" s="456">
        <f>IF(C1238="",0,IFERROR(VLOOKUP(COUNTIF($A$1:A1238,"ANALISIS DE PRECIOS"),T_Rendimiento_Equipo,5,FALSE),0))</f>
        <v>0</v>
      </c>
      <c r="G1238" s="453">
        <f t="shared" ref="G1238:G1243" si="352">IFERROR(ROUND(D1238*E1238/F1238,2),0)</f>
        <v>0</v>
      </c>
    </row>
    <row r="1239" spans="1:7" ht="19.899999999999999" customHeight="1" x14ac:dyDescent="0.2">
      <c r="A1239" s="496">
        <f t="shared" si="347"/>
        <v>0</v>
      </c>
      <c r="B1239" s="459">
        <f t="shared" si="348"/>
        <v>0</v>
      </c>
      <c r="C1239" s="450"/>
      <c r="D1239" s="464"/>
      <c r="E1239" s="453">
        <f t="shared" si="349"/>
        <v>0</v>
      </c>
      <c r="F1239" s="456">
        <f>IF(C1239="",0,IFERROR(VLOOKUP(COUNTIF($A$1:A1239,"ANALISIS DE PRECIOS"),T_Rendimiento_Equipo,5,FALSE),0))</f>
        <v>0</v>
      </c>
      <c r="G1239" s="453">
        <f t="shared" si="352"/>
        <v>0</v>
      </c>
    </row>
    <row r="1240" spans="1:7" ht="19.899999999999999" customHeight="1" x14ac:dyDescent="0.2">
      <c r="A1240" s="496">
        <f t="shared" si="347"/>
        <v>0</v>
      </c>
      <c r="B1240" s="459">
        <f t="shared" si="348"/>
        <v>0</v>
      </c>
      <c r="C1240" s="459"/>
      <c r="D1240" s="465"/>
      <c r="E1240" s="453">
        <f t="shared" si="349"/>
        <v>0</v>
      </c>
      <c r="F1240" s="456">
        <f>IF(C1240="",0,IFERROR(VLOOKUP(COUNTIF($A$1:A1240,"ANALISIS DE PRECIOS"),T_Rendimiento_Equipo,5,FALSE),0))</f>
        <v>0</v>
      </c>
      <c r="G1240" s="453">
        <f t="shared" si="352"/>
        <v>0</v>
      </c>
    </row>
    <row r="1241" spans="1:7" ht="19.899999999999999" customHeight="1" x14ac:dyDescent="0.2">
      <c r="A1241" s="497"/>
      <c r="B1241" s="440"/>
      <c r="C1241" s="155"/>
      <c r="D1241" s="440"/>
      <c r="E1241" s="441"/>
      <c r="F1241" s="462" t="s">
        <v>28</v>
      </c>
      <c r="G1241" s="499">
        <f>SUBTOTAL(9,G1234:G1240)</f>
        <v>0</v>
      </c>
    </row>
    <row r="1242" spans="1:7" ht="19.899999999999999" customHeight="1" x14ac:dyDescent="0.2">
      <c r="A1242" s="494"/>
      <c r="B1242" s="155"/>
      <c r="C1242" s="436" t="s">
        <v>990</v>
      </c>
      <c r="D1242" s="440"/>
      <c r="E1242" s="441"/>
      <c r="F1242" s="442"/>
      <c r="G1242" s="495"/>
    </row>
    <row r="1243" spans="1:7" ht="19.899999999999999" customHeight="1" x14ac:dyDescent="0.2">
      <c r="A1243" s="677" t="s">
        <v>576</v>
      </c>
      <c r="B1243" s="678"/>
      <c r="C1243" s="679" t="s">
        <v>0</v>
      </c>
      <c r="D1243" s="679" t="s">
        <v>1733</v>
      </c>
      <c r="E1243" s="681" t="s">
        <v>24</v>
      </c>
      <c r="F1243" s="683" t="s">
        <v>25</v>
      </c>
      <c r="G1243" s="685" t="s">
        <v>26</v>
      </c>
    </row>
    <row r="1244" spans="1:7" ht="19.899999999999999" customHeight="1" x14ac:dyDescent="0.2">
      <c r="A1244" s="458" t="s">
        <v>577</v>
      </c>
      <c r="B1244" s="458" t="s">
        <v>578</v>
      </c>
      <c r="C1244" s="680"/>
      <c r="D1244" s="680"/>
      <c r="E1244" s="682"/>
      <c r="F1244" s="684"/>
      <c r="G1244" s="686"/>
    </row>
    <row r="1245" spans="1:7" ht="19.899999999999999" customHeight="1" x14ac:dyDescent="0.2">
      <c r="A1245" s="496">
        <f t="shared" ref="A1245:A1255" si="353">IFERROR(VLOOKUP(C1245,T_Insumos,4,FALSE),0)</f>
        <v>0</v>
      </c>
      <c r="B1245" s="459">
        <f t="shared" ref="B1245:B1255" si="354">IFERROR(VLOOKUP(C1245,T_Insumos,5,FALSE),0)</f>
        <v>0</v>
      </c>
      <c r="C1245" s="459">
        <f>+Insumos!A792</f>
        <v>0</v>
      </c>
      <c r="D1245" s="507">
        <f t="shared" ref="D1245:D1255" si="355">IFERROR(VLOOKUP(C1245,T_Insumos,2,FALSE),0)</f>
        <v>0</v>
      </c>
      <c r="E1245" s="451"/>
      <c r="F1245" s="453">
        <f t="shared" ref="F1245:F1255" si="356">IFERROR(VLOOKUP(C1245,T_Insumos,3,FALSE),0)</f>
        <v>0</v>
      </c>
      <c r="G1245" s="453">
        <f>ROUND(E1245*F1245,2)</f>
        <v>0</v>
      </c>
    </row>
    <row r="1246" spans="1:7" ht="19.899999999999999" customHeight="1" x14ac:dyDescent="0.2">
      <c r="A1246" s="496">
        <f t="shared" si="353"/>
        <v>0</v>
      </c>
      <c r="B1246" s="459">
        <f t="shared" si="354"/>
        <v>0</v>
      </c>
      <c r="C1246" s="459">
        <f>+Insumos!A834</f>
        <v>0</v>
      </c>
      <c r="D1246" s="507">
        <f t="shared" si="355"/>
        <v>0</v>
      </c>
      <c r="E1246" s="451"/>
      <c r="F1246" s="453">
        <f t="shared" si="356"/>
        <v>0</v>
      </c>
      <c r="G1246" s="453">
        <f>ROUND(E1246*F1246,2)</f>
        <v>0</v>
      </c>
    </row>
    <row r="1247" spans="1:7" ht="19.899999999999999" customHeight="1" x14ac:dyDescent="0.2">
      <c r="A1247" s="496">
        <f t="shared" si="353"/>
        <v>0</v>
      </c>
      <c r="B1247" s="459">
        <f t="shared" si="354"/>
        <v>0</v>
      </c>
      <c r="C1247" s="459"/>
      <c r="D1247" s="507">
        <f t="shared" si="355"/>
        <v>0</v>
      </c>
      <c r="E1247" s="451"/>
      <c r="F1247" s="453">
        <f t="shared" si="356"/>
        <v>0</v>
      </c>
      <c r="G1247" s="453">
        <f t="shared" ref="G1247:G1255" si="357">ROUND(E1247*F1247,2)</f>
        <v>0</v>
      </c>
    </row>
    <row r="1248" spans="1:7" ht="19.899999999999999" customHeight="1" x14ac:dyDescent="0.2">
      <c r="A1248" s="496">
        <f t="shared" si="353"/>
        <v>0</v>
      </c>
      <c r="B1248" s="459">
        <f t="shared" si="354"/>
        <v>0</v>
      </c>
      <c r="C1248" s="459"/>
      <c r="D1248" s="507">
        <f t="shared" si="355"/>
        <v>0</v>
      </c>
      <c r="E1248" s="451"/>
      <c r="F1248" s="453">
        <f t="shared" si="356"/>
        <v>0</v>
      </c>
      <c r="G1248" s="453">
        <f t="shared" si="357"/>
        <v>0</v>
      </c>
    </row>
    <row r="1249" spans="1:7" ht="19.899999999999999" customHeight="1" x14ac:dyDescent="0.2">
      <c r="A1249" s="496">
        <f t="shared" si="353"/>
        <v>0</v>
      </c>
      <c r="B1249" s="459">
        <f t="shared" si="354"/>
        <v>0</v>
      </c>
      <c r="C1249" s="459"/>
      <c r="D1249" s="507">
        <f t="shared" si="355"/>
        <v>0</v>
      </c>
      <c r="E1249" s="451"/>
      <c r="F1249" s="453">
        <f t="shared" si="356"/>
        <v>0</v>
      </c>
      <c r="G1249" s="453">
        <f t="shared" si="357"/>
        <v>0</v>
      </c>
    </row>
    <row r="1250" spans="1:7" ht="19.899999999999999" customHeight="1" x14ac:dyDescent="0.2">
      <c r="A1250" s="496">
        <f t="shared" si="353"/>
        <v>0</v>
      </c>
      <c r="B1250" s="459">
        <f t="shared" si="354"/>
        <v>0</v>
      </c>
      <c r="C1250" s="459"/>
      <c r="D1250" s="507">
        <f t="shared" si="355"/>
        <v>0</v>
      </c>
      <c r="E1250" s="451"/>
      <c r="F1250" s="453">
        <f t="shared" si="356"/>
        <v>0</v>
      </c>
      <c r="G1250" s="453">
        <f t="shared" si="357"/>
        <v>0</v>
      </c>
    </row>
    <row r="1251" spans="1:7" ht="19.899999999999999" customHeight="1" x14ac:dyDescent="0.2">
      <c r="A1251" s="496">
        <f t="shared" si="353"/>
        <v>0</v>
      </c>
      <c r="B1251" s="459">
        <f t="shared" si="354"/>
        <v>0</v>
      </c>
      <c r="C1251" s="459"/>
      <c r="D1251" s="507">
        <f t="shared" si="355"/>
        <v>0</v>
      </c>
      <c r="E1251" s="451"/>
      <c r="F1251" s="453">
        <f t="shared" si="356"/>
        <v>0</v>
      </c>
      <c r="G1251" s="453">
        <f t="shared" si="357"/>
        <v>0</v>
      </c>
    </row>
    <row r="1252" spans="1:7" ht="19.899999999999999" customHeight="1" x14ac:dyDescent="0.2">
      <c r="A1252" s="496">
        <f t="shared" si="353"/>
        <v>0</v>
      </c>
      <c r="B1252" s="459">
        <f t="shared" si="354"/>
        <v>0</v>
      </c>
      <c r="C1252" s="459"/>
      <c r="D1252" s="507">
        <f t="shared" si="355"/>
        <v>0</v>
      </c>
      <c r="E1252" s="451"/>
      <c r="F1252" s="453">
        <f t="shared" si="356"/>
        <v>0</v>
      </c>
      <c r="G1252" s="453">
        <f t="shared" si="357"/>
        <v>0</v>
      </c>
    </row>
    <row r="1253" spans="1:7" ht="19.899999999999999" customHeight="1" x14ac:dyDescent="0.2">
      <c r="A1253" s="496">
        <f t="shared" si="353"/>
        <v>0</v>
      </c>
      <c r="B1253" s="459">
        <f t="shared" si="354"/>
        <v>0</v>
      </c>
      <c r="C1253" s="459"/>
      <c r="D1253" s="507">
        <f t="shared" si="355"/>
        <v>0</v>
      </c>
      <c r="E1253" s="451"/>
      <c r="F1253" s="453">
        <f t="shared" si="356"/>
        <v>0</v>
      </c>
      <c r="G1253" s="453">
        <f t="shared" si="357"/>
        <v>0</v>
      </c>
    </row>
    <row r="1254" spans="1:7" ht="19.899999999999999" customHeight="1" x14ac:dyDescent="0.2">
      <c r="A1254" s="496">
        <f t="shared" si="353"/>
        <v>0</v>
      </c>
      <c r="B1254" s="459">
        <f t="shared" si="354"/>
        <v>0</v>
      </c>
      <c r="C1254" s="459"/>
      <c r="D1254" s="507">
        <f t="shared" si="355"/>
        <v>0</v>
      </c>
      <c r="E1254" s="451"/>
      <c r="F1254" s="453">
        <f t="shared" si="356"/>
        <v>0</v>
      </c>
      <c r="G1254" s="453">
        <f t="shared" si="357"/>
        <v>0</v>
      </c>
    </row>
    <row r="1255" spans="1:7" ht="19.899999999999999" customHeight="1" x14ac:dyDescent="0.2">
      <c r="A1255" s="496">
        <f t="shared" si="353"/>
        <v>0</v>
      </c>
      <c r="B1255" s="459">
        <f t="shared" si="354"/>
        <v>0</v>
      </c>
      <c r="C1255" s="459"/>
      <c r="D1255" s="507">
        <f t="shared" si="355"/>
        <v>0</v>
      </c>
      <c r="E1255" s="451"/>
      <c r="F1255" s="453">
        <f t="shared" si="356"/>
        <v>0</v>
      </c>
      <c r="G1255" s="453">
        <f t="shared" si="357"/>
        <v>0</v>
      </c>
    </row>
    <row r="1256" spans="1:7" ht="19.899999999999999" customHeight="1" x14ac:dyDescent="0.2">
      <c r="A1256" s="494"/>
      <c r="B1256" s="155"/>
      <c r="C1256" s="155"/>
      <c r="D1256" s="440"/>
      <c r="E1256" s="441"/>
      <c r="F1256" s="462" t="s">
        <v>29</v>
      </c>
      <c r="G1256" s="499">
        <f>SUBTOTAL(9,G1245:G1255)</f>
        <v>0</v>
      </c>
    </row>
    <row r="1257" spans="1:7" ht="19.899999999999999" customHeight="1" x14ac:dyDescent="0.2">
      <c r="A1257" s="494"/>
      <c r="B1257" s="155"/>
      <c r="C1257" s="436" t="s">
        <v>991</v>
      </c>
      <c r="D1257" s="440"/>
      <c r="E1257" s="441"/>
      <c r="F1257" s="442"/>
      <c r="G1257" s="495"/>
    </row>
    <row r="1258" spans="1:7" ht="19.899999999999999" customHeight="1" x14ac:dyDescent="0.2">
      <c r="A1258" s="677" t="s">
        <v>576</v>
      </c>
      <c r="B1258" s="678"/>
      <c r="C1258" s="679" t="s">
        <v>0</v>
      </c>
      <c r="D1258" s="679" t="s">
        <v>1733</v>
      </c>
      <c r="E1258" s="681" t="s">
        <v>24</v>
      </c>
      <c r="F1258" s="683" t="s">
        <v>25</v>
      </c>
      <c r="G1258" s="685" t="s">
        <v>26</v>
      </c>
    </row>
    <row r="1259" spans="1:7" ht="19.899999999999999" customHeight="1" x14ac:dyDescent="0.2">
      <c r="A1259" s="458" t="s">
        <v>577</v>
      </c>
      <c r="B1259" s="458" t="s">
        <v>578</v>
      </c>
      <c r="C1259" s="680"/>
      <c r="D1259" s="680"/>
      <c r="E1259" s="682"/>
      <c r="F1259" s="684"/>
      <c r="G1259" s="686"/>
    </row>
    <row r="1260" spans="1:7" ht="19.899999999999999" customHeight="1" x14ac:dyDescent="0.2">
      <c r="A1260" s="496">
        <f>IFERROR(VLOOKUP(C1260,T_Insumos,4,FALSE),0)</f>
        <v>0</v>
      </c>
      <c r="B1260" s="459">
        <f>IFERROR(VLOOKUP(C1260,T_Insumos,5,FALSE),0)</f>
        <v>0</v>
      </c>
      <c r="C1260" s="450"/>
      <c r="D1260" s="507">
        <f>IF(C1260=0,0,"$/tnkm")</f>
        <v>0</v>
      </c>
      <c r="E1260" s="451"/>
      <c r="F1260" s="453">
        <f>IFERROR(VLOOKUP(C1260,T_Insumos,3,FALSE),0)</f>
        <v>0</v>
      </c>
      <c r="G1260" s="453">
        <f>ROUND(E1260*F1260,2)</f>
        <v>0</v>
      </c>
    </row>
    <row r="1261" spans="1:7" ht="19.899999999999999" customHeight="1" x14ac:dyDescent="0.2">
      <c r="A1261" s="496">
        <f>IFERROR(VLOOKUP(C1261,T_Insumos,4,FALSE),0)</f>
        <v>0</v>
      </c>
      <c r="B1261" s="459">
        <f>IFERROR(VLOOKUP(C1261,T_Insumos,5,FALSE),0)</f>
        <v>0</v>
      </c>
      <c r="C1261" s="450"/>
      <c r="D1261" s="507">
        <f>IF(C1261=0,0,"$/tnkm")</f>
        <v>0</v>
      </c>
      <c r="E1261" s="467"/>
      <c r="F1261" s="453">
        <f>IFERROR(VLOOKUP(C1261,T_Insumos,3,FALSE),0)</f>
        <v>0</v>
      </c>
      <c r="G1261" s="453">
        <f t="shared" ref="G1261" si="358">ROUND(E1261*F1261,2)</f>
        <v>0</v>
      </c>
    </row>
    <row r="1262" spans="1:7" ht="19.899999999999999" customHeight="1" x14ac:dyDescent="0.2">
      <c r="A1262" s="494"/>
      <c r="B1262" s="155"/>
      <c r="C1262" s="155"/>
      <c r="D1262" s="440"/>
      <c r="E1262" s="441"/>
      <c r="F1262" s="462" t="s">
        <v>992</v>
      </c>
      <c r="G1262" s="499">
        <f>SUBTOTAL(9,G1260:G1261)</f>
        <v>0</v>
      </c>
    </row>
    <row r="1263" spans="1:7" ht="19.899999999999999" customHeight="1" x14ac:dyDescent="0.2">
      <c r="A1263" s="497"/>
      <c r="B1263" s="440"/>
      <c r="C1263" s="155"/>
      <c r="D1263" s="440"/>
      <c r="E1263" s="441"/>
      <c r="F1263" s="442"/>
      <c r="G1263" s="495"/>
    </row>
    <row r="1264" spans="1:7" ht="19.899999999999999" customHeight="1" x14ac:dyDescent="0.2">
      <c r="A1264" s="555" t="str">
        <f>B1198</f>
        <v>3.2.2</v>
      </c>
      <c r="B1264" s="552" t="str">
        <f ca="1">C1198</f>
        <v>Armadura puesta en obra</v>
      </c>
      <c r="C1264" s="440"/>
      <c r="D1264" s="440" t="s">
        <v>1712</v>
      </c>
      <c r="E1264" s="553"/>
      <c r="F1264" s="554" t="str">
        <f ca="1">"$/"&amp;G1198</f>
        <v>$/KG</v>
      </c>
      <c r="G1264" s="504">
        <f>SUBTOTAL(9,G1221:G1263)</f>
        <v>0</v>
      </c>
    </row>
    <row r="1265" spans="1:7" ht="19.899999999999999" customHeight="1" x14ac:dyDescent="0.2">
      <c r="A1265" s="500"/>
      <c r="B1265" s="501"/>
      <c r="C1265" s="502"/>
      <c r="D1265" s="502" t="s">
        <v>1908</v>
      </c>
      <c r="E1265" s="503"/>
      <c r="F1265" s="556" t="str">
        <f ca="1">"$/"&amp;G1198</f>
        <v>$/KG</v>
      </c>
      <c r="G1265" s="504">
        <f>ROUND(G1264*Coeficiente_Paso,2)</f>
        <v>0</v>
      </c>
    </row>
    <row r="1266" spans="1:7" ht="19.899999999999999" customHeight="1" x14ac:dyDescent="0.2">
      <c r="A1266" s="687" t="s">
        <v>31</v>
      </c>
      <c r="B1266" s="688"/>
      <c r="C1266" s="688"/>
      <c r="D1266" s="688"/>
      <c r="E1266" s="688"/>
      <c r="F1266" s="688"/>
      <c r="G1266" s="689"/>
    </row>
    <row r="1267" spans="1:7" ht="19.899999999999999" customHeight="1" x14ac:dyDescent="0.2">
      <c r="A1267" s="483" t="s">
        <v>711</v>
      </c>
      <c r="B1267" s="434" t="str">
        <f>Comitente</f>
        <v>DEPARTAMENTO DE HIDRÁULICA</v>
      </c>
      <c r="C1267" s="435"/>
      <c r="D1267" s="436"/>
      <c r="E1267" s="436"/>
      <c r="F1267" s="437"/>
      <c r="G1267" s="484"/>
    </row>
    <row r="1268" spans="1:7" ht="19.899999999999999" customHeight="1" x14ac:dyDescent="0.2">
      <c r="A1268" s="483" t="s">
        <v>712</v>
      </c>
      <c r="B1268" s="434">
        <f>Contratista</f>
        <v>0</v>
      </c>
      <c r="C1268" s="438"/>
      <c r="D1268" s="438"/>
      <c r="E1268" s="438"/>
      <c r="F1268" s="434"/>
      <c r="G1268" s="485"/>
    </row>
    <row r="1269" spans="1:7" ht="19.899999999999999" customHeight="1" x14ac:dyDescent="0.2">
      <c r="A1269" s="483" t="s">
        <v>21</v>
      </c>
      <c r="B1269" s="434" t="str">
        <f>Obra</f>
        <v>RECRECIMIENTO Y REPARACIÓN CANALES SARMIENTO, 9 DE JULIO Y CHIMBAS</v>
      </c>
      <c r="C1269" s="438"/>
      <c r="D1269" s="438"/>
      <c r="E1269" s="438"/>
      <c r="F1269" s="434" t="s">
        <v>32</v>
      </c>
      <c r="G1269" s="485">
        <f>Fecha_Base</f>
        <v>0</v>
      </c>
    </row>
    <row r="1270" spans="1:7" ht="19.899999999999999" customHeight="1" x14ac:dyDescent="0.2">
      <c r="A1270" s="486" t="s">
        <v>710</v>
      </c>
      <c r="B1270" s="439" t="str">
        <f>Ubicación</f>
        <v>DEPARTAMENTOS SARMIENTO, 9 DE JULIO Y CHIMBAS</v>
      </c>
      <c r="C1270" s="439"/>
      <c r="D1270" s="440"/>
      <c r="E1270" s="441"/>
      <c r="F1270" s="442"/>
      <c r="G1270" s="487"/>
    </row>
    <row r="1271" spans="1:7" ht="19.899999999999999" customHeight="1" x14ac:dyDescent="0.2">
      <c r="A1271" s="486" t="s">
        <v>33</v>
      </c>
      <c r="B1271" s="443">
        <f>IFERROR(VALUE(LEFT(B1272,FIND(".",B1272)-1)),"")</f>
        <v>3</v>
      </c>
      <c r="C1271" s="155" t="str">
        <f ca="1">IFERROR(VLOOKUP(B1271,T_Computo_Presupuesto,2,FALSE),0)</f>
        <v>RECRECIMIENTO C. PASTORIZA-VIDELA</v>
      </c>
      <c r="D1271" s="155"/>
      <c r="E1271" s="441"/>
      <c r="F1271" s="442"/>
      <c r="G1271" s="487"/>
    </row>
    <row r="1272" spans="1:7" ht="19.899999999999999" customHeight="1" x14ac:dyDescent="0.2">
      <c r="A1272" s="486" t="s">
        <v>22</v>
      </c>
      <c r="B1272" s="444" t="str">
        <f>IFERROR(VLOOKUP(COUNTIF($A$1:A1272,"ANALISIS DE PRECIOS"),T_NumeroItem,2,FALSE),"")</f>
        <v>3.2.3</v>
      </c>
      <c r="C1272" s="690" t="str">
        <f ca="1">IFERROR(VLOOKUP(B1272,T_Computo_Presupuesto,2,FALSE),0)</f>
        <v>Anclajes Químicos</v>
      </c>
      <c r="D1272" s="690"/>
      <c r="E1272" s="690"/>
      <c r="F1272" s="439" t="s">
        <v>23</v>
      </c>
      <c r="G1272" s="488" t="str">
        <f ca="1">IFERROR(VLOOKUP(B1272,T_Computo_Presupuesto,4,FALSE),0)</f>
        <v>GL</v>
      </c>
    </row>
    <row r="1273" spans="1:7" ht="19.899999999999999" customHeight="1" x14ac:dyDescent="0.2">
      <c r="A1273" s="486"/>
      <c r="B1273" s="439"/>
      <c r="C1273" s="155"/>
      <c r="D1273" s="440"/>
      <c r="E1273" s="441"/>
      <c r="F1273" s="155"/>
      <c r="G1273" s="489"/>
    </row>
    <row r="1274" spans="1:7" ht="19.899999999999999" customHeight="1" x14ac:dyDescent="0.2">
      <c r="A1274" s="490"/>
      <c r="B1274" s="445"/>
      <c r="C1274" s="446" t="s">
        <v>975</v>
      </c>
      <c r="D1274" s="445"/>
      <c r="E1274" s="445"/>
      <c r="F1274" s="445"/>
      <c r="G1274" s="491"/>
    </row>
    <row r="1275" spans="1:7" ht="19.899999999999999" customHeight="1" x14ac:dyDescent="0.2">
      <c r="A1275" s="486"/>
      <c r="B1275" s="447"/>
      <c r="C1275" s="155"/>
      <c r="D1275" s="440"/>
      <c r="E1275" s="441"/>
      <c r="F1275" s="439"/>
      <c r="G1275" s="488"/>
    </row>
    <row r="1276" spans="1:7" ht="19.899999999999999" customHeight="1" x14ac:dyDescent="0.2">
      <c r="A1276" s="486"/>
      <c r="B1276" s="447"/>
      <c r="C1276" s="448" t="s">
        <v>976</v>
      </c>
      <c r="D1276" s="449" t="s">
        <v>24</v>
      </c>
      <c r="E1276" s="449" t="s">
        <v>977</v>
      </c>
      <c r="F1276" s="449" t="s">
        <v>978</v>
      </c>
      <c r="G1276" s="448" t="s">
        <v>979</v>
      </c>
    </row>
    <row r="1277" spans="1:7" ht="19.899999999999999" customHeight="1" x14ac:dyDescent="0.2">
      <c r="A1277" s="486"/>
      <c r="B1277" s="447"/>
      <c r="C1277" s="450">
        <f>+Equipos!A831</f>
        <v>0</v>
      </c>
      <c r="D1277" s="451"/>
      <c r="E1277" s="452">
        <f t="shared" ref="E1277:E1286" si="359">IFERROR(VLOOKUP(C1277,T_Equipos,4,FALSE),0)</f>
        <v>0</v>
      </c>
      <c r="F1277" s="453">
        <f t="shared" ref="F1277:F1286" si="360">IFERROR(VLOOKUP(C1277,T_Equipos,5,FALSE),0)</f>
        <v>0</v>
      </c>
      <c r="G1277" s="453">
        <f>ROUND(D1277*F1277,2)</f>
        <v>0</v>
      </c>
    </row>
    <row r="1278" spans="1:7" ht="19.899999999999999" customHeight="1" x14ac:dyDescent="0.2">
      <c r="A1278" s="486"/>
      <c r="B1278" s="447"/>
      <c r="C1278" s="450">
        <f>+Equipos!A828</f>
        <v>0</v>
      </c>
      <c r="D1278" s="451"/>
      <c r="E1278" s="452">
        <f t="shared" si="359"/>
        <v>0</v>
      </c>
      <c r="F1278" s="453">
        <f t="shared" si="360"/>
        <v>0</v>
      </c>
      <c r="G1278" s="453">
        <f>ROUND(D1278*F1278,2)</f>
        <v>0</v>
      </c>
    </row>
    <row r="1279" spans="1:7" ht="19.899999999999999" customHeight="1" x14ac:dyDescent="0.2">
      <c r="A1279" s="486"/>
      <c r="B1279" s="447"/>
      <c r="C1279" s="450">
        <f>+Equipos!A840</f>
        <v>0</v>
      </c>
      <c r="D1279" s="451"/>
      <c r="E1279" s="452">
        <f t="shared" si="359"/>
        <v>0</v>
      </c>
      <c r="F1279" s="453">
        <f t="shared" si="360"/>
        <v>0</v>
      </c>
      <c r="G1279" s="453">
        <f>ROUND(D1279*F1279,2)</f>
        <v>0</v>
      </c>
    </row>
    <row r="1280" spans="1:7" ht="19.899999999999999" customHeight="1" x14ac:dyDescent="0.2">
      <c r="A1280" s="486"/>
      <c r="B1280" s="447"/>
      <c r="C1280" s="450">
        <f>+Equipos!A848</f>
        <v>0</v>
      </c>
      <c r="D1280" s="451"/>
      <c r="E1280" s="452">
        <f t="shared" si="359"/>
        <v>0</v>
      </c>
      <c r="F1280" s="453">
        <f t="shared" si="360"/>
        <v>0</v>
      </c>
      <c r="G1280" s="453">
        <f>ROUND(D1280*F1280,2)</f>
        <v>0</v>
      </c>
    </row>
    <row r="1281" spans="1:7" ht="19.899999999999999" customHeight="1" x14ac:dyDescent="0.2">
      <c r="A1281" s="486"/>
      <c r="B1281" s="447"/>
      <c r="C1281" s="450">
        <f>+Equipos!A837</f>
        <v>0</v>
      </c>
      <c r="D1281" s="623"/>
      <c r="E1281" s="452">
        <f t="shared" si="359"/>
        <v>0</v>
      </c>
      <c r="F1281" s="453">
        <f t="shared" si="360"/>
        <v>0</v>
      </c>
      <c r="G1281" s="453">
        <f t="shared" ref="G1281:G1286" si="361">ROUND(D1281*F1281,2)</f>
        <v>0</v>
      </c>
    </row>
    <row r="1282" spans="1:7" ht="19.899999999999999" customHeight="1" x14ac:dyDescent="0.2">
      <c r="A1282" s="486"/>
      <c r="B1282" s="447"/>
      <c r="C1282" s="450">
        <f>+Equipos!A833</f>
        <v>0</v>
      </c>
      <c r="D1282" s="451"/>
      <c r="E1282" s="452">
        <f t="shared" si="359"/>
        <v>0</v>
      </c>
      <c r="F1282" s="453">
        <f t="shared" si="360"/>
        <v>0</v>
      </c>
      <c r="G1282" s="453">
        <f t="shared" si="361"/>
        <v>0</v>
      </c>
    </row>
    <row r="1283" spans="1:7" ht="19.899999999999999" customHeight="1" x14ac:dyDescent="0.2">
      <c r="A1283" s="486"/>
      <c r="B1283" s="447"/>
      <c r="C1283" s="450"/>
      <c r="D1283" s="451"/>
      <c r="E1283" s="452">
        <f t="shared" si="359"/>
        <v>0</v>
      </c>
      <c r="F1283" s="453">
        <f t="shared" si="360"/>
        <v>0</v>
      </c>
      <c r="G1283" s="453">
        <f t="shared" si="361"/>
        <v>0</v>
      </c>
    </row>
    <row r="1284" spans="1:7" ht="19.899999999999999" customHeight="1" x14ac:dyDescent="0.2">
      <c r="A1284" s="486"/>
      <c r="B1284" s="447"/>
      <c r="C1284" s="450"/>
      <c r="D1284" s="451"/>
      <c r="E1284" s="452">
        <f t="shared" si="359"/>
        <v>0</v>
      </c>
      <c r="F1284" s="453">
        <f t="shared" si="360"/>
        <v>0</v>
      </c>
      <c r="G1284" s="453">
        <f t="shared" si="361"/>
        <v>0</v>
      </c>
    </row>
    <row r="1285" spans="1:7" ht="19.899999999999999" customHeight="1" x14ac:dyDescent="0.2">
      <c r="A1285" s="486"/>
      <c r="B1285" s="447"/>
      <c r="C1285" s="450"/>
      <c r="D1285" s="451"/>
      <c r="E1285" s="452">
        <f t="shared" si="359"/>
        <v>0</v>
      </c>
      <c r="F1285" s="453">
        <f t="shared" si="360"/>
        <v>0</v>
      </c>
      <c r="G1285" s="453">
        <f t="shared" si="361"/>
        <v>0</v>
      </c>
    </row>
    <row r="1286" spans="1:7" ht="19.899999999999999" customHeight="1" x14ac:dyDescent="0.2">
      <c r="A1286" s="486"/>
      <c r="B1286" s="447"/>
      <c r="C1286" s="450"/>
      <c r="D1286" s="451"/>
      <c r="E1286" s="452">
        <f t="shared" si="359"/>
        <v>0</v>
      </c>
      <c r="F1286" s="453">
        <f t="shared" si="360"/>
        <v>0</v>
      </c>
      <c r="G1286" s="453">
        <f t="shared" si="361"/>
        <v>0</v>
      </c>
    </row>
    <row r="1287" spans="1:7" ht="19.899999999999999" customHeight="1" x14ac:dyDescent="0.2">
      <c r="A1287" s="486"/>
      <c r="B1287" s="447"/>
      <c r="C1287" s="155"/>
      <c r="D1287" s="155"/>
      <c r="E1287" s="454"/>
      <c r="F1287" s="439"/>
      <c r="G1287" s="488"/>
    </row>
    <row r="1288" spans="1:7" ht="19.899999999999999" customHeight="1" x14ac:dyDescent="0.2">
      <c r="A1288" s="486"/>
      <c r="B1288" s="155"/>
      <c r="C1288" s="436" t="s">
        <v>980</v>
      </c>
      <c r="D1288" s="439" t="s">
        <v>977</v>
      </c>
      <c r="E1288" s="505">
        <f>SUMPRODUCT(D1277:D1286,E1277:E1286)</f>
        <v>0</v>
      </c>
      <c r="F1288" s="439" t="s">
        <v>981</v>
      </c>
      <c r="G1288" s="506">
        <f>SUM(G1277:G1286)</f>
        <v>0</v>
      </c>
    </row>
    <row r="1289" spans="1:7" ht="19.899999999999999" customHeight="1" x14ac:dyDescent="0.2">
      <c r="A1289" s="486"/>
      <c r="B1289" s="447"/>
      <c r="C1289" s="455"/>
      <c r="D1289" s="454"/>
      <c r="E1289" s="441"/>
      <c r="F1289" s="439"/>
      <c r="G1289" s="492"/>
    </row>
    <row r="1290" spans="1:7" ht="19.899999999999999" customHeight="1" x14ac:dyDescent="0.2">
      <c r="A1290" s="493"/>
      <c r="B1290" s="447"/>
      <c r="C1290" s="439" t="s">
        <v>982</v>
      </c>
      <c r="D1290" s="456">
        <f>IFERROR(VLOOKUP(COUNTIF($A$1:A1290,"ANALISIS DE PRECIOS"),T_Rendimiento_Equipo,5,FALSE),0)</f>
        <v>0</v>
      </c>
      <c r="E1290" s="457" t="str">
        <f ca="1">G1272&amp;"/día"</f>
        <v>GL/día</v>
      </c>
      <c r="F1290" s="433"/>
      <c r="G1290" s="488"/>
    </row>
    <row r="1291" spans="1:7" ht="19.899999999999999" customHeight="1" x14ac:dyDescent="0.2">
      <c r="A1291" s="486"/>
      <c r="B1291" s="447"/>
      <c r="C1291" s="155"/>
      <c r="D1291" s="440"/>
      <c r="E1291" s="441"/>
      <c r="F1291" s="439"/>
      <c r="G1291" s="488"/>
    </row>
    <row r="1292" spans="1:7" ht="19.899999999999999" customHeight="1" x14ac:dyDescent="0.2">
      <c r="A1292" s="677" t="s">
        <v>576</v>
      </c>
      <c r="B1292" s="678"/>
      <c r="C1292" s="679" t="s">
        <v>0</v>
      </c>
      <c r="D1292" s="691" t="s">
        <v>1732</v>
      </c>
      <c r="E1292" s="691" t="s">
        <v>1731</v>
      </c>
      <c r="F1292" s="683" t="s">
        <v>983</v>
      </c>
      <c r="G1292" s="685" t="s">
        <v>26</v>
      </c>
    </row>
    <row r="1293" spans="1:7" ht="19.899999999999999" customHeight="1" x14ac:dyDescent="0.2">
      <c r="A1293" s="458" t="s">
        <v>577</v>
      </c>
      <c r="B1293" s="458" t="s">
        <v>578</v>
      </c>
      <c r="C1293" s="680"/>
      <c r="D1293" s="692"/>
      <c r="E1293" s="682"/>
      <c r="F1293" s="684"/>
      <c r="G1293" s="686"/>
    </row>
    <row r="1294" spans="1:7" ht="19.899999999999999" customHeight="1" x14ac:dyDescent="0.2">
      <c r="A1294" s="494"/>
      <c r="B1294" s="155"/>
      <c r="C1294" s="436" t="s">
        <v>984</v>
      </c>
      <c r="D1294" s="441"/>
      <c r="E1294" s="441"/>
      <c r="F1294" s="155"/>
      <c r="G1294" s="495"/>
    </row>
    <row r="1295" spans="1:7" ht="19.899999999999999" customHeight="1" x14ac:dyDescent="0.2">
      <c r="A1295" s="496">
        <f t="shared" ref="A1295:A1303" si="362">IFERROR(VLOOKUP(C1295,T_Insumos,4,FALSE),0)</f>
        <v>0</v>
      </c>
      <c r="B1295" s="459">
        <f t="shared" ref="B1295:B1303" si="363">IFERROR(VLOOKUP(C1295,T_Insumos,5,FALSE),0)</f>
        <v>0</v>
      </c>
      <c r="C1295" s="450">
        <f>+C845</f>
        <v>0</v>
      </c>
      <c r="D1295" s="460">
        <f t="shared" ref="D1295:D1303" si="364">IFERROR(VLOOKUP(C1295,T_Insumos,3,FALSE),0)</f>
        <v>0</v>
      </c>
      <c r="E1295" s="453">
        <f>D1295*$G$473</f>
        <v>0</v>
      </c>
      <c r="F1295" s="456">
        <f>IF(C1295="",0,IFERROR(VLOOKUP(COUNTIF($A$1:A1295,"ANALISIS DE PRECIOS"),T_Rendimiento_Equipo,5,FALSE),0))</f>
        <v>0</v>
      </c>
      <c r="G1295" s="453">
        <f>IFERROR(ROUND(E1295/F1295,2),0)</f>
        <v>0</v>
      </c>
    </row>
    <row r="1296" spans="1:7" ht="19.899999999999999" customHeight="1" x14ac:dyDescent="0.2">
      <c r="A1296" s="496">
        <f t="shared" si="362"/>
        <v>0</v>
      </c>
      <c r="B1296" s="459">
        <f t="shared" si="363"/>
        <v>0</v>
      </c>
      <c r="C1296" s="450" t="str">
        <f t="shared" ref="C1296:C1298" si="365">+C846</f>
        <v>Rendimiento equipo de producción</v>
      </c>
      <c r="D1296" s="460">
        <f t="shared" si="364"/>
        <v>0</v>
      </c>
      <c r="E1296" s="453">
        <f t="shared" ref="E1296:E1297" si="366">D1296*$G$473</f>
        <v>0</v>
      </c>
      <c r="F1296" s="456">
        <f>IF(C1296="",0,IFERROR(VLOOKUP(COUNTIF($A$1:A1296,"ANALISIS DE PRECIOS"),T_Rendimiento_Equipo,5,FALSE),0))</f>
        <v>0</v>
      </c>
      <c r="G1296" s="453">
        <f t="shared" ref="G1296:G1303" si="367">IFERROR(ROUND(E1296/F1296,2),0)</f>
        <v>0</v>
      </c>
    </row>
    <row r="1297" spans="1:7" ht="19.899999999999999" customHeight="1" x14ac:dyDescent="0.2">
      <c r="A1297" s="496">
        <f t="shared" si="362"/>
        <v>0</v>
      </c>
      <c r="B1297" s="459">
        <f t="shared" si="363"/>
        <v>0</v>
      </c>
      <c r="C1297" s="450">
        <f t="shared" si="365"/>
        <v>0</v>
      </c>
      <c r="D1297" s="460">
        <f t="shared" si="364"/>
        <v>0</v>
      </c>
      <c r="E1297" s="453">
        <f t="shared" si="366"/>
        <v>0</v>
      </c>
      <c r="F1297" s="456">
        <f>IF(C1297="",0,IFERROR(VLOOKUP(COUNTIF($A$1:A1297,"ANALISIS DE PRECIOS"),T_Rendimiento_Equipo,5,FALSE),0))</f>
        <v>0</v>
      </c>
      <c r="G1297" s="453">
        <f t="shared" si="367"/>
        <v>0</v>
      </c>
    </row>
    <row r="1298" spans="1:7" ht="19.899999999999999" customHeight="1" x14ac:dyDescent="0.2">
      <c r="A1298" s="496">
        <f t="shared" si="362"/>
        <v>0</v>
      </c>
      <c r="B1298" s="459">
        <f t="shared" si="363"/>
        <v>0</v>
      </c>
      <c r="C1298" s="450" t="str">
        <f t="shared" si="365"/>
        <v>DESIGNACION</v>
      </c>
      <c r="D1298" s="460">
        <f t="shared" si="364"/>
        <v>0</v>
      </c>
      <c r="E1298" s="453">
        <f>D1298*$E$473</f>
        <v>0</v>
      </c>
      <c r="F1298" s="456">
        <f>IF(C1298="",0,IFERROR(VLOOKUP(COUNTIF($A$1:A1298,"ANALISIS DE PRECIOS"),T_Rendimiento_Equipo,5,FALSE),0))</f>
        <v>0</v>
      </c>
      <c r="G1298" s="453">
        <f t="shared" si="367"/>
        <v>0</v>
      </c>
    </row>
    <row r="1299" spans="1:7" ht="19.899999999999999" customHeight="1" x14ac:dyDescent="0.2">
      <c r="A1299" s="496">
        <f t="shared" si="362"/>
        <v>0</v>
      </c>
      <c r="B1299" s="459">
        <f t="shared" si="363"/>
        <v>0</v>
      </c>
      <c r="C1299" s="461"/>
      <c r="D1299" s="460">
        <f t="shared" si="364"/>
        <v>0</v>
      </c>
      <c r="E1299" s="453"/>
      <c r="F1299" s="456">
        <f>IF(C1299="",0,IFERROR(VLOOKUP(COUNTIF($A$1:A1299,"ANALISIS DE PRECIOS"),T_Rendimiento_Equipo,5,FALSE),0))</f>
        <v>0</v>
      </c>
      <c r="G1299" s="453">
        <f t="shared" si="367"/>
        <v>0</v>
      </c>
    </row>
    <row r="1300" spans="1:7" ht="19.899999999999999" customHeight="1" x14ac:dyDescent="0.2">
      <c r="A1300" s="496">
        <f t="shared" si="362"/>
        <v>0</v>
      </c>
      <c r="B1300" s="459">
        <f t="shared" si="363"/>
        <v>0</v>
      </c>
      <c r="C1300" s="461"/>
      <c r="D1300" s="460">
        <f t="shared" si="364"/>
        <v>0</v>
      </c>
      <c r="E1300" s="453"/>
      <c r="F1300" s="456">
        <f>IF(C1300="",0,IFERROR(VLOOKUP(COUNTIF($A$1:A1300,"ANALISIS DE PRECIOS"),T_Rendimiento_Equipo,5,FALSE),0))</f>
        <v>0</v>
      </c>
      <c r="G1300" s="453">
        <f t="shared" si="367"/>
        <v>0</v>
      </c>
    </row>
    <row r="1301" spans="1:7" ht="19.899999999999999" customHeight="1" x14ac:dyDescent="0.2">
      <c r="A1301" s="496">
        <f t="shared" si="362"/>
        <v>0</v>
      </c>
      <c r="B1301" s="459">
        <f t="shared" si="363"/>
        <v>0</v>
      </c>
      <c r="C1301" s="461"/>
      <c r="D1301" s="460">
        <f t="shared" si="364"/>
        <v>0</v>
      </c>
      <c r="E1301" s="453"/>
      <c r="F1301" s="456">
        <f>IF(C1301="",0,IFERROR(VLOOKUP(COUNTIF($A$1:A1301,"ANALISIS DE PRECIOS"),T_Rendimiento_Equipo,5,FALSE),0))</f>
        <v>0</v>
      </c>
      <c r="G1301" s="453">
        <f t="shared" si="367"/>
        <v>0</v>
      </c>
    </row>
    <row r="1302" spans="1:7" ht="19.899999999999999" customHeight="1" x14ac:dyDescent="0.2">
      <c r="A1302" s="496">
        <f t="shared" si="362"/>
        <v>0</v>
      </c>
      <c r="B1302" s="459">
        <f t="shared" si="363"/>
        <v>0</v>
      </c>
      <c r="C1302" s="461"/>
      <c r="D1302" s="460">
        <f t="shared" si="364"/>
        <v>0</v>
      </c>
      <c r="E1302" s="453"/>
      <c r="F1302" s="456">
        <f>IF(C1302="",0,IFERROR(VLOOKUP(COUNTIF($A$1:A1302,"ANALISIS DE PRECIOS"),T_Rendimiento_Equipo,5,FALSE),0))</f>
        <v>0</v>
      </c>
      <c r="G1302" s="453">
        <f t="shared" si="367"/>
        <v>0</v>
      </c>
    </row>
    <row r="1303" spans="1:7" ht="19.899999999999999" customHeight="1" x14ac:dyDescent="0.2">
      <c r="A1303" s="496">
        <f t="shared" si="362"/>
        <v>0</v>
      </c>
      <c r="B1303" s="459">
        <f t="shared" si="363"/>
        <v>0</v>
      </c>
      <c r="C1303" s="450"/>
      <c r="D1303" s="460">
        <f t="shared" si="364"/>
        <v>0</v>
      </c>
      <c r="E1303" s="453"/>
      <c r="F1303" s="456">
        <f>IF(C1303="",0,IFERROR(VLOOKUP(COUNTIF($A$1:A1303,"ANALISIS DE PRECIOS"),T_Rendimiento_Equipo,5,FALSE),0))</f>
        <v>0</v>
      </c>
      <c r="G1303" s="453">
        <f t="shared" si="367"/>
        <v>0</v>
      </c>
    </row>
    <row r="1304" spans="1:7" ht="19.899999999999999" customHeight="1" x14ac:dyDescent="0.2">
      <c r="A1304" s="497"/>
      <c r="B1304" s="440"/>
      <c r="C1304" s="155"/>
      <c r="D1304" s="440"/>
      <c r="E1304" s="441"/>
      <c r="F1304" s="462" t="s">
        <v>27</v>
      </c>
      <c r="G1304" s="498">
        <f>SUBTOTAL(9,G1295:G1303)</f>
        <v>0</v>
      </c>
    </row>
    <row r="1305" spans="1:7" ht="19.899999999999999" customHeight="1" x14ac:dyDescent="0.2">
      <c r="A1305" s="494"/>
      <c r="B1305" s="155"/>
      <c r="C1305" s="436" t="s">
        <v>713</v>
      </c>
      <c r="D1305" s="440"/>
      <c r="E1305" s="441"/>
      <c r="F1305" s="442"/>
      <c r="G1305" s="495"/>
    </row>
    <row r="1306" spans="1:7" ht="19.899999999999999" customHeight="1" x14ac:dyDescent="0.2">
      <c r="A1306" s="677" t="s">
        <v>576</v>
      </c>
      <c r="B1306" s="678"/>
      <c r="C1306" s="679" t="s">
        <v>0</v>
      </c>
      <c r="D1306" s="681" t="s">
        <v>24</v>
      </c>
      <c r="E1306" s="681" t="s">
        <v>1711</v>
      </c>
      <c r="F1306" s="683" t="s">
        <v>983</v>
      </c>
      <c r="G1306" s="685" t="s">
        <v>26</v>
      </c>
    </row>
    <row r="1307" spans="1:7" ht="19.899999999999999" customHeight="1" x14ac:dyDescent="0.2">
      <c r="A1307" s="458" t="s">
        <v>577</v>
      </c>
      <c r="B1307" s="458" t="s">
        <v>578</v>
      </c>
      <c r="C1307" s="680"/>
      <c r="D1307" s="682"/>
      <c r="E1307" s="682"/>
      <c r="F1307" s="684"/>
      <c r="G1307" s="686"/>
    </row>
    <row r="1308" spans="1:7" ht="19.899999999999999" customHeight="1" x14ac:dyDescent="0.2">
      <c r="A1308" s="496">
        <f t="shared" ref="A1308:A1314" si="368">IFERROR(VLOOKUP(C1308,T_Insumos,4,FALSE),0)</f>
        <v>0</v>
      </c>
      <c r="B1308" s="459">
        <f t="shared" ref="B1308:B1314" si="369">IFERROR(VLOOKUP(C1308,T_Insumos,5,FALSE),0)</f>
        <v>0</v>
      </c>
      <c r="C1308" s="463">
        <f>+C858</f>
        <v>0</v>
      </c>
      <c r="D1308" s="456"/>
      <c r="E1308" s="453">
        <f t="shared" ref="E1308:E1314" si="370">IFERROR(VLOOKUP(C1308,T_Insumos,3,FALSE),0)</f>
        <v>0</v>
      </c>
      <c r="F1308" s="456">
        <f>IF(C1308="",0,IFERROR(VLOOKUP(COUNTIF($A$1:A1308,"ANALISIS DE PRECIOS"),T_Rendimiento_Equipo,5,FALSE),0))</f>
        <v>0</v>
      </c>
      <c r="G1308" s="453">
        <f>IFERROR(ROUND(D1308*E1308/F1308,2),0)</f>
        <v>0</v>
      </c>
    </row>
    <row r="1309" spans="1:7" ht="19.899999999999999" customHeight="1" x14ac:dyDescent="0.2">
      <c r="A1309" s="496">
        <f t="shared" si="368"/>
        <v>0</v>
      </c>
      <c r="B1309" s="459">
        <f t="shared" si="369"/>
        <v>0</v>
      </c>
      <c r="C1309" s="463">
        <f t="shared" ref="C1309:C1311" si="371">+C859</f>
        <v>0</v>
      </c>
      <c r="D1309" s="456"/>
      <c r="E1309" s="453">
        <f t="shared" si="370"/>
        <v>0</v>
      </c>
      <c r="F1309" s="456">
        <f>IF(C1309="",0,IFERROR(VLOOKUP(COUNTIF($A$1:A1309,"ANALISIS DE PRECIOS"),T_Rendimiento_Equipo,5,FALSE),0))</f>
        <v>0</v>
      </c>
      <c r="G1309" s="453">
        <f t="shared" ref="G1309:G1314" si="372">IFERROR(ROUND(D1309*E1309/F1309,2),0)</f>
        <v>0</v>
      </c>
    </row>
    <row r="1310" spans="1:7" ht="19.899999999999999" customHeight="1" x14ac:dyDescent="0.2">
      <c r="A1310" s="496">
        <f t="shared" si="368"/>
        <v>0</v>
      </c>
      <c r="B1310" s="459">
        <f t="shared" si="369"/>
        <v>0</v>
      </c>
      <c r="C1310" s="463">
        <f t="shared" si="371"/>
        <v>0</v>
      </c>
      <c r="D1310" s="456"/>
      <c r="E1310" s="453">
        <f t="shared" si="370"/>
        <v>0</v>
      </c>
      <c r="F1310" s="456">
        <f>IF(C1310="",0,IFERROR(VLOOKUP(COUNTIF($A$1:A1310,"ANALISIS DE PRECIOS"),T_Rendimiento_Equipo,5,FALSE),0))</f>
        <v>0</v>
      </c>
      <c r="G1310" s="453">
        <f t="shared" si="372"/>
        <v>0</v>
      </c>
    </row>
    <row r="1311" spans="1:7" ht="19.899999999999999" customHeight="1" x14ac:dyDescent="0.2">
      <c r="A1311" s="496">
        <f t="shared" si="368"/>
        <v>0</v>
      </c>
      <c r="B1311" s="459">
        <f t="shared" si="369"/>
        <v>0</v>
      </c>
      <c r="C1311" s="463" t="str">
        <f t="shared" si="371"/>
        <v>B - MANO DE OBRA</v>
      </c>
      <c r="D1311" s="456"/>
      <c r="E1311" s="453">
        <f t="shared" si="370"/>
        <v>0</v>
      </c>
      <c r="F1311" s="456">
        <f>IF(C1311="",0,IFERROR(VLOOKUP(COUNTIF($A$1:A1311,"ANALISIS DE PRECIOS"),T_Rendimiento_Equipo,5,FALSE),0))</f>
        <v>0</v>
      </c>
      <c r="G1311" s="453">
        <f>IFERROR(ROUND(D1311*E1311/F1311,2),0)</f>
        <v>0</v>
      </c>
    </row>
    <row r="1312" spans="1:7" ht="19.899999999999999" customHeight="1" x14ac:dyDescent="0.2">
      <c r="A1312" s="496">
        <f t="shared" si="368"/>
        <v>0</v>
      </c>
      <c r="B1312" s="459">
        <f t="shared" si="369"/>
        <v>0</v>
      </c>
      <c r="C1312" s="450"/>
      <c r="D1312" s="456"/>
      <c r="E1312" s="453">
        <f t="shared" si="370"/>
        <v>0</v>
      </c>
      <c r="F1312" s="456">
        <f>IF(C1312="",0,IFERROR(VLOOKUP(COUNTIF($A$1:A1312,"ANALISIS DE PRECIOS"),T_Rendimiento_Equipo,5,FALSE),0))</f>
        <v>0</v>
      </c>
      <c r="G1312" s="453">
        <f t="shared" ref="G1312:G1317" si="373">IFERROR(ROUND(D1312*E1312/F1312,2),0)</f>
        <v>0</v>
      </c>
    </row>
    <row r="1313" spans="1:7" ht="19.899999999999999" customHeight="1" x14ac:dyDescent="0.2">
      <c r="A1313" s="496">
        <f t="shared" si="368"/>
        <v>0</v>
      </c>
      <c r="B1313" s="459">
        <f t="shared" si="369"/>
        <v>0</v>
      </c>
      <c r="C1313" s="450"/>
      <c r="D1313" s="464"/>
      <c r="E1313" s="453">
        <f t="shared" si="370"/>
        <v>0</v>
      </c>
      <c r="F1313" s="456">
        <f>IF(C1313="",0,IFERROR(VLOOKUP(COUNTIF($A$1:A1313,"ANALISIS DE PRECIOS"),T_Rendimiento_Equipo,5,FALSE),0))</f>
        <v>0</v>
      </c>
      <c r="G1313" s="453">
        <f t="shared" si="373"/>
        <v>0</v>
      </c>
    </row>
    <row r="1314" spans="1:7" ht="19.899999999999999" customHeight="1" x14ac:dyDescent="0.2">
      <c r="A1314" s="496">
        <f t="shared" si="368"/>
        <v>0</v>
      </c>
      <c r="B1314" s="459">
        <f t="shared" si="369"/>
        <v>0</v>
      </c>
      <c r="C1314" s="459"/>
      <c r="D1314" s="465"/>
      <c r="E1314" s="453">
        <f t="shared" si="370"/>
        <v>0</v>
      </c>
      <c r="F1314" s="456">
        <f>IF(C1314="",0,IFERROR(VLOOKUP(COUNTIF($A$1:A1314,"ANALISIS DE PRECIOS"),T_Rendimiento_Equipo,5,FALSE),0))</f>
        <v>0</v>
      </c>
      <c r="G1314" s="453">
        <f t="shared" si="373"/>
        <v>0</v>
      </c>
    </row>
    <row r="1315" spans="1:7" ht="19.899999999999999" customHeight="1" x14ac:dyDescent="0.2">
      <c r="A1315" s="497"/>
      <c r="B1315" s="440"/>
      <c r="C1315" s="155"/>
      <c r="D1315" s="440"/>
      <c r="E1315" s="441"/>
      <c r="F1315" s="462" t="s">
        <v>28</v>
      </c>
      <c r="G1315" s="499">
        <f>SUBTOTAL(9,G1308:G1314)</f>
        <v>0</v>
      </c>
    </row>
    <row r="1316" spans="1:7" ht="19.899999999999999" customHeight="1" x14ac:dyDescent="0.2">
      <c r="A1316" s="494"/>
      <c r="B1316" s="155"/>
      <c r="C1316" s="436" t="s">
        <v>990</v>
      </c>
      <c r="D1316" s="440"/>
      <c r="E1316" s="441"/>
      <c r="F1316" s="442"/>
      <c r="G1316" s="495"/>
    </row>
    <row r="1317" spans="1:7" ht="19.899999999999999" customHeight="1" x14ac:dyDescent="0.2">
      <c r="A1317" s="677" t="s">
        <v>576</v>
      </c>
      <c r="B1317" s="678"/>
      <c r="C1317" s="679" t="s">
        <v>0</v>
      </c>
      <c r="D1317" s="679" t="s">
        <v>1733</v>
      </c>
      <c r="E1317" s="681" t="s">
        <v>24</v>
      </c>
      <c r="F1317" s="683" t="s">
        <v>25</v>
      </c>
      <c r="G1317" s="685" t="s">
        <v>26</v>
      </c>
    </row>
    <row r="1318" spans="1:7" ht="19.899999999999999" customHeight="1" x14ac:dyDescent="0.2">
      <c r="A1318" s="458" t="s">
        <v>577</v>
      </c>
      <c r="B1318" s="458" t="s">
        <v>578</v>
      </c>
      <c r="C1318" s="680"/>
      <c r="D1318" s="680"/>
      <c r="E1318" s="682"/>
      <c r="F1318" s="684"/>
      <c r="G1318" s="686"/>
    </row>
    <row r="1319" spans="1:7" ht="19.899999999999999" customHeight="1" x14ac:dyDescent="0.2">
      <c r="A1319" s="496">
        <f t="shared" ref="A1319:A1329" si="374">IFERROR(VLOOKUP(C1319,T_Insumos,4,FALSE),0)</f>
        <v>0</v>
      </c>
      <c r="B1319" s="459">
        <f t="shared" ref="B1319:B1329" si="375">IFERROR(VLOOKUP(C1319,T_Insumos,5,FALSE),0)</f>
        <v>0</v>
      </c>
      <c r="C1319" s="459">
        <f>+Insumos!A866</f>
        <v>0</v>
      </c>
      <c r="D1319" s="507">
        <f t="shared" ref="D1319:D1329" si="376">IFERROR(VLOOKUP(C1319,T_Insumos,2,FALSE),0)</f>
        <v>0</v>
      </c>
      <c r="E1319" s="451"/>
      <c r="F1319" s="453">
        <f t="shared" ref="F1319:F1329" si="377">IFERROR(VLOOKUP(C1319,T_Insumos,3,FALSE),0)</f>
        <v>0</v>
      </c>
      <c r="G1319" s="453">
        <f>ROUND(E1319*F1319,2)</f>
        <v>0</v>
      </c>
    </row>
    <row r="1320" spans="1:7" ht="19.899999999999999" customHeight="1" x14ac:dyDescent="0.2">
      <c r="A1320" s="496">
        <f t="shared" si="374"/>
        <v>0</v>
      </c>
      <c r="B1320" s="459">
        <f t="shared" si="375"/>
        <v>0</v>
      </c>
      <c r="C1320" s="459">
        <f>+Insumos!A908</f>
        <v>0</v>
      </c>
      <c r="D1320" s="507">
        <f t="shared" si="376"/>
        <v>0</v>
      </c>
      <c r="E1320" s="451"/>
      <c r="F1320" s="453">
        <f t="shared" si="377"/>
        <v>0</v>
      </c>
      <c r="G1320" s="453">
        <f>ROUND(E1320*F1320,2)</f>
        <v>0</v>
      </c>
    </row>
    <row r="1321" spans="1:7" ht="19.899999999999999" customHeight="1" x14ac:dyDescent="0.2">
      <c r="A1321" s="496">
        <f t="shared" si="374"/>
        <v>0</v>
      </c>
      <c r="B1321" s="459">
        <f t="shared" si="375"/>
        <v>0</v>
      </c>
      <c r="C1321" s="459"/>
      <c r="D1321" s="507">
        <f t="shared" si="376"/>
        <v>0</v>
      </c>
      <c r="E1321" s="451"/>
      <c r="F1321" s="453">
        <f t="shared" si="377"/>
        <v>0</v>
      </c>
      <c r="G1321" s="453">
        <f t="shared" ref="G1321:G1329" si="378">ROUND(E1321*F1321,2)</f>
        <v>0</v>
      </c>
    </row>
    <row r="1322" spans="1:7" ht="19.899999999999999" customHeight="1" x14ac:dyDescent="0.2">
      <c r="A1322" s="496">
        <f t="shared" si="374"/>
        <v>0</v>
      </c>
      <c r="B1322" s="459">
        <f t="shared" si="375"/>
        <v>0</v>
      </c>
      <c r="C1322" s="459"/>
      <c r="D1322" s="507">
        <f t="shared" si="376"/>
        <v>0</v>
      </c>
      <c r="E1322" s="451"/>
      <c r="F1322" s="453">
        <f t="shared" si="377"/>
        <v>0</v>
      </c>
      <c r="G1322" s="453">
        <f t="shared" si="378"/>
        <v>0</v>
      </c>
    </row>
    <row r="1323" spans="1:7" ht="19.899999999999999" customHeight="1" x14ac:dyDescent="0.2">
      <c r="A1323" s="496">
        <f t="shared" si="374"/>
        <v>0</v>
      </c>
      <c r="B1323" s="459">
        <f t="shared" si="375"/>
        <v>0</v>
      </c>
      <c r="C1323" s="459"/>
      <c r="D1323" s="507">
        <f t="shared" si="376"/>
        <v>0</v>
      </c>
      <c r="E1323" s="451"/>
      <c r="F1323" s="453">
        <f t="shared" si="377"/>
        <v>0</v>
      </c>
      <c r="G1323" s="453">
        <f t="shared" si="378"/>
        <v>0</v>
      </c>
    </row>
    <row r="1324" spans="1:7" ht="19.899999999999999" customHeight="1" x14ac:dyDescent="0.2">
      <c r="A1324" s="496">
        <f t="shared" si="374"/>
        <v>0</v>
      </c>
      <c r="B1324" s="459">
        <f t="shared" si="375"/>
        <v>0</v>
      </c>
      <c r="C1324" s="459"/>
      <c r="D1324" s="507">
        <f t="shared" si="376"/>
        <v>0</v>
      </c>
      <c r="E1324" s="451"/>
      <c r="F1324" s="453">
        <f t="shared" si="377"/>
        <v>0</v>
      </c>
      <c r="G1324" s="453">
        <f t="shared" si="378"/>
        <v>0</v>
      </c>
    </row>
    <row r="1325" spans="1:7" ht="19.899999999999999" customHeight="1" x14ac:dyDescent="0.2">
      <c r="A1325" s="496">
        <f t="shared" si="374"/>
        <v>0</v>
      </c>
      <c r="B1325" s="459">
        <f t="shared" si="375"/>
        <v>0</v>
      </c>
      <c r="C1325" s="459"/>
      <c r="D1325" s="507">
        <f t="shared" si="376"/>
        <v>0</v>
      </c>
      <c r="E1325" s="451"/>
      <c r="F1325" s="453">
        <f t="shared" si="377"/>
        <v>0</v>
      </c>
      <c r="G1325" s="453">
        <f t="shared" si="378"/>
        <v>0</v>
      </c>
    </row>
    <row r="1326" spans="1:7" ht="19.899999999999999" customHeight="1" x14ac:dyDescent="0.2">
      <c r="A1326" s="496">
        <f t="shared" si="374"/>
        <v>0</v>
      </c>
      <c r="B1326" s="459">
        <f t="shared" si="375"/>
        <v>0</v>
      </c>
      <c r="C1326" s="459"/>
      <c r="D1326" s="507">
        <f t="shared" si="376"/>
        <v>0</v>
      </c>
      <c r="E1326" s="451"/>
      <c r="F1326" s="453">
        <f t="shared" si="377"/>
        <v>0</v>
      </c>
      <c r="G1326" s="453">
        <f t="shared" si="378"/>
        <v>0</v>
      </c>
    </row>
    <row r="1327" spans="1:7" ht="19.899999999999999" customHeight="1" x14ac:dyDescent="0.2">
      <c r="A1327" s="496">
        <f t="shared" si="374"/>
        <v>0</v>
      </c>
      <c r="B1327" s="459">
        <f t="shared" si="375"/>
        <v>0</v>
      </c>
      <c r="C1327" s="459"/>
      <c r="D1327" s="507">
        <f t="shared" si="376"/>
        <v>0</v>
      </c>
      <c r="E1327" s="451"/>
      <c r="F1327" s="453">
        <f t="shared" si="377"/>
        <v>0</v>
      </c>
      <c r="G1327" s="453">
        <f t="shared" si="378"/>
        <v>0</v>
      </c>
    </row>
    <row r="1328" spans="1:7" ht="19.899999999999999" customHeight="1" x14ac:dyDescent="0.2">
      <c r="A1328" s="496">
        <f t="shared" si="374"/>
        <v>0</v>
      </c>
      <c r="B1328" s="459">
        <f t="shared" si="375"/>
        <v>0</v>
      </c>
      <c r="C1328" s="459"/>
      <c r="D1328" s="507">
        <f t="shared" si="376"/>
        <v>0</v>
      </c>
      <c r="E1328" s="451"/>
      <c r="F1328" s="453">
        <f t="shared" si="377"/>
        <v>0</v>
      </c>
      <c r="G1328" s="453">
        <f t="shared" si="378"/>
        <v>0</v>
      </c>
    </row>
    <row r="1329" spans="1:7" ht="19.899999999999999" customHeight="1" x14ac:dyDescent="0.2">
      <c r="A1329" s="496">
        <f t="shared" si="374"/>
        <v>0</v>
      </c>
      <c r="B1329" s="459">
        <f t="shared" si="375"/>
        <v>0</v>
      </c>
      <c r="C1329" s="459"/>
      <c r="D1329" s="507">
        <f t="shared" si="376"/>
        <v>0</v>
      </c>
      <c r="E1329" s="451"/>
      <c r="F1329" s="453">
        <f t="shared" si="377"/>
        <v>0</v>
      </c>
      <c r="G1329" s="453">
        <f t="shared" si="378"/>
        <v>0</v>
      </c>
    </row>
    <row r="1330" spans="1:7" ht="19.899999999999999" customHeight="1" x14ac:dyDescent="0.2">
      <c r="A1330" s="494"/>
      <c r="B1330" s="155"/>
      <c r="C1330" s="155"/>
      <c r="D1330" s="440"/>
      <c r="E1330" s="441"/>
      <c r="F1330" s="462" t="s">
        <v>29</v>
      </c>
      <c r="G1330" s="499">
        <f>SUBTOTAL(9,G1319:G1329)</f>
        <v>0</v>
      </c>
    </row>
    <row r="1331" spans="1:7" ht="19.899999999999999" customHeight="1" x14ac:dyDescent="0.2">
      <c r="A1331" s="494"/>
      <c r="B1331" s="155"/>
      <c r="C1331" s="436" t="s">
        <v>991</v>
      </c>
      <c r="D1331" s="440"/>
      <c r="E1331" s="441"/>
      <c r="F1331" s="442"/>
      <c r="G1331" s="495"/>
    </row>
    <row r="1332" spans="1:7" ht="19.899999999999999" customHeight="1" x14ac:dyDescent="0.2">
      <c r="A1332" s="677" t="s">
        <v>576</v>
      </c>
      <c r="B1332" s="678"/>
      <c r="C1332" s="679" t="s">
        <v>0</v>
      </c>
      <c r="D1332" s="679" t="s">
        <v>1733</v>
      </c>
      <c r="E1332" s="681" t="s">
        <v>24</v>
      </c>
      <c r="F1332" s="683" t="s">
        <v>25</v>
      </c>
      <c r="G1332" s="685" t="s">
        <v>26</v>
      </c>
    </row>
    <row r="1333" spans="1:7" ht="19.899999999999999" customHeight="1" x14ac:dyDescent="0.2">
      <c r="A1333" s="458" t="s">
        <v>577</v>
      </c>
      <c r="B1333" s="458" t="s">
        <v>578</v>
      </c>
      <c r="C1333" s="680"/>
      <c r="D1333" s="680"/>
      <c r="E1333" s="682"/>
      <c r="F1333" s="684"/>
      <c r="G1333" s="686"/>
    </row>
    <row r="1334" spans="1:7" ht="19.899999999999999" customHeight="1" x14ac:dyDescent="0.2">
      <c r="A1334" s="496">
        <f>IFERROR(VLOOKUP(C1334,T_Insumos,4,FALSE),0)</f>
        <v>0</v>
      </c>
      <c r="B1334" s="459">
        <f>IFERROR(VLOOKUP(C1334,T_Insumos,5,FALSE),0)</f>
        <v>0</v>
      </c>
      <c r="C1334" s="450"/>
      <c r="D1334" s="507">
        <f>IF(C1334=0,0,"$/tnkm")</f>
        <v>0</v>
      </c>
      <c r="E1334" s="451"/>
      <c r="F1334" s="453">
        <f>IFERROR(VLOOKUP(C1334,T_Insumos,3,FALSE),0)</f>
        <v>0</v>
      </c>
      <c r="G1334" s="453">
        <f>ROUND(E1334*F1334,2)</f>
        <v>0</v>
      </c>
    </row>
    <row r="1335" spans="1:7" ht="19.899999999999999" customHeight="1" x14ac:dyDescent="0.2">
      <c r="A1335" s="496">
        <f>IFERROR(VLOOKUP(C1335,T_Insumos,4,FALSE),0)</f>
        <v>0</v>
      </c>
      <c r="B1335" s="459">
        <f>IFERROR(VLOOKUP(C1335,T_Insumos,5,FALSE),0)</f>
        <v>0</v>
      </c>
      <c r="C1335" s="450"/>
      <c r="D1335" s="507">
        <f>IF(C1335=0,0,"$/tnkm")</f>
        <v>0</v>
      </c>
      <c r="E1335" s="467"/>
      <c r="F1335" s="453">
        <f>IFERROR(VLOOKUP(C1335,T_Insumos,3,FALSE),0)</f>
        <v>0</v>
      </c>
      <c r="G1335" s="453">
        <f t="shared" ref="G1335" si="379">ROUND(E1335*F1335,2)</f>
        <v>0</v>
      </c>
    </row>
    <row r="1336" spans="1:7" ht="19.899999999999999" customHeight="1" x14ac:dyDescent="0.2">
      <c r="A1336" s="494"/>
      <c r="B1336" s="155"/>
      <c r="C1336" s="155"/>
      <c r="D1336" s="440"/>
      <c r="E1336" s="441"/>
      <c r="F1336" s="462" t="s">
        <v>992</v>
      </c>
      <c r="G1336" s="499">
        <f>SUBTOTAL(9,G1334:G1335)</f>
        <v>0</v>
      </c>
    </row>
    <row r="1337" spans="1:7" ht="19.899999999999999" customHeight="1" x14ac:dyDescent="0.2">
      <c r="A1337" s="497"/>
      <c r="B1337" s="440"/>
      <c r="C1337" s="155"/>
      <c r="D1337" s="440"/>
      <c r="E1337" s="441"/>
      <c r="F1337" s="442"/>
      <c r="G1337" s="495"/>
    </row>
    <row r="1338" spans="1:7" ht="19.899999999999999" customHeight="1" x14ac:dyDescent="0.2">
      <c r="A1338" s="555" t="str">
        <f>B1272</f>
        <v>3.2.3</v>
      </c>
      <c r="B1338" s="552" t="str">
        <f ca="1">C1272</f>
        <v>Anclajes Químicos</v>
      </c>
      <c r="C1338" s="440"/>
      <c r="D1338" s="440" t="s">
        <v>1712</v>
      </c>
      <c r="E1338" s="553"/>
      <c r="F1338" s="554" t="str">
        <f ca="1">"$/"&amp;G1272</f>
        <v>$/GL</v>
      </c>
      <c r="G1338" s="504">
        <f>SUBTOTAL(9,G1295:G1337)</f>
        <v>0</v>
      </c>
    </row>
    <row r="1339" spans="1:7" ht="19.899999999999999" customHeight="1" x14ac:dyDescent="0.2">
      <c r="A1339" s="500"/>
      <c r="B1339" s="501"/>
      <c r="C1339" s="502"/>
      <c r="D1339" s="502" t="s">
        <v>1908</v>
      </c>
      <c r="E1339" s="503"/>
      <c r="F1339" s="556" t="str">
        <f ca="1">"$/"&amp;G1272</f>
        <v>$/GL</v>
      </c>
      <c r="G1339" s="504">
        <f>ROUND(G1338*Coeficiente_Paso,2)</f>
        <v>0</v>
      </c>
    </row>
    <row r="1340" spans="1:7" ht="19.899999999999999" customHeight="1" x14ac:dyDescent="0.2">
      <c r="A1340" s="687" t="s">
        <v>31</v>
      </c>
      <c r="B1340" s="688"/>
      <c r="C1340" s="688"/>
      <c r="D1340" s="688"/>
      <c r="E1340" s="688"/>
      <c r="F1340" s="688"/>
      <c r="G1340" s="689"/>
    </row>
    <row r="1341" spans="1:7" ht="19.899999999999999" customHeight="1" x14ac:dyDescent="0.2">
      <c r="A1341" s="483" t="s">
        <v>711</v>
      </c>
      <c r="B1341" s="434" t="str">
        <f>Comitente</f>
        <v>DEPARTAMENTO DE HIDRÁULICA</v>
      </c>
      <c r="C1341" s="435"/>
      <c r="D1341" s="436"/>
      <c r="E1341" s="436"/>
      <c r="F1341" s="437"/>
      <c r="G1341" s="484"/>
    </row>
    <row r="1342" spans="1:7" ht="19.899999999999999" customHeight="1" x14ac:dyDescent="0.2">
      <c r="A1342" s="483" t="s">
        <v>712</v>
      </c>
      <c r="B1342" s="434">
        <f>Contratista</f>
        <v>0</v>
      </c>
      <c r="C1342" s="438"/>
      <c r="D1342" s="438"/>
      <c r="E1342" s="438"/>
      <c r="F1342" s="434"/>
      <c r="G1342" s="485"/>
    </row>
    <row r="1343" spans="1:7" ht="19.899999999999999" customHeight="1" x14ac:dyDescent="0.2">
      <c r="A1343" s="483" t="s">
        <v>21</v>
      </c>
      <c r="B1343" s="434" t="str">
        <f>Obra</f>
        <v>RECRECIMIENTO Y REPARACIÓN CANALES SARMIENTO, 9 DE JULIO Y CHIMBAS</v>
      </c>
      <c r="C1343" s="438"/>
      <c r="D1343" s="438"/>
      <c r="E1343" s="438"/>
      <c r="F1343" s="434" t="s">
        <v>32</v>
      </c>
      <c r="G1343" s="485">
        <f>Fecha_Base</f>
        <v>0</v>
      </c>
    </row>
    <row r="1344" spans="1:7" ht="19.899999999999999" customHeight="1" x14ac:dyDescent="0.2">
      <c r="A1344" s="486" t="s">
        <v>710</v>
      </c>
      <c r="B1344" s="439" t="str">
        <f>Ubicación</f>
        <v>DEPARTAMENTOS SARMIENTO, 9 DE JULIO Y CHIMBAS</v>
      </c>
      <c r="C1344" s="439"/>
      <c r="D1344" s="440"/>
      <c r="E1344" s="441"/>
      <c r="F1344" s="442"/>
      <c r="G1344" s="487"/>
    </row>
    <row r="1345" spans="1:7" ht="19.899999999999999" customHeight="1" x14ac:dyDescent="0.2">
      <c r="A1345" s="486" t="s">
        <v>33</v>
      </c>
      <c r="B1345" s="443">
        <f>IFERROR(VALUE(LEFT(B1346,FIND(".",B1346)-1)),"")</f>
        <v>3</v>
      </c>
      <c r="C1345" s="155" t="str">
        <f ca="1">IFERROR(VLOOKUP(B1345,T_Computo_Presupuesto,2,FALSE),0)</f>
        <v>RECRECIMIENTO C. PASTORIZA-VIDELA</v>
      </c>
      <c r="D1345" s="155"/>
      <c r="E1345" s="441"/>
      <c r="F1345" s="442"/>
      <c r="G1345" s="487"/>
    </row>
    <row r="1346" spans="1:7" ht="19.899999999999999" customHeight="1" x14ac:dyDescent="0.2">
      <c r="A1346" s="486" t="s">
        <v>22</v>
      </c>
      <c r="B1346" s="444" t="str">
        <f>IFERROR(VLOOKUP(COUNTIF($A$1:A1346,"ANALISIS DE PRECIOS"),T_NumeroItem,2,FALSE),"")</f>
        <v>3.2.4</v>
      </c>
      <c r="C1346" s="690" t="str">
        <f ca="1">IFERROR(VLOOKUP(B1346,T_Computo_Presupuesto,2,FALSE),0)</f>
        <v>Puente de Adherencia</v>
      </c>
      <c r="D1346" s="690"/>
      <c r="E1346" s="690"/>
      <c r="F1346" s="439" t="s">
        <v>23</v>
      </c>
      <c r="G1346" s="488" t="str">
        <f ca="1">IFERROR(VLOOKUP(B1346,T_Computo_Presupuesto,4,FALSE),0)</f>
        <v>GL</v>
      </c>
    </row>
    <row r="1347" spans="1:7" ht="19.899999999999999" customHeight="1" x14ac:dyDescent="0.2">
      <c r="A1347" s="486"/>
      <c r="B1347" s="439"/>
      <c r="C1347" s="155"/>
      <c r="D1347" s="440"/>
      <c r="E1347" s="441"/>
      <c r="F1347" s="155"/>
      <c r="G1347" s="489"/>
    </row>
    <row r="1348" spans="1:7" ht="19.899999999999999" customHeight="1" x14ac:dyDescent="0.2">
      <c r="A1348" s="490"/>
      <c r="B1348" s="445"/>
      <c r="C1348" s="446" t="s">
        <v>975</v>
      </c>
      <c r="D1348" s="445"/>
      <c r="E1348" s="445"/>
      <c r="F1348" s="445"/>
      <c r="G1348" s="491"/>
    </row>
    <row r="1349" spans="1:7" ht="19.899999999999999" customHeight="1" x14ac:dyDescent="0.2">
      <c r="A1349" s="486"/>
      <c r="B1349" s="447"/>
      <c r="C1349" s="155"/>
      <c r="D1349" s="440"/>
      <c r="E1349" s="441"/>
      <c r="F1349" s="439"/>
      <c r="G1349" s="488"/>
    </row>
    <row r="1350" spans="1:7" ht="19.899999999999999" customHeight="1" x14ac:dyDescent="0.2">
      <c r="A1350" s="486"/>
      <c r="B1350" s="447"/>
      <c r="C1350" s="448" t="s">
        <v>976</v>
      </c>
      <c r="D1350" s="449" t="s">
        <v>24</v>
      </c>
      <c r="E1350" s="449" t="s">
        <v>977</v>
      </c>
      <c r="F1350" s="449" t="s">
        <v>978</v>
      </c>
      <c r="G1350" s="448" t="s">
        <v>979</v>
      </c>
    </row>
    <row r="1351" spans="1:7" ht="19.899999999999999" customHeight="1" x14ac:dyDescent="0.2">
      <c r="A1351" s="486"/>
      <c r="B1351" s="447"/>
      <c r="C1351" s="450">
        <f>+Equipos!A905</f>
        <v>0</v>
      </c>
      <c r="D1351" s="451"/>
      <c r="E1351" s="452">
        <f t="shared" ref="E1351:E1360" si="380">IFERROR(VLOOKUP(C1351,T_Equipos,4,FALSE),0)</f>
        <v>0</v>
      </c>
      <c r="F1351" s="453">
        <f t="shared" ref="F1351:F1360" si="381">IFERROR(VLOOKUP(C1351,T_Equipos,5,FALSE),0)</f>
        <v>0</v>
      </c>
      <c r="G1351" s="453">
        <f>ROUND(D1351*F1351,2)</f>
        <v>0</v>
      </c>
    </row>
    <row r="1352" spans="1:7" ht="19.899999999999999" customHeight="1" x14ac:dyDescent="0.2">
      <c r="A1352" s="486"/>
      <c r="B1352" s="447"/>
      <c r="C1352" s="450">
        <f>+Equipos!A902</f>
        <v>0</v>
      </c>
      <c r="D1352" s="451"/>
      <c r="E1352" s="452">
        <f t="shared" si="380"/>
        <v>0</v>
      </c>
      <c r="F1352" s="453">
        <f t="shared" si="381"/>
        <v>0</v>
      </c>
      <c r="G1352" s="453">
        <f>ROUND(D1352*F1352,2)</f>
        <v>0</v>
      </c>
    </row>
    <row r="1353" spans="1:7" ht="19.899999999999999" customHeight="1" x14ac:dyDescent="0.2">
      <c r="A1353" s="486"/>
      <c r="B1353" s="447"/>
      <c r="C1353" s="450">
        <f>+Equipos!A914</f>
        <v>0</v>
      </c>
      <c r="D1353" s="451"/>
      <c r="E1353" s="452">
        <f t="shared" si="380"/>
        <v>0</v>
      </c>
      <c r="F1353" s="453">
        <f t="shared" si="381"/>
        <v>0</v>
      </c>
      <c r="G1353" s="453">
        <f>ROUND(D1353*F1353,2)</f>
        <v>0</v>
      </c>
    </row>
    <row r="1354" spans="1:7" ht="19.899999999999999" customHeight="1" x14ac:dyDescent="0.2">
      <c r="A1354" s="486"/>
      <c r="B1354" s="447"/>
      <c r="C1354" s="450">
        <f>+Equipos!A922</f>
        <v>0</v>
      </c>
      <c r="D1354" s="451"/>
      <c r="E1354" s="452">
        <f t="shared" si="380"/>
        <v>0</v>
      </c>
      <c r="F1354" s="453">
        <f t="shared" si="381"/>
        <v>0</v>
      </c>
      <c r="G1354" s="453">
        <f>ROUND(D1354*F1354,2)</f>
        <v>0</v>
      </c>
    </row>
    <row r="1355" spans="1:7" ht="19.899999999999999" customHeight="1" x14ac:dyDescent="0.2">
      <c r="A1355" s="486"/>
      <c r="B1355" s="447"/>
      <c r="C1355" s="450">
        <f>+Equipos!A911</f>
        <v>0</v>
      </c>
      <c r="D1355" s="623"/>
      <c r="E1355" s="452">
        <f t="shared" si="380"/>
        <v>0</v>
      </c>
      <c r="F1355" s="453">
        <f t="shared" si="381"/>
        <v>0</v>
      </c>
      <c r="G1355" s="453">
        <f t="shared" ref="G1355:G1360" si="382">ROUND(D1355*F1355,2)</f>
        <v>0</v>
      </c>
    </row>
    <row r="1356" spans="1:7" ht="19.899999999999999" customHeight="1" x14ac:dyDescent="0.2">
      <c r="A1356" s="486"/>
      <c r="B1356" s="447"/>
      <c r="C1356" s="450">
        <f>+Equipos!A907</f>
        <v>0</v>
      </c>
      <c r="D1356" s="451"/>
      <c r="E1356" s="452">
        <f t="shared" si="380"/>
        <v>0</v>
      </c>
      <c r="F1356" s="453">
        <f t="shared" si="381"/>
        <v>0</v>
      </c>
      <c r="G1356" s="453">
        <f t="shared" si="382"/>
        <v>0</v>
      </c>
    </row>
    <row r="1357" spans="1:7" ht="19.899999999999999" customHeight="1" x14ac:dyDescent="0.2">
      <c r="A1357" s="486"/>
      <c r="B1357" s="447"/>
      <c r="C1357" s="450"/>
      <c r="D1357" s="451"/>
      <c r="E1357" s="452">
        <f t="shared" si="380"/>
        <v>0</v>
      </c>
      <c r="F1357" s="453">
        <f t="shared" si="381"/>
        <v>0</v>
      </c>
      <c r="G1357" s="453">
        <f t="shared" si="382"/>
        <v>0</v>
      </c>
    </row>
    <row r="1358" spans="1:7" ht="19.899999999999999" customHeight="1" x14ac:dyDescent="0.2">
      <c r="A1358" s="486"/>
      <c r="B1358" s="447"/>
      <c r="C1358" s="450"/>
      <c r="D1358" s="451"/>
      <c r="E1358" s="452">
        <f t="shared" si="380"/>
        <v>0</v>
      </c>
      <c r="F1358" s="453">
        <f t="shared" si="381"/>
        <v>0</v>
      </c>
      <c r="G1358" s="453">
        <f t="shared" si="382"/>
        <v>0</v>
      </c>
    </row>
    <row r="1359" spans="1:7" ht="19.899999999999999" customHeight="1" x14ac:dyDescent="0.2">
      <c r="A1359" s="486"/>
      <c r="B1359" s="447"/>
      <c r="C1359" s="450"/>
      <c r="D1359" s="451"/>
      <c r="E1359" s="452">
        <f t="shared" si="380"/>
        <v>0</v>
      </c>
      <c r="F1359" s="453">
        <f t="shared" si="381"/>
        <v>0</v>
      </c>
      <c r="G1359" s="453">
        <f t="shared" si="382"/>
        <v>0</v>
      </c>
    </row>
    <row r="1360" spans="1:7" ht="19.899999999999999" customHeight="1" x14ac:dyDescent="0.2">
      <c r="A1360" s="486"/>
      <c r="B1360" s="447"/>
      <c r="C1360" s="450"/>
      <c r="D1360" s="451"/>
      <c r="E1360" s="452">
        <f t="shared" si="380"/>
        <v>0</v>
      </c>
      <c r="F1360" s="453">
        <f t="shared" si="381"/>
        <v>0</v>
      </c>
      <c r="G1360" s="453">
        <f t="shared" si="382"/>
        <v>0</v>
      </c>
    </row>
    <row r="1361" spans="1:7" ht="19.899999999999999" customHeight="1" x14ac:dyDescent="0.2">
      <c r="A1361" s="486"/>
      <c r="B1361" s="447"/>
      <c r="C1361" s="155"/>
      <c r="D1361" s="155"/>
      <c r="E1361" s="454"/>
      <c r="F1361" s="439"/>
      <c r="G1361" s="488"/>
    </row>
    <row r="1362" spans="1:7" ht="19.899999999999999" customHeight="1" x14ac:dyDescent="0.2">
      <c r="A1362" s="486"/>
      <c r="B1362" s="155"/>
      <c r="C1362" s="436" t="s">
        <v>980</v>
      </c>
      <c r="D1362" s="439" t="s">
        <v>977</v>
      </c>
      <c r="E1362" s="505">
        <f>SUMPRODUCT(D1351:D1360,E1351:E1360)</f>
        <v>0</v>
      </c>
      <c r="F1362" s="439" t="s">
        <v>981</v>
      </c>
      <c r="G1362" s="506">
        <f>SUM(G1351:G1360)</f>
        <v>0</v>
      </c>
    </row>
    <row r="1363" spans="1:7" ht="19.899999999999999" customHeight="1" x14ac:dyDescent="0.2">
      <c r="A1363" s="486"/>
      <c r="B1363" s="447"/>
      <c r="C1363" s="455"/>
      <c r="D1363" s="454"/>
      <c r="E1363" s="441"/>
      <c r="F1363" s="439"/>
      <c r="G1363" s="492"/>
    </row>
    <row r="1364" spans="1:7" ht="19.899999999999999" customHeight="1" x14ac:dyDescent="0.2">
      <c r="A1364" s="493"/>
      <c r="B1364" s="447"/>
      <c r="C1364" s="439" t="s">
        <v>982</v>
      </c>
      <c r="D1364" s="456">
        <f>IFERROR(VLOOKUP(COUNTIF($A$1:A1364,"ANALISIS DE PRECIOS"),T_Rendimiento_Equipo,5,FALSE),0)</f>
        <v>0</v>
      </c>
      <c r="E1364" s="457" t="str">
        <f ca="1">G1346&amp;"/día"</f>
        <v>GL/día</v>
      </c>
      <c r="F1364" s="433"/>
      <c r="G1364" s="488"/>
    </row>
    <row r="1365" spans="1:7" ht="19.899999999999999" customHeight="1" x14ac:dyDescent="0.2">
      <c r="A1365" s="486"/>
      <c r="B1365" s="447"/>
      <c r="C1365" s="155"/>
      <c r="D1365" s="440"/>
      <c r="E1365" s="441"/>
      <c r="F1365" s="439"/>
      <c r="G1365" s="488"/>
    </row>
    <row r="1366" spans="1:7" ht="19.899999999999999" customHeight="1" x14ac:dyDescent="0.2">
      <c r="A1366" s="677" t="s">
        <v>576</v>
      </c>
      <c r="B1366" s="678"/>
      <c r="C1366" s="679" t="s">
        <v>0</v>
      </c>
      <c r="D1366" s="691" t="s">
        <v>1732</v>
      </c>
      <c r="E1366" s="691" t="s">
        <v>1731</v>
      </c>
      <c r="F1366" s="683" t="s">
        <v>983</v>
      </c>
      <c r="G1366" s="685" t="s">
        <v>26</v>
      </c>
    </row>
    <row r="1367" spans="1:7" ht="19.899999999999999" customHeight="1" x14ac:dyDescent="0.2">
      <c r="A1367" s="458" t="s">
        <v>577</v>
      </c>
      <c r="B1367" s="458" t="s">
        <v>578</v>
      </c>
      <c r="C1367" s="680"/>
      <c r="D1367" s="692"/>
      <c r="E1367" s="682"/>
      <c r="F1367" s="684"/>
      <c r="G1367" s="686"/>
    </row>
    <row r="1368" spans="1:7" ht="19.899999999999999" customHeight="1" x14ac:dyDescent="0.2">
      <c r="A1368" s="494"/>
      <c r="B1368" s="155"/>
      <c r="C1368" s="436" t="s">
        <v>984</v>
      </c>
      <c r="D1368" s="441"/>
      <c r="E1368" s="441"/>
      <c r="F1368" s="155"/>
      <c r="G1368" s="495"/>
    </row>
    <row r="1369" spans="1:7" ht="19.899999999999999" customHeight="1" x14ac:dyDescent="0.2">
      <c r="A1369" s="496">
        <f t="shared" ref="A1369:A1377" si="383">IFERROR(VLOOKUP(C1369,T_Insumos,4,FALSE),0)</f>
        <v>0</v>
      </c>
      <c r="B1369" s="459">
        <f t="shared" ref="B1369:B1377" si="384">IFERROR(VLOOKUP(C1369,T_Insumos,5,FALSE),0)</f>
        <v>0</v>
      </c>
      <c r="C1369" s="450">
        <f>+C919</f>
        <v>0</v>
      </c>
      <c r="D1369" s="460">
        <f t="shared" ref="D1369:D1377" si="385">IFERROR(VLOOKUP(C1369,T_Insumos,3,FALSE),0)</f>
        <v>0</v>
      </c>
      <c r="E1369" s="453">
        <f>D1369*$G$473</f>
        <v>0</v>
      </c>
      <c r="F1369" s="456">
        <f>IF(C1369="",0,IFERROR(VLOOKUP(COUNTIF($A$1:A1369,"ANALISIS DE PRECIOS"),T_Rendimiento_Equipo,5,FALSE),0))</f>
        <v>0</v>
      </c>
      <c r="G1369" s="453">
        <f>IFERROR(ROUND(E1369/F1369,2),0)</f>
        <v>0</v>
      </c>
    </row>
    <row r="1370" spans="1:7" ht="19.899999999999999" customHeight="1" x14ac:dyDescent="0.2">
      <c r="A1370" s="496">
        <f t="shared" si="383"/>
        <v>0</v>
      </c>
      <c r="B1370" s="459">
        <f t="shared" si="384"/>
        <v>0</v>
      </c>
      <c r="C1370" s="450" t="str">
        <f t="shared" ref="C1370:C1372" si="386">+C920</f>
        <v>Rendimiento equipo de producción</v>
      </c>
      <c r="D1370" s="460">
        <f t="shared" si="385"/>
        <v>0</v>
      </c>
      <c r="E1370" s="453">
        <f t="shared" ref="E1370:E1371" si="387">D1370*$G$473</f>
        <v>0</v>
      </c>
      <c r="F1370" s="456">
        <f>IF(C1370="",0,IFERROR(VLOOKUP(COUNTIF($A$1:A1370,"ANALISIS DE PRECIOS"),T_Rendimiento_Equipo,5,FALSE),0))</f>
        <v>0</v>
      </c>
      <c r="G1370" s="453">
        <f t="shared" ref="G1370:G1377" si="388">IFERROR(ROUND(E1370/F1370,2),0)</f>
        <v>0</v>
      </c>
    </row>
    <row r="1371" spans="1:7" ht="19.899999999999999" customHeight="1" x14ac:dyDescent="0.2">
      <c r="A1371" s="496">
        <f t="shared" si="383"/>
        <v>0</v>
      </c>
      <c r="B1371" s="459">
        <f t="shared" si="384"/>
        <v>0</v>
      </c>
      <c r="C1371" s="450">
        <f t="shared" si="386"/>
        <v>0</v>
      </c>
      <c r="D1371" s="460">
        <f t="shared" si="385"/>
        <v>0</v>
      </c>
      <c r="E1371" s="453">
        <f t="shared" si="387"/>
        <v>0</v>
      </c>
      <c r="F1371" s="456">
        <f>IF(C1371="",0,IFERROR(VLOOKUP(COUNTIF($A$1:A1371,"ANALISIS DE PRECIOS"),T_Rendimiento_Equipo,5,FALSE),0))</f>
        <v>0</v>
      </c>
      <c r="G1371" s="453">
        <f t="shared" si="388"/>
        <v>0</v>
      </c>
    </row>
    <row r="1372" spans="1:7" ht="19.899999999999999" customHeight="1" x14ac:dyDescent="0.2">
      <c r="A1372" s="496">
        <f t="shared" si="383"/>
        <v>0</v>
      </c>
      <c r="B1372" s="459">
        <f t="shared" si="384"/>
        <v>0</v>
      </c>
      <c r="C1372" s="450" t="str">
        <f t="shared" si="386"/>
        <v>DESIGNACION</v>
      </c>
      <c r="D1372" s="460">
        <f t="shared" si="385"/>
        <v>0</v>
      </c>
      <c r="E1372" s="453">
        <f>D1372*$E$473</f>
        <v>0</v>
      </c>
      <c r="F1372" s="456">
        <f>IF(C1372="",0,IFERROR(VLOOKUP(COUNTIF($A$1:A1372,"ANALISIS DE PRECIOS"),T_Rendimiento_Equipo,5,FALSE),0))</f>
        <v>0</v>
      </c>
      <c r="G1372" s="453">
        <f t="shared" si="388"/>
        <v>0</v>
      </c>
    </row>
    <row r="1373" spans="1:7" ht="19.899999999999999" customHeight="1" x14ac:dyDescent="0.2">
      <c r="A1373" s="496">
        <f t="shared" si="383"/>
        <v>0</v>
      </c>
      <c r="B1373" s="459">
        <f t="shared" si="384"/>
        <v>0</v>
      </c>
      <c r="C1373" s="461"/>
      <c r="D1373" s="460">
        <f t="shared" si="385"/>
        <v>0</v>
      </c>
      <c r="E1373" s="453"/>
      <c r="F1373" s="456">
        <f>IF(C1373="",0,IFERROR(VLOOKUP(COUNTIF($A$1:A1373,"ANALISIS DE PRECIOS"),T_Rendimiento_Equipo,5,FALSE),0))</f>
        <v>0</v>
      </c>
      <c r="G1373" s="453">
        <f t="shared" si="388"/>
        <v>0</v>
      </c>
    </row>
    <row r="1374" spans="1:7" ht="19.899999999999999" customHeight="1" x14ac:dyDescent="0.2">
      <c r="A1374" s="496">
        <f t="shared" si="383"/>
        <v>0</v>
      </c>
      <c r="B1374" s="459">
        <f t="shared" si="384"/>
        <v>0</v>
      </c>
      <c r="C1374" s="461"/>
      <c r="D1374" s="460">
        <f t="shared" si="385"/>
        <v>0</v>
      </c>
      <c r="E1374" s="453"/>
      <c r="F1374" s="456">
        <f>IF(C1374="",0,IFERROR(VLOOKUP(COUNTIF($A$1:A1374,"ANALISIS DE PRECIOS"),T_Rendimiento_Equipo,5,FALSE),0))</f>
        <v>0</v>
      </c>
      <c r="G1374" s="453">
        <f t="shared" si="388"/>
        <v>0</v>
      </c>
    </row>
    <row r="1375" spans="1:7" ht="19.899999999999999" customHeight="1" x14ac:dyDescent="0.2">
      <c r="A1375" s="496">
        <f t="shared" si="383"/>
        <v>0</v>
      </c>
      <c r="B1375" s="459">
        <f t="shared" si="384"/>
        <v>0</v>
      </c>
      <c r="C1375" s="461"/>
      <c r="D1375" s="460">
        <f t="shared" si="385"/>
        <v>0</v>
      </c>
      <c r="E1375" s="453"/>
      <c r="F1375" s="456">
        <f>IF(C1375="",0,IFERROR(VLOOKUP(COUNTIF($A$1:A1375,"ANALISIS DE PRECIOS"),T_Rendimiento_Equipo,5,FALSE),0))</f>
        <v>0</v>
      </c>
      <c r="G1375" s="453">
        <f t="shared" si="388"/>
        <v>0</v>
      </c>
    </row>
    <row r="1376" spans="1:7" ht="19.899999999999999" customHeight="1" x14ac:dyDescent="0.2">
      <c r="A1376" s="496">
        <f t="shared" si="383"/>
        <v>0</v>
      </c>
      <c r="B1376" s="459">
        <f t="shared" si="384"/>
        <v>0</v>
      </c>
      <c r="C1376" s="461"/>
      <c r="D1376" s="460">
        <f t="shared" si="385"/>
        <v>0</v>
      </c>
      <c r="E1376" s="453"/>
      <c r="F1376" s="456">
        <f>IF(C1376="",0,IFERROR(VLOOKUP(COUNTIF($A$1:A1376,"ANALISIS DE PRECIOS"),T_Rendimiento_Equipo,5,FALSE),0))</f>
        <v>0</v>
      </c>
      <c r="G1376" s="453">
        <f t="shared" si="388"/>
        <v>0</v>
      </c>
    </row>
    <row r="1377" spans="1:7" ht="19.899999999999999" customHeight="1" x14ac:dyDescent="0.2">
      <c r="A1377" s="496">
        <f t="shared" si="383"/>
        <v>0</v>
      </c>
      <c r="B1377" s="459">
        <f t="shared" si="384"/>
        <v>0</v>
      </c>
      <c r="C1377" s="450"/>
      <c r="D1377" s="460">
        <f t="shared" si="385"/>
        <v>0</v>
      </c>
      <c r="E1377" s="453"/>
      <c r="F1377" s="456">
        <f>IF(C1377="",0,IFERROR(VLOOKUP(COUNTIF($A$1:A1377,"ANALISIS DE PRECIOS"),T_Rendimiento_Equipo,5,FALSE),0))</f>
        <v>0</v>
      </c>
      <c r="G1377" s="453">
        <f t="shared" si="388"/>
        <v>0</v>
      </c>
    </row>
    <row r="1378" spans="1:7" ht="19.899999999999999" customHeight="1" x14ac:dyDescent="0.2">
      <c r="A1378" s="497"/>
      <c r="B1378" s="440"/>
      <c r="C1378" s="155"/>
      <c r="D1378" s="440"/>
      <c r="E1378" s="441"/>
      <c r="F1378" s="462" t="s">
        <v>27</v>
      </c>
      <c r="G1378" s="498">
        <f>SUBTOTAL(9,G1369:G1377)</f>
        <v>0</v>
      </c>
    </row>
    <row r="1379" spans="1:7" ht="19.899999999999999" customHeight="1" x14ac:dyDescent="0.2">
      <c r="A1379" s="494"/>
      <c r="B1379" s="155"/>
      <c r="C1379" s="436" t="s">
        <v>713</v>
      </c>
      <c r="D1379" s="440"/>
      <c r="E1379" s="441"/>
      <c r="F1379" s="442"/>
      <c r="G1379" s="495"/>
    </row>
    <row r="1380" spans="1:7" ht="19.899999999999999" customHeight="1" x14ac:dyDescent="0.2">
      <c r="A1380" s="677" t="s">
        <v>576</v>
      </c>
      <c r="B1380" s="678"/>
      <c r="C1380" s="679" t="s">
        <v>0</v>
      </c>
      <c r="D1380" s="681" t="s">
        <v>24</v>
      </c>
      <c r="E1380" s="681" t="s">
        <v>1711</v>
      </c>
      <c r="F1380" s="683" t="s">
        <v>983</v>
      </c>
      <c r="G1380" s="685" t="s">
        <v>26</v>
      </c>
    </row>
    <row r="1381" spans="1:7" ht="19.899999999999999" customHeight="1" x14ac:dyDescent="0.2">
      <c r="A1381" s="458" t="s">
        <v>577</v>
      </c>
      <c r="B1381" s="458" t="s">
        <v>578</v>
      </c>
      <c r="C1381" s="680"/>
      <c r="D1381" s="682"/>
      <c r="E1381" s="682"/>
      <c r="F1381" s="684"/>
      <c r="G1381" s="686"/>
    </row>
    <row r="1382" spans="1:7" ht="19.899999999999999" customHeight="1" x14ac:dyDescent="0.2">
      <c r="A1382" s="496">
        <f t="shared" ref="A1382:A1388" si="389">IFERROR(VLOOKUP(C1382,T_Insumos,4,FALSE),0)</f>
        <v>0</v>
      </c>
      <c r="B1382" s="459">
        <f t="shared" ref="B1382:B1388" si="390">IFERROR(VLOOKUP(C1382,T_Insumos,5,FALSE),0)</f>
        <v>0</v>
      </c>
      <c r="C1382" s="463">
        <f>+C932</f>
        <v>0</v>
      </c>
      <c r="D1382" s="456"/>
      <c r="E1382" s="453">
        <f t="shared" ref="E1382:E1388" si="391">IFERROR(VLOOKUP(C1382,T_Insumos,3,FALSE),0)</f>
        <v>0</v>
      </c>
      <c r="F1382" s="456">
        <f>IF(C1382="",0,IFERROR(VLOOKUP(COUNTIF($A$1:A1382,"ANALISIS DE PRECIOS"),T_Rendimiento_Equipo,5,FALSE),0))</f>
        <v>0</v>
      </c>
      <c r="G1382" s="453">
        <f>IFERROR(ROUND(D1382*E1382/F1382,2),0)</f>
        <v>0</v>
      </c>
    </row>
    <row r="1383" spans="1:7" ht="19.899999999999999" customHeight="1" x14ac:dyDescent="0.2">
      <c r="A1383" s="496">
        <f t="shared" si="389"/>
        <v>0</v>
      </c>
      <c r="B1383" s="459">
        <f t="shared" si="390"/>
        <v>0</v>
      </c>
      <c r="C1383" s="463">
        <f t="shared" ref="C1383:C1385" si="392">+C933</f>
        <v>0</v>
      </c>
      <c r="D1383" s="456"/>
      <c r="E1383" s="453">
        <f t="shared" si="391"/>
        <v>0</v>
      </c>
      <c r="F1383" s="456">
        <f>IF(C1383="",0,IFERROR(VLOOKUP(COUNTIF($A$1:A1383,"ANALISIS DE PRECIOS"),T_Rendimiento_Equipo,5,FALSE),0))</f>
        <v>0</v>
      </c>
      <c r="G1383" s="453">
        <f t="shared" ref="G1383:G1388" si="393">IFERROR(ROUND(D1383*E1383/F1383,2),0)</f>
        <v>0</v>
      </c>
    </row>
    <row r="1384" spans="1:7" ht="19.899999999999999" customHeight="1" x14ac:dyDescent="0.2">
      <c r="A1384" s="496">
        <f t="shared" si="389"/>
        <v>0</v>
      </c>
      <c r="B1384" s="459">
        <f t="shared" si="390"/>
        <v>0</v>
      </c>
      <c r="C1384" s="463">
        <f t="shared" si="392"/>
        <v>0</v>
      </c>
      <c r="D1384" s="456"/>
      <c r="E1384" s="453">
        <f t="shared" si="391"/>
        <v>0</v>
      </c>
      <c r="F1384" s="456">
        <f>IF(C1384="",0,IFERROR(VLOOKUP(COUNTIF($A$1:A1384,"ANALISIS DE PRECIOS"),T_Rendimiento_Equipo,5,FALSE),0))</f>
        <v>0</v>
      </c>
      <c r="G1384" s="453">
        <f t="shared" si="393"/>
        <v>0</v>
      </c>
    </row>
    <row r="1385" spans="1:7" ht="19.899999999999999" customHeight="1" x14ac:dyDescent="0.2">
      <c r="A1385" s="496">
        <f t="shared" si="389"/>
        <v>0</v>
      </c>
      <c r="B1385" s="459">
        <f t="shared" si="390"/>
        <v>0</v>
      </c>
      <c r="C1385" s="463" t="str">
        <f t="shared" si="392"/>
        <v>B - MANO DE OBRA</v>
      </c>
      <c r="D1385" s="456"/>
      <c r="E1385" s="453">
        <f t="shared" si="391"/>
        <v>0</v>
      </c>
      <c r="F1385" s="456">
        <f>IF(C1385="",0,IFERROR(VLOOKUP(COUNTIF($A$1:A1385,"ANALISIS DE PRECIOS"),T_Rendimiento_Equipo,5,FALSE),0))</f>
        <v>0</v>
      </c>
      <c r="G1385" s="453">
        <f>IFERROR(ROUND(D1385*E1385/F1385,2),0)</f>
        <v>0</v>
      </c>
    </row>
    <row r="1386" spans="1:7" ht="19.899999999999999" customHeight="1" x14ac:dyDescent="0.2">
      <c r="A1386" s="496">
        <f t="shared" si="389"/>
        <v>0</v>
      </c>
      <c r="B1386" s="459">
        <f t="shared" si="390"/>
        <v>0</v>
      </c>
      <c r="C1386" s="450"/>
      <c r="D1386" s="456"/>
      <c r="E1386" s="453">
        <f t="shared" si="391"/>
        <v>0</v>
      </c>
      <c r="F1386" s="456">
        <f>IF(C1386="",0,IFERROR(VLOOKUP(COUNTIF($A$1:A1386,"ANALISIS DE PRECIOS"),T_Rendimiento_Equipo,5,FALSE),0))</f>
        <v>0</v>
      </c>
      <c r="G1386" s="453">
        <f t="shared" ref="G1386:G1391" si="394">IFERROR(ROUND(D1386*E1386/F1386,2),0)</f>
        <v>0</v>
      </c>
    </row>
    <row r="1387" spans="1:7" ht="19.899999999999999" customHeight="1" x14ac:dyDescent="0.2">
      <c r="A1387" s="496">
        <f t="shared" si="389"/>
        <v>0</v>
      </c>
      <c r="B1387" s="459">
        <f t="shared" si="390"/>
        <v>0</v>
      </c>
      <c r="C1387" s="450"/>
      <c r="D1387" s="464"/>
      <c r="E1387" s="453">
        <f t="shared" si="391"/>
        <v>0</v>
      </c>
      <c r="F1387" s="456">
        <f>IF(C1387="",0,IFERROR(VLOOKUP(COUNTIF($A$1:A1387,"ANALISIS DE PRECIOS"),T_Rendimiento_Equipo,5,FALSE),0))</f>
        <v>0</v>
      </c>
      <c r="G1387" s="453">
        <f t="shared" si="394"/>
        <v>0</v>
      </c>
    </row>
    <row r="1388" spans="1:7" ht="19.899999999999999" customHeight="1" x14ac:dyDescent="0.2">
      <c r="A1388" s="496">
        <f t="shared" si="389"/>
        <v>0</v>
      </c>
      <c r="B1388" s="459">
        <f t="shared" si="390"/>
        <v>0</v>
      </c>
      <c r="C1388" s="459"/>
      <c r="D1388" s="465"/>
      <c r="E1388" s="453">
        <f t="shared" si="391"/>
        <v>0</v>
      </c>
      <c r="F1388" s="456">
        <f>IF(C1388="",0,IFERROR(VLOOKUP(COUNTIF($A$1:A1388,"ANALISIS DE PRECIOS"),T_Rendimiento_Equipo,5,FALSE),0))</f>
        <v>0</v>
      </c>
      <c r="G1388" s="453">
        <f t="shared" si="394"/>
        <v>0</v>
      </c>
    </row>
    <row r="1389" spans="1:7" ht="19.899999999999999" customHeight="1" x14ac:dyDescent="0.2">
      <c r="A1389" s="497"/>
      <c r="B1389" s="440"/>
      <c r="C1389" s="155"/>
      <c r="D1389" s="440"/>
      <c r="E1389" s="441"/>
      <c r="F1389" s="462" t="s">
        <v>28</v>
      </c>
      <c r="G1389" s="499">
        <f>SUBTOTAL(9,G1382:G1388)</f>
        <v>0</v>
      </c>
    </row>
    <row r="1390" spans="1:7" ht="19.899999999999999" customHeight="1" x14ac:dyDescent="0.2">
      <c r="A1390" s="494"/>
      <c r="B1390" s="155"/>
      <c r="C1390" s="436" t="s">
        <v>990</v>
      </c>
      <c r="D1390" s="440"/>
      <c r="E1390" s="441"/>
      <c r="F1390" s="442"/>
      <c r="G1390" s="495"/>
    </row>
    <row r="1391" spans="1:7" ht="19.899999999999999" customHeight="1" x14ac:dyDescent="0.2">
      <c r="A1391" s="677" t="s">
        <v>576</v>
      </c>
      <c r="B1391" s="678"/>
      <c r="C1391" s="679" t="s">
        <v>0</v>
      </c>
      <c r="D1391" s="679" t="s">
        <v>1733</v>
      </c>
      <c r="E1391" s="681" t="s">
        <v>24</v>
      </c>
      <c r="F1391" s="683" t="s">
        <v>25</v>
      </c>
      <c r="G1391" s="685" t="s">
        <v>26</v>
      </c>
    </row>
    <row r="1392" spans="1:7" ht="19.899999999999999" customHeight="1" x14ac:dyDescent="0.2">
      <c r="A1392" s="458" t="s">
        <v>577</v>
      </c>
      <c r="B1392" s="458" t="s">
        <v>578</v>
      </c>
      <c r="C1392" s="680"/>
      <c r="D1392" s="680"/>
      <c r="E1392" s="682"/>
      <c r="F1392" s="684"/>
      <c r="G1392" s="686"/>
    </row>
    <row r="1393" spans="1:7" ht="19.899999999999999" customHeight="1" x14ac:dyDescent="0.2">
      <c r="A1393" s="496">
        <f t="shared" ref="A1393:A1403" si="395">IFERROR(VLOOKUP(C1393,T_Insumos,4,FALSE),0)</f>
        <v>0</v>
      </c>
      <c r="B1393" s="459">
        <f t="shared" ref="B1393:B1403" si="396">IFERROR(VLOOKUP(C1393,T_Insumos,5,FALSE),0)</f>
        <v>0</v>
      </c>
      <c r="C1393" s="459">
        <f>+Insumos!A940</f>
        <v>0</v>
      </c>
      <c r="D1393" s="507">
        <f t="shared" ref="D1393:D1403" si="397">IFERROR(VLOOKUP(C1393,T_Insumos,2,FALSE),0)</f>
        <v>0</v>
      </c>
      <c r="E1393" s="451"/>
      <c r="F1393" s="453">
        <f t="shared" ref="F1393:F1403" si="398">IFERROR(VLOOKUP(C1393,T_Insumos,3,FALSE),0)</f>
        <v>0</v>
      </c>
      <c r="G1393" s="453">
        <f>ROUND(E1393*F1393,2)</f>
        <v>0</v>
      </c>
    </row>
    <row r="1394" spans="1:7" ht="19.899999999999999" customHeight="1" x14ac:dyDescent="0.2">
      <c r="A1394" s="496">
        <f t="shared" si="395"/>
        <v>0</v>
      </c>
      <c r="B1394" s="459">
        <f t="shared" si="396"/>
        <v>0</v>
      </c>
      <c r="C1394" s="459">
        <f>+Insumos!A982</f>
        <v>0</v>
      </c>
      <c r="D1394" s="507">
        <f t="shared" si="397"/>
        <v>0</v>
      </c>
      <c r="E1394" s="451"/>
      <c r="F1394" s="453">
        <f t="shared" si="398"/>
        <v>0</v>
      </c>
      <c r="G1394" s="453">
        <f>ROUND(E1394*F1394,2)</f>
        <v>0</v>
      </c>
    </row>
    <row r="1395" spans="1:7" ht="19.899999999999999" customHeight="1" x14ac:dyDescent="0.2">
      <c r="A1395" s="496">
        <f t="shared" si="395"/>
        <v>0</v>
      </c>
      <c r="B1395" s="459">
        <f t="shared" si="396"/>
        <v>0</v>
      </c>
      <c r="C1395" s="459"/>
      <c r="D1395" s="507">
        <f t="shared" si="397"/>
        <v>0</v>
      </c>
      <c r="E1395" s="451"/>
      <c r="F1395" s="453">
        <f t="shared" si="398"/>
        <v>0</v>
      </c>
      <c r="G1395" s="453">
        <f t="shared" ref="G1395:G1403" si="399">ROUND(E1395*F1395,2)</f>
        <v>0</v>
      </c>
    </row>
    <row r="1396" spans="1:7" ht="19.899999999999999" customHeight="1" x14ac:dyDescent="0.2">
      <c r="A1396" s="496">
        <f t="shared" si="395"/>
        <v>0</v>
      </c>
      <c r="B1396" s="459">
        <f t="shared" si="396"/>
        <v>0</v>
      </c>
      <c r="C1396" s="459"/>
      <c r="D1396" s="507">
        <f t="shared" si="397"/>
        <v>0</v>
      </c>
      <c r="E1396" s="451"/>
      <c r="F1396" s="453">
        <f t="shared" si="398"/>
        <v>0</v>
      </c>
      <c r="G1396" s="453">
        <f t="shared" si="399"/>
        <v>0</v>
      </c>
    </row>
    <row r="1397" spans="1:7" ht="19.899999999999999" customHeight="1" x14ac:dyDescent="0.2">
      <c r="A1397" s="496">
        <f t="shared" si="395"/>
        <v>0</v>
      </c>
      <c r="B1397" s="459">
        <f t="shared" si="396"/>
        <v>0</v>
      </c>
      <c r="C1397" s="459"/>
      <c r="D1397" s="507">
        <f t="shared" si="397"/>
        <v>0</v>
      </c>
      <c r="E1397" s="451"/>
      <c r="F1397" s="453">
        <f t="shared" si="398"/>
        <v>0</v>
      </c>
      <c r="G1397" s="453">
        <f t="shared" si="399"/>
        <v>0</v>
      </c>
    </row>
    <row r="1398" spans="1:7" ht="19.899999999999999" customHeight="1" x14ac:dyDescent="0.2">
      <c r="A1398" s="496">
        <f t="shared" si="395"/>
        <v>0</v>
      </c>
      <c r="B1398" s="459">
        <f t="shared" si="396"/>
        <v>0</v>
      </c>
      <c r="C1398" s="459"/>
      <c r="D1398" s="507">
        <f t="shared" si="397"/>
        <v>0</v>
      </c>
      <c r="E1398" s="451"/>
      <c r="F1398" s="453">
        <f t="shared" si="398"/>
        <v>0</v>
      </c>
      <c r="G1398" s="453">
        <f t="shared" si="399"/>
        <v>0</v>
      </c>
    </row>
    <row r="1399" spans="1:7" ht="19.899999999999999" customHeight="1" x14ac:dyDescent="0.2">
      <c r="A1399" s="496">
        <f t="shared" si="395"/>
        <v>0</v>
      </c>
      <c r="B1399" s="459">
        <f t="shared" si="396"/>
        <v>0</v>
      </c>
      <c r="C1399" s="459"/>
      <c r="D1399" s="507">
        <f t="shared" si="397"/>
        <v>0</v>
      </c>
      <c r="E1399" s="451"/>
      <c r="F1399" s="453">
        <f t="shared" si="398"/>
        <v>0</v>
      </c>
      <c r="G1399" s="453">
        <f t="shared" si="399"/>
        <v>0</v>
      </c>
    </row>
    <row r="1400" spans="1:7" ht="19.899999999999999" customHeight="1" x14ac:dyDescent="0.2">
      <c r="A1400" s="496">
        <f t="shared" si="395"/>
        <v>0</v>
      </c>
      <c r="B1400" s="459">
        <f t="shared" si="396"/>
        <v>0</v>
      </c>
      <c r="C1400" s="459"/>
      <c r="D1400" s="507">
        <f t="shared" si="397"/>
        <v>0</v>
      </c>
      <c r="E1400" s="451"/>
      <c r="F1400" s="453">
        <f t="shared" si="398"/>
        <v>0</v>
      </c>
      <c r="G1400" s="453">
        <f t="shared" si="399"/>
        <v>0</v>
      </c>
    </row>
    <row r="1401" spans="1:7" ht="19.899999999999999" customHeight="1" x14ac:dyDescent="0.2">
      <c r="A1401" s="496">
        <f t="shared" si="395"/>
        <v>0</v>
      </c>
      <c r="B1401" s="459">
        <f t="shared" si="396"/>
        <v>0</v>
      </c>
      <c r="C1401" s="459"/>
      <c r="D1401" s="507">
        <f t="shared" si="397"/>
        <v>0</v>
      </c>
      <c r="E1401" s="451"/>
      <c r="F1401" s="453">
        <f t="shared" si="398"/>
        <v>0</v>
      </c>
      <c r="G1401" s="453">
        <f t="shared" si="399"/>
        <v>0</v>
      </c>
    </row>
    <row r="1402" spans="1:7" ht="19.899999999999999" customHeight="1" x14ac:dyDescent="0.2">
      <c r="A1402" s="496">
        <f t="shared" si="395"/>
        <v>0</v>
      </c>
      <c r="B1402" s="459">
        <f t="shared" si="396"/>
        <v>0</v>
      </c>
      <c r="C1402" s="459"/>
      <c r="D1402" s="507">
        <f t="shared" si="397"/>
        <v>0</v>
      </c>
      <c r="E1402" s="451"/>
      <c r="F1402" s="453">
        <f t="shared" si="398"/>
        <v>0</v>
      </c>
      <c r="G1402" s="453">
        <f t="shared" si="399"/>
        <v>0</v>
      </c>
    </row>
    <row r="1403" spans="1:7" ht="19.899999999999999" customHeight="1" x14ac:dyDescent="0.2">
      <c r="A1403" s="496">
        <f t="shared" si="395"/>
        <v>0</v>
      </c>
      <c r="B1403" s="459">
        <f t="shared" si="396"/>
        <v>0</v>
      </c>
      <c r="C1403" s="459"/>
      <c r="D1403" s="507">
        <f t="shared" si="397"/>
        <v>0</v>
      </c>
      <c r="E1403" s="451"/>
      <c r="F1403" s="453">
        <f t="shared" si="398"/>
        <v>0</v>
      </c>
      <c r="G1403" s="453">
        <f t="shared" si="399"/>
        <v>0</v>
      </c>
    </row>
    <row r="1404" spans="1:7" ht="19.899999999999999" customHeight="1" x14ac:dyDescent="0.2">
      <c r="A1404" s="494"/>
      <c r="B1404" s="155"/>
      <c r="C1404" s="155"/>
      <c r="D1404" s="440"/>
      <c r="E1404" s="441"/>
      <c r="F1404" s="462" t="s">
        <v>29</v>
      </c>
      <c r="G1404" s="499">
        <f>SUBTOTAL(9,G1393:G1403)</f>
        <v>0</v>
      </c>
    </row>
    <row r="1405" spans="1:7" ht="19.899999999999999" customHeight="1" x14ac:dyDescent="0.2">
      <c r="A1405" s="494"/>
      <c r="B1405" s="155"/>
      <c r="C1405" s="436" t="s">
        <v>991</v>
      </c>
      <c r="D1405" s="440"/>
      <c r="E1405" s="441"/>
      <c r="F1405" s="442"/>
      <c r="G1405" s="495"/>
    </row>
    <row r="1406" spans="1:7" ht="19.899999999999999" customHeight="1" x14ac:dyDescent="0.2">
      <c r="A1406" s="677" t="s">
        <v>576</v>
      </c>
      <c r="B1406" s="678"/>
      <c r="C1406" s="679" t="s">
        <v>0</v>
      </c>
      <c r="D1406" s="679" t="s">
        <v>1733</v>
      </c>
      <c r="E1406" s="681" t="s">
        <v>24</v>
      </c>
      <c r="F1406" s="683" t="s">
        <v>25</v>
      </c>
      <c r="G1406" s="685" t="s">
        <v>26</v>
      </c>
    </row>
    <row r="1407" spans="1:7" ht="19.899999999999999" customHeight="1" x14ac:dyDescent="0.2">
      <c r="A1407" s="458" t="s">
        <v>577</v>
      </c>
      <c r="B1407" s="458" t="s">
        <v>578</v>
      </c>
      <c r="C1407" s="680"/>
      <c r="D1407" s="680"/>
      <c r="E1407" s="682"/>
      <c r="F1407" s="684"/>
      <c r="G1407" s="686"/>
    </row>
    <row r="1408" spans="1:7" ht="19.899999999999999" customHeight="1" x14ac:dyDescent="0.2">
      <c r="A1408" s="496">
        <f>IFERROR(VLOOKUP(C1408,T_Insumos,4,FALSE),0)</f>
        <v>0</v>
      </c>
      <c r="B1408" s="459">
        <f>IFERROR(VLOOKUP(C1408,T_Insumos,5,FALSE),0)</f>
        <v>0</v>
      </c>
      <c r="C1408" s="450"/>
      <c r="D1408" s="507">
        <f>IF(C1408=0,0,"$/tnkm")</f>
        <v>0</v>
      </c>
      <c r="E1408" s="451"/>
      <c r="F1408" s="453">
        <f>IFERROR(VLOOKUP(C1408,T_Insumos,3,FALSE),0)</f>
        <v>0</v>
      </c>
      <c r="G1408" s="453">
        <f>ROUND(E1408*F1408,2)</f>
        <v>0</v>
      </c>
    </row>
    <row r="1409" spans="1:7" ht="19.899999999999999" customHeight="1" x14ac:dyDescent="0.2">
      <c r="A1409" s="496">
        <f>IFERROR(VLOOKUP(C1409,T_Insumos,4,FALSE),0)</f>
        <v>0</v>
      </c>
      <c r="B1409" s="459">
        <f>IFERROR(VLOOKUP(C1409,T_Insumos,5,FALSE),0)</f>
        <v>0</v>
      </c>
      <c r="C1409" s="450"/>
      <c r="D1409" s="507">
        <f>IF(C1409=0,0,"$/tnkm")</f>
        <v>0</v>
      </c>
      <c r="E1409" s="467"/>
      <c r="F1409" s="453">
        <f>IFERROR(VLOOKUP(C1409,T_Insumos,3,FALSE),0)</f>
        <v>0</v>
      </c>
      <c r="G1409" s="453">
        <f t="shared" ref="G1409" si="400">ROUND(E1409*F1409,2)</f>
        <v>0</v>
      </c>
    </row>
    <row r="1410" spans="1:7" ht="19.899999999999999" customHeight="1" x14ac:dyDescent="0.2">
      <c r="A1410" s="494"/>
      <c r="B1410" s="155"/>
      <c r="C1410" s="155"/>
      <c r="D1410" s="440"/>
      <c r="E1410" s="441"/>
      <c r="F1410" s="462" t="s">
        <v>992</v>
      </c>
      <c r="G1410" s="499">
        <f>SUBTOTAL(9,G1408:G1409)</f>
        <v>0</v>
      </c>
    </row>
    <row r="1411" spans="1:7" ht="19.899999999999999" customHeight="1" x14ac:dyDescent="0.2">
      <c r="A1411" s="497"/>
      <c r="B1411" s="440"/>
      <c r="C1411" s="155"/>
      <c r="D1411" s="440"/>
      <c r="E1411" s="441"/>
      <c r="F1411" s="442"/>
      <c r="G1411" s="495"/>
    </row>
    <row r="1412" spans="1:7" ht="19.899999999999999" customHeight="1" x14ac:dyDescent="0.2">
      <c r="A1412" s="555" t="str">
        <f>B1346</f>
        <v>3.2.4</v>
      </c>
      <c r="B1412" s="552" t="str">
        <f ca="1">C1346</f>
        <v>Puente de Adherencia</v>
      </c>
      <c r="C1412" s="440"/>
      <c r="D1412" s="440" t="s">
        <v>1712</v>
      </c>
      <c r="E1412" s="553"/>
      <c r="F1412" s="554" t="str">
        <f ca="1">"$/"&amp;G1346</f>
        <v>$/GL</v>
      </c>
      <c r="G1412" s="504">
        <f>SUBTOTAL(9,G1369:G1411)</f>
        <v>0</v>
      </c>
    </row>
    <row r="1413" spans="1:7" ht="19.899999999999999" customHeight="1" x14ac:dyDescent="0.2">
      <c r="A1413" s="500"/>
      <c r="B1413" s="501"/>
      <c r="C1413" s="502"/>
      <c r="D1413" s="502" t="s">
        <v>1908</v>
      </c>
      <c r="E1413" s="503"/>
      <c r="F1413" s="556" t="str">
        <f ca="1">"$/"&amp;G1346</f>
        <v>$/GL</v>
      </c>
      <c r="G1413" s="504">
        <f>ROUND(G1412*Coeficiente_Paso,2)</f>
        <v>0</v>
      </c>
    </row>
    <row r="1414" spans="1:7" ht="19.899999999999999" customHeight="1" x14ac:dyDescent="0.2">
      <c r="A1414" s="687" t="s">
        <v>31</v>
      </c>
      <c r="B1414" s="688"/>
      <c r="C1414" s="688"/>
      <c r="D1414" s="688"/>
      <c r="E1414" s="688"/>
      <c r="F1414" s="688"/>
      <c r="G1414" s="689"/>
    </row>
    <row r="1415" spans="1:7" ht="19.899999999999999" customHeight="1" x14ac:dyDescent="0.2">
      <c r="A1415" s="483" t="s">
        <v>711</v>
      </c>
      <c r="B1415" s="434" t="str">
        <f>Comitente</f>
        <v>DEPARTAMENTO DE HIDRÁULICA</v>
      </c>
      <c r="C1415" s="435"/>
      <c r="D1415" s="436"/>
      <c r="E1415" s="436"/>
      <c r="F1415" s="437"/>
      <c r="G1415" s="484"/>
    </row>
    <row r="1416" spans="1:7" ht="19.899999999999999" customHeight="1" x14ac:dyDescent="0.2">
      <c r="A1416" s="483" t="s">
        <v>712</v>
      </c>
      <c r="B1416" s="434">
        <f>Contratista</f>
        <v>0</v>
      </c>
      <c r="C1416" s="438"/>
      <c r="D1416" s="438"/>
      <c r="E1416" s="438"/>
      <c r="F1416" s="434"/>
      <c r="G1416" s="485"/>
    </row>
    <row r="1417" spans="1:7" ht="19.899999999999999" customHeight="1" x14ac:dyDescent="0.2">
      <c r="A1417" s="483" t="s">
        <v>21</v>
      </c>
      <c r="B1417" s="434" t="str">
        <f>Obra</f>
        <v>RECRECIMIENTO Y REPARACIÓN CANALES SARMIENTO, 9 DE JULIO Y CHIMBAS</v>
      </c>
      <c r="C1417" s="438"/>
      <c r="D1417" s="438"/>
      <c r="E1417" s="438"/>
      <c r="F1417" s="434" t="s">
        <v>32</v>
      </c>
      <c r="G1417" s="485">
        <f>Fecha_Base</f>
        <v>0</v>
      </c>
    </row>
    <row r="1418" spans="1:7" ht="19.899999999999999" customHeight="1" x14ac:dyDescent="0.2">
      <c r="A1418" s="486" t="s">
        <v>710</v>
      </c>
      <c r="B1418" s="439" t="str">
        <f>Ubicación</f>
        <v>DEPARTAMENTOS SARMIENTO, 9 DE JULIO Y CHIMBAS</v>
      </c>
      <c r="C1418" s="439"/>
      <c r="D1418" s="440"/>
      <c r="E1418" s="441"/>
      <c r="F1418" s="442"/>
      <c r="G1418" s="487"/>
    </row>
    <row r="1419" spans="1:7" ht="19.899999999999999" customHeight="1" x14ac:dyDescent="0.2">
      <c r="A1419" s="486" t="s">
        <v>33</v>
      </c>
      <c r="B1419" s="443">
        <f>IFERROR(VALUE(LEFT(B1420,FIND(".",B1420)-1)),"")</f>
        <v>3</v>
      </c>
      <c r="C1419" s="155" t="str">
        <f ca="1">IFERROR(VLOOKUP(B1419,T_Computo_Presupuesto,2,FALSE),0)</f>
        <v>RECRECIMIENTO C. PASTORIZA-VIDELA</v>
      </c>
      <c r="D1419" s="155"/>
      <c r="E1419" s="441"/>
      <c r="F1419" s="442"/>
      <c r="G1419" s="487"/>
    </row>
    <row r="1420" spans="1:7" ht="19.899999999999999" customHeight="1" x14ac:dyDescent="0.2">
      <c r="A1420" s="486" t="s">
        <v>22</v>
      </c>
      <c r="B1420" s="444" t="str">
        <f>IFERROR(VLOOKUP(COUNTIF($A$1:A1420,"ANALISIS DE PRECIOS"),T_NumeroItem,2,FALSE),"")</f>
        <v>3.3.1</v>
      </c>
      <c r="C1420" s="690" t="str">
        <f ca="1">IFERROR(VLOOKUP(B1420,T_Computo_Presupuesto,2,FALSE),0)</f>
        <v>Demolicion</v>
      </c>
      <c r="D1420" s="690"/>
      <c r="E1420" s="690"/>
      <c r="F1420" s="439" t="s">
        <v>23</v>
      </c>
      <c r="G1420" s="488" t="str">
        <f ca="1">IFERROR(VLOOKUP(B1420,T_Computo_Presupuesto,4,FALSE),0)</f>
        <v>M3</v>
      </c>
    </row>
    <row r="1421" spans="1:7" ht="19.899999999999999" customHeight="1" x14ac:dyDescent="0.2">
      <c r="A1421" s="486"/>
      <c r="B1421" s="439"/>
      <c r="C1421" s="155"/>
      <c r="D1421" s="440"/>
      <c r="E1421" s="441"/>
      <c r="F1421" s="155"/>
      <c r="G1421" s="489"/>
    </row>
    <row r="1422" spans="1:7" ht="19.899999999999999" customHeight="1" x14ac:dyDescent="0.2">
      <c r="A1422" s="490"/>
      <c r="B1422" s="445"/>
      <c r="C1422" s="446" t="s">
        <v>975</v>
      </c>
      <c r="D1422" s="445"/>
      <c r="E1422" s="445"/>
      <c r="F1422" s="445"/>
      <c r="G1422" s="491"/>
    </row>
    <row r="1423" spans="1:7" ht="19.899999999999999" customHeight="1" x14ac:dyDescent="0.2">
      <c r="A1423" s="486"/>
      <c r="B1423" s="447"/>
      <c r="C1423" s="155"/>
      <c r="D1423" s="440"/>
      <c r="E1423" s="441"/>
      <c r="F1423" s="439"/>
      <c r="G1423" s="488"/>
    </row>
    <row r="1424" spans="1:7" ht="19.899999999999999" customHeight="1" x14ac:dyDescent="0.2">
      <c r="A1424" s="486"/>
      <c r="B1424" s="447"/>
      <c r="C1424" s="448" t="s">
        <v>976</v>
      </c>
      <c r="D1424" s="449" t="s">
        <v>24</v>
      </c>
      <c r="E1424" s="449" t="s">
        <v>977</v>
      </c>
      <c r="F1424" s="449" t="s">
        <v>978</v>
      </c>
      <c r="G1424" s="448" t="s">
        <v>979</v>
      </c>
    </row>
    <row r="1425" spans="1:7" ht="19.899999999999999" customHeight="1" x14ac:dyDescent="0.2">
      <c r="A1425" s="486"/>
      <c r="B1425" s="447"/>
      <c r="C1425" s="450">
        <f>+Equipos!A979</f>
        <v>0</v>
      </c>
      <c r="D1425" s="451"/>
      <c r="E1425" s="452">
        <f t="shared" ref="E1425:E1434" si="401">IFERROR(VLOOKUP(C1425,T_Equipos,4,FALSE),0)</f>
        <v>0</v>
      </c>
      <c r="F1425" s="453">
        <f t="shared" ref="F1425:F1434" si="402">IFERROR(VLOOKUP(C1425,T_Equipos,5,FALSE),0)</f>
        <v>0</v>
      </c>
      <c r="G1425" s="453">
        <f>ROUND(D1425*F1425,2)</f>
        <v>0</v>
      </c>
    </row>
    <row r="1426" spans="1:7" ht="19.899999999999999" customHeight="1" x14ac:dyDescent="0.2">
      <c r="A1426" s="486"/>
      <c r="B1426" s="447"/>
      <c r="C1426" s="450">
        <f>+Equipos!A976</f>
        <v>0</v>
      </c>
      <c r="D1426" s="451"/>
      <c r="E1426" s="452">
        <f t="shared" si="401"/>
        <v>0</v>
      </c>
      <c r="F1426" s="453">
        <f t="shared" si="402"/>
        <v>0</v>
      </c>
      <c r="G1426" s="453">
        <f>ROUND(D1426*F1426,2)</f>
        <v>0</v>
      </c>
    </row>
    <row r="1427" spans="1:7" ht="19.899999999999999" customHeight="1" x14ac:dyDescent="0.2">
      <c r="A1427" s="486"/>
      <c r="B1427" s="447"/>
      <c r="C1427" s="450">
        <f>+Equipos!A988</f>
        <v>0</v>
      </c>
      <c r="D1427" s="451"/>
      <c r="E1427" s="452">
        <f t="shared" si="401"/>
        <v>0</v>
      </c>
      <c r="F1427" s="453">
        <f t="shared" si="402"/>
        <v>0</v>
      </c>
      <c r="G1427" s="453">
        <f>ROUND(D1427*F1427,2)</f>
        <v>0</v>
      </c>
    </row>
    <row r="1428" spans="1:7" ht="19.899999999999999" customHeight="1" x14ac:dyDescent="0.2">
      <c r="A1428" s="486"/>
      <c r="B1428" s="447"/>
      <c r="C1428" s="450">
        <f>+Equipos!A996</f>
        <v>0</v>
      </c>
      <c r="D1428" s="451"/>
      <c r="E1428" s="452">
        <f t="shared" si="401"/>
        <v>0</v>
      </c>
      <c r="F1428" s="453">
        <f t="shared" si="402"/>
        <v>0</v>
      </c>
      <c r="G1428" s="453">
        <f>ROUND(D1428*F1428,2)</f>
        <v>0</v>
      </c>
    </row>
    <row r="1429" spans="1:7" ht="19.899999999999999" customHeight="1" x14ac:dyDescent="0.2">
      <c r="A1429" s="486"/>
      <c r="B1429" s="447"/>
      <c r="C1429" s="450">
        <f>+Equipos!A985</f>
        <v>0</v>
      </c>
      <c r="D1429" s="623"/>
      <c r="E1429" s="452">
        <f t="shared" si="401"/>
        <v>0</v>
      </c>
      <c r="F1429" s="453">
        <f t="shared" si="402"/>
        <v>0</v>
      </c>
      <c r="G1429" s="453">
        <f t="shared" ref="G1429:G1434" si="403">ROUND(D1429*F1429,2)</f>
        <v>0</v>
      </c>
    </row>
    <row r="1430" spans="1:7" ht="19.899999999999999" customHeight="1" x14ac:dyDescent="0.2">
      <c r="A1430" s="486"/>
      <c r="B1430" s="447"/>
      <c r="C1430" s="450">
        <f>+Equipos!A981</f>
        <v>0</v>
      </c>
      <c r="D1430" s="451"/>
      <c r="E1430" s="452">
        <f t="shared" si="401"/>
        <v>0</v>
      </c>
      <c r="F1430" s="453">
        <f t="shared" si="402"/>
        <v>0</v>
      </c>
      <c r="G1430" s="453">
        <f t="shared" si="403"/>
        <v>0</v>
      </c>
    </row>
    <row r="1431" spans="1:7" ht="19.899999999999999" customHeight="1" x14ac:dyDescent="0.2">
      <c r="A1431" s="486"/>
      <c r="B1431" s="447"/>
      <c r="C1431" s="450"/>
      <c r="D1431" s="451"/>
      <c r="E1431" s="452">
        <f t="shared" si="401"/>
        <v>0</v>
      </c>
      <c r="F1431" s="453">
        <f t="shared" si="402"/>
        <v>0</v>
      </c>
      <c r="G1431" s="453">
        <f t="shared" si="403"/>
        <v>0</v>
      </c>
    </row>
    <row r="1432" spans="1:7" ht="19.899999999999999" customHeight="1" x14ac:dyDescent="0.2">
      <c r="A1432" s="486"/>
      <c r="B1432" s="447"/>
      <c r="C1432" s="450"/>
      <c r="D1432" s="451"/>
      <c r="E1432" s="452">
        <f t="shared" si="401"/>
        <v>0</v>
      </c>
      <c r="F1432" s="453">
        <f t="shared" si="402"/>
        <v>0</v>
      </c>
      <c r="G1432" s="453">
        <f t="shared" si="403"/>
        <v>0</v>
      </c>
    </row>
    <row r="1433" spans="1:7" ht="19.899999999999999" customHeight="1" x14ac:dyDescent="0.2">
      <c r="A1433" s="486"/>
      <c r="B1433" s="447"/>
      <c r="C1433" s="450"/>
      <c r="D1433" s="451"/>
      <c r="E1433" s="452">
        <f t="shared" si="401"/>
        <v>0</v>
      </c>
      <c r="F1433" s="453">
        <f t="shared" si="402"/>
        <v>0</v>
      </c>
      <c r="G1433" s="453">
        <f t="shared" si="403"/>
        <v>0</v>
      </c>
    </row>
    <row r="1434" spans="1:7" ht="19.899999999999999" customHeight="1" x14ac:dyDescent="0.2">
      <c r="A1434" s="486"/>
      <c r="B1434" s="447"/>
      <c r="C1434" s="450"/>
      <c r="D1434" s="451"/>
      <c r="E1434" s="452">
        <f t="shared" si="401"/>
        <v>0</v>
      </c>
      <c r="F1434" s="453">
        <f t="shared" si="402"/>
        <v>0</v>
      </c>
      <c r="G1434" s="453">
        <f t="shared" si="403"/>
        <v>0</v>
      </c>
    </row>
    <row r="1435" spans="1:7" ht="19.899999999999999" customHeight="1" x14ac:dyDescent="0.2">
      <c r="A1435" s="486"/>
      <c r="B1435" s="447"/>
      <c r="C1435" s="155"/>
      <c r="D1435" s="155"/>
      <c r="E1435" s="454"/>
      <c r="F1435" s="439"/>
      <c r="G1435" s="488"/>
    </row>
    <row r="1436" spans="1:7" ht="19.899999999999999" customHeight="1" x14ac:dyDescent="0.2">
      <c r="A1436" s="486"/>
      <c r="B1436" s="155"/>
      <c r="C1436" s="436" t="s">
        <v>980</v>
      </c>
      <c r="D1436" s="439" t="s">
        <v>977</v>
      </c>
      <c r="E1436" s="505">
        <f>SUMPRODUCT(D1425:D1434,E1425:E1434)</f>
        <v>0</v>
      </c>
      <c r="F1436" s="439" t="s">
        <v>981</v>
      </c>
      <c r="G1436" s="506">
        <f>SUM(G1425:G1434)</f>
        <v>0</v>
      </c>
    </row>
    <row r="1437" spans="1:7" ht="19.899999999999999" customHeight="1" x14ac:dyDescent="0.2">
      <c r="A1437" s="486"/>
      <c r="B1437" s="447"/>
      <c r="C1437" s="455"/>
      <c r="D1437" s="454"/>
      <c r="E1437" s="441"/>
      <c r="F1437" s="439"/>
      <c r="G1437" s="492"/>
    </row>
    <row r="1438" spans="1:7" ht="19.899999999999999" customHeight="1" x14ac:dyDescent="0.2">
      <c r="A1438" s="493"/>
      <c r="B1438" s="447"/>
      <c r="C1438" s="439" t="s">
        <v>982</v>
      </c>
      <c r="D1438" s="456">
        <f>IFERROR(VLOOKUP(COUNTIF($A$1:A1438,"ANALISIS DE PRECIOS"),T_Rendimiento_Equipo,5,FALSE),0)</f>
        <v>0</v>
      </c>
      <c r="E1438" s="457" t="str">
        <f ca="1">G1420&amp;"/día"</f>
        <v>M3/día</v>
      </c>
      <c r="F1438" s="433"/>
      <c r="G1438" s="488"/>
    </row>
    <row r="1439" spans="1:7" ht="19.899999999999999" customHeight="1" x14ac:dyDescent="0.2">
      <c r="A1439" s="486"/>
      <c r="B1439" s="447"/>
      <c r="C1439" s="155"/>
      <c r="D1439" s="440"/>
      <c r="E1439" s="441"/>
      <c r="F1439" s="439"/>
      <c r="G1439" s="488"/>
    </row>
    <row r="1440" spans="1:7" ht="19.899999999999999" customHeight="1" x14ac:dyDescent="0.2">
      <c r="A1440" s="677" t="s">
        <v>576</v>
      </c>
      <c r="B1440" s="678"/>
      <c r="C1440" s="679" t="s">
        <v>0</v>
      </c>
      <c r="D1440" s="691" t="s">
        <v>1732</v>
      </c>
      <c r="E1440" s="691" t="s">
        <v>1731</v>
      </c>
      <c r="F1440" s="683" t="s">
        <v>983</v>
      </c>
      <c r="G1440" s="685" t="s">
        <v>26</v>
      </c>
    </row>
    <row r="1441" spans="1:7" ht="19.899999999999999" customHeight="1" x14ac:dyDescent="0.2">
      <c r="A1441" s="458" t="s">
        <v>577</v>
      </c>
      <c r="B1441" s="458" t="s">
        <v>578</v>
      </c>
      <c r="C1441" s="680"/>
      <c r="D1441" s="692"/>
      <c r="E1441" s="682"/>
      <c r="F1441" s="684"/>
      <c r="G1441" s="686"/>
    </row>
    <row r="1442" spans="1:7" ht="19.899999999999999" customHeight="1" x14ac:dyDescent="0.2">
      <c r="A1442" s="494"/>
      <c r="B1442" s="155"/>
      <c r="C1442" s="436" t="s">
        <v>984</v>
      </c>
      <c r="D1442" s="441"/>
      <c r="E1442" s="441"/>
      <c r="F1442" s="155"/>
      <c r="G1442" s="495"/>
    </row>
    <row r="1443" spans="1:7" ht="19.899999999999999" customHeight="1" x14ac:dyDescent="0.2">
      <c r="A1443" s="496">
        <f t="shared" ref="A1443:A1451" si="404">IFERROR(VLOOKUP(C1443,T_Insumos,4,FALSE),0)</f>
        <v>0</v>
      </c>
      <c r="B1443" s="459">
        <f t="shared" ref="B1443:B1451" si="405">IFERROR(VLOOKUP(C1443,T_Insumos,5,FALSE),0)</f>
        <v>0</v>
      </c>
      <c r="C1443" s="450">
        <f>+C993</f>
        <v>0</v>
      </c>
      <c r="D1443" s="460">
        <f t="shared" ref="D1443:D1451" si="406">IFERROR(VLOOKUP(C1443,T_Insumos,3,FALSE),0)</f>
        <v>0</v>
      </c>
      <c r="E1443" s="453">
        <f>D1443*$G$473</f>
        <v>0</v>
      </c>
      <c r="F1443" s="456">
        <f>IF(C1443="",0,IFERROR(VLOOKUP(COUNTIF($A$1:A1443,"ANALISIS DE PRECIOS"),T_Rendimiento_Equipo,5,FALSE),0))</f>
        <v>0</v>
      </c>
      <c r="G1443" s="453">
        <f>IFERROR(ROUND(E1443/F1443,2),0)</f>
        <v>0</v>
      </c>
    </row>
    <row r="1444" spans="1:7" ht="19.899999999999999" customHeight="1" x14ac:dyDescent="0.2">
      <c r="A1444" s="496">
        <f t="shared" si="404"/>
        <v>0</v>
      </c>
      <c r="B1444" s="459">
        <f t="shared" si="405"/>
        <v>0</v>
      </c>
      <c r="C1444" s="450" t="str">
        <f t="shared" ref="C1444:C1446" si="407">+C994</f>
        <v>Rendimiento equipo de producción</v>
      </c>
      <c r="D1444" s="460">
        <f t="shared" si="406"/>
        <v>0</v>
      </c>
      <c r="E1444" s="453">
        <f t="shared" ref="E1444:E1445" si="408">D1444*$G$473</f>
        <v>0</v>
      </c>
      <c r="F1444" s="456">
        <f>IF(C1444="",0,IFERROR(VLOOKUP(COUNTIF($A$1:A1444,"ANALISIS DE PRECIOS"),T_Rendimiento_Equipo,5,FALSE),0))</f>
        <v>0</v>
      </c>
      <c r="G1444" s="453">
        <f t="shared" ref="G1444:G1451" si="409">IFERROR(ROUND(E1444/F1444,2),0)</f>
        <v>0</v>
      </c>
    </row>
    <row r="1445" spans="1:7" ht="19.899999999999999" customHeight="1" x14ac:dyDescent="0.2">
      <c r="A1445" s="496">
        <f t="shared" si="404"/>
        <v>0</v>
      </c>
      <c r="B1445" s="459">
        <f t="shared" si="405"/>
        <v>0</v>
      </c>
      <c r="C1445" s="450">
        <f t="shared" si="407"/>
        <v>0</v>
      </c>
      <c r="D1445" s="460">
        <f t="shared" si="406"/>
        <v>0</v>
      </c>
      <c r="E1445" s="453">
        <f t="shared" si="408"/>
        <v>0</v>
      </c>
      <c r="F1445" s="456">
        <f>IF(C1445="",0,IFERROR(VLOOKUP(COUNTIF($A$1:A1445,"ANALISIS DE PRECIOS"),T_Rendimiento_Equipo,5,FALSE),0))</f>
        <v>0</v>
      </c>
      <c r="G1445" s="453">
        <f t="shared" si="409"/>
        <v>0</v>
      </c>
    </row>
    <row r="1446" spans="1:7" ht="19.899999999999999" customHeight="1" x14ac:dyDescent="0.2">
      <c r="A1446" s="496">
        <f t="shared" si="404"/>
        <v>0</v>
      </c>
      <c r="B1446" s="459">
        <f t="shared" si="405"/>
        <v>0</v>
      </c>
      <c r="C1446" s="450" t="str">
        <f t="shared" si="407"/>
        <v>DESIGNACION</v>
      </c>
      <c r="D1446" s="460">
        <f t="shared" si="406"/>
        <v>0</v>
      </c>
      <c r="E1446" s="453">
        <f>D1446*$E$473</f>
        <v>0</v>
      </c>
      <c r="F1446" s="456">
        <f>IF(C1446="",0,IFERROR(VLOOKUP(COUNTIF($A$1:A1446,"ANALISIS DE PRECIOS"),T_Rendimiento_Equipo,5,FALSE),0))</f>
        <v>0</v>
      </c>
      <c r="G1446" s="453">
        <f t="shared" si="409"/>
        <v>0</v>
      </c>
    </row>
    <row r="1447" spans="1:7" ht="19.899999999999999" customHeight="1" x14ac:dyDescent="0.2">
      <c r="A1447" s="496">
        <f t="shared" si="404"/>
        <v>0</v>
      </c>
      <c r="B1447" s="459">
        <f t="shared" si="405"/>
        <v>0</v>
      </c>
      <c r="C1447" s="461"/>
      <c r="D1447" s="460">
        <f t="shared" si="406"/>
        <v>0</v>
      </c>
      <c r="E1447" s="453"/>
      <c r="F1447" s="456">
        <f>IF(C1447="",0,IFERROR(VLOOKUP(COUNTIF($A$1:A1447,"ANALISIS DE PRECIOS"),T_Rendimiento_Equipo,5,FALSE),0))</f>
        <v>0</v>
      </c>
      <c r="G1447" s="453">
        <f t="shared" si="409"/>
        <v>0</v>
      </c>
    </row>
    <row r="1448" spans="1:7" ht="19.899999999999999" customHeight="1" x14ac:dyDescent="0.2">
      <c r="A1448" s="496">
        <f t="shared" si="404"/>
        <v>0</v>
      </c>
      <c r="B1448" s="459">
        <f t="shared" si="405"/>
        <v>0</v>
      </c>
      <c r="C1448" s="461"/>
      <c r="D1448" s="460">
        <f t="shared" si="406"/>
        <v>0</v>
      </c>
      <c r="E1448" s="453"/>
      <c r="F1448" s="456">
        <f>IF(C1448="",0,IFERROR(VLOOKUP(COUNTIF($A$1:A1448,"ANALISIS DE PRECIOS"),T_Rendimiento_Equipo,5,FALSE),0))</f>
        <v>0</v>
      </c>
      <c r="G1448" s="453">
        <f t="shared" si="409"/>
        <v>0</v>
      </c>
    </row>
    <row r="1449" spans="1:7" ht="19.899999999999999" customHeight="1" x14ac:dyDescent="0.2">
      <c r="A1449" s="496">
        <f t="shared" si="404"/>
        <v>0</v>
      </c>
      <c r="B1449" s="459">
        <f t="shared" si="405"/>
        <v>0</v>
      </c>
      <c r="C1449" s="461"/>
      <c r="D1449" s="460">
        <f t="shared" si="406"/>
        <v>0</v>
      </c>
      <c r="E1449" s="453"/>
      <c r="F1449" s="456">
        <f>IF(C1449="",0,IFERROR(VLOOKUP(COUNTIF($A$1:A1449,"ANALISIS DE PRECIOS"),T_Rendimiento_Equipo,5,FALSE),0))</f>
        <v>0</v>
      </c>
      <c r="G1449" s="453">
        <f t="shared" si="409"/>
        <v>0</v>
      </c>
    </row>
    <row r="1450" spans="1:7" ht="19.899999999999999" customHeight="1" x14ac:dyDescent="0.2">
      <c r="A1450" s="496">
        <f t="shared" si="404"/>
        <v>0</v>
      </c>
      <c r="B1450" s="459">
        <f t="shared" si="405"/>
        <v>0</v>
      </c>
      <c r="C1450" s="461"/>
      <c r="D1450" s="460">
        <f t="shared" si="406"/>
        <v>0</v>
      </c>
      <c r="E1450" s="453"/>
      <c r="F1450" s="456">
        <f>IF(C1450="",0,IFERROR(VLOOKUP(COUNTIF($A$1:A1450,"ANALISIS DE PRECIOS"),T_Rendimiento_Equipo,5,FALSE),0))</f>
        <v>0</v>
      </c>
      <c r="G1450" s="453">
        <f t="shared" si="409"/>
        <v>0</v>
      </c>
    </row>
    <row r="1451" spans="1:7" ht="19.899999999999999" customHeight="1" x14ac:dyDescent="0.2">
      <c r="A1451" s="496">
        <f t="shared" si="404"/>
        <v>0</v>
      </c>
      <c r="B1451" s="459">
        <f t="shared" si="405"/>
        <v>0</v>
      </c>
      <c r="C1451" s="450"/>
      <c r="D1451" s="460">
        <f t="shared" si="406"/>
        <v>0</v>
      </c>
      <c r="E1451" s="453"/>
      <c r="F1451" s="456">
        <f>IF(C1451="",0,IFERROR(VLOOKUP(COUNTIF($A$1:A1451,"ANALISIS DE PRECIOS"),T_Rendimiento_Equipo,5,FALSE),0))</f>
        <v>0</v>
      </c>
      <c r="G1451" s="453">
        <f t="shared" si="409"/>
        <v>0</v>
      </c>
    </row>
    <row r="1452" spans="1:7" ht="19.899999999999999" customHeight="1" x14ac:dyDescent="0.2">
      <c r="A1452" s="497"/>
      <c r="B1452" s="440"/>
      <c r="C1452" s="155"/>
      <c r="D1452" s="440"/>
      <c r="E1452" s="441"/>
      <c r="F1452" s="462" t="s">
        <v>27</v>
      </c>
      <c r="G1452" s="498">
        <f>SUBTOTAL(9,G1443:G1451)</f>
        <v>0</v>
      </c>
    </row>
    <row r="1453" spans="1:7" ht="19.899999999999999" customHeight="1" x14ac:dyDescent="0.2">
      <c r="A1453" s="494"/>
      <c r="B1453" s="155"/>
      <c r="C1453" s="436" t="s">
        <v>713</v>
      </c>
      <c r="D1453" s="440"/>
      <c r="E1453" s="441"/>
      <c r="F1453" s="442"/>
      <c r="G1453" s="495"/>
    </row>
    <row r="1454" spans="1:7" ht="19.899999999999999" customHeight="1" x14ac:dyDescent="0.2">
      <c r="A1454" s="677" t="s">
        <v>576</v>
      </c>
      <c r="B1454" s="678"/>
      <c r="C1454" s="679" t="s">
        <v>0</v>
      </c>
      <c r="D1454" s="681" t="s">
        <v>24</v>
      </c>
      <c r="E1454" s="681" t="s">
        <v>1711</v>
      </c>
      <c r="F1454" s="683" t="s">
        <v>983</v>
      </c>
      <c r="G1454" s="685" t="s">
        <v>26</v>
      </c>
    </row>
    <row r="1455" spans="1:7" ht="19.899999999999999" customHeight="1" x14ac:dyDescent="0.2">
      <c r="A1455" s="458" t="s">
        <v>577</v>
      </c>
      <c r="B1455" s="458" t="s">
        <v>578</v>
      </c>
      <c r="C1455" s="680"/>
      <c r="D1455" s="682"/>
      <c r="E1455" s="682"/>
      <c r="F1455" s="684"/>
      <c r="G1455" s="686"/>
    </row>
    <row r="1456" spans="1:7" ht="19.899999999999999" customHeight="1" x14ac:dyDescent="0.2">
      <c r="A1456" s="496">
        <f t="shared" ref="A1456:A1462" si="410">IFERROR(VLOOKUP(C1456,T_Insumos,4,FALSE),0)</f>
        <v>0</v>
      </c>
      <c r="B1456" s="459">
        <f t="shared" ref="B1456:B1462" si="411">IFERROR(VLOOKUP(C1456,T_Insumos,5,FALSE),0)</f>
        <v>0</v>
      </c>
      <c r="C1456" s="463">
        <f>+C1006</f>
        <v>0</v>
      </c>
      <c r="D1456" s="456"/>
      <c r="E1456" s="453">
        <f t="shared" ref="E1456:E1462" si="412">IFERROR(VLOOKUP(C1456,T_Insumos,3,FALSE),0)</f>
        <v>0</v>
      </c>
      <c r="F1456" s="456">
        <f>IF(C1456="",0,IFERROR(VLOOKUP(COUNTIF($A$1:A1456,"ANALISIS DE PRECIOS"),T_Rendimiento_Equipo,5,FALSE),0))</f>
        <v>0</v>
      </c>
      <c r="G1456" s="453">
        <f>IFERROR(ROUND(D1456*E1456/F1456,2),0)</f>
        <v>0</v>
      </c>
    </row>
    <row r="1457" spans="1:7" ht="19.899999999999999" customHeight="1" x14ac:dyDescent="0.2">
      <c r="A1457" s="496">
        <f t="shared" si="410"/>
        <v>0</v>
      </c>
      <c r="B1457" s="459">
        <f t="shared" si="411"/>
        <v>0</v>
      </c>
      <c r="C1457" s="463">
        <f t="shared" ref="C1457:C1459" si="413">+C1007</f>
        <v>0</v>
      </c>
      <c r="D1457" s="456"/>
      <c r="E1457" s="453">
        <f t="shared" si="412"/>
        <v>0</v>
      </c>
      <c r="F1457" s="456">
        <f>IF(C1457="",0,IFERROR(VLOOKUP(COUNTIF($A$1:A1457,"ANALISIS DE PRECIOS"),T_Rendimiento_Equipo,5,FALSE),0))</f>
        <v>0</v>
      </c>
      <c r="G1457" s="453">
        <f t="shared" ref="G1457:G1462" si="414">IFERROR(ROUND(D1457*E1457/F1457,2),0)</f>
        <v>0</v>
      </c>
    </row>
    <row r="1458" spans="1:7" ht="19.899999999999999" customHeight="1" x14ac:dyDescent="0.2">
      <c r="A1458" s="496">
        <f t="shared" si="410"/>
        <v>0</v>
      </c>
      <c r="B1458" s="459">
        <f t="shared" si="411"/>
        <v>0</v>
      </c>
      <c r="C1458" s="463">
        <f t="shared" si="413"/>
        <v>0</v>
      </c>
      <c r="D1458" s="456"/>
      <c r="E1458" s="453">
        <f t="shared" si="412"/>
        <v>0</v>
      </c>
      <c r="F1458" s="456">
        <f>IF(C1458="",0,IFERROR(VLOOKUP(COUNTIF($A$1:A1458,"ANALISIS DE PRECIOS"),T_Rendimiento_Equipo,5,FALSE),0))</f>
        <v>0</v>
      </c>
      <c r="G1458" s="453">
        <f t="shared" si="414"/>
        <v>0</v>
      </c>
    </row>
    <row r="1459" spans="1:7" ht="19.899999999999999" customHeight="1" x14ac:dyDescent="0.2">
      <c r="A1459" s="496">
        <f t="shared" si="410"/>
        <v>0</v>
      </c>
      <c r="B1459" s="459">
        <f t="shared" si="411"/>
        <v>0</v>
      </c>
      <c r="C1459" s="463" t="str">
        <f t="shared" si="413"/>
        <v>B - MANO DE OBRA</v>
      </c>
      <c r="D1459" s="456"/>
      <c r="E1459" s="453">
        <f t="shared" si="412"/>
        <v>0</v>
      </c>
      <c r="F1459" s="456">
        <f>IF(C1459="",0,IFERROR(VLOOKUP(COUNTIF($A$1:A1459,"ANALISIS DE PRECIOS"),T_Rendimiento_Equipo,5,FALSE),0))</f>
        <v>0</v>
      </c>
      <c r="G1459" s="453">
        <f>IFERROR(ROUND(D1459*E1459/F1459,2),0)</f>
        <v>0</v>
      </c>
    </row>
    <row r="1460" spans="1:7" ht="19.899999999999999" customHeight="1" x14ac:dyDescent="0.2">
      <c r="A1460" s="496">
        <f t="shared" si="410"/>
        <v>0</v>
      </c>
      <c r="B1460" s="459">
        <f t="shared" si="411"/>
        <v>0</v>
      </c>
      <c r="C1460" s="450"/>
      <c r="D1460" s="456"/>
      <c r="E1460" s="453">
        <f t="shared" si="412"/>
        <v>0</v>
      </c>
      <c r="F1460" s="456">
        <f>IF(C1460="",0,IFERROR(VLOOKUP(COUNTIF($A$1:A1460,"ANALISIS DE PRECIOS"),T_Rendimiento_Equipo,5,FALSE),0))</f>
        <v>0</v>
      </c>
      <c r="G1460" s="453">
        <f t="shared" ref="G1460:G1465" si="415">IFERROR(ROUND(D1460*E1460/F1460,2),0)</f>
        <v>0</v>
      </c>
    </row>
    <row r="1461" spans="1:7" ht="19.899999999999999" customHeight="1" x14ac:dyDescent="0.2">
      <c r="A1461" s="496">
        <f t="shared" si="410"/>
        <v>0</v>
      </c>
      <c r="B1461" s="459">
        <f t="shared" si="411"/>
        <v>0</v>
      </c>
      <c r="C1461" s="450"/>
      <c r="D1461" s="464"/>
      <c r="E1461" s="453">
        <f t="shared" si="412"/>
        <v>0</v>
      </c>
      <c r="F1461" s="456">
        <f>IF(C1461="",0,IFERROR(VLOOKUP(COUNTIF($A$1:A1461,"ANALISIS DE PRECIOS"),T_Rendimiento_Equipo,5,FALSE),0))</f>
        <v>0</v>
      </c>
      <c r="G1461" s="453">
        <f t="shared" si="415"/>
        <v>0</v>
      </c>
    </row>
    <row r="1462" spans="1:7" ht="19.899999999999999" customHeight="1" x14ac:dyDescent="0.2">
      <c r="A1462" s="496">
        <f t="shared" si="410"/>
        <v>0</v>
      </c>
      <c r="B1462" s="459">
        <f t="shared" si="411"/>
        <v>0</v>
      </c>
      <c r="C1462" s="459"/>
      <c r="D1462" s="465"/>
      <c r="E1462" s="453">
        <f t="shared" si="412"/>
        <v>0</v>
      </c>
      <c r="F1462" s="456">
        <f>IF(C1462="",0,IFERROR(VLOOKUP(COUNTIF($A$1:A1462,"ANALISIS DE PRECIOS"),T_Rendimiento_Equipo,5,FALSE),0))</f>
        <v>0</v>
      </c>
      <c r="G1462" s="453">
        <f t="shared" si="415"/>
        <v>0</v>
      </c>
    </row>
    <row r="1463" spans="1:7" ht="19.899999999999999" customHeight="1" x14ac:dyDescent="0.2">
      <c r="A1463" s="497"/>
      <c r="B1463" s="440"/>
      <c r="C1463" s="155"/>
      <c r="D1463" s="440"/>
      <c r="E1463" s="441"/>
      <c r="F1463" s="462" t="s">
        <v>28</v>
      </c>
      <c r="G1463" s="499">
        <f>SUBTOTAL(9,G1456:G1462)</f>
        <v>0</v>
      </c>
    </row>
    <row r="1464" spans="1:7" ht="19.899999999999999" customHeight="1" x14ac:dyDescent="0.2">
      <c r="A1464" s="494"/>
      <c r="B1464" s="155"/>
      <c r="C1464" s="436" t="s">
        <v>990</v>
      </c>
      <c r="D1464" s="440"/>
      <c r="E1464" s="441"/>
      <c r="F1464" s="442"/>
      <c r="G1464" s="495"/>
    </row>
    <row r="1465" spans="1:7" ht="19.899999999999999" customHeight="1" x14ac:dyDescent="0.2">
      <c r="A1465" s="677" t="s">
        <v>576</v>
      </c>
      <c r="B1465" s="678"/>
      <c r="C1465" s="679" t="s">
        <v>0</v>
      </c>
      <c r="D1465" s="679" t="s">
        <v>1733</v>
      </c>
      <c r="E1465" s="681" t="s">
        <v>24</v>
      </c>
      <c r="F1465" s="683" t="s">
        <v>25</v>
      </c>
      <c r="G1465" s="685" t="s">
        <v>26</v>
      </c>
    </row>
    <row r="1466" spans="1:7" ht="19.899999999999999" customHeight="1" x14ac:dyDescent="0.2">
      <c r="A1466" s="458" t="s">
        <v>577</v>
      </c>
      <c r="B1466" s="458" t="s">
        <v>578</v>
      </c>
      <c r="C1466" s="680"/>
      <c r="D1466" s="680"/>
      <c r="E1466" s="682"/>
      <c r="F1466" s="684"/>
      <c r="G1466" s="686"/>
    </row>
    <row r="1467" spans="1:7" ht="19.899999999999999" customHeight="1" x14ac:dyDescent="0.2">
      <c r="A1467" s="496">
        <f t="shared" ref="A1467:A1477" si="416">IFERROR(VLOOKUP(C1467,T_Insumos,4,FALSE),0)</f>
        <v>0</v>
      </c>
      <c r="B1467" s="459">
        <f t="shared" ref="B1467:B1477" si="417">IFERROR(VLOOKUP(C1467,T_Insumos,5,FALSE),0)</f>
        <v>0</v>
      </c>
      <c r="C1467" s="459">
        <f>+Insumos!A1014</f>
        <v>0</v>
      </c>
      <c r="D1467" s="507">
        <f t="shared" ref="D1467:D1477" si="418">IFERROR(VLOOKUP(C1467,T_Insumos,2,FALSE),0)</f>
        <v>0</v>
      </c>
      <c r="E1467" s="451"/>
      <c r="F1467" s="453">
        <f t="shared" ref="F1467:F1477" si="419">IFERROR(VLOOKUP(C1467,T_Insumos,3,FALSE),0)</f>
        <v>0</v>
      </c>
      <c r="G1467" s="453">
        <f>ROUND(E1467*F1467,2)</f>
        <v>0</v>
      </c>
    </row>
    <row r="1468" spans="1:7" ht="19.899999999999999" customHeight="1" x14ac:dyDescent="0.2">
      <c r="A1468" s="496">
        <f t="shared" si="416"/>
        <v>0</v>
      </c>
      <c r="B1468" s="459">
        <f t="shared" si="417"/>
        <v>0</v>
      </c>
      <c r="C1468" s="459">
        <f>+Insumos!A1056</f>
        <v>0</v>
      </c>
      <c r="D1468" s="507">
        <f t="shared" si="418"/>
        <v>0</v>
      </c>
      <c r="E1468" s="451"/>
      <c r="F1468" s="453">
        <f t="shared" si="419"/>
        <v>0</v>
      </c>
      <c r="G1468" s="453">
        <f>ROUND(E1468*F1468,2)</f>
        <v>0</v>
      </c>
    </row>
    <row r="1469" spans="1:7" ht="19.899999999999999" customHeight="1" x14ac:dyDescent="0.2">
      <c r="A1469" s="496">
        <f t="shared" si="416"/>
        <v>0</v>
      </c>
      <c r="B1469" s="459">
        <f t="shared" si="417"/>
        <v>0</v>
      </c>
      <c r="C1469" s="459"/>
      <c r="D1469" s="507">
        <f t="shared" si="418"/>
        <v>0</v>
      </c>
      <c r="E1469" s="451"/>
      <c r="F1469" s="453">
        <f t="shared" si="419"/>
        <v>0</v>
      </c>
      <c r="G1469" s="453">
        <f t="shared" ref="G1469:G1477" si="420">ROUND(E1469*F1469,2)</f>
        <v>0</v>
      </c>
    </row>
    <row r="1470" spans="1:7" ht="19.899999999999999" customHeight="1" x14ac:dyDescent="0.2">
      <c r="A1470" s="496">
        <f t="shared" si="416"/>
        <v>0</v>
      </c>
      <c r="B1470" s="459">
        <f t="shared" si="417"/>
        <v>0</v>
      </c>
      <c r="C1470" s="459"/>
      <c r="D1470" s="507">
        <f t="shared" si="418"/>
        <v>0</v>
      </c>
      <c r="E1470" s="451"/>
      <c r="F1470" s="453">
        <f t="shared" si="419"/>
        <v>0</v>
      </c>
      <c r="G1470" s="453">
        <f t="shared" si="420"/>
        <v>0</v>
      </c>
    </row>
    <row r="1471" spans="1:7" ht="19.899999999999999" customHeight="1" x14ac:dyDescent="0.2">
      <c r="A1471" s="496">
        <f t="shared" si="416"/>
        <v>0</v>
      </c>
      <c r="B1471" s="459">
        <f t="shared" si="417"/>
        <v>0</v>
      </c>
      <c r="C1471" s="459"/>
      <c r="D1471" s="507">
        <f t="shared" si="418"/>
        <v>0</v>
      </c>
      <c r="E1471" s="451"/>
      <c r="F1471" s="453">
        <f t="shared" si="419"/>
        <v>0</v>
      </c>
      <c r="G1471" s="453">
        <f t="shared" si="420"/>
        <v>0</v>
      </c>
    </row>
    <row r="1472" spans="1:7" ht="19.899999999999999" customHeight="1" x14ac:dyDescent="0.2">
      <c r="A1472" s="496">
        <f t="shared" si="416"/>
        <v>0</v>
      </c>
      <c r="B1472" s="459">
        <f t="shared" si="417"/>
        <v>0</v>
      </c>
      <c r="C1472" s="459"/>
      <c r="D1472" s="507">
        <f t="shared" si="418"/>
        <v>0</v>
      </c>
      <c r="E1472" s="451"/>
      <c r="F1472" s="453">
        <f t="shared" si="419"/>
        <v>0</v>
      </c>
      <c r="G1472" s="453">
        <f t="shared" si="420"/>
        <v>0</v>
      </c>
    </row>
    <row r="1473" spans="1:7" ht="19.899999999999999" customHeight="1" x14ac:dyDescent="0.2">
      <c r="A1473" s="496">
        <f t="shared" si="416"/>
        <v>0</v>
      </c>
      <c r="B1473" s="459">
        <f t="shared" si="417"/>
        <v>0</v>
      </c>
      <c r="C1473" s="459"/>
      <c r="D1473" s="507">
        <f t="shared" si="418"/>
        <v>0</v>
      </c>
      <c r="E1473" s="451"/>
      <c r="F1473" s="453">
        <f t="shared" si="419"/>
        <v>0</v>
      </c>
      <c r="G1473" s="453">
        <f t="shared" si="420"/>
        <v>0</v>
      </c>
    </row>
    <row r="1474" spans="1:7" ht="19.899999999999999" customHeight="1" x14ac:dyDescent="0.2">
      <c r="A1474" s="496">
        <f t="shared" si="416"/>
        <v>0</v>
      </c>
      <c r="B1474" s="459">
        <f t="shared" si="417"/>
        <v>0</v>
      </c>
      <c r="C1474" s="459"/>
      <c r="D1474" s="507">
        <f t="shared" si="418"/>
        <v>0</v>
      </c>
      <c r="E1474" s="451"/>
      <c r="F1474" s="453">
        <f t="shared" si="419"/>
        <v>0</v>
      </c>
      <c r="G1474" s="453">
        <f t="shared" si="420"/>
        <v>0</v>
      </c>
    </row>
    <row r="1475" spans="1:7" ht="19.899999999999999" customHeight="1" x14ac:dyDescent="0.2">
      <c r="A1475" s="496">
        <f t="shared" si="416"/>
        <v>0</v>
      </c>
      <c r="B1475" s="459">
        <f t="shared" si="417"/>
        <v>0</v>
      </c>
      <c r="C1475" s="459"/>
      <c r="D1475" s="507">
        <f t="shared" si="418"/>
        <v>0</v>
      </c>
      <c r="E1475" s="451"/>
      <c r="F1475" s="453">
        <f t="shared" si="419"/>
        <v>0</v>
      </c>
      <c r="G1475" s="453">
        <f t="shared" si="420"/>
        <v>0</v>
      </c>
    </row>
    <row r="1476" spans="1:7" ht="19.899999999999999" customHeight="1" x14ac:dyDescent="0.2">
      <c r="A1476" s="496">
        <f t="shared" si="416"/>
        <v>0</v>
      </c>
      <c r="B1476" s="459">
        <f t="shared" si="417"/>
        <v>0</v>
      </c>
      <c r="C1476" s="459"/>
      <c r="D1476" s="507">
        <f t="shared" si="418"/>
        <v>0</v>
      </c>
      <c r="E1476" s="451"/>
      <c r="F1476" s="453">
        <f t="shared" si="419"/>
        <v>0</v>
      </c>
      <c r="G1476" s="453">
        <f t="shared" si="420"/>
        <v>0</v>
      </c>
    </row>
    <row r="1477" spans="1:7" ht="19.899999999999999" customHeight="1" x14ac:dyDescent="0.2">
      <c r="A1477" s="496">
        <f t="shared" si="416"/>
        <v>0</v>
      </c>
      <c r="B1477" s="459">
        <f t="shared" si="417"/>
        <v>0</v>
      </c>
      <c r="C1477" s="459"/>
      <c r="D1477" s="507">
        <f t="shared" si="418"/>
        <v>0</v>
      </c>
      <c r="E1477" s="451"/>
      <c r="F1477" s="453">
        <f t="shared" si="419"/>
        <v>0</v>
      </c>
      <c r="G1477" s="453">
        <f t="shared" si="420"/>
        <v>0</v>
      </c>
    </row>
    <row r="1478" spans="1:7" ht="19.899999999999999" customHeight="1" x14ac:dyDescent="0.2">
      <c r="A1478" s="494"/>
      <c r="B1478" s="155"/>
      <c r="C1478" s="155"/>
      <c r="D1478" s="440"/>
      <c r="E1478" s="441"/>
      <c r="F1478" s="462" t="s">
        <v>29</v>
      </c>
      <c r="G1478" s="499">
        <f>SUBTOTAL(9,G1467:G1477)</f>
        <v>0</v>
      </c>
    </row>
    <row r="1479" spans="1:7" ht="19.899999999999999" customHeight="1" x14ac:dyDescent="0.2">
      <c r="A1479" s="494"/>
      <c r="B1479" s="155"/>
      <c r="C1479" s="436" t="s">
        <v>991</v>
      </c>
      <c r="D1479" s="440"/>
      <c r="E1479" s="441"/>
      <c r="F1479" s="442"/>
      <c r="G1479" s="495"/>
    </row>
    <row r="1480" spans="1:7" ht="19.899999999999999" customHeight="1" x14ac:dyDescent="0.2">
      <c r="A1480" s="677" t="s">
        <v>576</v>
      </c>
      <c r="B1480" s="678"/>
      <c r="C1480" s="679" t="s">
        <v>0</v>
      </c>
      <c r="D1480" s="679" t="s">
        <v>1733</v>
      </c>
      <c r="E1480" s="681" t="s">
        <v>24</v>
      </c>
      <c r="F1480" s="683" t="s">
        <v>25</v>
      </c>
      <c r="G1480" s="685" t="s">
        <v>26</v>
      </c>
    </row>
    <row r="1481" spans="1:7" ht="19.899999999999999" customHeight="1" x14ac:dyDescent="0.2">
      <c r="A1481" s="458" t="s">
        <v>577</v>
      </c>
      <c r="B1481" s="458" t="s">
        <v>578</v>
      </c>
      <c r="C1481" s="680"/>
      <c r="D1481" s="680"/>
      <c r="E1481" s="682"/>
      <c r="F1481" s="684"/>
      <c r="G1481" s="686"/>
    </row>
    <row r="1482" spans="1:7" ht="19.899999999999999" customHeight="1" x14ac:dyDescent="0.2">
      <c r="A1482" s="496">
        <f>IFERROR(VLOOKUP(C1482,T_Insumos,4,FALSE),0)</f>
        <v>0</v>
      </c>
      <c r="B1482" s="459">
        <f>IFERROR(VLOOKUP(C1482,T_Insumos,5,FALSE),0)</f>
        <v>0</v>
      </c>
      <c r="C1482" s="450"/>
      <c r="D1482" s="507">
        <f>IF(C1482=0,0,"$/tnkm")</f>
        <v>0</v>
      </c>
      <c r="E1482" s="451"/>
      <c r="F1482" s="453">
        <f>IFERROR(VLOOKUP(C1482,T_Insumos,3,FALSE),0)</f>
        <v>0</v>
      </c>
      <c r="G1482" s="453">
        <f>ROUND(E1482*F1482,2)</f>
        <v>0</v>
      </c>
    </row>
    <row r="1483" spans="1:7" ht="19.899999999999999" customHeight="1" x14ac:dyDescent="0.2">
      <c r="A1483" s="496">
        <f>IFERROR(VLOOKUP(C1483,T_Insumos,4,FALSE),0)</f>
        <v>0</v>
      </c>
      <c r="B1483" s="459">
        <f>IFERROR(VLOOKUP(C1483,T_Insumos,5,FALSE),0)</f>
        <v>0</v>
      </c>
      <c r="C1483" s="450"/>
      <c r="D1483" s="507">
        <f>IF(C1483=0,0,"$/tnkm")</f>
        <v>0</v>
      </c>
      <c r="E1483" s="467"/>
      <c r="F1483" s="453">
        <f>IFERROR(VLOOKUP(C1483,T_Insumos,3,FALSE),0)</f>
        <v>0</v>
      </c>
      <c r="G1483" s="453">
        <f t="shared" ref="G1483" si="421">ROUND(E1483*F1483,2)</f>
        <v>0</v>
      </c>
    </row>
    <row r="1484" spans="1:7" ht="19.899999999999999" customHeight="1" x14ac:dyDescent="0.2">
      <c r="A1484" s="494"/>
      <c r="B1484" s="155"/>
      <c r="C1484" s="155"/>
      <c r="D1484" s="440"/>
      <c r="E1484" s="441"/>
      <c r="F1484" s="462" t="s">
        <v>992</v>
      </c>
      <c r="G1484" s="499">
        <f>SUBTOTAL(9,G1482:G1483)</f>
        <v>0</v>
      </c>
    </row>
    <row r="1485" spans="1:7" ht="19.899999999999999" customHeight="1" x14ac:dyDescent="0.2">
      <c r="A1485" s="497"/>
      <c r="B1485" s="440"/>
      <c r="C1485" s="155"/>
      <c r="D1485" s="440"/>
      <c r="E1485" s="441"/>
      <c r="F1485" s="442"/>
      <c r="G1485" s="495"/>
    </row>
    <row r="1486" spans="1:7" ht="19.899999999999999" customHeight="1" x14ac:dyDescent="0.2">
      <c r="A1486" s="555" t="str">
        <f>B1420</f>
        <v>3.3.1</v>
      </c>
      <c r="B1486" s="552" t="str">
        <f ca="1">C1420</f>
        <v>Demolicion</v>
      </c>
      <c r="C1486" s="440"/>
      <c r="D1486" s="440" t="s">
        <v>1712</v>
      </c>
      <c r="E1486" s="553"/>
      <c r="F1486" s="554" t="str">
        <f ca="1">"$/"&amp;G1420</f>
        <v>$/M3</v>
      </c>
      <c r="G1486" s="504">
        <f>SUBTOTAL(9,G1443:G1485)</f>
        <v>0</v>
      </c>
    </row>
    <row r="1487" spans="1:7" ht="19.899999999999999" customHeight="1" x14ac:dyDescent="0.2">
      <c r="A1487" s="500"/>
      <c r="B1487" s="501"/>
      <c r="C1487" s="502"/>
      <c r="D1487" s="502" t="s">
        <v>1908</v>
      </c>
      <c r="E1487" s="503"/>
      <c r="F1487" s="556" t="str">
        <f ca="1">"$/"&amp;G1420</f>
        <v>$/M3</v>
      </c>
      <c r="G1487" s="504">
        <f>ROUND(G1486*Coeficiente_Paso,2)</f>
        <v>0</v>
      </c>
    </row>
    <row r="1488" spans="1:7" ht="19.899999999999999" customHeight="1" x14ac:dyDescent="0.2">
      <c r="A1488" s="687" t="s">
        <v>31</v>
      </c>
      <c r="B1488" s="688"/>
      <c r="C1488" s="688"/>
      <c r="D1488" s="688"/>
      <c r="E1488" s="688"/>
      <c r="F1488" s="688"/>
      <c r="G1488" s="689"/>
    </row>
    <row r="1489" spans="1:7" ht="19.899999999999999" customHeight="1" x14ac:dyDescent="0.2">
      <c r="A1489" s="483" t="s">
        <v>711</v>
      </c>
      <c r="B1489" s="434" t="str">
        <f>Comitente</f>
        <v>DEPARTAMENTO DE HIDRÁULICA</v>
      </c>
      <c r="C1489" s="435"/>
      <c r="D1489" s="436"/>
      <c r="E1489" s="436"/>
      <c r="F1489" s="437"/>
      <c r="G1489" s="484"/>
    </row>
    <row r="1490" spans="1:7" ht="19.899999999999999" customHeight="1" x14ac:dyDescent="0.2">
      <c r="A1490" s="483" t="s">
        <v>712</v>
      </c>
      <c r="B1490" s="434">
        <f>Contratista</f>
        <v>0</v>
      </c>
      <c r="C1490" s="438"/>
      <c r="D1490" s="438"/>
      <c r="E1490" s="438"/>
      <c r="F1490" s="434"/>
      <c r="G1490" s="485"/>
    </row>
    <row r="1491" spans="1:7" ht="19.899999999999999" customHeight="1" x14ac:dyDescent="0.2">
      <c r="A1491" s="483" t="s">
        <v>21</v>
      </c>
      <c r="B1491" s="434" t="str">
        <f>Obra</f>
        <v>RECRECIMIENTO Y REPARACIÓN CANALES SARMIENTO, 9 DE JULIO Y CHIMBAS</v>
      </c>
      <c r="C1491" s="438"/>
      <c r="D1491" s="438"/>
      <c r="E1491" s="438"/>
      <c r="F1491" s="434" t="s">
        <v>32</v>
      </c>
      <c r="G1491" s="485">
        <f>Fecha_Base</f>
        <v>0</v>
      </c>
    </row>
    <row r="1492" spans="1:7" ht="19.899999999999999" customHeight="1" x14ac:dyDescent="0.2">
      <c r="A1492" s="486" t="s">
        <v>710</v>
      </c>
      <c r="B1492" s="439" t="str">
        <f>Ubicación</f>
        <v>DEPARTAMENTOS SARMIENTO, 9 DE JULIO Y CHIMBAS</v>
      </c>
      <c r="C1492" s="439"/>
      <c r="D1492" s="440"/>
      <c r="E1492" s="441"/>
      <c r="F1492" s="442"/>
      <c r="G1492" s="487"/>
    </row>
    <row r="1493" spans="1:7" ht="19.899999999999999" customHeight="1" x14ac:dyDescent="0.2">
      <c r="A1493" s="486" t="s">
        <v>33</v>
      </c>
      <c r="B1493" s="443">
        <f>IFERROR(VALUE(LEFT(B1494,FIND(".",B1494)-1)),"")</f>
        <v>3</v>
      </c>
      <c r="C1493" s="155" t="str">
        <f ca="1">IFERROR(VLOOKUP(B1493,T_Computo_Presupuesto,2,FALSE),0)</f>
        <v>RECRECIMIENTO C. PASTORIZA-VIDELA</v>
      </c>
      <c r="D1493" s="155"/>
      <c r="E1493" s="441"/>
      <c r="F1493" s="442"/>
      <c r="G1493" s="487"/>
    </row>
    <row r="1494" spans="1:7" ht="19.899999999999999" customHeight="1" x14ac:dyDescent="0.2">
      <c r="A1494" s="486" t="s">
        <v>22</v>
      </c>
      <c r="B1494" s="444" t="str">
        <f>IFERROR(VLOOKUP(COUNTIF($A$1:A1494,"ANALISIS DE PRECIOS"),T_NumeroItem,2,FALSE),"")</f>
        <v>3.3.2</v>
      </c>
      <c r="C1494" s="690" t="str">
        <f ca="1">IFERROR(VLOOKUP(B1494,T_Computo_Presupuesto,2,FALSE),0)</f>
        <v>Relleno y Compactacion</v>
      </c>
      <c r="D1494" s="690"/>
      <c r="E1494" s="690"/>
      <c r="F1494" s="439" t="s">
        <v>23</v>
      </c>
      <c r="G1494" s="488" t="str">
        <f ca="1">IFERROR(VLOOKUP(B1494,T_Computo_Presupuesto,4,FALSE),0)</f>
        <v>M3</v>
      </c>
    </row>
    <row r="1495" spans="1:7" ht="19.899999999999999" customHeight="1" x14ac:dyDescent="0.2">
      <c r="A1495" s="486"/>
      <c r="B1495" s="439"/>
      <c r="C1495" s="155"/>
      <c r="D1495" s="440"/>
      <c r="E1495" s="441"/>
      <c r="F1495" s="155"/>
      <c r="G1495" s="489"/>
    </row>
    <row r="1496" spans="1:7" ht="19.899999999999999" customHeight="1" x14ac:dyDescent="0.2">
      <c r="A1496" s="490"/>
      <c r="B1496" s="445"/>
      <c r="C1496" s="446" t="s">
        <v>975</v>
      </c>
      <c r="D1496" s="445"/>
      <c r="E1496" s="445"/>
      <c r="F1496" s="445"/>
      <c r="G1496" s="491"/>
    </row>
    <row r="1497" spans="1:7" ht="19.899999999999999" customHeight="1" x14ac:dyDescent="0.2">
      <c r="A1497" s="486"/>
      <c r="B1497" s="447"/>
      <c r="C1497" s="155"/>
      <c r="D1497" s="440"/>
      <c r="E1497" s="441"/>
      <c r="F1497" s="439"/>
      <c r="G1497" s="488"/>
    </row>
    <row r="1498" spans="1:7" ht="19.899999999999999" customHeight="1" x14ac:dyDescent="0.2">
      <c r="A1498" s="486"/>
      <c r="B1498" s="447"/>
      <c r="C1498" s="448" t="s">
        <v>976</v>
      </c>
      <c r="D1498" s="449" t="s">
        <v>24</v>
      </c>
      <c r="E1498" s="449" t="s">
        <v>977</v>
      </c>
      <c r="F1498" s="449" t="s">
        <v>978</v>
      </c>
      <c r="G1498" s="448" t="s">
        <v>979</v>
      </c>
    </row>
    <row r="1499" spans="1:7" ht="19.899999999999999" customHeight="1" x14ac:dyDescent="0.2">
      <c r="A1499" s="486"/>
      <c r="B1499" s="447"/>
      <c r="C1499" s="450">
        <f>+Equipos!A1053</f>
        <v>0</v>
      </c>
      <c r="D1499" s="451"/>
      <c r="E1499" s="452">
        <f t="shared" ref="E1499:E1508" si="422">IFERROR(VLOOKUP(C1499,T_Equipos,4,FALSE),0)</f>
        <v>0</v>
      </c>
      <c r="F1499" s="453">
        <f t="shared" ref="F1499:F1508" si="423">IFERROR(VLOOKUP(C1499,T_Equipos,5,FALSE),0)</f>
        <v>0</v>
      </c>
      <c r="G1499" s="453">
        <f>ROUND(D1499*F1499,2)</f>
        <v>0</v>
      </c>
    </row>
    <row r="1500" spans="1:7" ht="19.899999999999999" customHeight="1" x14ac:dyDescent="0.2">
      <c r="A1500" s="486"/>
      <c r="B1500" s="447"/>
      <c r="C1500" s="450">
        <f>+Equipos!A1050</f>
        <v>0</v>
      </c>
      <c r="D1500" s="451"/>
      <c r="E1500" s="452">
        <f t="shared" si="422"/>
        <v>0</v>
      </c>
      <c r="F1500" s="453">
        <f t="shared" si="423"/>
        <v>0</v>
      </c>
      <c r="G1500" s="453">
        <f>ROUND(D1500*F1500,2)</f>
        <v>0</v>
      </c>
    </row>
    <row r="1501" spans="1:7" ht="19.899999999999999" customHeight="1" x14ac:dyDescent="0.2">
      <c r="A1501" s="486"/>
      <c r="B1501" s="447"/>
      <c r="C1501" s="450">
        <f>+Equipos!A1062</f>
        <v>0</v>
      </c>
      <c r="D1501" s="451"/>
      <c r="E1501" s="452">
        <f t="shared" si="422"/>
        <v>0</v>
      </c>
      <c r="F1501" s="453">
        <f t="shared" si="423"/>
        <v>0</v>
      </c>
      <c r="G1501" s="453">
        <f>ROUND(D1501*F1501,2)</f>
        <v>0</v>
      </c>
    </row>
    <row r="1502" spans="1:7" ht="19.899999999999999" customHeight="1" x14ac:dyDescent="0.2">
      <c r="A1502" s="486"/>
      <c r="B1502" s="447"/>
      <c r="C1502" s="450">
        <f>+Equipos!A1070</f>
        <v>0</v>
      </c>
      <c r="D1502" s="451"/>
      <c r="E1502" s="452">
        <f t="shared" si="422"/>
        <v>0</v>
      </c>
      <c r="F1502" s="453">
        <f t="shared" si="423"/>
        <v>0</v>
      </c>
      <c r="G1502" s="453">
        <f>ROUND(D1502*F1502,2)</f>
        <v>0</v>
      </c>
    </row>
    <row r="1503" spans="1:7" ht="19.899999999999999" customHeight="1" x14ac:dyDescent="0.2">
      <c r="A1503" s="486"/>
      <c r="B1503" s="447"/>
      <c r="C1503" s="450">
        <f>+Equipos!A1059</f>
        <v>0</v>
      </c>
      <c r="D1503" s="623"/>
      <c r="E1503" s="452">
        <f t="shared" si="422"/>
        <v>0</v>
      </c>
      <c r="F1503" s="453">
        <f t="shared" si="423"/>
        <v>0</v>
      </c>
      <c r="G1503" s="453">
        <f t="shared" ref="G1503:G1508" si="424">ROUND(D1503*F1503,2)</f>
        <v>0</v>
      </c>
    </row>
    <row r="1504" spans="1:7" ht="19.899999999999999" customHeight="1" x14ac:dyDescent="0.2">
      <c r="A1504" s="486"/>
      <c r="B1504" s="447"/>
      <c r="C1504" s="450">
        <f>+Equipos!A1055</f>
        <v>0</v>
      </c>
      <c r="D1504" s="451"/>
      <c r="E1504" s="452">
        <f t="shared" si="422"/>
        <v>0</v>
      </c>
      <c r="F1504" s="453">
        <f t="shared" si="423"/>
        <v>0</v>
      </c>
      <c r="G1504" s="453">
        <f t="shared" si="424"/>
        <v>0</v>
      </c>
    </row>
    <row r="1505" spans="1:7" ht="19.899999999999999" customHeight="1" x14ac:dyDescent="0.2">
      <c r="A1505" s="486"/>
      <c r="B1505" s="447"/>
      <c r="C1505" s="450"/>
      <c r="D1505" s="451"/>
      <c r="E1505" s="452">
        <f t="shared" si="422"/>
        <v>0</v>
      </c>
      <c r="F1505" s="453">
        <f t="shared" si="423"/>
        <v>0</v>
      </c>
      <c r="G1505" s="453">
        <f t="shared" si="424"/>
        <v>0</v>
      </c>
    </row>
    <row r="1506" spans="1:7" ht="19.899999999999999" customHeight="1" x14ac:dyDescent="0.2">
      <c r="A1506" s="486"/>
      <c r="B1506" s="447"/>
      <c r="C1506" s="450"/>
      <c r="D1506" s="451"/>
      <c r="E1506" s="452">
        <f t="shared" si="422"/>
        <v>0</v>
      </c>
      <c r="F1506" s="453">
        <f t="shared" si="423"/>
        <v>0</v>
      </c>
      <c r="G1506" s="453">
        <f t="shared" si="424"/>
        <v>0</v>
      </c>
    </row>
    <row r="1507" spans="1:7" ht="19.899999999999999" customHeight="1" x14ac:dyDescent="0.2">
      <c r="A1507" s="486"/>
      <c r="B1507" s="447"/>
      <c r="C1507" s="450"/>
      <c r="D1507" s="451"/>
      <c r="E1507" s="452">
        <f t="shared" si="422"/>
        <v>0</v>
      </c>
      <c r="F1507" s="453">
        <f t="shared" si="423"/>
        <v>0</v>
      </c>
      <c r="G1507" s="453">
        <f t="shared" si="424"/>
        <v>0</v>
      </c>
    </row>
    <row r="1508" spans="1:7" ht="19.899999999999999" customHeight="1" x14ac:dyDescent="0.2">
      <c r="A1508" s="486"/>
      <c r="B1508" s="447"/>
      <c r="C1508" s="450"/>
      <c r="D1508" s="451"/>
      <c r="E1508" s="452">
        <f t="shared" si="422"/>
        <v>0</v>
      </c>
      <c r="F1508" s="453">
        <f t="shared" si="423"/>
        <v>0</v>
      </c>
      <c r="G1508" s="453">
        <f t="shared" si="424"/>
        <v>0</v>
      </c>
    </row>
    <row r="1509" spans="1:7" ht="19.899999999999999" customHeight="1" x14ac:dyDescent="0.2">
      <c r="A1509" s="486"/>
      <c r="B1509" s="447"/>
      <c r="C1509" s="155"/>
      <c r="D1509" s="155"/>
      <c r="E1509" s="454"/>
      <c r="F1509" s="439"/>
      <c r="G1509" s="488"/>
    </row>
    <row r="1510" spans="1:7" ht="19.899999999999999" customHeight="1" x14ac:dyDescent="0.2">
      <c r="A1510" s="486"/>
      <c r="B1510" s="155"/>
      <c r="C1510" s="436" t="s">
        <v>980</v>
      </c>
      <c r="D1510" s="439" t="s">
        <v>977</v>
      </c>
      <c r="E1510" s="505">
        <f>SUMPRODUCT(D1499:D1508,E1499:E1508)</f>
        <v>0</v>
      </c>
      <c r="F1510" s="439" t="s">
        <v>981</v>
      </c>
      <c r="G1510" s="506">
        <f>SUM(G1499:G1508)</f>
        <v>0</v>
      </c>
    </row>
    <row r="1511" spans="1:7" ht="19.899999999999999" customHeight="1" x14ac:dyDescent="0.2">
      <c r="A1511" s="486"/>
      <c r="B1511" s="447"/>
      <c r="C1511" s="455"/>
      <c r="D1511" s="454"/>
      <c r="E1511" s="441"/>
      <c r="F1511" s="439"/>
      <c r="G1511" s="492"/>
    </row>
    <row r="1512" spans="1:7" ht="19.899999999999999" customHeight="1" x14ac:dyDescent="0.2">
      <c r="A1512" s="493"/>
      <c r="B1512" s="447"/>
      <c r="C1512" s="439" t="s">
        <v>982</v>
      </c>
      <c r="D1512" s="456">
        <f>IFERROR(VLOOKUP(COUNTIF($A$1:A1512,"ANALISIS DE PRECIOS"),T_Rendimiento_Equipo,5,FALSE),0)</f>
        <v>0</v>
      </c>
      <c r="E1512" s="457" t="str">
        <f ca="1">G1494&amp;"/día"</f>
        <v>M3/día</v>
      </c>
      <c r="F1512" s="433"/>
      <c r="G1512" s="488"/>
    </row>
    <row r="1513" spans="1:7" ht="19.899999999999999" customHeight="1" x14ac:dyDescent="0.2">
      <c r="A1513" s="486"/>
      <c r="B1513" s="447"/>
      <c r="C1513" s="155"/>
      <c r="D1513" s="440"/>
      <c r="E1513" s="441"/>
      <c r="F1513" s="439"/>
      <c r="G1513" s="488"/>
    </row>
    <row r="1514" spans="1:7" ht="19.899999999999999" customHeight="1" x14ac:dyDescent="0.2">
      <c r="A1514" s="677" t="s">
        <v>576</v>
      </c>
      <c r="B1514" s="678"/>
      <c r="C1514" s="679" t="s">
        <v>0</v>
      </c>
      <c r="D1514" s="691" t="s">
        <v>1732</v>
      </c>
      <c r="E1514" s="691" t="s">
        <v>1731</v>
      </c>
      <c r="F1514" s="683" t="s">
        <v>983</v>
      </c>
      <c r="G1514" s="685" t="s">
        <v>26</v>
      </c>
    </row>
    <row r="1515" spans="1:7" ht="19.899999999999999" customHeight="1" x14ac:dyDescent="0.2">
      <c r="A1515" s="458" t="s">
        <v>577</v>
      </c>
      <c r="B1515" s="458" t="s">
        <v>578</v>
      </c>
      <c r="C1515" s="680"/>
      <c r="D1515" s="692"/>
      <c r="E1515" s="682"/>
      <c r="F1515" s="684"/>
      <c r="G1515" s="686"/>
    </row>
    <row r="1516" spans="1:7" ht="19.899999999999999" customHeight="1" x14ac:dyDescent="0.2">
      <c r="A1516" s="494"/>
      <c r="B1516" s="155"/>
      <c r="C1516" s="436" t="s">
        <v>984</v>
      </c>
      <c r="D1516" s="441"/>
      <c r="E1516" s="441"/>
      <c r="F1516" s="155"/>
      <c r="G1516" s="495"/>
    </row>
    <row r="1517" spans="1:7" ht="19.899999999999999" customHeight="1" x14ac:dyDescent="0.2">
      <c r="A1517" s="496">
        <f t="shared" ref="A1517:A1525" si="425">IFERROR(VLOOKUP(C1517,T_Insumos,4,FALSE),0)</f>
        <v>0</v>
      </c>
      <c r="B1517" s="459">
        <f t="shared" ref="B1517:B1525" si="426">IFERROR(VLOOKUP(C1517,T_Insumos,5,FALSE),0)</f>
        <v>0</v>
      </c>
      <c r="C1517" s="450">
        <f>+C1067</f>
        <v>0</v>
      </c>
      <c r="D1517" s="460">
        <f t="shared" ref="D1517:D1525" si="427">IFERROR(VLOOKUP(C1517,T_Insumos,3,FALSE),0)</f>
        <v>0</v>
      </c>
      <c r="E1517" s="453">
        <f>D1517*$G$473</f>
        <v>0</v>
      </c>
      <c r="F1517" s="456">
        <f>IF(C1517="",0,IFERROR(VLOOKUP(COUNTIF($A$1:A1517,"ANALISIS DE PRECIOS"),T_Rendimiento_Equipo,5,FALSE),0))</f>
        <v>0</v>
      </c>
      <c r="G1517" s="453">
        <f>IFERROR(ROUND(E1517/F1517,2),0)</f>
        <v>0</v>
      </c>
    </row>
    <row r="1518" spans="1:7" ht="19.899999999999999" customHeight="1" x14ac:dyDescent="0.2">
      <c r="A1518" s="496">
        <f t="shared" si="425"/>
        <v>0</v>
      </c>
      <c r="B1518" s="459">
        <f t="shared" si="426"/>
        <v>0</v>
      </c>
      <c r="C1518" s="450" t="str">
        <f t="shared" ref="C1518:C1520" si="428">+C1068</f>
        <v>Rendimiento equipo de producción</v>
      </c>
      <c r="D1518" s="460">
        <f t="shared" si="427"/>
        <v>0</v>
      </c>
      <c r="E1518" s="453">
        <f t="shared" ref="E1518:E1519" si="429">D1518*$G$473</f>
        <v>0</v>
      </c>
      <c r="F1518" s="456">
        <f>IF(C1518="",0,IFERROR(VLOOKUP(COUNTIF($A$1:A1518,"ANALISIS DE PRECIOS"),T_Rendimiento_Equipo,5,FALSE),0))</f>
        <v>0</v>
      </c>
      <c r="G1518" s="453">
        <f t="shared" ref="G1518:G1525" si="430">IFERROR(ROUND(E1518/F1518,2),0)</f>
        <v>0</v>
      </c>
    </row>
    <row r="1519" spans="1:7" ht="19.899999999999999" customHeight="1" x14ac:dyDescent="0.2">
      <c r="A1519" s="496">
        <f t="shared" si="425"/>
        <v>0</v>
      </c>
      <c r="B1519" s="459">
        <f t="shared" si="426"/>
        <v>0</v>
      </c>
      <c r="C1519" s="450">
        <f t="shared" si="428"/>
        <v>0</v>
      </c>
      <c r="D1519" s="460">
        <f t="shared" si="427"/>
        <v>0</v>
      </c>
      <c r="E1519" s="453">
        <f t="shared" si="429"/>
        <v>0</v>
      </c>
      <c r="F1519" s="456">
        <f>IF(C1519="",0,IFERROR(VLOOKUP(COUNTIF($A$1:A1519,"ANALISIS DE PRECIOS"),T_Rendimiento_Equipo,5,FALSE),0))</f>
        <v>0</v>
      </c>
      <c r="G1519" s="453">
        <f t="shared" si="430"/>
        <v>0</v>
      </c>
    </row>
    <row r="1520" spans="1:7" ht="19.899999999999999" customHeight="1" x14ac:dyDescent="0.2">
      <c r="A1520" s="496">
        <f t="shared" si="425"/>
        <v>0</v>
      </c>
      <c r="B1520" s="459">
        <f t="shared" si="426"/>
        <v>0</v>
      </c>
      <c r="C1520" s="450" t="str">
        <f t="shared" si="428"/>
        <v>DESIGNACION</v>
      </c>
      <c r="D1520" s="460">
        <f t="shared" si="427"/>
        <v>0</v>
      </c>
      <c r="E1520" s="453">
        <f>D1520*$E$473</f>
        <v>0</v>
      </c>
      <c r="F1520" s="456">
        <f>IF(C1520="",0,IFERROR(VLOOKUP(COUNTIF($A$1:A1520,"ANALISIS DE PRECIOS"),T_Rendimiento_Equipo,5,FALSE),0))</f>
        <v>0</v>
      </c>
      <c r="G1520" s="453">
        <f t="shared" si="430"/>
        <v>0</v>
      </c>
    </row>
    <row r="1521" spans="1:7" ht="19.899999999999999" customHeight="1" x14ac:dyDescent="0.2">
      <c r="A1521" s="496">
        <f t="shared" si="425"/>
        <v>0</v>
      </c>
      <c r="B1521" s="459">
        <f t="shared" si="426"/>
        <v>0</v>
      </c>
      <c r="C1521" s="461"/>
      <c r="D1521" s="460">
        <f t="shared" si="427"/>
        <v>0</v>
      </c>
      <c r="E1521" s="453"/>
      <c r="F1521" s="456">
        <f>IF(C1521="",0,IFERROR(VLOOKUP(COUNTIF($A$1:A1521,"ANALISIS DE PRECIOS"),T_Rendimiento_Equipo,5,FALSE),0))</f>
        <v>0</v>
      </c>
      <c r="G1521" s="453">
        <f t="shared" si="430"/>
        <v>0</v>
      </c>
    </row>
    <row r="1522" spans="1:7" ht="19.899999999999999" customHeight="1" x14ac:dyDescent="0.2">
      <c r="A1522" s="496">
        <f t="shared" si="425"/>
        <v>0</v>
      </c>
      <c r="B1522" s="459">
        <f t="shared" si="426"/>
        <v>0</v>
      </c>
      <c r="C1522" s="461"/>
      <c r="D1522" s="460">
        <f t="shared" si="427"/>
        <v>0</v>
      </c>
      <c r="E1522" s="453"/>
      <c r="F1522" s="456">
        <f>IF(C1522="",0,IFERROR(VLOOKUP(COUNTIF($A$1:A1522,"ANALISIS DE PRECIOS"),T_Rendimiento_Equipo,5,FALSE),0))</f>
        <v>0</v>
      </c>
      <c r="G1522" s="453">
        <f t="shared" si="430"/>
        <v>0</v>
      </c>
    </row>
    <row r="1523" spans="1:7" ht="19.899999999999999" customHeight="1" x14ac:dyDescent="0.2">
      <c r="A1523" s="496">
        <f t="shared" si="425"/>
        <v>0</v>
      </c>
      <c r="B1523" s="459">
        <f t="shared" si="426"/>
        <v>0</v>
      </c>
      <c r="C1523" s="461"/>
      <c r="D1523" s="460">
        <f t="shared" si="427"/>
        <v>0</v>
      </c>
      <c r="E1523" s="453"/>
      <c r="F1523" s="456">
        <f>IF(C1523="",0,IFERROR(VLOOKUP(COUNTIF($A$1:A1523,"ANALISIS DE PRECIOS"),T_Rendimiento_Equipo,5,FALSE),0))</f>
        <v>0</v>
      </c>
      <c r="G1523" s="453">
        <f t="shared" si="430"/>
        <v>0</v>
      </c>
    </row>
    <row r="1524" spans="1:7" ht="19.899999999999999" customHeight="1" x14ac:dyDescent="0.2">
      <c r="A1524" s="496">
        <f t="shared" si="425"/>
        <v>0</v>
      </c>
      <c r="B1524" s="459">
        <f t="shared" si="426"/>
        <v>0</v>
      </c>
      <c r="C1524" s="461"/>
      <c r="D1524" s="460">
        <f t="shared" si="427"/>
        <v>0</v>
      </c>
      <c r="E1524" s="453"/>
      <c r="F1524" s="456">
        <f>IF(C1524="",0,IFERROR(VLOOKUP(COUNTIF($A$1:A1524,"ANALISIS DE PRECIOS"),T_Rendimiento_Equipo,5,FALSE),0))</f>
        <v>0</v>
      </c>
      <c r="G1524" s="453">
        <f t="shared" si="430"/>
        <v>0</v>
      </c>
    </row>
    <row r="1525" spans="1:7" ht="19.899999999999999" customHeight="1" x14ac:dyDescent="0.2">
      <c r="A1525" s="496">
        <f t="shared" si="425"/>
        <v>0</v>
      </c>
      <c r="B1525" s="459">
        <f t="shared" si="426"/>
        <v>0</v>
      </c>
      <c r="C1525" s="450"/>
      <c r="D1525" s="460">
        <f t="shared" si="427"/>
        <v>0</v>
      </c>
      <c r="E1525" s="453"/>
      <c r="F1525" s="456">
        <f>IF(C1525="",0,IFERROR(VLOOKUP(COUNTIF($A$1:A1525,"ANALISIS DE PRECIOS"),T_Rendimiento_Equipo,5,FALSE),0))</f>
        <v>0</v>
      </c>
      <c r="G1525" s="453">
        <f t="shared" si="430"/>
        <v>0</v>
      </c>
    </row>
    <row r="1526" spans="1:7" ht="19.899999999999999" customHeight="1" x14ac:dyDescent="0.2">
      <c r="A1526" s="497"/>
      <c r="B1526" s="440"/>
      <c r="C1526" s="155"/>
      <c r="D1526" s="440"/>
      <c r="E1526" s="441"/>
      <c r="F1526" s="462" t="s">
        <v>27</v>
      </c>
      <c r="G1526" s="498">
        <f>SUBTOTAL(9,G1517:G1525)</f>
        <v>0</v>
      </c>
    </row>
    <row r="1527" spans="1:7" ht="19.899999999999999" customHeight="1" x14ac:dyDescent="0.2">
      <c r="A1527" s="494"/>
      <c r="B1527" s="155"/>
      <c r="C1527" s="436" t="s">
        <v>713</v>
      </c>
      <c r="D1527" s="440"/>
      <c r="E1527" s="441"/>
      <c r="F1527" s="442"/>
      <c r="G1527" s="495"/>
    </row>
    <row r="1528" spans="1:7" ht="19.899999999999999" customHeight="1" x14ac:dyDescent="0.2">
      <c r="A1528" s="677" t="s">
        <v>576</v>
      </c>
      <c r="B1528" s="678"/>
      <c r="C1528" s="679" t="s">
        <v>0</v>
      </c>
      <c r="D1528" s="681" t="s">
        <v>24</v>
      </c>
      <c r="E1528" s="681" t="s">
        <v>1711</v>
      </c>
      <c r="F1528" s="683" t="s">
        <v>983</v>
      </c>
      <c r="G1528" s="685" t="s">
        <v>26</v>
      </c>
    </row>
    <row r="1529" spans="1:7" ht="19.899999999999999" customHeight="1" x14ac:dyDescent="0.2">
      <c r="A1529" s="458" t="s">
        <v>577</v>
      </c>
      <c r="B1529" s="458" t="s">
        <v>578</v>
      </c>
      <c r="C1529" s="680"/>
      <c r="D1529" s="682"/>
      <c r="E1529" s="682"/>
      <c r="F1529" s="684"/>
      <c r="G1529" s="686"/>
    </row>
    <row r="1530" spans="1:7" ht="19.899999999999999" customHeight="1" x14ac:dyDescent="0.2">
      <c r="A1530" s="496">
        <f t="shared" ref="A1530:A1536" si="431">IFERROR(VLOOKUP(C1530,T_Insumos,4,FALSE),0)</f>
        <v>0</v>
      </c>
      <c r="B1530" s="459">
        <f t="shared" ref="B1530:B1536" si="432">IFERROR(VLOOKUP(C1530,T_Insumos,5,FALSE),0)</f>
        <v>0</v>
      </c>
      <c r="C1530" s="463">
        <f>+C1080</f>
        <v>0</v>
      </c>
      <c r="D1530" s="456"/>
      <c r="E1530" s="453">
        <f t="shared" ref="E1530:E1536" si="433">IFERROR(VLOOKUP(C1530,T_Insumos,3,FALSE),0)</f>
        <v>0</v>
      </c>
      <c r="F1530" s="456">
        <f>IF(C1530="",0,IFERROR(VLOOKUP(COUNTIF($A$1:A1530,"ANALISIS DE PRECIOS"),T_Rendimiento_Equipo,5,FALSE),0))</f>
        <v>0</v>
      </c>
      <c r="G1530" s="453">
        <f>IFERROR(ROUND(D1530*E1530/F1530,2),0)</f>
        <v>0</v>
      </c>
    </row>
    <row r="1531" spans="1:7" ht="19.899999999999999" customHeight="1" x14ac:dyDescent="0.2">
      <c r="A1531" s="496">
        <f t="shared" si="431"/>
        <v>0</v>
      </c>
      <c r="B1531" s="459">
        <f t="shared" si="432"/>
        <v>0</v>
      </c>
      <c r="C1531" s="463">
        <f t="shared" ref="C1531:C1533" si="434">+C1081</f>
        <v>0</v>
      </c>
      <c r="D1531" s="456"/>
      <c r="E1531" s="453">
        <f t="shared" si="433"/>
        <v>0</v>
      </c>
      <c r="F1531" s="456">
        <f>IF(C1531="",0,IFERROR(VLOOKUP(COUNTIF($A$1:A1531,"ANALISIS DE PRECIOS"),T_Rendimiento_Equipo,5,FALSE),0))</f>
        <v>0</v>
      </c>
      <c r="G1531" s="453">
        <f t="shared" ref="G1531:G1536" si="435">IFERROR(ROUND(D1531*E1531/F1531,2),0)</f>
        <v>0</v>
      </c>
    </row>
    <row r="1532" spans="1:7" ht="19.899999999999999" customHeight="1" x14ac:dyDescent="0.2">
      <c r="A1532" s="496">
        <f t="shared" si="431"/>
        <v>0</v>
      </c>
      <c r="B1532" s="459">
        <f t="shared" si="432"/>
        <v>0</v>
      </c>
      <c r="C1532" s="463">
        <f t="shared" si="434"/>
        <v>0</v>
      </c>
      <c r="D1532" s="456"/>
      <c r="E1532" s="453">
        <f t="shared" si="433"/>
        <v>0</v>
      </c>
      <c r="F1532" s="456">
        <f>IF(C1532="",0,IFERROR(VLOOKUP(COUNTIF($A$1:A1532,"ANALISIS DE PRECIOS"),T_Rendimiento_Equipo,5,FALSE),0))</f>
        <v>0</v>
      </c>
      <c r="G1532" s="453">
        <f t="shared" si="435"/>
        <v>0</v>
      </c>
    </row>
    <row r="1533" spans="1:7" ht="19.899999999999999" customHeight="1" x14ac:dyDescent="0.2">
      <c r="A1533" s="496">
        <f t="shared" si="431"/>
        <v>0</v>
      </c>
      <c r="B1533" s="459">
        <f t="shared" si="432"/>
        <v>0</v>
      </c>
      <c r="C1533" s="463" t="str">
        <f t="shared" si="434"/>
        <v>B - MANO DE OBRA</v>
      </c>
      <c r="D1533" s="456"/>
      <c r="E1533" s="453">
        <f t="shared" si="433"/>
        <v>0</v>
      </c>
      <c r="F1533" s="456">
        <f>IF(C1533="",0,IFERROR(VLOOKUP(COUNTIF($A$1:A1533,"ANALISIS DE PRECIOS"),T_Rendimiento_Equipo,5,FALSE),0))</f>
        <v>0</v>
      </c>
      <c r="G1533" s="453">
        <f>IFERROR(ROUND(D1533*E1533/F1533,2),0)</f>
        <v>0</v>
      </c>
    </row>
    <row r="1534" spans="1:7" ht="19.899999999999999" customHeight="1" x14ac:dyDescent="0.2">
      <c r="A1534" s="496">
        <f t="shared" si="431"/>
        <v>0</v>
      </c>
      <c r="B1534" s="459">
        <f t="shared" si="432"/>
        <v>0</v>
      </c>
      <c r="C1534" s="450"/>
      <c r="D1534" s="456"/>
      <c r="E1534" s="453">
        <f t="shared" si="433"/>
        <v>0</v>
      </c>
      <c r="F1534" s="456">
        <f>IF(C1534="",0,IFERROR(VLOOKUP(COUNTIF($A$1:A1534,"ANALISIS DE PRECIOS"),T_Rendimiento_Equipo,5,FALSE),0))</f>
        <v>0</v>
      </c>
      <c r="G1534" s="453">
        <f t="shared" ref="G1534:G1539" si="436">IFERROR(ROUND(D1534*E1534/F1534,2),0)</f>
        <v>0</v>
      </c>
    </row>
    <row r="1535" spans="1:7" ht="19.899999999999999" customHeight="1" x14ac:dyDescent="0.2">
      <c r="A1535" s="496">
        <f t="shared" si="431"/>
        <v>0</v>
      </c>
      <c r="B1535" s="459">
        <f t="shared" si="432"/>
        <v>0</v>
      </c>
      <c r="C1535" s="450"/>
      <c r="D1535" s="464"/>
      <c r="E1535" s="453">
        <f t="shared" si="433"/>
        <v>0</v>
      </c>
      <c r="F1535" s="456">
        <f>IF(C1535="",0,IFERROR(VLOOKUP(COUNTIF($A$1:A1535,"ANALISIS DE PRECIOS"),T_Rendimiento_Equipo,5,FALSE),0))</f>
        <v>0</v>
      </c>
      <c r="G1535" s="453">
        <f t="shared" si="436"/>
        <v>0</v>
      </c>
    </row>
    <row r="1536" spans="1:7" ht="19.899999999999999" customHeight="1" x14ac:dyDescent="0.2">
      <c r="A1536" s="496">
        <f t="shared" si="431"/>
        <v>0</v>
      </c>
      <c r="B1536" s="459">
        <f t="shared" si="432"/>
        <v>0</v>
      </c>
      <c r="C1536" s="459"/>
      <c r="D1536" s="465"/>
      <c r="E1536" s="453">
        <f t="shared" si="433"/>
        <v>0</v>
      </c>
      <c r="F1536" s="456">
        <f>IF(C1536="",0,IFERROR(VLOOKUP(COUNTIF($A$1:A1536,"ANALISIS DE PRECIOS"),T_Rendimiento_Equipo,5,FALSE),0))</f>
        <v>0</v>
      </c>
      <c r="G1536" s="453">
        <f t="shared" si="436"/>
        <v>0</v>
      </c>
    </row>
    <row r="1537" spans="1:7" ht="19.899999999999999" customHeight="1" x14ac:dyDescent="0.2">
      <c r="A1537" s="497"/>
      <c r="B1537" s="440"/>
      <c r="C1537" s="155"/>
      <c r="D1537" s="440"/>
      <c r="E1537" s="441"/>
      <c r="F1537" s="462" t="s">
        <v>28</v>
      </c>
      <c r="G1537" s="499">
        <f>SUBTOTAL(9,G1530:G1536)</f>
        <v>0</v>
      </c>
    </row>
    <row r="1538" spans="1:7" ht="19.899999999999999" customHeight="1" x14ac:dyDescent="0.2">
      <c r="A1538" s="494"/>
      <c r="B1538" s="155"/>
      <c r="C1538" s="436" t="s">
        <v>990</v>
      </c>
      <c r="D1538" s="440"/>
      <c r="E1538" s="441"/>
      <c r="F1538" s="442"/>
      <c r="G1538" s="495"/>
    </row>
    <row r="1539" spans="1:7" ht="19.899999999999999" customHeight="1" x14ac:dyDescent="0.2">
      <c r="A1539" s="677" t="s">
        <v>576</v>
      </c>
      <c r="B1539" s="678"/>
      <c r="C1539" s="679" t="s">
        <v>0</v>
      </c>
      <c r="D1539" s="679" t="s">
        <v>1733</v>
      </c>
      <c r="E1539" s="681" t="s">
        <v>24</v>
      </c>
      <c r="F1539" s="683" t="s">
        <v>25</v>
      </c>
      <c r="G1539" s="685" t="s">
        <v>26</v>
      </c>
    </row>
    <row r="1540" spans="1:7" ht="19.899999999999999" customHeight="1" x14ac:dyDescent="0.2">
      <c r="A1540" s="458" t="s">
        <v>577</v>
      </c>
      <c r="B1540" s="458" t="s">
        <v>578</v>
      </c>
      <c r="C1540" s="680"/>
      <c r="D1540" s="680"/>
      <c r="E1540" s="682"/>
      <c r="F1540" s="684"/>
      <c r="G1540" s="686"/>
    </row>
    <row r="1541" spans="1:7" ht="19.899999999999999" customHeight="1" x14ac:dyDescent="0.2">
      <c r="A1541" s="496">
        <f t="shared" ref="A1541:A1551" si="437">IFERROR(VLOOKUP(C1541,T_Insumos,4,FALSE),0)</f>
        <v>0</v>
      </c>
      <c r="B1541" s="459">
        <f t="shared" ref="B1541:B1551" si="438">IFERROR(VLOOKUP(C1541,T_Insumos,5,FALSE),0)</f>
        <v>0</v>
      </c>
      <c r="C1541" s="459">
        <f>+Insumos!A1088</f>
        <v>0</v>
      </c>
      <c r="D1541" s="507">
        <f t="shared" ref="D1541:D1551" si="439">IFERROR(VLOOKUP(C1541,T_Insumos,2,FALSE),0)</f>
        <v>0</v>
      </c>
      <c r="E1541" s="451"/>
      <c r="F1541" s="453">
        <f t="shared" ref="F1541:F1551" si="440">IFERROR(VLOOKUP(C1541,T_Insumos,3,FALSE),0)</f>
        <v>0</v>
      </c>
      <c r="G1541" s="453">
        <f>ROUND(E1541*F1541,2)</f>
        <v>0</v>
      </c>
    </row>
    <row r="1542" spans="1:7" ht="19.899999999999999" customHeight="1" x14ac:dyDescent="0.2">
      <c r="A1542" s="496">
        <f t="shared" si="437"/>
        <v>0</v>
      </c>
      <c r="B1542" s="459">
        <f t="shared" si="438"/>
        <v>0</v>
      </c>
      <c r="C1542" s="459">
        <f>+Insumos!A1130</f>
        <v>0</v>
      </c>
      <c r="D1542" s="507">
        <f t="shared" si="439"/>
        <v>0</v>
      </c>
      <c r="E1542" s="451"/>
      <c r="F1542" s="453">
        <f t="shared" si="440"/>
        <v>0</v>
      </c>
      <c r="G1542" s="453">
        <f>ROUND(E1542*F1542,2)</f>
        <v>0</v>
      </c>
    </row>
    <row r="1543" spans="1:7" ht="19.899999999999999" customHeight="1" x14ac:dyDescent="0.2">
      <c r="A1543" s="496">
        <f t="shared" si="437"/>
        <v>0</v>
      </c>
      <c r="B1543" s="459">
        <f t="shared" si="438"/>
        <v>0</v>
      </c>
      <c r="C1543" s="459"/>
      <c r="D1543" s="507">
        <f t="shared" si="439"/>
        <v>0</v>
      </c>
      <c r="E1543" s="451"/>
      <c r="F1543" s="453">
        <f t="shared" si="440"/>
        <v>0</v>
      </c>
      <c r="G1543" s="453">
        <f t="shared" ref="G1543:G1551" si="441">ROUND(E1543*F1543,2)</f>
        <v>0</v>
      </c>
    </row>
    <row r="1544" spans="1:7" ht="19.899999999999999" customHeight="1" x14ac:dyDescent="0.2">
      <c r="A1544" s="496">
        <f t="shared" si="437"/>
        <v>0</v>
      </c>
      <c r="B1544" s="459">
        <f t="shared" si="438"/>
        <v>0</v>
      </c>
      <c r="C1544" s="459"/>
      <c r="D1544" s="507">
        <f t="shared" si="439"/>
        <v>0</v>
      </c>
      <c r="E1544" s="451"/>
      <c r="F1544" s="453">
        <f t="shared" si="440"/>
        <v>0</v>
      </c>
      <c r="G1544" s="453">
        <f t="shared" si="441"/>
        <v>0</v>
      </c>
    </row>
    <row r="1545" spans="1:7" ht="19.899999999999999" customHeight="1" x14ac:dyDescent="0.2">
      <c r="A1545" s="496">
        <f t="shared" si="437"/>
        <v>0</v>
      </c>
      <c r="B1545" s="459">
        <f t="shared" si="438"/>
        <v>0</v>
      </c>
      <c r="C1545" s="459"/>
      <c r="D1545" s="507">
        <f t="shared" si="439"/>
        <v>0</v>
      </c>
      <c r="E1545" s="451"/>
      <c r="F1545" s="453">
        <f t="shared" si="440"/>
        <v>0</v>
      </c>
      <c r="G1545" s="453">
        <f t="shared" si="441"/>
        <v>0</v>
      </c>
    </row>
    <row r="1546" spans="1:7" ht="19.899999999999999" customHeight="1" x14ac:dyDescent="0.2">
      <c r="A1546" s="496">
        <f t="shared" si="437"/>
        <v>0</v>
      </c>
      <c r="B1546" s="459">
        <f t="shared" si="438"/>
        <v>0</v>
      </c>
      <c r="C1546" s="459"/>
      <c r="D1546" s="507">
        <f t="shared" si="439"/>
        <v>0</v>
      </c>
      <c r="E1546" s="451"/>
      <c r="F1546" s="453">
        <f t="shared" si="440"/>
        <v>0</v>
      </c>
      <c r="G1546" s="453">
        <f t="shared" si="441"/>
        <v>0</v>
      </c>
    </row>
    <row r="1547" spans="1:7" ht="19.899999999999999" customHeight="1" x14ac:dyDescent="0.2">
      <c r="A1547" s="496">
        <f t="shared" si="437"/>
        <v>0</v>
      </c>
      <c r="B1547" s="459">
        <f t="shared" si="438"/>
        <v>0</v>
      </c>
      <c r="C1547" s="459"/>
      <c r="D1547" s="507">
        <f t="shared" si="439"/>
        <v>0</v>
      </c>
      <c r="E1547" s="451"/>
      <c r="F1547" s="453">
        <f t="shared" si="440"/>
        <v>0</v>
      </c>
      <c r="G1547" s="453">
        <f t="shared" si="441"/>
        <v>0</v>
      </c>
    </row>
    <row r="1548" spans="1:7" ht="19.899999999999999" customHeight="1" x14ac:dyDescent="0.2">
      <c r="A1548" s="496">
        <f t="shared" si="437"/>
        <v>0</v>
      </c>
      <c r="B1548" s="459">
        <f t="shared" si="438"/>
        <v>0</v>
      </c>
      <c r="C1548" s="459"/>
      <c r="D1548" s="507">
        <f t="shared" si="439"/>
        <v>0</v>
      </c>
      <c r="E1548" s="451"/>
      <c r="F1548" s="453">
        <f t="shared" si="440"/>
        <v>0</v>
      </c>
      <c r="G1548" s="453">
        <f t="shared" si="441"/>
        <v>0</v>
      </c>
    </row>
    <row r="1549" spans="1:7" ht="19.899999999999999" customHeight="1" x14ac:dyDescent="0.2">
      <c r="A1549" s="496">
        <f t="shared" si="437"/>
        <v>0</v>
      </c>
      <c r="B1549" s="459">
        <f t="shared" si="438"/>
        <v>0</v>
      </c>
      <c r="C1549" s="459"/>
      <c r="D1549" s="507">
        <f t="shared" si="439"/>
        <v>0</v>
      </c>
      <c r="E1549" s="451"/>
      <c r="F1549" s="453">
        <f t="shared" si="440"/>
        <v>0</v>
      </c>
      <c r="G1549" s="453">
        <f t="shared" si="441"/>
        <v>0</v>
      </c>
    </row>
    <row r="1550" spans="1:7" ht="19.899999999999999" customHeight="1" x14ac:dyDescent="0.2">
      <c r="A1550" s="496">
        <f t="shared" si="437"/>
        <v>0</v>
      </c>
      <c r="B1550" s="459">
        <f t="shared" si="438"/>
        <v>0</v>
      </c>
      <c r="C1550" s="459"/>
      <c r="D1550" s="507">
        <f t="shared" si="439"/>
        <v>0</v>
      </c>
      <c r="E1550" s="451"/>
      <c r="F1550" s="453">
        <f t="shared" si="440"/>
        <v>0</v>
      </c>
      <c r="G1550" s="453">
        <f t="shared" si="441"/>
        <v>0</v>
      </c>
    </row>
    <row r="1551" spans="1:7" ht="19.899999999999999" customHeight="1" x14ac:dyDescent="0.2">
      <c r="A1551" s="496">
        <f t="shared" si="437"/>
        <v>0</v>
      </c>
      <c r="B1551" s="459">
        <f t="shared" si="438"/>
        <v>0</v>
      </c>
      <c r="C1551" s="459"/>
      <c r="D1551" s="507">
        <f t="shared" si="439"/>
        <v>0</v>
      </c>
      <c r="E1551" s="451"/>
      <c r="F1551" s="453">
        <f t="shared" si="440"/>
        <v>0</v>
      </c>
      <c r="G1551" s="453">
        <f t="shared" si="441"/>
        <v>0</v>
      </c>
    </row>
    <row r="1552" spans="1:7" ht="19.899999999999999" customHeight="1" x14ac:dyDescent="0.2">
      <c r="A1552" s="494"/>
      <c r="B1552" s="155"/>
      <c r="C1552" s="155"/>
      <c r="D1552" s="440"/>
      <c r="E1552" s="441"/>
      <c r="F1552" s="462" t="s">
        <v>29</v>
      </c>
      <c r="G1552" s="499">
        <f>SUBTOTAL(9,G1541:G1551)</f>
        <v>0</v>
      </c>
    </row>
    <row r="1553" spans="1:7" ht="19.899999999999999" customHeight="1" x14ac:dyDescent="0.2">
      <c r="A1553" s="494"/>
      <c r="B1553" s="155"/>
      <c r="C1553" s="436" t="s">
        <v>991</v>
      </c>
      <c r="D1553" s="440"/>
      <c r="E1553" s="441"/>
      <c r="F1553" s="442"/>
      <c r="G1553" s="495"/>
    </row>
    <row r="1554" spans="1:7" ht="19.899999999999999" customHeight="1" x14ac:dyDescent="0.2">
      <c r="A1554" s="677" t="s">
        <v>576</v>
      </c>
      <c r="B1554" s="678"/>
      <c r="C1554" s="679" t="s">
        <v>0</v>
      </c>
      <c r="D1554" s="679" t="s">
        <v>1733</v>
      </c>
      <c r="E1554" s="681" t="s">
        <v>24</v>
      </c>
      <c r="F1554" s="683" t="s">
        <v>25</v>
      </c>
      <c r="G1554" s="685" t="s">
        <v>26</v>
      </c>
    </row>
    <row r="1555" spans="1:7" ht="19.899999999999999" customHeight="1" x14ac:dyDescent="0.2">
      <c r="A1555" s="458" t="s">
        <v>577</v>
      </c>
      <c r="B1555" s="458" t="s">
        <v>578</v>
      </c>
      <c r="C1555" s="680"/>
      <c r="D1555" s="680"/>
      <c r="E1555" s="682"/>
      <c r="F1555" s="684"/>
      <c r="G1555" s="686"/>
    </row>
    <row r="1556" spans="1:7" ht="19.899999999999999" customHeight="1" x14ac:dyDescent="0.2">
      <c r="A1556" s="496">
        <f>IFERROR(VLOOKUP(C1556,T_Insumos,4,FALSE),0)</f>
        <v>0</v>
      </c>
      <c r="B1556" s="459">
        <f>IFERROR(VLOOKUP(C1556,T_Insumos,5,FALSE),0)</f>
        <v>0</v>
      </c>
      <c r="C1556" s="450"/>
      <c r="D1556" s="507">
        <f>IF(C1556=0,0,"$/tnkm")</f>
        <v>0</v>
      </c>
      <c r="E1556" s="451"/>
      <c r="F1556" s="453">
        <f>IFERROR(VLOOKUP(C1556,T_Insumos,3,FALSE),0)</f>
        <v>0</v>
      </c>
      <c r="G1556" s="453">
        <f>ROUND(E1556*F1556,2)</f>
        <v>0</v>
      </c>
    </row>
    <row r="1557" spans="1:7" ht="19.899999999999999" customHeight="1" x14ac:dyDescent="0.2">
      <c r="A1557" s="496">
        <f>IFERROR(VLOOKUP(C1557,T_Insumos,4,FALSE),0)</f>
        <v>0</v>
      </c>
      <c r="B1557" s="459">
        <f>IFERROR(VLOOKUP(C1557,T_Insumos,5,FALSE),0)</f>
        <v>0</v>
      </c>
      <c r="C1557" s="450"/>
      <c r="D1557" s="507">
        <f>IF(C1557=0,0,"$/tnkm")</f>
        <v>0</v>
      </c>
      <c r="E1557" s="467"/>
      <c r="F1557" s="453">
        <f>IFERROR(VLOOKUP(C1557,T_Insumos,3,FALSE),0)</f>
        <v>0</v>
      </c>
      <c r="G1557" s="453">
        <f t="shared" ref="G1557" si="442">ROUND(E1557*F1557,2)</f>
        <v>0</v>
      </c>
    </row>
    <row r="1558" spans="1:7" ht="19.899999999999999" customHeight="1" x14ac:dyDescent="0.2">
      <c r="A1558" s="494"/>
      <c r="B1558" s="155"/>
      <c r="C1558" s="155"/>
      <c r="D1558" s="440"/>
      <c r="E1558" s="441"/>
      <c r="F1558" s="462" t="s">
        <v>992</v>
      </c>
      <c r="G1558" s="499">
        <f>SUBTOTAL(9,G1556:G1557)</f>
        <v>0</v>
      </c>
    </row>
    <row r="1559" spans="1:7" ht="19.899999999999999" customHeight="1" x14ac:dyDescent="0.2">
      <c r="A1559" s="497"/>
      <c r="B1559" s="440"/>
      <c r="C1559" s="155"/>
      <c r="D1559" s="440"/>
      <c r="E1559" s="441"/>
      <c r="F1559" s="442"/>
      <c r="G1559" s="495"/>
    </row>
    <row r="1560" spans="1:7" ht="19.899999999999999" customHeight="1" x14ac:dyDescent="0.2">
      <c r="A1560" s="555" t="str">
        <f>B1494</f>
        <v>3.3.2</v>
      </c>
      <c r="B1560" s="552" t="str">
        <f ca="1">C1494</f>
        <v>Relleno y Compactacion</v>
      </c>
      <c r="C1560" s="440"/>
      <c r="D1560" s="440" t="s">
        <v>1712</v>
      </c>
      <c r="E1560" s="553"/>
      <c r="F1560" s="554" t="str">
        <f ca="1">"$/"&amp;G1494</f>
        <v>$/M3</v>
      </c>
      <c r="G1560" s="504">
        <f>SUBTOTAL(9,G1517:G1559)</f>
        <v>0</v>
      </c>
    </row>
    <row r="1561" spans="1:7" ht="19.899999999999999" customHeight="1" x14ac:dyDescent="0.2">
      <c r="A1561" s="500"/>
      <c r="B1561" s="501"/>
      <c r="C1561" s="502"/>
      <c r="D1561" s="502" t="s">
        <v>1908</v>
      </c>
      <c r="E1561" s="503"/>
      <c r="F1561" s="556" t="str">
        <f ca="1">"$/"&amp;G1494</f>
        <v>$/M3</v>
      </c>
      <c r="G1561" s="504">
        <f>ROUND(G1560*Coeficiente_Paso,2)</f>
        <v>0</v>
      </c>
    </row>
    <row r="1562" spans="1:7" ht="19.899999999999999" customHeight="1" x14ac:dyDescent="0.2">
      <c r="A1562" s="687" t="s">
        <v>31</v>
      </c>
      <c r="B1562" s="688"/>
      <c r="C1562" s="688"/>
      <c r="D1562" s="688"/>
      <c r="E1562" s="688"/>
      <c r="F1562" s="688"/>
      <c r="G1562" s="689"/>
    </row>
    <row r="1563" spans="1:7" ht="19.899999999999999" customHeight="1" x14ac:dyDescent="0.2">
      <c r="A1563" s="483" t="s">
        <v>711</v>
      </c>
      <c r="B1563" s="434" t="str">
        <f>Comitente</f>
        <v>DEPARTAMENTO DE HIDRÁULICA</v>
      </c>
      <c r="C1563" s="435"/>
      <c r="D1563" s="436"/>
      <c r="E1563" s="436"/>
      <c r="F1563" s="437"/>
      <c r="G1563" s="484"/>
    </row>
    <row r="1564" spans="1:7" ht="19.899999999999999" customHeight="1" x14ac:dyDescent="0.2">
      <c r="A1564" s="483" t="s">
        <v>712</v>
      </c>
      <c r="B1564" s="434">
        <f>Contratista</f>
        <v>0</v>
      </c>
      <c r="C1564" s="438"/>
      <c r="D1564" s="438"/>
      <c r="E1564" s="438"/>
      <c r="F1564" s="434"/>
      <c r="G1564" s="485"/>
    </row>
    <row r="1565" spans="1:7" ht="19.899999999999999" customHeight="1" x14ac:dyDescent="0.2">
      <c r="A1565" s="483" t="s">
        <v>21</v>
      </c>
      <c r="B1565" s="434" t="str">
        <f>Obra</f>
        <v>RECRECIMIENTO Y REPARACIÓN CANALES SARMIENTO, 9 DE JULIO Y CHIMBAS</v>
      </c>
      <c r="C1565" s="438"/>
      <c r="D1565" s="438"/>
      <c r="E1565" s="438"/>
      <c r="F1565" s="434" t="s">
        <v>32</v>
      </c>
      <c r="G1565" s="485">
        <f>Fecha_Base</f>
        <v>0</v>
      </c>
    </row>
    <row r="1566" spans="1:7" ht="19.899999999999999" customHeight="1" x14ac:dyDescent="0.2">
      <c r="A1566" s="486" t="s">
        <v>710</v>
      </c>
      <c r="B1566" s="439" t="str">
        <f>Ubicación</f>
        <v>DEPARTAMENTOS SARMIENTO, 9 DE JULIO Y CHIMBAS</v>
      </c>
      <c r="C1566" s="439"/>
      <c r="D1566" s="440"/>
      <c r="E1566" s="441"/>
      <c r="F1566" s="442"/>
      <c r="G1566" s="487"/>
    </row>
    <row r="1567" spans="1:7" ht="19.899999999999999" customHeight="1" x14ac:dyDescent="0.2">
      <c r="A1567" s="486" t="s">
        <v>33</v>
      </c>
      <c r="B1567" s="443">
        <f>IFERROR(VALUE(LEFT(B1568,FIND(".",B1568)-1)),"")</f>
        <v>3</v>
      </c>
      <c r="C1567" s="155" t="str">
        <f ca="1">IFERROR(VLOOKUP(B1567,T_Computo_Presupuesto,2,FALSE),0)</f>
        <v>RECRECIMIENTO C. PASTORIZA-VIDELA</v>
      </c>
      <c r="D1567" s="155"/>
      <c r="E1567" s="441"/>
      <c r="F1567" s="442"/>
      <c r="G1567" s="487"/>
    </row>
    <row r="1568" spans="1:7" ht="19.899999999999999" customHeight="1" x14ac:dyDescent="0.2">
      <c r="A1568" s="486" t="s">
        <v>22</v>
      </c>
      <c r="B1568" s="444" t="str">
        <f>IFERROR(VLOOKUP(COUNTIF($A$1:A1568,"ANALISIS DE PRECIOS"),T_NumeroItem,2,FALSE),"")</f>
        <v>3.3.3</v>
      </c>
      <c r="C1568" s="690" t="str">
        <f ca="1">IFERROR(VLOOKUP(B1568,T_Computo_Presupuesto,2,FALSE),0)</f>
        <v xml:space="preserve">Hormigón H-21  </v>
      </c>
      <c r="D1568" s="690"/>
      <c r="E1568" s="690"/>
      <c r="F1568" s="439" t="s">
        <v>23</v>
      </c>
      <c r="G1568" s="488" t="str">
        <f ca="1">IFERROR(VLOOKUP(B1568,T_Computo_Presupuesto,4,FALSE),0)</f>
        <v>M3</v>
      </c>
    </row>
    <row r="1569" spans="1:7" ht="19.899999999999999" customHeight="1" x14ac:dyDescent="0.2">
      <c r="A1569" s="486"/>
      <c r="B1569" s="439"/>
      <c r="C1569" s="155"/>
      <c r="D1569" s="440"/>
      <c r="E1569" s="441"/>
      <c r="F1569" s="155"/>
      <c r="G1569" s="489"/>
    </row>
    <row r="1570" spans="1:7" ht="19.899999999999999" customHeight="1" x14ac:dyDescent="0.2">
      <c r="A1570" s="490"/>
      <c r="B1570" s="445"/>
      <c r="C1570" s="446" t="s">
        <v>975</v>
      </c>
      <c r="D1570" s="445"/>
      <c r="E1570" s="445"/>
      <c r="F1570" s="445"/>
      <c r="G1570" s="491"/>
    </row>
    <row r="1571" spans="1:7" ht="19.899999999999999" customHeight="1" x14ac:dyDescent="0.2">
      <c r="A1571" s="486"/>
      <c r="B1571" s="447"/>
      <c r="C1571" s="155"/>
      <c r="D1571" s="440"/>
      <c r="E1571" s="441"/>
      <c r="F1571" s="439"/>
      <c r="G1571" s="488"/>
    </row>
    <row r="1572" spans="1:7" ht="19.899999999999999" customHeight="1" x14ac:dyDescent="0.2">
      <c r="A1572" s="486"/>
      <c r="B1572" s="447"/>
      <c r="C1572" s="448" t="s">
        <v>976</v>
      </c>
      <c r="D1572" s="449" t="s">
        <v>24</v>
      </c>
      <c r="E1572" s="449" t="s">
        <v>977</v>
      </c>
      <c r="F1572" s="449" t="s">
        <v>978</v>
      </c>
      <c r="G1572" s="448" t="s">
        <v>979</v>
      </c>
    </row>
    <row r="1573" spans="1:7" ht="19.899999999999999" customHeight="1" x14ac:dyDescent="0.2">
      <c r="A1573" s="486"/>
      <c r="B1573" s="447"/>
      <c r="C1573" s="450">
        <f>+Equipos!A1127</f>
        <v>0</v>
      </c>
      <c r="D1573" s="451"/>
      <c r="E1573" s="452">
        <f t="shared" ref="E1573:E1582" si="443">IFERROR(VLOOKUP(C1573,T_Equipos,4,FALSE),0)</f>
        <v>0</v>
      </c>
      <c r="F1573" s="453">
        <f t="shared" ref="F1573:F1582" si="444">IFERROR(VLOOKUP(C1573,T_Equipos,5,FALSE),0)</f>
        <v>0</v>
      </c>
      <c r="G1573" s="453">
        <f>ROUND(D1573*F1573,2)</f>
        <v>0</v>
      </c>
    </row>
    <row r="1574" spans="1:7" ht="19.899999999999999" customHeight="1" x14ac:dyDescent="0.2">
      <c r="A1574" s="486"/>
      <c r="B1574" s="447"/>
      <c r="C1574" s="450">
        <f>+Equipos!A1124</f>
        <v>0</v>
      </c>
      <c r="D1574" s="451"/>
      <c r="E1574" s="452">
        <f t="shared" si="443"/>
        <v>0</v>
      </c>
      <c r="F1574" s="453">
        <f t="shared" si="444"/>
        <v>0</v>
      </c>
      <c r="G1574" s="453">
        <f>ROUND(D1574*F1574,2)</f>
        <v>0</v>
      </c>
    </row>
    <row r="1575" spans="1:7" ht="19.899999999999999" customHeight="1" x14ac:dyDescent="0.2">
      <c r="A1575" s="486"/>
      <c r="B1575" s="447"/>
      <c r="C1575" s="450">
        <f>+Equipos!A1136</f>
        <v>0</v>
      </c>
      <c r="D1575" s="451"/>
      <c r="E1575" s="452">
        <f t="shared" si="443"/>
        <v>0</v>
      </c>
      <c r="F1575" s="453">
        <f t="shared" si="444"/>
        <v>0</v>
      </c>
      <c r="G1575" s="453">
        <f>ROUND(D1575*F1575,2)</f>
        <v>0</v>
      </c>
    </row>
    <row r="1576" spans="1:7" ht="19.899999999999999" customHeight="1" x14ac:dyDescent="0.2">
      <c r="A1576" s="486"/>
      <c r="B1576" s="447"/>
      <c r="C1576" s="450">
        <f>+Equipos!A1144</f>
        <v>0</v>
      </c>
      <c r="D1576" s="451"/>
      <c r="E1576" s="452">
        <f t="shared" si="443"/>
        <v>0</v>
      </c>
      <c r="F1576" s="453">
        <f t="shared" si="444"/>
        <v>0</v>
      </c>
      <c r="G1576" s="453">
        <f>ROUND(D1576*F1576,2)</f>
        <v>0</v>
      </c>
    </row>
    <row r="1577" spans="1:7" ht="19.899999999999999" customHeight="1" x14ac:dyDescent="0.2">
      <c r="A1577" s="486"/>
      <c r="B1577" s="447"/>
      <c r="C1577" s="450">
        <f>+Equipos!A1133</f>
        <v>0</v>
      </c>
      <c r="D1577" s="623"/>
      <c r="E1577" s="452">
        <f t="shared" si="443"/>
        <v>0</v>
      </c>
      <c r="F1577" s="453">
        <f t="shared" si="444"/>
        <v>0</v>
      </c>
      <c r="G1577" s="453">
        <f t="shared" ref="G1577:G1582" si="445">ROUND(D1577*F1577,2)</f>
        <v>0</v>
      </c>
    </row>
    <row r="1578" spans="1:7" ht="19.899999999999999" customHeight="1" x14ac:dyDescent="0.2">
      <c r="A1578" s="486"/>
      <c r="B1578" s="447"/>
      <c r="C1578" s="450">
        <f>+Equipos!A1129</f>
        <v>0</v>
      </c>
      <c r="D1578" s="451"/>
      <c r="E1578" s="452">
        <f t="shared" si="443"/>
        <v>0</v>
      </c>
      <c r="F1578" s="453">
        <f t="shared" si="444"/>
        <v>0</v>
      </c>
      <c r="G1578" s="453">
        <f t="shared" si="445"/>
        <v>0</v>
      </c>
    </row>
    <row r="1579" spans="1:7" ht="19.899999999999999" customHeight="1" x14ac:dyDescent="0.2">
      <c r="A1579" s="486"/>
      <c r="B1579" s="447"/>
      <c r="C1579" s="450"/>
      <c r="D1579" s="451"/>
      <c r="E1579" s="452">
        <f t="shared" si="443"/>
        <v>0</v>
      </c>
      <c r="F1579" s="453">
        <f t="shared" si="444"/>
        <v>0</v>
      </c>
      <c r="G1579" s="453">
        <f t="shared" si="445"/>
        <v>0</v>
      </c>
    </row>
    <row r="1580" spans="1:7" ht="19.899999999999999" customHeight="1" x14ac:dyDescent="0.2">
      <c r="A1580" s="486"/>
      <c r="B1580" s="447"/>
      <c r="C1580" s="450"/>
      <c r="D1580" s="451"/>
      <c r="E1580" s="452">
        <f t="shared" si="443"/>
        <v>0</v>
      </c>
      <c r="F1580" s="453">
        <f t="shared" si="444"/>
        <v>0</v>
      </c>
      <c r="G1580" s="453">
        <f t="shared" si="445"/>
        <v>0</v>
      </c>
    </row>
    <row r="1581" spans="1:7" ht="19.899999999999999" customHeight="1" x14ac:dyDescent="0.2">
      <c r="A1581" s="486"/>
      <c r="B1581" s="447"/>
      <c r="C1581" s="450"/>
      <c r="D1581" s="451"/>
      <c r="E1581" s="452">
        <f t="shared" si="443"/>
        <v>0</v>
      </c>
      <c r="F1581" s="453">
        <f t="shared" si="444"/>
        <v>0</v>
      </c>
      <c r="G1581" s="453">
        <f t="shared" si="445"/>
        <v>0</v>
      </c>
    </row>
    <row r="1582" spans="1:7" ht="19.899999999999999" customHeight="1" x14ac:dyDescent="0.2">
      <c r="A1582" s="486"/>
      <c r="B1582" s="447"/>
      <c r="C1582" s="450"/>
      <c r="D1582" s="451"/>
      <c r="E1582" s="452">
        <f t="shared" si="443"/>
        <v>0</v>
      </c>
      <c r="F1582" s="453">
        <f t="shared" si="444"/>
        <v>0</v>
      </c>
      <c r="G1582" s="453">
        <f t="shared" si="445"/>
        <v>0</v>
      </c>
    </row>
    <row r="1583" spans="1:7" ht="19.899999999999999" customHeight="1" x14ac:dyDescent="0.2">
      <c r="A1583" s="486"/>
      <c r="B1583" s="447"/>
      <c r="C1583" s="155"/>
      <c r="D1583" s="155"/>
      <c r="E1583" s="454"/>
      <c r="F1583" s="439"/>
      <c r="G1583" s="488"/>
    </row>
    <row r="1584" spans="1:7" ht="19.899999999999999" customHeight="1" x14ac:dyDescent="0.2">
      <c r="A1584" s="486"/>
      <c r="B1584" s="155"/>
      <c r="C1584" s="436" t="s">
        <v>980</v>
      </c>
      <c r="D1584" s="439" t="s">
        <v>977</v>
      </c>
      <c r="E1584" s="505">
        <f>SUMPRODUCT(D1573:D1582,E1573:E1582)</f>
        <v>0</v>
      </c>
      <c r="F1584" s="439" t="s">
        <v>981</v>
      </c>
      <c r="G1584" s="506">
        <f>SUM(G1573:G1582)</f>
        <v>0</v>
      </c>
    </row>
    <row r="1585" spans="1:7" ht="19.899999999999999" customHeight="1" x14ac:dyDescent="0.2">
      <c r="A1585" s="486"/>
      <c r="B1585" s="447"/>
      <c r="C1585" s="455"/>
      <c r="D1585" s="454"/>
      <c r="E1585" s="441"/>
      <c r="F1585" s="439"/>
      <c r="G1585" s="492"/>
    </row>
    <row r="1586" spans="1:7" ht="19.899999999999999" customHeight="1" x14ac:dyDescent="0.2">
      <c r="A1586" s="493"/>
      <c r="B1586" s="447"/>
      <c r="C1586" s="439" t="s">
        <v>982</v>
      </c>
      <c r="D1586" s="456">
        <f>IFERROR(VLOOKUP(COUNTIF($A$1:A1586,"ANALISIS DE PRECIOS"),T_Rendimiento_Equipo,5,FALSE),0)</f>
        <v>0</v>
      </c>
      <c r="E1586" s="457" t="str">
        <f ca="1">G1568&amp;"/día"</f>
        <v>M3/día</v>
      </c>
      <c r="F1586" s="433"/>
      <c r="G1586" s="488"/>
    </row>
    <row r="1587" spans="1:7" ht="19.899999999999999" customHeight="1" x14ac:dyDescent="0.2">
      <c r="A1587" s="486"/>
      <c r="B1587" s="447"/>
      <c r="C1587" s="155"/>
      <c r="D1587" s="440"/>
      <c r="E1587" s="441"/>
      <c r="F1587" s="439"/>
      <c r="G1587" s="488"/>
    </row>
    <row r="1588" spans="1:7" ht="19.899999999999999" customHeight="1" x14ac:dyDescent="0.2">
      <c r="A1588" s="677" t="s">
        <v>576</v>
      </c>
      <c r="B1588" s="678"/>
      <c r="C1588" s="679" t="s">
        <v>0</v>
      </c>
      <c r="D1588" s="691" t="s">
        <v>1732</v>
      </c>
      <c r="E1588" s="691" t="s">
        <v>1731</v>
      </c>
      <c r="F1588" s="683" t="s">
        <v>983</v>
      </c>
      <c r="G1588" s="685" t="s">
        <v>26</v>
      </c>
    </row>
    <row r="1589" spans="1:7" ht="19.899999999999999" customHeight="1" x14ac:dyDescent="0.2">
      <c r="A1589" s="458" t="s">
        <v>577</v>
      </c>
      <c r="B1589" s="458" t="s">
        <v>578</v>
      </c>
      <c r="C1589" s="680"/>
      <c r="D1589" s="692"/>
      <c r="E1589" s="682"/>
      <c r="F1589" s="684"/>
      <c r="G1589" s="686"/>
    </row>
    <row r="1590" spans="1:7" ht="19.899999999999999" customHeight="1" x14ac:dyDescent="0.2">
      <c r="A1590" s="494"/>
      <c r="B1590" s="155"/>
      <c r="C1590" s="436" t="s">
        <v>984</v>
      </c>
      <c r="D1590" s="441"/>
      <c r="E1590" s="441"/>
      <c r="F1590" s="155"/>
      <c r="G1590" s="495"/>
    </row>
    <row r="1591" spans="1:7" ht="19.899999999999999" customHeight="1" x14ac:dyDescent="0.2">
      <c r="A1591" s="496">
        <f t="shared" ref="A1591:A1599" si="446">IFERROR(VLOOKUP(C1591,T_Insumos,4,FALSE),0)</f>
        <v>0</v>
      </c>
      <c r="B1591" s="459">
        <f t="shared" ref="B1591:B1599" si="447">IFERROR(VLOOKUP(C1591,T_Insumos,5,FALSE),0)</f>
        <v>0</v>
      </c>
      <c r="C1591" s="450">
        <f>+C1141</f>
        <v>0</v>
      </c>
      <c r="D1591" s="460">
        <f t="shared" ref="D1591:D1599" si="448">IFERROR(VLOOKUP(C1591,T_Insumos,3,FALSE),0)</f>
        <v>0</v>
      </c>
      <c r="E1591" s="453">
        <f>D1591*$G$473</f>
        <v>0</v>
      </c>
      <c r="F1591" s="456">
        <f>IF(C1591="",0,IFERROR(VLOOKUP(COUNTIF($A$1:A1591,"ANALISIS DE PRECIOS"),T_Rendimiento_Equipo,5,FALSE),0))</f>
        <v>0</v>
      </c>
      <c r="G1591" s="453">
        <f>IFERROR(ROUND(E1591/F1591,2),0)</f>
        <v>0</v>
      </c>
    </row>
    <row r="1592" spans="1:7" ht="19.899999999999999" customHeight="1" x14ac:dyDescent="0.2">
      <c r="A1592" s="496">
        <f t="shared" si="446"/>
        <v>0</v>
      </c>
      <c r="B1592" s="459">
        <f t="shared" si="447"/>
        <v>0</v>
      </c>
      <c r="C1592" s="450" t="str">
        <f t="shared" ref="C1592:C1594" si="449">+C1142</f>
        <v>Rendimiento equipo de producción</v>
      </c>
      <c r="D1592" s="460">
        <f t="shared" si="448"/>
        <v>0</v>
      </c>
      <c r="E1592" s="453">
        <f t="shared" ref="E1592:E1593" si="450">D1592*$G$473</f>
        <v>0</v>
      </c>
      <c r="F1592" s="456">
        <f>IF(C1592="",0,IFERROR(VLOOKUP(COUNTIF($A$1:A1592,"ANALISIS DE PRECIOS"),T_Rendimiento_Equipo,5,FALSE),0))</f>
        <v>0</v>
      </c>
      <c r="G1592" s="453">
        <f t="shared" ref="G1592:G1599" si="451">IFERROR(ROUND(E1592/F1592,2),0)</f>
        <v>0</v>
      </c>
    </row>
    <row r="1593" spans="1:7" ht="19.899999999999999" customHeight="1" x14ac:dyDescent="0.2">
      <c r="A1593" s="496">
        <f t="shared" si="446"/>
        <v>0</v>
      </c>
      <c r="B1593" s="459">
        <f t="shared" si="447"/>
        <v>0</v>
      </c>
      <c r="C1593" s="450">
        <f t="shared" si="449"/>
        <v>0</v>
      </c>
      <c r="D1593" s="460">
        <f t="shared" si="448"/>
        <v>0</v>
      </c>
      <c r="E1593" s="453">
        <f t="shared" si="450"/>
        <v>0</v>
      </c>
      <c r="F1593" s="456">
        <f>IF(C1593="",0,IFERROR(VLOOKUP(COUNTIF($A$1:A1593,"ANALISIS DE PRECIOS"),T_Rendimiento_Equipo,5,FALSE),0))</f>
        <v>0</v>
      </c>
      <c r="G1593" s="453">
        <f t="shared" si="451"/>
        <v>0</v>
      </c>
    </row>
    <row r="1594" spans="1:7" ht="19.899999999999999" customHeight="1" x14ac:dyDescent="0.2">
      <c r="A1594" s="496">
        <f t="shared" si="446"/>
        <v>0</v>
      </c>
      <c r="B1594" s="459">
        <f t="shared" si="447"/>
        <v>0</v>
      </c>
      <c r="C1594" s="450" t="str">
        <f t="shared" si="449"/>
        <v>DESIGNACION</v>
      </c>
      <c r="D1594" s="460">
        <f t="shared" si="448"/>
        <v>0</v>
      </c>
      <c r="E1594" s="453">
        <f>D1594*$E$473</f>
        <v>0</v>
      </c>
      <c r="F1594" s="456">
        <f>IF(C1594="",0,IFERROR(VLOOKUP(COUNTIF($A$1:A1594,"ANALISIS DE PRECIOS"),T_Rendimiento_Equipo,5,FALSE),0))</f>
        <v>0</v>
      </c>
      <c r="G1594" s="453">
        <f t="shared" si="451"/>
        <v>0</v>
      </c>
    </row>
    <row r="1595" spans="1:7" ht="19.899999999999999" customHeight="1" x14ac:dyDescent="0.2">
      <c r="A1595" s="496">
        <f t="shared" si="446"/>
        <v>0</v>
      </c>
      <c r="B1595" s="459">
        <f t="shared" si="447"/>
        <v>0</v>
      </c>
      <c r="C1595" s="461"/>
      <c r="D1595" s="460">
        <f t="shared" si="448"/>
        <v>0</v>
      </c>
      <c r="E1595" s="453"/>
      <c r="F1595" s="456">
        <f>IF(C1595="",0,IFERROR(VLOOKUP(COUNTIF($A$1:A1595,"ANALISIS DE PRECIOS"),T_Rendimiento_Equipo,5,FALSE),0))</f>
        <v>0</v>
      </c>
      <c r="G1595" s="453">
        <f t="shared" si="451"/>
        <v>0</v>
      </c>
    </row>
    <row r="1596" spans="1:7" ht="19.899999999999999" customHeight="1" x14ac:dyDescent="0.2">
      <c r="A1596" s="496">
        <f t="shared" si="446"/>
        <v>0</v>
      </c>
      <c r="B1596" s="459">
        <f t="shared" si="447"/>
        <v>0</v>
      </c>
      <c r="C1596" s="461"/>
      <c r="D1596" s="460">
        <f t="shared" si="448"/>
        <v>0</v>
      </c>
      <c r="E1596" s="453"/>
      <c r="F1596" s="456">
        <f>IF(C1596="",0,IFERROR(VLOOKUP(COUNTIF($A$1:A1596,"ANALISIS DE PRECIOS"),T_Rendimiento_Equipo,5,FALSE),0))</f>
        <v>0</v>
      </c>
      <c r="G1596" s="453">
        <f t="shared" si="451"/>
        <v>0</v>
      </c>
    </row>
    <row r="1597" spans="1:7" ht="19.899999999999999" customHeight="1" x14ac:dyDescent="0.2">
      <c r="A1597" s="496">
        <f t="shared" si="446"/>
        <v>0</v>
      </c>
      <c r="B1597" s="459">
        <f t="shared" si="447"/>
        <v>0</v>
      </c>
      <c r="C1597" s="461"/>
      <c r="D1597" s="460">
        <f t="shared" si="448"/>
        <v>0</v>
      </c>
      <c r="E1597" s="453"/>
      <c r="F1597" s="456">
        <f>IF(C1597="",0,IFERROR(VLOOKUP(COUNTIF($A$1:A1597,"ANALISIS DE PRECIOS"),T_Rendimiento_Equipo,5,FALSE),0))</f>
        <v>0</v>
      </c>
      <c r="G1597" s="453">
        <f t="shared" si="451"/>
        <v>0</v>
      </c>
    </row>
    <row r="1598" spans="1:7" ht="19.899999999999999" customHeight="1" x14ac:dyDescent="0.2">
      <c r="A1598" s="496">
        <f t="shared" si="446"/>
        <v>0</v>
      </c>
      <c r="B1598" s="459">
        <f t="shared" si="447"/>
        <v>0</v>
      </c>
      <c r="C1598" s="461"/>
      <c r="D1598" s="460">
        <f t="shared" si="448"/>
        <v>0</v>
      </c>
      <c r="E1598" s="453"/>
      <c r="F1598" s="456">
        <f>IF(C1598="",0,IFERROR(VLOOKUP(COUNTIF($A$1:A1598,"ANALISIS DE PRECIOS"),T_Rendimiento_Equipo,5,FALSE),0))</f>
        <v>0</v>
      </c>
      <c r="G1598" s="453">
        <f t="shared" si="451"/>
        <v>0</v>
      </c>
    </row>
    <row r="1599" spans="1:7" ht="19.899999999999999" customHeight="1" x14ac:dyDescent="0.2">
      <c r="A1599" s="496">
        <f t="shared" si="446"/>
        <v>0</v>
      </c>
      <c r="B1599" s="459">
        <f t="shared" si="447"/>
        <v>0</v>
      </c>
      <c r="C1599" s="450"/>
      <c r="D1599" s="460">
        <f t="shared" si="448"/>
        <v>0</v>
      </c>
      <c r="E1599" s="453"/>
      <c r="F1599" s="456">
        <f>IF(C1599="",0,IFERROR(VLOOKUP(COUNTIF($A$1:A1599,"ANALISIS DE PRECIOS"),T_Rendimiento_Equipo,5,FALSE),0))</f>
        <v>0</v>
      </c>
      <c r="G1599" s="453">
        <f t="shared" si="451"/>
        <v>0</v>
      </c>
    </row>
    <row r="1600" spans="1:7" ht="19.899999999999999" customHeight="1" x14ac:dyDescent="0.2">
      <c r="A1600" s="497"/>
      <c r="B1600" s="440"/>
      <c r="C1600" s="155"/>
      <c r="D1600" s="440"/>
      <c r="E1600" s="441"/>
      <c r="F1600" s="462" t="s">
        <v>27</v>
      </c>
      <c r="G1600" s="498">
        <f>SUBTOTAL(9,G1591:G1599)</f>
        <v>0</v>
      </c>
    </row>
    <row r="1601" spans="1:7" ht="19.899999999999999" customHeight="1" x14ac:dyDescent="0.2">
      <c r="A1601" s="494"/>
      <c r="B1601" s="155"/>
      <c r="C1601" s="436" t="s">
        <v>713</v>
      </c>
      <c r="D1601" s="440"/>
      <c r="E1601" s="441"/>
      <c r="F1601" s="442"/>
      <c r="G1601" s="495"/>
    </row>
    <row r="1602" spans="1:7" ht="19.899999999999999" customHeight="1" x14ac:dyDescent="0.2">
      <c r="A1602" s="677" t="s">
        <v>576</v>
      </c>
      <c r="B1602" s="678"/>
      <c r="C1602" s="679" t="s">
        <v>0</v>
      </c>
      <c r="D1602" s="681" t="s">
        <v>24</v>
      </c>
      <c r="E1602" s="681" t="s">
        <v>1711</v>
      </c>
      <c r="F1602" s="683" t="s">
        <v>983</v>
      </c>
      <c r="G1602" s="685" t="s">
        <v>26</v>
      </c>
    </row>
    <row r="1603" spans="1:7" ht="19.899999999999999" customHeight="1" x14ac:dyDescent="0.2">
      <c r="A1603" s="458" t="s">
        <v>577</v>
      </c>
      <c r="B1603" s="458" t="s">
        <v>578</v>
      </c>
      <c r="C1603" s="680"/>
      <c r="D1603" s="682"/>
      <c r="E1603" s="682"/>
      <c r="F1603" s="684"/>
      <c r="G1603" s="686"/>
    </row>
    <row r="1604" spans="1:7" ht="19.899999999999999" customHeight="1" x14ac:dyDescent="0.2">
      <c r="A1604" s="496">
        <f t="shared" ref="A1604:A1610" si="452">IFERROR(VLOOKUP(C1604,T_Insumos,4,FALSE),0)</f>
        <v>0</v>
      </c>
      <c r="B1604" s="459">
        <f t="shared" ref="B1604:B1610" si="453">IFERROR(VLOOKUP(C1604,T_Insumos,5,FALSE),0)</f>
        <v>0</v>
      </c>
      <c r="C1604" s="463">
        <f>+C1154</f>
        <v>0</v>
      </c>
      <c r="D1604" s="456"/>
      <c r="E1604" s="453">
        <f t="shared" ref="E1604:E1610" si="454">IFERROR(VLOOKUP(C1604,T_Insumos,3,FALSE),0)</f>
        <v>0</v>
      </c>
      <c r="F1604" s="456">
        <f>IF(C1604="",0,IFERROR(VLOOKUP(COUNTIF($A$1:A1604,"ANALISIS DE PRECIOS"),T_Rendimiento_Equipo,5,FALSE),0))</f>
        <v>0</v>
      </c>
      <c r="G1604" s="453">
        <f>IFERROR(ROUND(D1604*E1604/F1604,2),0)</f>
        <v>0</v>
      </c>
    </row>
    <row r="1605" spans="1:7" ht="19.899999999999999" customHeight="1" x14ac:dyDescent="0.2">
      <c r="A1605" s="496">
        <f t="shared" si="452"/>
        <v>0</v>
      </c>
      <c r="B1605" s="459">
        <f t="shared" si="453"/>
        <v>0</v>
      </c>
      <c r="C1605" s="463">
        <f t="shared" ref="C1605:C1607" si="455">+C1155</f>
        <v>0</v>
      </c>
      <c r="D1605" s="456"/>
      <c r="E1605" s="453">
        <f t="shared" si="454"/>
        <v>0</v>
      </c>
      <c r="F1605" s="456">
        <f>IF(C1605="",0,IFERROR(VLOOKUP(COUNTIF($A$1:A1605,"ANALISIS DE PRECIOS"),T_Rendimiento_Equipo,5,FALSE),0))</f>
        <v>0</v>
      </c>
      <c r="G1605" s="453">
        <f t="shared" ref="G1605:G1610" si="456">IFERROR(ROUND(D1605*E1605/F1605,2),0)</f>
        <v>0</v>
      </c>
    </row>
    <row r="1606" spans="1:7" ht="19.899999999999999" customHeight="1" x14ac:dyDescent="0.2">
      <c r="A1606" s="496">
        <f t="shared" si="452"/>
        <v>0</v>
      </c>
      <c r="B1606" s="459">
        <f t="shared" si="453"/>
        <v>0</v>
      </c>
      <c r="C1606" s="463">
        <f t="shared" si="455"/>
        <v>0</v>
      </c>
      <c r="D1606" s="456"/>
      <c r="E1606" s="453">
        <f t="shared" si="454"/>
        <v>0</v>
      </c>
      <c r="F1606" s="456">
        <f>IF(C1606="",0,IFERROR(VLOOKUP(COUNTIF($A$1:A1606,"ANALISIS DE PRECIOS"),T_Rendimiento_Equipo,5,FALSE),0))</f>
        <v>0</v>
      </c>
      <c r="G1606" s="453">
        <f t="shared" si="456"/>
        <v>0</v>
      </c>
    </row>
    <row r="1607" spans="1:7" ht="19.899999999999999" customHeight="1" x14ac:dyDescent="0.2">
      <c r="A1607" s="496">
        <f t="shared" si="452"/>
        <v>0</v>
      </c>
      <c r="B1607" s="459">
        <f t="shared" si="453"/>
        <v>0</v>
      </c>
      <c r="C1607" s="463" t="str">
        <f t="shared" si="455"/>
        <v>B - MANO DE OBRA</v>
      </c>
      <c r="D1607" s="456"/>
      <c r="E1607" s="453">
        <f t="shared" si="454"/>
        <v>0</v>
      </c>
      <c r="F1607" s="456">
        <f>IF(C1607="",0,IFERROR(VLOOKUP(COUNTIF($A$1:A1607,"ANALISIS DE PRECIOS"),T_Rendimiento_Equipo,5,FALSE),0))</f>
        <v>0</v>
      </c>
      <c r="G1607" s="453">
        <f>IFERROR(ROUND(D1607*E1607/F1607,2),0)</f>
        <v>0</v>
      </c>
    </row>
    <row r="1608" spans="1:7" ht="19.899999999999999" customHeight="1" x14ac:dyDescent="0.2">
      <c r="A1608" s="496">
        <f t="shared" si="452"/>
        <v>0</v>
      </c>
      <c r="B1608" s="459">
        <f t="shared" si="453"/>
        <v>0</v>
      </c>
      <c r="C1608" s="450"/>
      <c r="D1608" s="456"/>
      <c r="E1608" s="453">
        <f t="shared" si="454"/>
        <v>0</v>
      </c>
      <c r="F1608" s="456">
        <f>IF(C1608="",0,IFERROR(VLOOKUP(COUNTIF($A$1:A1608,"ANALISIS DE PRECIOS"),T_Rendimiento_Equipo,5,FALSE),0))</f>
        <v>0</v>
      </c>
      <c r="G1608" s="453">
        <f t="shared" ref="G1608:G1613" si="457">IFERROR(ROUND(D1608*E1608/F1608,2),0)</f>
        <v>0</v>
      </c>
    </row>
    <row r="1609" spans="1:7" ht="19.899999999999999" customHeight="1" x14ac:dyDescent="0.2">
      <c r="A1609" s="496">
        <f t="shared" si="452"/>
        <v>0</v>
      </c>
      <c r="B1609" s="459">
        <f t="shared" si="453"/>
        <v>0</v>
      </c>
      <c r="C1609" s="450"/>
      <c r="D1609" s="464"/>
      <c r="E1609" s="453">
        <f t="shared" si="454"/>
        <v>0</v>
      </c>
      <c r="F1609" s="456">
        <f>IF(C1609="",0,IFERROR(VLOOKUP(COUNTIF($A$1:A1609,"ANALISIS DE PRECIOS"),T_Rendimiento_Equipo,5,FALSE),0))</f>
        <v>0</v>
      </c>
      <c r="G1609" s="453">
        <f t="shared" si="457"/>
        <v>0</v>
      </c>
    </row>
    <row r="1610" spans="1:7" ht="19.899999999999999" customHeight="1" x14ac:dyDescent="0.2">
      <c r="A1610" s="496">
        <f t="shared" si="452"/>
        <v>0</v>
      </c>
      <c r="B1610" s="459">
        <f t="shared" si="453"/>
        <v>0</v>
      </c>
      <c r="C1610" s="459"/>
      <c r="D1610" s="465"/>
      <c r="E1610" s="453">
        <f t="shared" si="454"/>
        <v>0</v>
      </c>
      <c r="F1610" s="456">
        <f>IF(C1610="",0,IFERROR(VLOOKUP(COUNTIF($A$1:A1610,"ANALISIS DE PRECIOS"),T_Rendimiento_Equipo,5,FALSE),0))</f>
        <v>0</v>
      </c>
      <c r="G1610" s="453">
        <f t="shared" si="457"/>
        <v>0</v>
      </c>
    </row>
    <row r="1611" spans="1:7" ht="19.899999999999999" customHeight="1" x14ac:dyDescent="0.2">
      <c r="A1611" s="497"/>
      <c r="B1611" s="440"/>
      <c r="C1611" s="155"/>
      <c r="D1611" s="440"/>
      <c r="E1611" s="441"/>
      <c r="F1611" s="462" t="s">
        <v>28</v>
      </c>
      <c r="G1611" s="499">
        <f>SUBTOTAL(9,G1604:G1610)</f>
        <v>0</v>
      </c>
    </row>
    <row r="1612" spans="1:7" ht="19.899999999999999" customHeight="1" x14ac:dyDescent="0.2">
      <c r="A1612" s="494"/>
      <c r="B1612" s="155"/>
      <c r="C1612" s="436" t="s">
        <v>990</v>
      </c>
      <c r="D1612" s="440"/>
      <c r="E1612" s="441"/>
      <c r="F1612" s="442"/>
      <c r="G1612" s="495"/>
    </row>
    <row r="1613" spans="1:7" ht="19.899999999999999" customHeight="1" x14ac:dyDescent="0.2">
      <c r="A1613" s="677" t="s">
        <v>576</v>
      </c>
      <c r="B1613" s="678"/>
      <c r="C1613" s="679" t="s">
        <v>0</v>
      </c>
      <c r="D1613" s="679" t="s">
        <v>1733</v>
      </c>
      <c r="E1613" s="681" t="s">
        <v>24</v>
      </c>
      <c r="F1613" s="683" t="s">
        <v>25</v>
      </c>
      <c r="G1613" s="685" t="s">
        <v>26</v>
      </c>
    </row>
    <row r="1614" spans="1:7" ht="19.899999999999999" customHeight="1" x14ac:dyDescent="0.2">
      <c r="A1614" s="458" t="s">
        <v>577</v>
      </c>
      <c r="B1614" s="458" t="s">
        <v>578</v>
      </c>
      <c r="C1614" s="680"/>
      <c r="D1614" s="680"/>
      <c r="E1614" s="682"/>
      <c r="F1614" s="684"/>
      <c r="G1614" s="686"/>
    </row>
    <row r="1615" spans="1:7" ht="19.899999999999999" customHeight="1" x14ac:dyDescent="0.2">
      <c r="A1615" s="496">
        <f t="shared" ref="A1615:A1625" si="458">IFERROR(VLOOKUP(C1615,T_Insumos,4,FALSE),0)</f>
        <v>0</v>
      </c>
      <c r="B1615" s="459">
        <f t="shared" ref="B1615:B1625" si="459">IFERROR(VLOOKUP(C1615,T_Insumos,5,FALSE),0)</f>
        <v>0</v>
      </c>
      <c r="C1615" s="459">
        <f>+Insumos!A1162</f>
        <v>0</v>
      </c>
      <c r="D1615" s="507">
        <f t="shared" ref="D1615:D1625" si="460">IFERROR(VLOOKUP(C1615,T_Insumos,2,FALSE),0)</f>
        <v>0</v>
      </c>
      <c r="E1615" s="451"/>
      <c r="F1615" s="453">
        <f t="shared" ref="F1615:F1625" si="461">IFERROR(VLOOKUP(C1615,T_Insumos,3,FALSE),0)</f>
        <v>0</v>
      </c>
      <c r="G1615" s="453">
        <f>ROUND(E1615*F1615,2)</f>
        <v>0</v>
      </c>
    </row>
    <row r="1616" spans="1:7" ht="19.899999999999999" customHeight="1" x14ac:dyDescent="0.2">
      <c r="A1616" s="496">
        <f t="shared" si="458"/>
        <v>0</v>
      </c>
      <c r="B1616" s="459">
        <f t="shared" si="459"/>
        <v>0</v>
      </c>
      <c r="C1616" s="459">
        <f>+Insumos!A1204</f>
        <v>0</v>
      </c>
      <c r="D1616" s="507">
        <f t="shared" si="460"/>
        <v>0</v>
      </c>
      <c r="E1616" s="451"/>
      <c r="F1616" s="453">
        <f t="shared" si="461"/>
        <v>0</v>
      </c>
      <c r="G1616" s="453">
        <f>ROUND(E1616*F1616,2)</f>
        <v>0</v>
      </c>
    </row>
    <row r="1617" spans="1:7" ht="19.899999999999999" customHeight="1" x14ac:dyDescent="0.2">
      <c r="A1617" s="496">
        <f t="shared" si="458"/>
        <v>0</v>
      </c>
      <c r="B1617" s="459">
        <f t="shared" si="459"/>
        <v>0</v>
      </c>
      <c r="C1617" s="459"/>
      <c r="D1617" s="507">
        <f t="shared" si="460"/>
        <v>0</v>
      </c>
      <c r="E1617" s="451"/>
      <c r="F1617" s="453">
        <f t="shared" si="461"/>
        <v>0</v>
      </c>
      <c r="G1617" s="453">
        <f t="shared" ref="G1617:G1625" si="462">ROUND(E1617*F1617,2)</f>
        <v>0</v>
      </c>
    </row>
    <row r="1618" spans="1:7" ht="19.899999999999999" customHeight="1" x14ac:dyDescent="0.2">
      <c r="A1618" s="496">
        <f t="shared" si="458"/>
        <v>0</v>
      </c>
      <c r="B1618" s="459">
        <f t="shared" si="459"/>
        <v>0</v>
      </c>
      <c r="C1618" s="459"/>
      <c r="D1618" s="507">
        <f t="shared" si="460"/>
        <v>0</v>
      </c>
      <c r="E1618" s="451"/>
      <c r="F1618" s="453">
        <f t="shared" si="461"/>
        <v>0</v>
      </c>
      <c r="G1618" s="453">
        <f t="shared" si="462"/>
        <v>0</v>
      </c>
    </row>
    <row r="1619" spans="1:7" ht="19.899999999999999" customHeight="1" x14ac:dyDescent="0.2">
      <c r="A1619" s="496">
        <f t="shared" si="458"/>
        <v>0</v>
      </c>
      <c r="B1619" s="459">
        <f t="shared" si="459"/>
        <v>0</v>
      </c>
      <c r="C1619" s="459"/>
      <c r="D1619" s="507">
        <f t="shared" si="460"/>
        <v>0</v>
      </c>
      <c r="E1619" s="451"/>
      <c r="F1619" s="453">
        <f t="shared" si="461"/>
        <v>0</v>
      </c>
      <c r="G1619" s="453">
        <f t="shared" si="462"/>
        <v>0</v>
      </c>
    </row>
    <row r="1620" spans="1:7" ht="19.899999999999999" customHeight="1" x14ac:dyDescent="0.2">
      <c r="A1620" s="496">
        <f t="shared" si="458"/>
        <v>0</v>
      </c>
      <c r="B1620" s="459">
        <f t="shared" si="459"/>
        <v>0</v>
      </c>
      <c r="C1620" s="459"/>
      <c r="D1620" s="507">
        <f t="shared" si="460"/>
        <v>0</v>
      </c>
      <c r="E1620" s="451"/>
      <c r="F1620" s="453">
        <f t="shared" si="461"/>
        <v>0</v>
      </c>
      <c r="G1620" s="453">
        <f t="shared" si="462"/>
        <v>0</v>
      </c>
    </row>
    <row r="1621" spans="1:7" ht="19.899999999999999" customHeight="1" x14ac:dyDescent="0.2">
      <c r="A1621" s="496">
        <f t="shared" si="458"/>
        <v>0</v>
      </c>
      <c r="B1621" s="459">
        <f t="shared" si="459"/>
        <v>0</v>
      </c>
      <c r="C1621" s="459"/>
      <c r="D1621" s="507">
        <f t="shared" si="460"/>
        <v>0</v>
      </c>
      <c r="E1621" s="451"/>
      <c r="F1621" s="453">
        <f t="shared" si="461"/>
        <v>0</v>
      </c>
      <c r="G1621" s="453">
        <f t="shared" si="462"/>
        <v>0</v>
      </c>
    </row>
    <row r="1622" spans="1:7" ht="19.899999999999999" customHeight="1" x14ac:dyDescent="0.2">
      <c r="A1622" s="496">
        <f t="shared" si="458"/>
        <v>0</v>
      </c>
      <c r="B1622" s="459">
        <f t="shared" si="459"/>
        <v>0</v>
      </c>
      <c r="C1622" s="459"/>
      <c r="D1622" s="507">
        <f t="shared" si="460"/>
        <v>0</v>
      </c>
      <c r="E1622" s="451"/>
      <c r="F1622" s="453">
        <f t="shared" si="461"/>
        <v>0</v>
      </c>
      <c r="G1622" s="453">
        <f t="shared" si="462"/>
        <v>0</v>
      </c>
    </row>
    <row r="1623" spans="1:7" ht="19.899999999999999" customHeight="1" x14ac:dyDescent="0.2">
      <c r="A1623" s="496">
        <f t="shared" si="458"/>
        <v>0</v>
      </c>
      <c r="B1623" s="459">
        <f t="shared" si="459"/>
        <v>0</v>
      </c>
      <c r="C1623" s="459"/>
      <c r="D1623" s="507">
        <f t="shared" si="460"/>
        <v>0</v>
      </c>
      <c r="E1623" s="451"/>
      <c r="F1623" s="453">
        <f t="shared" si="461"/>
        <v>0</v>
      </c>
      <c r="G1623" s="453">
        <f t="shared" si="462"/>
        <v>0</v>
      </c>
    </row>
    <row r="1624" spans="1:7" ht="19.899999999999999" customHeight="1" x14ac:dyDescent="0.2">
      <c r="A1624" s="496">
        <f t="shared" si="458"/>
        <v>0</v>
      </c>
      <c r="B1624" s="459">
        <f t="shared" si="459"/>
        <v>0</v>
      </c>
      <c r="C1624" s="459"/>
      <c r="D1624" s="507">
        <f t="shared" si="460"/>
        <v>0</v>
      </c>
      <c r="E1624" s="451"/>
      <c r="F1624" s="453">
        <f t="shared" si="461"/>
        <v>0</v>
      </c>
      <c r="G1624" s="453">
        <f t="shared" si="462"/>
        <v>0</v>
      </c>
    </row>
    <row r="1625" spans="1:7" ht="19.899999999999999" customHeight="1" x14ac:dyDescent="0.2">
      <c r="A1625" s="496">
        <f t="shared" si="458"/>
        <v>0</v>
      </c>
      <c r="B1625" s="459">
        <f t="shared" si="459"/>
        <v>0</v>
      </c>
      <c r="C1625" s="459"/>
      <c r="D1625" s="507">
        <f t="shared" si="460"/>
        <v>0</v>
      </c>
      <c r="E1625" s="451"/>
      <c r="F1625" s="453">
        <f t="shared" si="461"/>
        <v>0</v>
      </c>
      <c r="G1625" s="453">
        <f t="shared" si="462"/>
        <v>0</v>
      </c>
    </row>
    <row r="1626" spans="1:7" ht="19.899999999999999" customHeight="1" x14ac:dyDescent="0.2">
      <c r="A1626" s="494"/>
      <c r="B1626" s="155"/>
      <c r="C1626" s="155"/>
      <c r="D1626" s="440"/>
      <c r="E1626" s="441"/>
      <c r="F1626" s="462" t="s">
        <v>29</v>
      </c>
      <c r="G1626" s="499">
        <f>SUBTOTAL(9,G1615:G1625)</f>
        <v>0</v>
      </c>
    </row>
    <row r="1627" spans="1:7" ht="19.899999999999999" customHeight="1" x14ac:dyDescent="0.2">
      <c r="A1627" s="494"/>
      <c r="B1627" s="155"/>
      <c r="C1627" s="436" t="s">
        <v>991</v>
      </c>
      <c r="D1627" s="440"/>
      <c r="E1627" s="441"/>
      <c r="F1627" s="442"/>
      <c r="G1627" s="495"/>
    </row>
    <row r="1628" spans="1:7" ht="19.899999999999999" customHeight="1" x14ac:dyDescent="0.2">
      <c r="A1628" s="677" t="s">
        <v>576</v>
      </c>
      <c r="B1628" s="678"/>
      <c r="C1628" s="679" t="s">
        <v>0</v>
      </c>
      <c r="D1628" s="679" t="s">
        <v>1733</v>
      </c>
      <c r="E1628" s="681" t="s">
        <v>24</v>
      </c>
      <c r="F1628" s="683" t="s">
        <v>25</v>
      </c>
      <c r="G1628" s="685" t="s">
        <v>26</v>
      </c>
    </row>
    <row r="1629" spans="1:7" ht="19.899999999999999" customHeight="1" x14ac:dyDescent="0.2">
      <c r="A1629" s="458" t="s">
        <v>577</v>
      </c>
      <c r="B1629" s="458" t="s">
        <v>578</v>
      </c>
      <c r="C1629" s="680"/>
      <c r="D1629" s="680"/>
      <c r="E1629" s="682"/>
      <c r="F1629" s="684"/>
      <c r="G1629" s="686"/>
    </row>
    <row r="1630" spans="1:7" ht="19.899999999999999" customHeight="1" x14ac:dyDescent="0.2">
      <c r="A1630" s="496">
        <f>IFERROR(VLOOKUP(C1630,T_Insumos,4,FALSE),0)</f>
        <v>0</v>
      </c>
      <c r="B1630" s="459">
        <f>IFERROR(VLOOKUP(C1630,T_Insumos,5,FALSE),0)</f>
        <v>0</v>
      </c>
      <c r="C1630" s="450"/>
      <c r="D1630" s="507">
        <f>IF(C1630=0,0,"$/tnkm")</f>
        <v>0</v>
      </c>
      <c r="E1630" s="451"/>
      <c r="F1630" s="453">
        <f>IFERROR(VLOOKUP(C1630,T_Insumos,3,FALSE),0)</f>
        <v>0</v>
      </c>
      <c r="G1630" s="453">
        <f>ROUND(E1630*F1630,2)</f>
        <v>0</v>
      </c>
    </row>
    <row r="1631" spans="1:7" ht="19.899999999999999" customHeight="1" x14ac:dyDescent="0.2">
      <c r="A1631" s="496">
        <f>IFERROR(VLOOKUP(C1631,T_Insumos,4,FALSE),0)</f>
        <v>0</v>
      </c>
      <c r="B1631" s="459">
        <f>IFERROR(VLOOKUP(C1631,T_Insumos,5,FALSE),0)</f>
        <v>0</v>
      </c>
      <c r="C1631" s="450"/>
      <c r="D1631" s="507">
        <f>IF(C1631=0,0,"$/tnkm")</f>
        <v>0</v>
      </c>
      <c r="E1631" s="467"/>
      <c r="F1631" s="453">
        <f>IFERROR(VLOOKUP(C1631,T_Insumos,3,FALSE),0)</f>
        <v>0</v>
      </c>
      <c r="G1631" s="453">
        <f t="shared" ref="G1631" si="463">ROUND(E1631*F1631,2)</f>
        <v>0</v>
      </c>
    </row>
    <row r="1632" spans="1:7" ht="19.899999999999999" customHeight="1" x14ac:dyDescent="0.2">
      <c r="A1632" s="494"/>
      <c r="B1632" s="155"/>
      <c r="C1632" s="155"/>
      <c r="D1632" s="440"/>
      <c r="E1632" s="441"/>
      <c r="F1632" s="462" t="s">
        <v>992</v>
      </c>
      <c r="G1632" s="499">
        <f>SUBTOTAL(9,G1630:G1631)</f>
        <v>0</v>
      </c>
    </row>
    <row r="1633" spans="1:7" ht="19.899999999999999" customHeight="1" x14ac:dyDescent="0.2">
      <c r="A1633" s="497"/>
      <c r="B1633" s="440"/>
      <c r="C1633" s="155"/>
      <c r="D1633" s="440"/>
      <c r="E1633" s="441"/>
      <c r="F1633" s="442"/>
      <c r="G1633" s="495"/>
    </row>
    <row r="1634" spans="1:7" ht="19.899999999999999" customHeight="1" x14ac:dyDescent="0.2">
      <c r="A1634" s="555" t="str">
        <f>B1568</f>
        <v>3.3.3</v>
      </c>
      <c r="B1634" s="552" t="str">
        <f ca="1">C1568</f>
        <v xml:space="preserve">Hormigón H-21  </v>
      </c>
      <c r="C1634" s="440"/>
      <c r="D1634" s="440" t="s">
        <v>1712</v>
      </c>
      <c r="E1634" s="553"/>
      <c r="F1634" s="554" t="str">
        <f ca="1">"$/"&amp;G1568</f>
        <v>$/M3</v>
      </c>
      <c r="G1634" s="504">
        <f>SUBTOTAL(9,G1591:G1633)</f>
        <v>0</v>
      </c>
    </row>
    <row r="1635" spans="1:7" ht="19.899999999999999" customHeight="1" x14ac:dyDescent="0.2">
      <c r="A1635" s="500"/>
      <c r="B1635" s="501"/>
      <c r="C1635" s="502"/>
      <c r="D1635" s="502" t="s">
        <v>1908</v>
      </c>
      <c r="E1635" s="503"/>
      <c r="F1635" s="556" t="str">
        <f ca="1">"$/"&amp;G1568</f>
        <v>$/M3</v>
      </c>
      <c r="G1635" s="504">
        <f>ROUND(G1634*Coeficiente_Paso,2)</f>
        <v>0</v>
      </c>
    </row>
    <row r="1636" spans="1:7" ht="19.899999999999999" customHeight="1" x14ac:dyDescent="0.2">
      <c r="A1636" s="687" t="s">
        <v>31</v>
      </c>
      <c r="B1636" s="688"/>
      <c r="C1636" s="688"/>
      <c r="D1636" s="688"/>
      <c r="E1636" s="688"/>
      <c r="F1636" s="688"/>
      <c r="G1636" s="689"/>
    </row>
    <row r="1637" spans="1:7" ht="19.899999999999999" customHeight="1" x14ac:dyDescent="0.2">
      <c r="A1637" s="483" t="s">
        <v>711</v>
      </c>
      <c r="B1637" s="434" t="str">
        <f>Comitente</f>
        <v>DEPARTAMENTO DE HIDRÁULICA</v>
      </c>
      <c r="C1637" s="435"/>
      <c r="D1637" s="436"/>
      <c r="E1637" s="436"/>
      <c r="F1637" s="437"/>
      <c r="G1637" s="484"/>
    </row>
    <row r="1638" spans="1:7" ht="19.899999999999999" customHeight="1" x14ac:dyDescent="0.2">
      <c r="A1638" s="483" t="s">
        <v>712</v>
      </c>
      <c r="B1638" s="434">
        <f>Contratista</f>
        <v>0</v>
      </c>
      <c r="C1638" s="438"/>
      <c r="D1638" s="438"/>
      <c r="E1638" s="438"/>
      <c r="F1638" s="434"/>
      <c r="G1638" s="485"/>
    </row>
    <row r="1639" spans="1:7" ht="19.899999999999999" customHeight="1" x14ac:dyDescent="0.2">
      <c r="A1639" s="483" t="s">
        <v>21</v>
      </c>
      <c r="B1639" s="434" t="str">
        <f>Obra</f>
        <v>RECRECIMIENTO Y REPARACIÓN CANALES SARMIENTO, 9 DE JULIO Y CHIMBAS</v>
      </c>
      <c r="C1639" s="438"/>
      <c r="D1639" s="438"/>
      <c r="E1639" s="438"/>
      <c r="F1639" s="434" t="s">
        <v>32</v>
      </c>
      <c r="G1639" s="485">
        <f>Fecha_Base</f>
        <v>0</v>
      </c>
    </row>
    <row r="1640" spans="1:7" ht="19.899999999999999" customHeight="1" x14ac:dyDescent="0.2">
      <c r="A1640" s="486" t="s">
        <v>710</v>
      </c>
      <c r="B1640" s="439" t="str">
        <f>Ubicación</f>
        <v>DEPARTAMENTOS SARMIENTO, 9 DE JULIO Y CHIMBAS</v>
      </c>
      <c r="C1640" s="439"/>
      <c r="D1640" s="440"/>
      <c r="E1640" s="441"/>
      <c r="F1640" s="442"/>
      <c r="G1640" s="487"/>
    </row>
    <row r="1641" spans="1:7" ht="19.899999999999999" customHeight="1" x14ac:dyDescent="0.2">
      <c r="A1641" s="486" t="s">
        <v>33</v>
      </c>
      <c r="B1641" s="443">
        <f>IFERROR(VALUE(LEFT(B1642,FIND(".",B1642)-1)),"")</f>
        <v>3</v>
      </c>
      <c r="C1641" s="155" t="str">
        <f ca="1">IFERROR(VLOOKUP(B1641,T_Computo_Presupuesto,2,FALSE),0)</f>
        <v>RECRECIMIENTO C. PASTORIZA-VIDELA</v>
      </c>
      <c r="D1641" s="155"/>
      <c r="E1641" s="441"/>
      <c r="F1641" s="442"/>
      <c r="G1641" s="487"/>
    </row>
    <row r="1642" spans="1:7" ht="19.899999999999999" customHeight="1" x14ac:dyDescent="0.2">
      <c r="A1642" s="486" t="s">
        <v>22</v>
      </c>
      <c r="B1642" s="444" t="str">
        <f>IFERROR(VLOOKUP(COUNTIF($A$1:A1642,"ANALISIS DE PRECIOS"),T_NumeroItem,2,FALSE),"")</f>
        <v>3.3.4</v>
      </c>
      <c r="C1642" s="690" t="str">
        <f ca="1">IFERROR(VLOOKUP(B1642,T_Computo_Presupuesto,2,FALSE),0)</f>
        <v>Armadura puesta en obra</v>
      </c>
      <c r="D1642" s="690"/>
      <c r="E1642" s="690"/>
      <c r="F1642" s="439" t="s">
        <v>23</v>
      </c>
      <c r="G1642" s="488" t="str">
        <f ca="1">IFERROR(VLOOKUP(B1642,T_Computo_Presupuesto,4,FALSE),0)</f>
        <v>KG</v>
      </c>
    </row>
    <row r="1643" spans="1:7" ht="19.899999999999999" customHeight="1" x14ac:dyDescent="0.2">
      <c r="A1643" s="486"/>
      <c r="B1643" s="439"/>
      <c r="C1643" s="155"/>
      <c r="D1643" s="440"/>
      <c r="E1643" s="441"/>
      <c r="F1643" s="155"/>
      <c r="G1643" s="489"/>
    </row>
    <row r="1644" spans="1:7" ht="19.899999999999999" customHeight="1" x14ac:dyDescent="0.2">
      <c r="A1644" s="490"/>
      <c r="B1644" s="445"/>
      <c r="C1644" s="446" t="s">
        <v>975</v>
      </c>
      <c r="D1644" s="445"/>
      <c r="E1644" s="445"/>
      <c r="F1644" s="445"/>
      <c r="G1644" s="491"/>
    </row>
    <row r="1645" spans="1:7" ht="19.899999999999999" customHeight="1" x14ac:dyDescent="0.2">
      <c r="A1645" s="486"/>
      <c r="B1645" s="447"/>
      <c r="C1645" s="155"/>
      <c r="D1645" s="440"/>
      <c r="E1645" s="441"/>
      <c r="F1645" s="439"/>
      <c r="G1645" s="488"/>
    </row>
    <row r="1646" spans="1:7" ht="19.899999999999999" customHeight="1" x14ac:dyDescent="0.2">
      <c r="A1646" s="486"/>
      <c r="B1646" s="447"/>
      <c r="C1646" s="448" t="s">
        <v>976</v>
      </c>
      <c r="D1646" s="449" t="s">
        <v>24</v>
      </c>
      <c r="E1646" s="449" t="s">
        <v>977</v>
      </c>
      <c r="F1646" s="449" t="s">
        <v>978</v>
      </c>
      <c r="G1646" s="448" t="s">
        <v>979</v>
      </c>
    </row>
    <row r="1647" spans="1:7" ht="19.899999999999999" customHeight="1" x14ac:dyDescent="0.2">
      <c r="A1647" s="486"/>
      <c r="B1647" s="447"/>
      <c r="C1647" s="450">
        <f>+Equipos!A1201</f>
        <v>0</v>
      </c>
      <c r="D1647" s="451"/>
      <c r="E1647" s="452">
        <f t="shared" ref="E1647:E1656" si="464">IFERROR(VLOOKUP(C1647,T_Equipos,4,FALSE),0)</f>
        <v>0</v>
      </c>
      <c r="F1647" s="453">
        <f t="shared" ref="F1647:F1656" si="465">IFERROR(VLOOKUP(C1647,T_Equipos,5,FALSE),0)</f>
        <v>0</v>
      </c>
      <c r="G1647" s="453">
        <f>ROUND(D1647*F1647,2)</f>
        <v>0</v>
      </c>
    </row>
    <row r="1648" spans="1:7" ht="19.899999999999999" customHeight="1" x14ac:dyDescent="0.2">
      <c r="A1648" s="486"/>
      <c r="B1648" s="447"/>
      <c r="C1648" s="450">
        <f>+Equipos!A1198</f>
        <v>0</v>
      </c>
      <c r="D1648" s="451"/>
      <c r="E1648" s="452">
        <f t="shared" si="464"/>
        <v>0</v>
      </c>
      <c r="F1648" s="453">
        <f t="shared" si="465"/>
        <v>0</v>
      </c>
      <c r="G1648" s="453">
        <f>ROUND(D1648*F1648,2)</f>
        <v>0</v>
      </c>
    </row>
    <row r="1649" spans="1:7" ht="19.899999999999999" customHeight="1" x14ac:dyDescent="0.2">
      <c r="A1649" s="486"/>
      <c r="B1649" s="447"/>
      <c r="C1649" s="450">
        <f>+Equipos!A1210</f>
        <v>0</v>
      </c>
      <c r="D1649" s="451"/>
      <c r="E1649" s="452">
        <f t="shared" si="464"/>
        <v>0</v>
      </c>
      <c r="F1649" s="453">
        <f t="shared" si="465"/>
        <v>0</v>
      </c>
      <c r="G1649" s="453">
        <f>ROUND(D1649*F1649,2)</f>
        <v>0</v>
      </c>
    </row>
    <row r="1650" spans="1:7" ht="19.899999999999999" customHeight="1" x14ac:dyDescent="0.2">
      <c r="A1650" s="486"/>
      <c r="B1650" s="447"/>
      <c r="C1650" s="450">
        <f>+Equipos!A1218</f>
        <v>0</v>
      </c>
      <c r="D1650" s="451"/>
      <c r="E1650" s="452">
        <f t="shared" si="464"/>
        <v>0</v>
      </c>
      <c r="F1650" s="453">
        <f t="shared" si="465"/>
        <v>0</v>
      </c>
      <c r="G1650" s="453">
        <f>ROUND(D1650*F1650,2)</f>
        <v>0</v>
      </c>
    </row>
    <row r="1651" spans="1:7" ht="19.899999999999999" customHeight="1" x14ac:dyDescent="0.2">
      <c r="A1651" s="486"/>
      <c r="B1651" s="447"/>
      <c r="C1651" s="450">
        <f>+Equipos!A1207</f>
        <v>0</v>
      </c>
      <c r="D1651" s="623"/>
      <c r="E1651" s="452">
        <f t="shared" si="464"/>
        <v>0</v>
      </c>
      <c r="F1651" s="453">
        <f t="shared" si="465"/>
        <v>0</v>
      </c>
      <c r="G1651" s="453">
        <f t="shared" ref="G1651:G1656" si="466">ROUND(D1651*F1651,2)</f>
        <v>0</v>
      </c>
    </row>
    <row r="1652" spans="1:7" ht="19.899999999999999" customHeight="1" x14ac:dyDescent="0.2">
      <c r="A1652" s="486"/>
      <c r="B1652" s="447"/>
      <c r="C1652" s="450">
        <f>+Equipos!A1203</f>
        <v>0</v>
      </c>
      <c r="D1652" s="451"/>
      <c r="E1652" s="452">
        <f t="shared" si="464"/>
        <v>0</v>
      </c>
      <c r="F1652" s="453">
        <f t="shared" si="465"/>
        <v>0</v>
      </c>
      <c r="G1652" s="453">
        <f t="shared" si="466"/>
        <v>0</v>
      </c>
    </row>
    <row r="1653" spans="1:7" ht="19.899999999999999" customHeight="1" x14ac:dyDescent="0.2">
      <c r="A1653" s="486"/>
      <c r="B1653" s="447"/>
      <c r="C1653" s="450"/>
      <c r="D1653" s="451"/>
      <c r="E1653" s="452">
        <f t="shared" si="464"/>
        <v>0</v>
      </c>
      <c r="F1653" s="453">
        <f t="shared" si="465"/>
        <v>0</v>
      </c>
      <c r="G1653" s="453">
        <f t="shared" si="466"/>
        <v>0</v>
      </c>
    </row>
    <row r="1654" spans="1:7" ht="19.899999999999999" customHeight="1" x14ac:dyDescent="0.2">
      <c r="A1654" s="486"/>
      <c r="B1654" s="447"/>
      <c r="C1654" s="450"/>
      <c r="D1654" s="451"/>
      <c r="E1654" s="452">
        <f t="shared" si="464"/>
        <v>0</v>
      </c>
      <c r="F1654" s="453">
        <f t="shared" si="465"/>
        <v>0</v>
      </c>
      <c r="G1654" s="453">
        <f t="shared" si="466"/>
        <v>0</v>
      </c>
    </row>
    <row r="1655" spans="1:7" ht="19.899999999999999" customHeight="1" x14ac:dyDescent="0.2">
      <c r="A1655" s="486"/>
      <c r="B1655" s="447"/>
      <c r="C1655" s="450"/>
      <c r="D1655" s="451"/>
      <c r="E1655" s="452">
        <f t="shared" si="464"/>
        <v>0</v>
      </c>
      <c r="F1655" s="453">
        <f t="shared" si="465"/>
        <v>0</v>
      </c>
      <c r="G1655" s="453">
        <f t="shared" si="466"/>
        <v>0</v>
      </c>
    </row>
    <row r="1656" spans="1:7" ht="19.899999999999999" customHeight="1" x14ac:dyDescent="0.2">
      <c r="A1656" s="486"/>
      <c r="B1656" s="447"/>
      <c r="C1656" s="450"/>
      <c r="D1656" s="451"/>
      <c r="E1656" s="452">
        <f t="shared" si="464"/>
        <v>0</v>
      </c>
      <c r="F1656" s="453">
        <f t="shared" si="465"/>
        <v>0</v>
      </c>
      <c r="G1656" s="453">
        <f t="shared" si="466"/>
        <v>0</v>
      </c>
    </row>
    <row r="1657" spans="1:7" ht="19.899999999999999" customHeight="1" x14ac:dyDescent="0.2">
      <c r="A1657" s="486"/>
      <c r="B1657" s="447"/>
      <c r="C1657" s="155"/>
      <c r="D1657" s="155"/>
      <c r="E1657" s="454"/>
      <c r="F1657" s="439"/>
      <c r="G1657" s="488"/>
    </row>
    <row r="1658" spans="1:7" ht="19.899999999999999" customHeight="1" x14ac:dyDescent="0.2">
      <c r="A1658" s="486"/>
      <c r="B1658" s="155"/>
      <c r="C1658" s="436" t="s">
        <v>980</v>
      </c>
      <c r="D1658" s="439" t="s">
        <v>977</v>
      </c>
      <c r="E1658" s="505">
        <f>SUMPRODUCT(D1647:D1656,E1647:E1656)</f>
        <v>0</v>
      </c>
      <c r="F1658" s="439" t="s">
        <v>981</v>
      </c>
      <c r="G1658" s="506">
        <f>SUM(G1647:G1656)</f>
        <v>0</v>
      </c>
    </row>
    <row r="1659" spans="1:7" ht="19.899999999999999" customHeight="1" x14ac:dyDescent="0.2">
      <c r="A1659" s="486"/>
      <c r="B1659" s="447"/>
      <c r="C1659" s="455"/>
      <c r="D1659" s="454"/>
      <c r="E1659" s="441"/>
      <c r="F1659" s="439"/>
      <c r="G1659" s="492"/>
    </row>
    <row r="1660" spans="1:7" ht="19.899999999999999" customHeight="1" x14ac:dyDescent="0.2">
      <c r="A1660" s="493"/>
      <c r="B1660" s="447"/>
      <c r="C1660" s="439" t="s">
        <v>982</v>
      </c>
      <c r="D1660" s="456">
        <f>IFERROR(VLOOKUP(COUNTIF($A$1:A1660,"ANALISIS DE PRECIOS"),T_Rendimiento_Equipo,5,FALSE),0)</f>
        <v>0</v>
      </c>
      <c r="E1660" s="457" t="str">
        <f ca="1">G1642&amp;"/día"</f>
        <v>KG/día</v>
      </c>
      <c r="F1660" s="433"/>
      <c r="G1660" s="488"/>
    </row>
    <row r="1661" spans="1:7" ht="19.899999999999999" customHeight="1" x14ac:dyDescent="0.2">
      <c r="A1661" s="486"/>
      <c r="B1661" s="447"/>
      <c r="C1661" s="155"/>
      <c r="D1661" s="440"/>
      <c r="E1661" s="441"/>
      <c r="F1661" s="439"/>
      <c r="G1661" s="488"/>
    </row>
    <row r="1662" spans="1:7" ht="19.899999999999999" customHeight="1" x14ac:dyDescent="0.2">
      <c r="A1662" s="677" t="s">
        <v>576</v>
      </c>
      <c r="B1662" s="678"/>
      <c r="C1662" s="679" t="s">
        <v>0</v>
      </c>
      <c r="D1662" s="691" t="s">
        <v>1732</v>
      </c>
      <c r="E1662" s="691" t="s">
        <v>1731</v>
      </c>
      <c r="F1662" s="683" t="s">
        <v>983</v>
      </c>
      <c r="G1662" s="685" t="s">
        <v>26</v>
      </c>
    </row>
    <row r="1663" spans="1:7" ht="19.899999999999999" customHeight="1" x14ac:dyDescent="0.2">
      <c r="A1663" s="458" t="s">
        <v>577</v>
      </c>
      <c r="B1663" s="458" t="s">
        <v>578</v>
      </c>
      <c r="C1663" s="680"/>
      <c r="D1663" s="692"/>
      <c r="E1663" s="682"/>
      <c r="F1663" s="684"/>
      <c r="G1663" s="686"/>
    </row>
    <row r="1664" spans="1:7" ht="19.899999999999999" customHeight="1" x14ac:dyDescent="0.2">
      <c r="A1664" s="494"/>
      <c r="B1664" s="155"/>
      <c r="C1664" s="436" t="s">
        <v>984</v>
      </c>
      <c r="D1664" s="441"/>
      <c r="E1664" s="441"/>
      <c r="F1664" s="155"/>
      <c r="G1664" s="495"/>
    </row>
    <row r="1665" spans="1:7" ht="19.899999999999999" customHeight="1" x14ac:dyDescent="0.2">
      <c r="A1665" s="496">
        <f t="shared" ref="A1665:A1673" si="467">IFERROR(VLOOKUP(C1665,T_Insumos,4,FALSE),0)</f>
        <v>0</v>
      </c>
      <c r="B1665" s="459">
        <f t="shared" ref="B1665:B1673" si="468">IFERROR(VLOOKUP(C1665,T_Insumos,5,FALSE),0)</f>
        <v>0</v>
      </c>
      <c r="C1665" s="450">
        <f>+C1215</f>
        <v>0</v>
      </c>
      <c r="D1665" s="460">
        <f t="shared" ref="D1665:D1673" si="469">IFERROR(VLOOKUP(C1665,T_Insumos,3,FALSE),0)</f>
        <v>0</v>
      </c>
      <c r="E1665" s="453">
        <f>D1665*$G$473</f>
        <v>0</v>
      </c>
      <c r="F1665" s="456">
        <f>IF(C1665="",0,IFERROR(VLOOKUP(COUNTIF($A$1:A1665,"ANALISIS DE PRECIOS"),T_Rendimiento_Equipo,5,FALSE),0))</f>
        <v>0</v>
      </c>
      <c r="G1665" s="453">
        <f>IFERROR(ROUND(E1665/F1665,2),0)</f>
        <v>0</v>
      </c>
    </row>
    <row r="1666" spans="1:7" ht="19.899999999999999" customHeight="1" x14ac:dyDescent="0.2">
      <c r="A1666" s="496">
        <f t="shared" si="467"/>
        <v>0</v>
      </c>
      <c r="B1666" s="459">
        <f t="shared" si="468"/>
        <v>0</v>
      </c>
      <c r="C1666" s="450" t="str">
        <f t="shared" ref="C1666:C1668" si="470">+C1216</f>
        <v>Rendimiento equipo de producción</v>
      </c>
      <c r="D1666" s="460">
        <f t="shared" si="469"/>
        <v>0</v>
      </c>
      <c r="E1666" s="453">
        <f t="shared" ref="E1666:E1667" si="471">D1666*$G$473</f>
        <v>0</v>
      </c>
      <c r="F1666" s="456">
        <f>IF(C1666="",0,IFERROR(VLOOKUP(COUNTIF($A$1:A1666,"ANALISIS DE PRECIOS"),T_Rendimiento_Equipo,5,FALSE),0))</f>
        <v>0</v>
      </c>
      <c r="G1666" s="453">
        <f t="shared" ref="G1666:G1673" si="472">IFERROR(ROUND(E1666/F1666,2),0)</f>
        <v>0</v>
      </c>
    </row>
    <row r="1667" spans="1:7" ht="19.899999999999999" customHeight="1" x14ac:dyDescent="0.2">
      <c r="A1667" s="496">
        <f t="shared" si="467"/>
        <v>0</v>
      </c>
      <c r="B1667" s="459">
        <f t="shared" si="468"/>
        <v>0</v>
      </c>
      <c r="C1667" s="450">
        <f t="shared" si="470"/>
        <v>0</v>
      </c>
      <c r="D1667" s="460">
        <f t="shared" si="469"/>
        <v>0</v>
      </c>
      <c r="E1667" s="453">
        <f t="shared" si="471"/>
        <v>0</v>
      </c>
      <c r="F1667" s="456">
        <f>IF(C1667="",0,IFERROR(VLOOKUP(COUNTIF($A$1:A1667,"ANALISIS DE PRECIOS"),T_Rendimiento_Equipo,5,FALSE),0))</f>
        <v>0</v>
      </c>
      <c r="G1667" s="453">
        <f t="shared" si="472"/>
        <v>0</v>
      </c>
    </row>
    <row r="1668" spans="1:7" ht="19.899999999999999" customHeight="1" x14ac:dyDescent="0.2">
      <c r="A1668" s="496">
        <f t="shared" si="467"/>
        <v>0</v>
      </c>
      <c r="B1668" s="459">
        <f t="shared" si="468"/>
        <v>0</v>
      </c>
      <c r="C1668" s="450" t="str">
        <f t="shared" si="470"/>
        <v>DESIGNACION</v>
      </c>
      <c r="D1668" s="460">
        <f t="shared" si="469"/>
        <v>0</v>
      </c>
      <c r="E1668" s="453">
        <f>D1668*$E$473</f>
        <v>0</v>
      </c>
      <c r="F1668" s="456">
        <f>IF(C1668="",0,IFERROR(VLOOKUP(COUNTIF($A$1:A1668,"ANALISIS DE PRECIOS"),T_Rendimiento_Equipo,5,FALSE),0))</f>
        <v>0</v>
      </c>
      <c r="G1668" s="453">
        <f t="shared" si="472"/>
        <v>0</v>
      </c>
    </row>
    <row r="1669" spans="1:7" ht="19.899999999999999" customHeight="1" x14ac:dyDescent="0.2">
      <c r="A1669" s="496">
        <f t="shared" si="467"/>
        <v>0</v>
      </c>
      <c r="B1669" s="459">
        <f t="shared" si="468"/>
        <v>0</v>
      </c>
      <c r="C1669" s="461"/>
      <c r="D1669" s="460">
        <f t="shared" si="469"/>
        <v>0</v>
      </c>
      <c r="E1669" s="453"/>
      <c r="F1669" s="456">
        <f>IF(C1669="",0,IFERROR(VLOOKUP(COUNTIF($A$1:A1669,"ANALISIS DE PRECIOS"),T_Rendimiento_Equipo,5,FALSE),0))</f>
        <v>0</v>
      </c>
      <c r="G1669" s="453">
        <f t="shared" si="472"/>
        <v>0</v>
      </c>
    </row>
    <row r="1670" spans="1:7" ht="19.899999999999999" customHeight="1" x14ac:dyDescent="0.2">
      <c r="A1670" s="496">
        <f t="shared" si="467"/>
        <v>0</v>
      </c>
      <c r="B1670" s="459">
        <f t="shared" si="468"/>
        <v>0</v>
      </c>
      <c r="C1670" s="461"/>
      <c r="D1670" s="460">
        <f t="shared" si="469"/>
        <v>0</v>
      </c>
      <c r="E1670" s="453"/>
      <c r="F1670" s="456">
        <f>IF(C1670="",0,IFERROR(VLOOKUP(COUNTIF($A$1:A1670,"ANALISIS DE PRECIOS"),T_Rendimiento_Equipo,5,FALSE),0))</f>
        <v>0</v>
      </c>
      <c r="G1670" s="453">
        <f t="shared" si="472"/>
        <v>0</v>
      </c>
    </row>
    <row r="1671" spans="1:7" ht="19.899999999999999" customHeight="1" x14ac:dyDescent="0.2">
      <c r="A1671" s="496">
        <f t="shared" si="467"/>
        <v>0</v>
      </c>
      <c r="B1671" s="459">
        <f t="shared" si="468"/>
        <v>0</v>
      </c>
      <c r="C1671" s="461"/>
      <c r="D1671" s="460">
        <f t="shared" si="469"/>
        <v>0</v>
      </c>
      <c r="E1671" s="453"/>
      <c r="F1671" s="456">
        <f>IF(C1671="",0,IFERROR(VLOOKUP(COUNTIF($A$1:A1671,"ANALISIS DE PRECIOS"),T_Rendimiento_Equipo,5,FALSE),0))</f>
        <v>0</v>
      </c>
      <c r="G1671" s="453">
        <f t="shared" si="472"/>
        <v>0</v>
      </c>
    </row>
    <row r="1672" spans="1:7" ht="19.899999999999999" customHeight="1" x14ac:dyDescent="0.2">
      <c r="A1672" s="496">
        <f t="shared" si="467"/>
        <v>0</v>
      </c>
      <c r="B1672" s="459">
        <f t="shared" si="468"/>
        <v>0</v>
      </c>
      <c r="C1672" s="461"/>
      <c r="D1672" s="460">
        <f t="shared" si="469"/>
        <v>0</v>
      </c>
      <c r="E1672" s="453"/>
      <c r="F1672" s="456">
        <f>IF(C1672="",0,IFERROR(VLOOKUP(COUNTIF($A$1:A1672,"ANALISIS DE PRECIOS"),T_Rendimiento_Equipo,5,FALSE),0))</f>
        <v>0</v>
      </c>
      <c r="G1672" s="453">
        <f t="shared" si="472"/>
        <v>0</v>
      </c>
    </row>
    <row r="1673" spans="1:7" ht="19.899999999999999" customHeight="1" x14ac:dyDescent="0.2">
      <c r="A1673" s="496">
        <f t="shared" si="467"/>
        <v>0</v>
      </c>
      <c r="B1673" s="459">
        <f t="shared" si="468"/>
        <v>0</v>
      </c>
      <c r="C1673" s="450"/>
      <c r="D1673" s="460">
        <f t="shared" si="469"/>
        <v>0</v>
      </c>
      <c r="E1673" s="453"/>
      <c r="F1673" s="456">
        <f>IF(C1673="",0,IFERROR(VLOOKUP(COUNTIF($A$1:A1673,"ANALISIS DE PRECIOS"),T_Rendimiento_Equipo,5,FALSE),0))</f>
        <v>0</v>
      </c>
      <c r="G1673" s="453">
        <f t="shared" si="472"/>
        <v>0</v>
      </c>
    </row>
    <row r="1674" spans="1:7" ht="19.899999999999999" customHeight="1" x14ac:dyDescent="0.2">
      <c r="A1674" s="497"/>
      <c r="B1674" s="440"/>
      <c r="C1674" s="155"/>
      <c r="D1674" s="440"/>
      <c r="E1674" s="441"/>
      <c r="F1674" s="462" t="s">
        <v>27</v>
      </c>
      <c r="G1674" s="498">
        <f>SUBTOTAL(9,G1665:G1673)</f>
        <v>0</v>
      </c>
    </row>
    <row r="1675" spans="1:7" ht="19.899999999999999" customHeight="1" x14ac:dyDescent="0.2">
      <c r="A1675" s="494"/>
      <c r="B1675" s="155"/>
      <c r="C1675" s="436" t="s">
        <v>713</v>
      </c>
      <c r="D1675" s="440"/>
      <c r="E1675" s="441"/>
      <c r="F1675" s="442"/>
      <c r="G1675" s="495"/>
    </row>
    <row r="1676" spans="1:7" ht="19.899999999999999" customHeight="1" x14ac:dyDescent="0.2">
      <c r="A1676" s="677" t="s">
        <v>576</v>
      </c>
      <c r="B1676" s="678"/>
      <c r="C1676" s="679" t="s">
        <v>0</v>
      </c>
      <c r="D1676" s="681" t="s">
        <v>24</v>
      </c>
      <c r="E1676" s="681" t="s">
        <v>1711</v>
      </c>
      <c r="F1676" s="683" t="s">
        <v>983</v>
      </c>
      <c r="G1676" s="685" t="s">
        <v>26</v>
      </c>
    </row>
    <row r="1677" spans="1:7" ht="19.899999999999999" customHeight="1" x14ac:dyDescent="0.2">
      <c r="A1677" s="458" t="s">
        <v>577</v>
      </c>
      <c r="B1677" s="458" t="s">
        <v>578</v>
      </c>
      <c r="C1677" s="680"/>
      <c r="D1677" s="682"/>
      <c r="E1677" s="682"/>
      <c r="F1677" s="684"/>
      <c r="G1677" s="686"/>
    </row>
    <row r="1678" spans="1:7" ht="19.899999999999999" customHeight="1" x14ac:dyDescent="0.2">
      <c r="A1678" s="496">
        <f t="shared" ref="A1678:A1684" si="473">IFERROR(VLOOKUP(C1678,T_Insumos,4,FALSE),0)</f>
        <v>0</v>
      </c>
      <c r="B1678" s="459">
        <f t="shared" ref="B1678:B1684" si="474">IFERROR(VLOOKUP(C1678,T_Insumos,5,FALSE),0)</f>
        <v>0</v>
      </c>
      <c r="C1678" s="463">
        <f>+C1228</f>
        <v>0</v>
      </c>
      <c r="D1678" s="456"/>
      <c r="E1678" s="453">
        <f t="shared" ref="E1678:E1684" si="475">IFERROR(VLOOKUP(C1678,T_Insumos,3,FALSE),0)</f>
        <v>0</v>
      </c>
      <c r="F1678" s="456">
        <f>IF(C1678="",0,IFERROR(VLOOKUP(COUNTIF($A$1:A1678,"ANALISIS DE PRECIOS"),T_Rendimiento_Equipo,5,FALSE),0))</f>
        <v>0</v>
      </c>
      <c r="G1678" s="453">
        <f>IFERROR(ROUND(D1678*E1678/F1678,2),0)</f>
        <v>0</v>
      </c>
    </row>
    <row r="1679" spans="1:7" ht="19.899999999999999" customHeight="1" x14ac:dyDescent="0.2">
      <c r="A1679" s="496">
        <f t="shared" si="473"/>
        <v>0</v>
      </c>
      <c r="B1679" s="459">
        <f t="shared" si="474"/>
        <v>0</v>
      </c>
      <c r="C1679" s="463">
        <f t="shared" ref="C1679:C1681" si="476">+C1229</f>
        <v>0</v>
      </c>
      <c r="D1679" s="456"/>
      <c r="E1679" s="453">
        <f t="shared" si="475"/>
        <v>0</v>
      </c>
      <c r="F1679" s="456">
        <f>IF(C1679="",0,IFERROR(VLOOKUP(COUNTIF($A$1:A1679,"ANALISIS DE PRECIOS"),T_Rendimiento_Equipo,5,FALSE),0))</f>
        <v>0</v>
      </c>
      <c r="G1679" s="453">
        <f t="shared" ref="G1679:G1684" si="477">IFERROR(ROUND(D1679*E1679/F1679,2),0)</f>
        <v>0</v>
      </c>
    </row>
    <row r="1680" spans="1:7" ht="19.899999999999999" customHeight="1" x14ac:dyDescent="0.2">
      <c r="A1680" s="496">
        <f t="shared" si="473"/>
        <v>0</v>
      </c>
      <c r="B1680" s="459">
        <f t="shared" si="474"/>
        <v>0</v>
      </c>
      <c r="C1680" s="463">
        <f t="shared" si="476"/>
        <v>0</v>
      </c>
      <c r="D1680" s="456"/>
      <c r="E1680" s="453">
        <f t="shared" si="475"/>
        <v>0</v>
      </c>
      <c r="F1680" s="456">
        <f>IF(C1680="",0,IFERROR(VLOOKUP(COUNTIF($A$1:A1680,"ANALISIS DE PRECIOS"),T_Rendimiento_Equipo,5,FALSE),0))</f>
        <v>0</v>
      </c>
      <c r="G1680" s="453">
        <f t="shared" si="477"/>
        <v>0</v>
      </c>
    </row>
    <row r="1681" spans="1:7" ht="19.899999999999999" customHeight="1" x14ac:dyDescent="0.2">
      <c r="A1681" s="496">
        <f t="shared" si="473"/>
        <v>0</v>
      </c>
      <c r="B1681" s="459">
        <f t="shared" si="474"/>
        <v>0</v>
      </c>
      <c r="C1681" s="463" t="str">
        <f t="shared" si="476"/>
        <v>B - MANO DE OBRA</v>
      </c>
      <c r="D1681" s="456"/>
      <c r="E1681" s="453">
        <f t="shared" si="475"/>
        <v>0</v>
      </c>
      <c r="F1681" s="456">
        <f>IF(C1681="",0,IFERROR(VLOOKUP(COUNTIF($A$1:A1681,"ANALISIS DE PRECIOS"),T_Rendimiento_Equipo,5,FALSE),0))</f>
        <v>0</v>
      </c>
      <c r="G1681" s="453">
        <f>IFERROR(ROUND(D1681*E1681/F1681,2),0)</f>
        <v>0</v>
      </c>
    </row>
    <row r="1682" spans="1:7" ht="19.899999999999999" customHeight="1" x14ac:dyDescent="0.2">
      <c r="A1682" s="496">
        <f t="shared" si="473"/>
        <v>0</v>
      </c>
      <c r="B1682" s="459">
        <f t="shared" si="474"/>
        <v>0</v>
      </c>
      <c r="C1682" s="450"/>
      <c r="D1682" s="456"/>
      <c r="E1682" s="453">
        <f t="shared" si="475"/>
        <v>0</v>
      </c>
      <c r="F1682" s="456">
        <f>IF(C1682="",0,IFERROR(VLOOKUP(COUNTIF($A$1:A1682,"ANALISIS DE PRECIOS"),T_Rendimiento_Equipo,5,FALSE),0))</f>
        <v>0</v>
      </c>
      <c r="G1682" s="453">
        <f t="shared" ref="G1682:G1687" si="478">IFERROR(ROUND(D1682*E1682/F1682,2),0)</f>
        <v>0</v>
      </c>
    </row>
    <row r="1683" spans="1:7" ht="19.899999999999999" customHeight="1" x14ac:dyDescent="0.2">
      <c r="A1683" s="496">
        <f t="shared" si="473"/>
        <v>0</v>
      </c>
      <c r="B1683" s="459">
        <f t="shared" si="474"/>
        <v>0</v>
      </c>
      <c r="C1683" s="450"/>
      <c r="D1683" s="464"/>
      <c r="E1683" s="453">
        <f t="shared" si="475"/>
        <v>0</v>
      </c>
      <c r="F1683" s="456">
        <f>IF(C1683="",0,IFERROR(VLOOKUP(COUNTIF($A$1:A1683,"ANALISIS DE PRECIOS"),T_Rendimiento_Equipo,5,FALSE),0))</f>
        <v>0</v>
      </c>
      <c r="G1683" s="453">
        <f t="shared" si="478"/>
        <v>0</v>
      </c>
    </row>
    <row r="1684" spans="1:7" ht="19.899999999999999" customHeight="1" x14ac:dyDescent="0.2">
      <c r="A1684" s="496">
        <f t="shared" si="473"/>
        <v>0</v>
      </c>
      <c r="B1684" s="459">
        <f t="shared" si="474"/>
        <v>0</v>
      </c>
      <c r="C1684" s="459"/>
      <c r="D1684" s="465"/>
      <c r="E1684" s="453">
        <f t="shared" si="475"/>
        <v>0</v>
      </c>
      <c r="F1684" s="456">
        <f>IF(C1684="",0,IFERROR(VLOOKUP(COUNTIF($A$1:A1684,"ANALISIS DE PRECIOS"),T_Rendimiento_Equipo,5,FALSE),0))</f>
        <v>0</v>
      </c>
      <c r="G1684" s="453">
        <f t="shared" si="478"/>
        <v>0</v>
      </c>
    </row>
    <row r="1685" spans="1:7" ht="19.899999999999999" customHeight="1" x14ac:dyDescent="0.2">
      <c r="A1685" s="497"/>
      <c r="B1685" s="440"/>
      <c r="C1685" s="155"/>
      <c r="D1685" s="440"/>
      <c r="E1685" s="441"/>
      <c r="F1685" s="462" t="s">
        <v>28</v>
      </c>
      <c r="G1685" s="499">
        <f>SUBTOTAL(9,G1678:G1684)</f>
        <v>0</v>
      </c>
    </row>
    <row r="1686" spans="1:7" ht="19.899999999999999" customHeight="1" x14ac:dyDescent="0.2">
      <c r="A1686" s="494"/>
      <c r="B1686" s="155"/>
      <c r="C1686" s="436" t="s">
        <v>990</v>
      </c>
      <c r="D1686" s="440"/>
      <c r="E1686" s="441"/>
      <c r="F1686" s="442"/>
      <c r="G1686" s="495"/>
    </row>
    <row r="1687" spans="1:7" ht="19.899999999999999" customHeight="1" x14ac:dyDescent="0.2">
      <c r="A1687" s="677" t="s">
        <v>576</v>
      </c>
      <c r="B1687" s="678"/>
      <c r="C1687" s="679" t="s">
        <v>0</v>
      </c>
      <c r="D1687" s="679" t="s">
        <v>1733</v>
      </c>
      <c r="E1687" s="681" t="s">
        <v>24</v>
      </c>
      <c r="F1687" s="683" t="s">
        <v>25</v>
      </c>
      <c r="G1687" s="685" t="s">
        <v>26</v>
      </c>
    </row>
    <row r="1688" spans="1:7" ht="19.899999999999999" customHeight="1" x14ac:dyDescent="0.2">
      <c r="A1688" s="458" t="s">
        <v>577</v>
      </c>
      <c r="B1688" s="458" t="s">
        <v>578</v>
      </c>
      <c r="C1688" s="680"/>
      <c r="D1688" s="680"/>
      <c r="E1688" s="682"/>
      <c r="F1688" s="684"/>
      <c r="G1688" s="686"/>
    </row>
    <row r="1689" spans="1:7" ht="19.899999999999999" customHeight="1" x14ac:dyDescent="0.2">
      <c r="A1689" s="496">
        <f t="shared" ref="A1689:A1699" si="479">IFERROR(VLOOKUP(C1689,T_Insumos,4,FALSE),0)</f>
        <v>0</v>
      </c>
      <c r="B1689" s="459">
        <f t="shared" ref="B1689:B1699" si="480">IFERROR(VLOOKUP(C1689,T_Insumos,5,FALSE),0)</f>
        <v>0</v>
      </c>
      <c r="C1689" s="459">
        <f>+Insumos!A1236</f>
        <v>0</v>
      </c>
      <c r="D1689" s="507">
        <f t="shared" ref="D1689:D1699" si="481">IFERROR(VLOOKUP(C1689,T_Insumos,2,FALSE),0)</f>
        <v>0</v>
      </c>
      <c r="E1689" s="451"/>
      <c r="F1689" s="453">
        <f t="shared" ref="F1689:F1699" si="482">IFERROR(VLOOKUP(C1689,T_Insumos,3,FALSE),0)</f>
        <v>0</v>
      </c>
      <c r="G1689" s="453">
        <f>ROUND(E1689*F1689,2)</f>
        <v>0</v>
      </c>
    </row>
    <row r="1690" spans="1:7" ht="19.899999999999999" customHeight="1" x14ac:dyDescent="0.2">
      <c r="A1690" s="496">
        <f t="shared" si="479"/>
        <v>0</v>
      </c>
      <c r="B1690" s="459">
        <f t="shared" si="480"/>
        <v>0</v>
      </c>
      <c r="C1690" s="459">
        <f>+Insumos!A1278</f>
        <v>0</v>
      </c>
      <c r="D1690" s="507">
        <f t="shared" si="481"/>
        <v>0</v>
      </c>
      <c r="E1690" s="451"/>
      <c r="F1690" s="453">
        <f t="shared" si="482"/>
        <v>0</v>
      </c>
      <c r="G1690" s="453">
        <f>ROUND(E1690*F1690,2)</f>
        <v>0</v>
      </c>
    </row>
    <row r="1691" spans="1:7" ht="19.899999999999999" customHeight="1" x14ac:dyDescent="0.2">
      <c r="A1691" s="496">
        <f t="shared" si="479"/>
        <v>0</v>
      </c>
      <c r="B1691" s="459">
        <f t="shared" si="480"/>
        <v>0</v>
      </c>
      <c r="C1691" s="459"/>
      <c r="D1691" s="507">
        <f t="shared" si="481"/>
        <v>0</v>
      </c>
      <c r="E1691" s="451"/>
      <c r="F1691" s="453">
        <f t="shared" si="482"/>
        <v>0</v>
      </c>
      <c r="G1691" s="453">
        <f t="shared" ref="G1691:G1699" si="483">ROUND(E1691*F1691,2)</f>
        <v>0</v>
      </c>
    </row>
    <row r="1692" spans="1:7" ht="19.899999999999999" customHeight="1" x14ac:dyDescent="0.2">
      <c r="A1692" s="496">
        <f t="shared" si="479"/>
        <v>0</v>
      </c>
      <c r="B1692" s="459">
        <f t="shared" si="480"/>
        <v>0</v>
      </c>
      <c r="C1692" s="459"/>
      <c r="D1692" s="507">
        <f t="shared" si="481"/>
        <v>0</v>
      </c>
      <c r="E1692" s="451"/>
      <c r="F1692" s="453">
        <f t="shared" si="482"/>
        <v>0</v>
      </c>
      <c r="G1692" s="453">
        <f t="shared" si="483"/>
        <v>0</v>
      </c>
    </row>
    <row r="1693" spans="1:7" ht="19.899999999999999" customHeight="1" x14ac:dyDescent="0.2">
      <c r="A1693" s="496">
        <f t="shared" si="479"/>
        <v>0</v>
      </c>
      <c r="B1693" s="459">
        <f t="shared" si="480"/>
        <v>0</v>
      </c>
      <c r="C1693" s="459"/>
      <c r="D1693" s="507">
        <f t="shared" si="481"/>
        <v>0</v>
      </c>
      <c r="E1693" s="451"/>
      <c r="F1693" s="453">
        <f t="shared" si="482"/>
        <v>0</v>
      </c>
      <c r="G1693" s="453">
        <f t="shared" si="483"/>
        <v>0</v>
      </c>
    </row>
    <row r="1694" spans="1:7" ht="19.899999999999999" customHeight="1" x14ac:dyDescent="0.2">
      <c r="A1694" s="496">
        <f t="shared" si="479"/>
        <v>0</v>
      </c>
      <c r="B1694" s="459">
        <f t="shared" si="480"/>
        <v>0</v>
      </c>
      <c r="C1694" s="459"/>
      <c r="D1694" s="507">
        <f t="shared" si="481"/>
        <v>0</v>
      </c>
      <c r="E1694" s="451"/>
      <c r="F1694" s="453">
        <f t="shared" si="482"/>
        <v>0</v>
      </c>
      <c r="G1694" s="453">
        <f t="shared" si="483"/>
        <v>0</v>
      </c>
    </row>
    <row r="1695" spans="1:7" ht="19.899999999999999" customHeight="1" x14ac:dyDescent="0.2">
      <c r="A1695" s="496">
        <f t="shared" si="479"/>
        <v>0</v>
      </c>
      <c r="B1695" s="459">
        <f t="shared" si="480"/>
        <v>0</v>
      </c>
      <c r="C1695" s="459"/>
      <c r="D1695" s="507">
        <f t="shared" si="481"/>
        <v>0</v>
      </c>
      <c r="E1695" s="451"/>
      <c r="F1695" s="453">
        <f t="shared" si="482"/>
        <v>0</v>
      </c>
      <c r="G1695" s="453">
        <f t="shared" si="483"/>
        <v>0</v>
      </c>
    </row>
    <row r="1696" spans="1:7" ht="19.899999999999999" customHeight="1" x14ac:dyDescent="0.2">
      <c r="A1696" s="496">
        <f t="shared" si="479"/>
        <v>0</v>
      </c>
      <c r="B1696" s="459">
        <f t="shared" si="480"/>
        <v>0</v>
      </c>
      <c r="C1696" s="459"/>
      <c r="D1696" s="507">
        <f t="shared" si="481"/>
        <v>0</v>
      </c>
      <c r="E1696" s="451"/>
      <c r="F1696" s="453">
        <f t="shared" si="482"/>
        <v>0</v>
      </c>
      <c r="G1696" s="453">
        <f t="shared" si="483"/>
        <v>0</v>
      </c>
    </row>
    <row r="1697" spans="1:7" ht="19.899999999999999" customHeight="1" x14ac:dyDescent="0.2">
      <c r="A1697" s="496">
        <f t="shared" si="479"/>
        <v>0</v>
      </c>
      <c r="B1697" s="459">
        <f t="shared" si="480"/>
        <v>0</v>
      </c>
      <c r="C1697" s="459"/>
      <c r="D1697" s="507">
        <f t="shared" si="481"/>
        <v>0</v>
      </c>
      <c r="E1697" s="451"/>
      <c r="F1697" s="453">
        <f t="shared" si="482"/>
        <v>0</v>
      </c>
      <c r="G1697" s="453">
        <f t="shared" si="483"/>
        <v>0</v>
      </c>
    </row>
    <row r="1698" spans="1:7" ht="19.899999999999999" customHeight="1" x14ac:dyDescent="0.2">
      <c r="A1698" s="496">
        <f t="shared" si="479"/>
        <v>0</v>
      </c>
      <c r="B1698" s="459">
        <f t="shared" si="480"/>
        <v>0</v>
      </c>
      <c r="C1698" s="459"/>
      <c r="D1698" s="507">
        <f t="shared" si="481"/>
        <v>0</v>
      </c>
      <c r="E1698" s="451"/>
      <c r="F1698" s="453">
        <f t="shared" si="482"/>
        <v>0</v>
      </c>
      <c r="G1698" s="453">
        <f t="shared" si="483"/>
        <v>0</v>
      </c>
    </row>
    <row r="1699" spans="1:7" ht="19.899999999999999" customHeight="1" x14ac:dyDescent="0.2">
      <c r="A1699" s="496">
        <f t="shared" si="479"/>
        <v>0</v>
      </c>
      <c r="B1699" s="459">
        <f t="shared" si="480"/>
        <v>0</v>
      </c>
      <c r="C1699" s="459"/>
      <c r="D1699" s="507">
        <f t="shared" si="481"/>
        <v>0</v>
      </c>
      <c r="E1699" s="451"/>
      <c r="F1699" s="453">
        <f t="shared" si="482"/>
        <v>0</v>
      </c>
      <c r="G1699" s="453">
        <f t="shared" si="483"/>
        <v>0</v>
      </c>
    </row>
    <row r="1700" spans="1:7" ht="19.899999999999999" customHeight="1" x14ac:dyDescent="0.2">
      <c r="A1700" s="494"/>
      <c r="B1700" s="155"/>
      <c r="C1700" s="155"/>
      <c r="D1700" s="440"/>
      <c r="E1700" s="441"/>
      <c r="F1700" s="462" t="s">
        <v>29</v>
      </c>
      <c r="G1700" s="499">
        <f>SUBTOTAL(9,G1689:G1699)</f>
        <v>0</v>
      </c>
    </row>
    <row r="1701" spans="1:7" ht="19.899999999999999" customHeight="1" x14ac:dyDescent="0.2">
      <c r="A1701" s="494"/>
      <c r="B1701" s="155"/>
      <c r="C1701" s="436" t="s">
        <v>991</v>
      </c>
      <c r="D1701" s="440"/>
      <c r="E1701" s="441"/>
      <c r="F1701" s="442"/>
      <c r="G1701" s="495"/>
    </row>
    <row r="1702" spans="1:7" ht="19.899999999999999" customHeight="1" x14ac:dyDescent="0.2">
      <c r="A1702" s="677" t="s">
        <v>576</v>
      </c>
      <c r="B1702" s="678"/>
      <c r="C1702" s="679" t="s">
        <v>0</v>
      </c>
      <c r="D1702" s="679" t="s">
        <v>1733</v>
      </c>
      <c r="E1702" s="681" t="s">
        <v>24</v>
      </c>
      <c r="F1702" s="683" t="s">
        <v>25</v>
      </c>
      <c r="G1702" s="685" t="s">
        <v>26</v>
      </c>
    </row>
    <row r="1703" spans="1:7" ht="19.899999999999999" customHeight="1" x14ac:dyDescent="0.2">
      <c r="A1703" s="458" t="s">
        <v>577</v>
      </c>
      <c r="B1703" s="458" t="s">
        <v>578</v>
      </c>
      <c r="C1703" s="680"/>
      <c r="D1703" s="680"/>
      <c r="E1703" s="682"/>
      <c r="F1703" s="684"/>
      <c r="G1703" s="686"/>
    </row>
    <row r="1704" spans="1:7" ht="19.899999999999999" customHeight="1" x14ac:dyDescent="0.2">
      <c r="A1704" s="496">
        <f>IFERROR(VLOOKUP(C1704,T_Insumos,4,FALSE),0)</f>
        <v>0</v>
      </c>
      <c r="B1704" s="459">
        <f>IFERROR(VLOOKUP(C1704,T_Insumos,5,FALSE),0)</f>
        <v>0</v>
      </c>
      <c r="C1704" s="450"/>
      <c r="D1704" s="507">
        <f>IF(C1704=0,0,"$/tnkm")</f>
        <v>0</v>
      </c>
      <c r="E1704" s="451"/>
      <c r="F1704" s="453">
        <f>IFERROR(VLOOKUP(C1704,T_Insumos,3,FALSE),0)</f>
        <v>0</v>
      </c>
      <c r="G1704" s="453">
        <f>ROUND(E1704*F1704,2)</f>
        <v>0</v>
      </c>
    </row>
    <row r="1705" spans="1:7" ht="19.899999999999999" customHeight="1" x14ac:dyDescent="0.2">
      <c r="A1705" s="496">
        <f>IFERROR(VLOOKUP(C1705,T_Insumos,4,FALSE),0)</f>
        <v>0</v>
      </c>
      <c r="B1705" s="459">
        <f>IFERROR(VLOOKUP(C1705,T_Insumos,5,FALSE),0)</f>
        <v>0</v>
      </c>
      <c r="C1705" s="450"/>
      <c r="D1705" s="507">
        <f>IF(C1705=0,0,"$/tnkm")</f>
        <v>0</v>
      </c>
      <c r="E1705" s="467"/>
      <c r="F1705" s="453">
        <f>IFERROR(VLOOKUP(C1705,T_Insumos,3,FALSE),0)</f>
        <v>0</v>
      </c>
      <c r="G1705" s="453">
        <f t="shared" ref="G1705" si="484">ROUND(E1705*F1705,2)</f>
        <v>0</v>
      </c>
    </row>
    <row r="1706" spans="1:7" ht="19.899999999999999" customHeight="1" x14ac:dyDescent="0.2">
      <c r="A1706" s="494"/>
      <c r="B1706" s="155"/>
      <c r="C1706" s="155"/>
      <c r="D1706" s="440"/>
      <c r="E1706" s="441"/>
      <c r="F1706" s="462" t="s">
        <v>992</v>
      </c>
      <c r="G1706" s="499">
        <f>SUBTOTAL(9,G1704:G1705)</f>
        <v>0</v>
      </c>
    </row>
    <row r="1707" spans="1:7" ht="19.899999999999999" customHeight="1" x14ac:dyDescent="0.2">
      <c r="A1707" s="497"/>
      <c r="B1707" s="440"/>
      <c r="C1707" s="155"/>
      <c r="D1707" s="440"/>
      <c r="E1707" s="441"/>
      <c r="F1707" s="442"/>
      <c r="G1707" s="495"/>
    </row>
    <row r="1708" spans="1:7" ht="19.899999999999999" customHeight="1" x14ac:dyDescent="0.2">
      <c r="A1708" s="555" t="str">
        <f>B1642</f>
        <v>3.3.4</v>
      </c>
      <c r="B1708" s="552" t="str">
        <f ca="1">C1642</f>
        <v>Armadura puesta en obra</v>
      </c>
      <c r="C1708" s="440"/>
      <c r="D1708" s="440" t="s">
        <v>1712</v>
      </c>
      <c r="E1708" s="553"/>
      <c r="F1708" s="554" t="str">
        <f ca="1">"$/"&amp;G1642</f>
        <v>$/KG</v>
      </c>
      <c r="G1708" s="504">
        <f>SUBTOTAL(9,G1665:G1707)</f>
        <v>0</v>
      </c>
    </row>
    <row r="1709" spans="1:7" ht="19.899999999999999" customHeight="1" x14ac:dyDescent="0.2">
      <c r="A1709" s="500"/>
      <c r="B1709" s="501"/>
      <c r="C1709" s="502"/>
      <c r="D1709" s="502" t="s">
        <v>1908</v>
      </c>
      <c r="E1709" s="503"/>
      <c r="F1709" s="556" t="str">
        <f ca="1">"$/"&amp;G1642</f>
        <v>$/KG</v>
      </c>
      <c r="G1709" s="504">
        <f>ROUND(G1708*Coeficiente_Paso,2)</f>
        <v>0</v>
      </c>
    </row>
    <row r="1710" spans="1:7" ht="19.899999999999999" customHeight="1" x14ac:dyDescent="0.2">
      <c r="A1710" s="687" t="s">
        <v>31</v>
      </c>
      <c r="B1710" s="688"/>
      <c r="C1710" s="688"/>
      <c r="D1710" s="688"/>
      <c r="E1710" s="688"/>
      <c r="F1710" s="688"/>
      <c r="G1710" s="689"/>
    </row>
    <row r="1711" spans="1:7" ht="19.899999999999999" customHeight="1" x14ac:dyDescent="0.2">
      <c r="A1711" s="483" t="s">
        <v>711</v>
      </c>
      <c r="B1711" s="434" t="str">
        <f>Comitente</f>
        <v>DEPARTAMENTO DE HIDRÁULICA</v>
      </c>
      <c r="C1711" s="435"/>
      <c r="D1711" s="436"/>
      <c r="E1711" s="436"/>
      <c r="F1711" s="437"/>
      <c r="G1711" s="484"/>
    </row>
    <row r="1712" spans="1:7" ht="19.899999999999999" customHeight="1" x14ac:dyDescent="0.2">
      <c r="A1712" s="483" t="s">
        <v>712</v>
      </c>
      <c r="B1712" s="434">
        <f>Contratista</f>
        <v>0</v>
      </c>
      <c r="C1712" s="438"/>
      <c r="D1712" s="438"/>
      <c r="E1712" s="438"/>
      <c r="F1712" s="434"/>
      <c r="G1712" s="485"/>
    </row>
    <row r="1713" spans="1:7" ht="19.899999999999999" customHeight="1" x14ac:dyDescent="0.2">
      <c r="A1713" s="483" t="s">
        <v>21</v>
      </c>
      <c r="B1713" s="434" t="str">
        <f>Obra</f>
        <v>RECRECIMIENTO Y REPARACIÓN CANALES SARMIENTO, 9 DE JULIO Y CHIMBAS</v>
      </c>
      <c r="C1713" s="438"/>
      <c r="D1713" s="438"/>
      <c r="E1713" s="438"/>
      <c r="F1713" s="434" t="s">
        <v>32</v>
      </c>
      <c r="G1713" s="485">
        <f>Fecha_Base</f>
        <v>0</v>
      </c>
    </row>
    <row r="1714" spans="1:7" ht="19.899999999999999" customHeight="1" x14ac:dyDescent="0.2">
      <c r="A1714" s="486" t="s">
        <v>710</v>
      </c>
      <c r="B1714" s="439" t="str">
        <f>Ubicación</f>
        <v>DEPARTAMENTOS SARMIENTO, 9 DE JULIO Y CHIMBAS</v>
      </c>
      <c r="C1714" s="439"/>
      <c r="D1714" s="440"/>
      <c r="E1714" s="441"/>
      <c r="F1714" s="442"/>
      <c r="G1714" s="487"/>
    </row>
    <row r="1715" spans="1:7" ht="19.899999999999999" customHeight="1" x14ac:dyDescent="0.2">
      <c r="A1715" s="486" t="s">
        <v>33</v>
      </c>
      <c r="B1715" s="443">
        <f>IFERROR(VALUE(LEFT(B1716,FIND(".",B1716)-1)),"")</f>
        <v>3</v>
      </c>
      <c r="C1715" s="155" t="str">
        <f ca="1">IFERROR(VLOOKUP(B1715,T_Computo_Presupuesto,2,FALSE),0)</f>
        <v>RECRECIMIENTO C. PASTORIZA-VIDELA</v>
      </c>
      <c r="D1715" s="155"/>
      <c r="E1715" s="441"/>
      <c r="F1715" s="442"/>
      <c r="G1715" s="487"/>
    </row>
    <row r="1716" spans="1:7" ht="19.899999999999999" customHeight="1" x14ac:dyDescent="0.2">
      <c r="A1716" s="486" t="s">
        <v>22</v>
      </c>
      <c r="B1716" s="444" t="str">
        <f>IFERROR(VLOOKUP(COUNTIF($A$1:A1716,"ANALISIS DE PRECIOS"),T_NumeroItem,2,FALSE),"")</f>
        <v>3.3.5</v>
      </c>
      <c r="C1716" s="690" t="str">
        <f ca="1">IFERROR(VLOOKUP(B1716,T_Computo_Presupuesto,2,FALSE),0)</f>
        <v>Puente de Adherencia</v>
      </c>
      <c r="D1716" s="690"/>
      <c r="E1716" s="690"/>
      <c r="F1716" s="439" t="s">
        <v>23</v>
      </c>
      <c r="G1716" s="488" t="str">
        <f ca="1">IFERROR(VLOOKUP(B1716,T_Computo_Presupuesto,4,FALSE),0)</f>
        <v>GL</v>
      </c>
    </row>
    <row r="1717" spans="1:7" ht="19.899999999999999" customHeight="1" x14ac:dyDescent="0.2">
      <c r="A1717" s="486"/>
      <c r="B1717" s="439"/>
      <c r="C1717" s="155"/>
      <c r="D1717" s="440"/>
      <c r="E1717" s="441"/>
      <c r="F1717" s="155"/>
      <c r="G1717" s="489"/>
    </row>
    <row r="1718" spans="1:7" ht="19.899999999999999" customHeight="1" x14ac:dyDescent="0.2">
      <c r="A1718" s="490"/>
      <c r="B1718" s="445"/>
      <c r="C1718" s="446" t="s">
        <v>975</v>
      </c>
      <c r="D1718" s="445"/>
      <c r="E1718" s="445"/>
      <c r="F1718" s="445"/>
      <c r="G1718" s="491"/>
    </row>
    <row r="1719" spans="1:7" ht="19.899999999999999" customHeight="1" x14ac:dyDescent="0.2">
      <c r="A1719" s="486"/>
      <c r="B1719" s="447"/>
      <c r="C1719" s="155"/>
      <c r="D1719" s="440"/>
      <c r="E1719" s="441"/>
      <c r="F1719" s="439"/>
      <c r="G1719" s="488"/>
    </row>
    <row r="1720" spans="1:7" ht="19.899999999999999" customHeight="1" x14ac:dyDescent="0.2">
      <c r="A1720" s="486"/>
      <c r="B1720" s="447"/>
      <c r="C1720" s="448" t="s">
        <v>976</v>
      </c>
      <c r="D1720" s="449" t="s">
        <v>24</v>
      </c>
      <c r="E1720" s="449" t="s">
        <v>977</v>
      </c>
      <c r="F1720" s="449" t="s">
        <v>978</v>
      </c>
      <c r="G1720" s="448" t="s">
        <v>979</v>
      </c>
    </row>
    <row r="1721" spans="1:7" ht="19.899999999999999" customHeight="1" x14ac:dyDescent="0.2">
      <c r="A1721" s="486"/>
      <c r="B1721" s="447"/>
      <c r="C1721" s="450">
        <f>+Equipos!A1275</f>
        <v>0</v>
      </c>
      <c r="D1721" s="451"/>
      <c r="E1721" s="452">
        <f t="shared" ref="E1721:E1730" si="485">IFERROR(VLOOKUP(C1721,T_Equipos,4,FALSE),0)</f>
        <v>0</v>
      </c>
      <c r="F1721" s="453">
        <f t="shared" ref="F1721:F1730" si="486">IFERROR(VLOOKUP(C1721,T_Equipos,5,FALSE),0)</f>
        <v>0</v>
      </c>
      <c r="G1721" s="453">
        <f>ROUND(D1721*F1721,2)</f>
        <v>0</v>
      </c>
    </row>
    <row r="1722" spans="1:7" ht="19.899999999999999" customHeight="1" x14ac:dyDescent="0.2">
      <c r="A1722" s="486"/>
      <c r="B1722" s="447"/>
      <c r="C1722" s="450">
        <f>+Equipos!A1272</f>
        <v>0</v>
      </c>
      <c r="D1722" s="451"/>
      <c r="E1722" s="452">
        <f t="shared" si="485"/>
        <v>0</v>
      </c>
      <c r="F1722" s="453">
        <f t="shared" si="486"/>
        <v>0</v>
      </c>
      <c r="G1722" s="453">
        <f>ROUND(D1722*F1722,2)</f>
        <v>0</v>
      </c>
    </row>
    <row r="1723" spans="1:7" ht="19.899999999999999" customHeight="1" x14ac:dyDescent="0.2">
      <c r="A1723" s="486"/>
      <c r="B1723" s="447"/>
      <c r="C1723" s="450">
        <f>+Equipos!A1284</f>
        <v>0</v>
      </c>
      <c r="D1723" s="451"/>
      <c r="E1723" s="452">
        <f t="shared" si="485"/>
        <v>0</v>
      </c>
      <c r="F1723" s="453">
        <f t="shared" si="486"/>
        <v>0</v>
      </c>
      <c r="G1723" s="453">
        <f>ROUND(D1723*F1723,2)</f>
        <v>0</v>
      </c>
    </row>
    <row r="1724" spans="1:7" ht="19.899999999999999" customHeight="1" x14ac:dyDescent="0.2">
      <c r="A1724" s="486"/>
      <c r="B1724" s="447"/>
      <c r="C1724" s="450">
        <f>+Equipos!A1292</f>
        <v>0</v>
      </c>
      <c r="D1724" s="451"/>
      <c r="E1724" s="452">
        <f t="shared" si="485"/>
        <v>0</v>
      </c>
      <c r="F1724" s="453">
        <f t="shared" si="486"/>
        <v>0</v>
      </c>
      <c r="G1724" s="453">
        <f>ROUND(D1724*F1724,2)</f>
        <v>0</v>
      </c>
    </row>
    <row r="1725" spans="1:7" ht="19.899999999999999" customHeight="1" x14ac:dyDescent="0.2">
      <c r="A1725" s="486"/>
      <c r="B1725" s="447"/>
      <c r="C1725" s="450">
        <f>+Equipos!A1281</f>
        <v>0</v>
      </c>
      <c r="D1725" s="623"/>
      <c r="E1725" s="452">
        <f t="shared" si="485"/>
        <v>0</v>
      </c>
      <c r="F1725" s="453">
        <f t="shared" si="486"/>
        <v>0</v>
      </c>
      <c r="G1725" s="453">
        <f t="shared" ref="G1725:G1730" si="487">ROUND(D1725*F1725,2)</f>
        <v>0</v>
      </c>
    </row>
    <row r="1726" spans="1:7" ht="19.899999999999999" customHeight="1" x14ac:dyDescent="0.2">
      <c r="A1726" s="486"/>
      <c r="B1726" s="447"/>
      <c r="C1726" s="450">
        <f>+Equipos!A1277</f>
        <v>0</v>
      </c>
      <c r="D1726" s="451"/>
      <c r="E1726" s="452">
        <f t="shared" si="485"/>
        <v>0</v>
      </c>
      <c r="F1726" s="453">
        <f t="shared" si="486"/>
        <v>0</v>
      </c>
      <c r="G1726" s="453">
        <f t="shared" si="487"/>
        <v>0</v>
      </c>
    </row>
    <row r="1727" spans="1:7" ht="19.899999999999999" customHeight="1" x14ac:dyDescent="0.2">
      <c r="A1727" s="486"/>
      <c r="B1727" s="447"/>
      <c r="C1727" s="450"/>
      <c r="D1727" s="451"/>
      <c r="E1727" s="452">
        <f t="shared" si="485"/>
        <v>0</v>
      </c>
      <c r="F1727" s="453">
        <f t="shared" si="486"/>
        <v>0</v>
      </c>
      <c r="G1727" s="453">
        <f t="shared" si="487"/>
        <v>0</v>
      </c>
    </row>
    <row r="1728" spans="1:7" ht="19.899999999999999" customHeight="1" x14ac:dyDescent="0.2">
      <c r="A1728" s="486"/>
      <c r="B1728" s="447"/>
      <c r="C1728" s="450"/>
      <c r="D1728" s="451"/>
      <c r="E1728" s="452">
        <f t="shared" si="485"/>
        <v>0</v>
      </c>
      <c r="F1728" s="453">
        <f t="shared" si="486"/>
        <v>0</v>
      </c>
      <c r="G1728" s="453">
        <f t="shared" si="487"/>
        <v>0</v>
      </c>
    </row>
    <row r="1729" spans="1:7" ht="19.899999999999999" customHeight="1" x14ac:dyDescent="0.2">
      <c r="A1729" s="486"/>
      <c r="B1729" s="447"/>
      <c r="C1729" s="450"/>
      <c r="D1729" s="451"/>
      <c r="E1729" s="452">
        <f t="shared" si="485"/>
        <v>0</v>
      </c>
      <c r="F1729" s="453">
        <f t="shared" si="486"/>
        <v>0</v>
      </c>
      <c r="G1729" s="453">
        <f t="shared" si="487"/>
        <v>0</v>
      </c>
    </row>
    <row r="1730" spans="1:7" ht="19.899999999999999" customHeight="1" x14ac:dyDescent="0.2">
      <c r="A1730" s="486"/>
      <c r="B1730" s="447"/>
      <c r="C1730" s="450"/>
      <c r="D1730" s="451"/>
      <c r="E1730" s="452">
        <f t="shared" si="485"/>
        <v>0</v>
      </c>
      <c r="F1730" s="453">
        <f t="shared" si="486"/>
        <v>0</v>
      </c>
      <c r="G1730" s="453">
        <f t="shared" si="487"/>
        <v>0</v>
      </c>
    </row>
    <row r="1731" spans="1:7" ht="19.899999999999999" customHeight="1" x14ac:dyDescent="0.2">
      <c r="A1731" s="486"/>
      <c r="B1731" s="447"/>
      <c r="C1731" s="155"/>
      <c r="D1731" s="155"/>
      <c r="E1731" s="454"/>
      <c r="F1731" s="439"/>
      <c r="G1731" s="488"/>
    </row>
    <row r="1732" spans="1:7" ht="19.899999999999999" customHeight="1" x14ac:dyDescent="0.2">
      <c r="A1732" s="486"/>
      <c r="B1732" s="155"/>
      <c r="C1732" s="436" t="s">
        <v>980</v>
      </c>
      <c r="D1732" s="439" t="s">
        <v>977</v>
      </c>
      <c r="E1732" s="505">
        <f>SUMPRODUCT(D1721:D1730,E1721:E1730)</f>
        <v>0</v>
      </c>
      <c r="F1732" s="439" t="s">
        <v>981</v>
      </c>
      <c r="G1732" s="506">
        <f>SUM(G1721:G1730)</f>
        <v>0</v>
      </c>
    </row>
    <row r="1733" spans="1:7" ht="19.899999999999999" customHeight="1" x14ac:dyDescent="0.2">
      <c r="A1733" s="486"/>
      <c r="B1733" s="447"/>
      <c r="C1733" s="455"/>
      <c r="D1733" s="454"/>
      <c r="E1733" s="441"/>
      <c r="F1733" s="439"/>
      <c r="G1733" s="492"/>
    </row>
    <row r="1734" spans="1:7" ht="19.899999999999999" customHeight="1" x14ac:dyDescent="0.2">
      <c r="A1734" s="493"/>
      <c r="B1734" s="447"/>
      <c r="C1734" s="439" t="s">
        <v>982</v>
      </c>
      <c r="D1734" s="456">
        <f>IFERROR(VLOOKUP(COUNTIF($A$1:A1734,"ANALISIS DE PRECIOS"),T_Rendimiento_Equipo,5,FALSE),0)</f>
        <v>0</v>
      </c>
      <c r="E1734" s="457" t="str">
        <f ca="1">G1716&amp;"/día"</f>
        <v>GL/día</v>
      </c>
      <c r="F1734" s="433"/>
      <c r="G1734" s="488"/>
    </row>
    <row r="1735" spans="1:7" ht="19.899999999999999" customHeight="1" x14ac:dyDescent="0.2">
      <c r="A1735" s="486"/>
      <c r="B1735" s="447"/>
      <c r="C1735" s="155"/>
      <c r="D1735" s="440"/>
      <c r="E1735" s="441"/>
      <c r="F1735" s="439"/>
      <c r="G1735" s="488"/>
    </row>
    <row r="1736" spans="1:7" ht="19.899999999999999" customHeight="1" x14ac:dyDescent="0.2">
      <c r="A1736" s="677" t="s">
        <v>576</v>
      </c>
      <c r="B1736" s="678"/>
      <c r="C1736" s="679" t="s">
        <v>0</v>
      </c>
      <c r="D1736" s="691" t="s">
        <v>1732</v>
      </c>
      <c r="E1736" s="691" t="s">
        <v>1731</v>
      </c>
      <c r="F1736" s="683" t="s">
        <v>983</v>
      </c>
      <c r="G1736" s="685" t="s">
        <v>26</v>
      </c>
    </row>
    <row r="1737" spans="1:7" ht="19.899999999999999" customHeight="1" x14ac:dyDescent="0.2">
      <c r="A1737" s="458" t="s">
        <v>577</v>
      </c>
      <c r="B1737" s="458" t="s">
        <v>578</v>
      </c>
      <c r="C1737" s="680"/>
      <c r="D1737" s="692"/>
      <c r="E1737" s="682"/>
      <c r="F1737" s="684"/>
      <c r="G1737" s="686"/>
    </row>
    <row r="1738" spans="1:7" ht="19.899999999999999" customHeight="1" x14ac:dyDescent="0.2">
      <c r="A1738" s="494"/>
      <c r="B1738" s="155"/>
      <c r="C1738" s="436" t="s">
        <v>984</v>
      </c>
      <c r="D1738" s="441"/>
      <c r="E1738" s="441"/>
      <c r="F1738" s="155"/>
      <c r="G1738" s="495"/>
    </row>
    <row r="1739" spans="1:7" ht="19.899999999999999" customHeight="1" x14ac:dyDescent="0.2">
      <c r="A1739" s="496">
        <f t="shared" ref="A1739:A1747" si="488">IFERROR(VLOOKUP(C1739,T_Insumos,4,FALSE),0)</f>
        <v>0</v>
      </c>
      <c r="B1739" s="459">
        <f t="shared" ref="B1739:B1747" si="489">IFERROR(VLOOKUP(C1739,T_Insumos,5,FALSE),0)</f>
        <v>0</v>
      </c>
      <c r="C1739" s="450">
        <f>+C1289</f>
        <v>0</v>
      </c>
      <c r="D1739" s="460">
        <f t="shared" ref="D1739:D1747" si="490">IFERROR(VLOOKUP(C1739,T_Insumos,3,FALSE),0)</f>
        <v>0</v>
      </c>
      <c r="E1739" s="453">
        <f>D1739*$G$473</f>
        <v>0</v>
      </c>
      <c r="F1739" s="456">
        <f>IF(C1739="",0,IFERROR(VLOOKUP(COUNTIF($A$1:A1739,"ANALISIS DE PRECIOS"),T_Rendimiento_Equipo,5,FALSE),0))</f>
        <v>0</v>
      </c>
      <c r="G1739" s="453">
        <f>IFERROR(ROUND(E1739/F1739,2),0)</f>
        <v>0</v>
      </c>
    </row>
    <row r="1740" spans="1:7" ht="19.899999999999999" customHeight="1" x14ac:dyDescent="0.2">
      <c r="A1740" s="496">
        <f t="shared" si="488"/>
        <v>0</v>
      </c>
      <c r="B1740" s="459">
        <f t="shared" si="489"/>
        <v>0</v>
      </c>
      <c r="C1740" s="450" t="str">
        <f t="shared" ref="C1740:C1742" si="491">+C1290</f>
        <v>Rendimiento equipo de producción</v>
      </c>
      <c r="D1740" s="460">
        <f t="shared" si="490"/>
        <v>0</v>
      </c>
      <c r="E1740" s="453">
        <f t="shared" ref="E1740:E1741" si="492">D1740*$G$473</f>
        <v>0</v>
      </c>
      <c r="F1740" s="456">
        <f>IF(C1740="",0,IFERROR(VLOOKUP(COUNTIF($A$1:A1740,"ANALISIS DE PRECIOS"),T_Rendimiento_Equipo,5,FALSE),0))</f>
        <v>0</v>
      </c>
      <c r="G1740" s="453">
        <f t="shared" ref="G1740:G1747" si="493">IFERROR(ROUND(E1740/F1740,2),0)</f>
        <v>0</v>
      </c>
    </row>
    <row r="1741" spans="1:7" ht="19.899999999999999" customHeight="1" x14ac:dyDescent="0.2">
      <c r="A1741" s="496">
        <f t="shared" si="488"/>
        <v>0</v>
      </c>
      <c r="B1741" s="459">
        <f t="shared" si="489"/>
        <v>0</v>
      </c>
      <c r="C1741" s="450">
        <f t="shared" si="491"/>
        <v>0</v>
      </c>
      <c r="D1741" s="460">
        <f t="shared" si="490"/>
        <v>0</v>
      </c>
      <c r="E1741" s="453">
        <f t="shared" si="492"/>
        <v>0</v>
      </c>
      <c r="F1741" s="456">
        <f>IF(C1741="",0,IFERROR(VLOOKUP(COUNTIF($A$1:A1741,"ANALISIS DE PRECIOS"),T_Rendimiento_Equipo,5,FALSE),0))</f>
        <v>0</v>
      </c>
      <c r="G1741" s="453">
        <f t="shared" si="493"/>
        <v>0</v>
      </c>
    </row>
    <row r="1742" spans="1:7" ht="19.899999999999999" customHeight="1" x14ac:dyDescent="0.2">
      <c r="A1742" s="496">
        <f t="shared" si="488"/>
        <v>0</v>
      </c>
      <c r="B1742" s="459">
        <f t="shared" si="489"/>
        <v>0</v>
      </c>
      <c r="C1742" s="450" t="str">
        <f t="shared" si="491"/>
        <v>DESIGNACION</v>
      </c>
      <c r="D1742" s="460">
        <f t="shared" si="490"/>
        <v>0</v>
      </c>
      <c r="E1742" s="453">
        <f>D1742*$E$473</f>
        <v>0</v>
      </c>
      <c r="F1742" s="456">
        <f>IF(C1742="",0,IFERROR(VLOOKUP(COUNTIF($A$1:A1742,"ANALISIS DE PRECIOS"),T_Rendimiento_Equipo,5,FALSE),0))</f>
        <v>0</v>
      </c>
      <c r="G1742" s="453">
        <f t="shared" si="493"/>
        <v>0</v>
      </c>
    </row>
    <row r="1743" spans="1:7" ht="19.899999999999999" customHeight="1" x14ac:dyDescent="0.2">
      <c r="A1743" s="496">
        <f t="shared" si="488"/>
        <v>0</v>
      </c>
      <c r="B1743" s="459">
        <f t="shared" si="489"/>
        <v>0</v>
      </c>
      <c r="C1743" s="461"/>
      <c r="D1743" s="460">
        <f t="shared" si="490"/>
        <v>0</v>
      </c>
      <c r="E1743" s="453"/>
      <c r="F1743" s="456">
        <f>IF(C1743="",0,IFERROR(VLOOKUP(COUNTIF($A$1:A1743,"ANALISIS DE PRECIOS"),T_Rendimiento_Equipo,5,FALSE),0))</f>
        <v>0</v>
      </c>
      <c r="G1743" s="453">
        <f t="shared" si="493"/>
        <v>0</v>
      </c>
    </row>
    <row r="1744" spans="1:7" ht="19.899999999999999" customHeight="1" x14ac:dyDescent="0.2">
      <c r="A1744" s="496">
        <f t="shared" si="488"/>
        <v>0</v>
      </c>
      <c r="B1744" s="459">
        <f t="shared" si="489"/>
        <v>0</v>
      </c>
      <c r="C1744" s="461"/>
      <c r="D1744" s="460">
        <f t="shared" si="490"/>
        <v>0</v>
      </c>
      <c r="E1744" s="453"/>
      <c r="F1744" s="456">
        <f>IF(C1744="",0,IFERROR(VLOOKUP(COUNTIF($A$1:A1744,"ANALISIS DE PRECIOS"),T_Rendimiento_Equipo,5,FALSE),0))</f>
        <v>0</v>
      </c>
      <c r="G1744" s="453">
        <f t="shared" si="493"/>
        <v>0</v>
      </c>
    </row>
    <row r="1745" spans="1:7" ht="19.899999999999999" customHeight="1" x14ac:dyDescent="0.2">
      <c r="A1745" s="496">
        <f t="shared" si="488"/>
        <v>0</v>
      </c>
      <c r="B1745" s="459">
        <f t="shared" si="489"/>
        <v>0</v>
      </c>
      <c r="C1745" s="461"/>
      <c r="D1745" s="460">
        <f t="shared" si="490"/>
        <v>0</v>
      </c>
      <c r="E1745" s="453"/>
      <c r="F1745" s="456">
        <f>IF(C1745="",0,IFERROR(VLOOKUP(COUNTIF($A$1:A1745,"ANALISIS DE PRECIOS"),T_Rendimiento_Equipo,5,FALSE),0))</f>
        <v>0</v>
      </c>
      <c r="G1745" s="453">
        <f t="shared" si="493"/>
        <v>0</v>
      </c>
    </row>
    <row r="1746" spans="1:7" ht="19.899999999999999" customHeight="1" x14ac:dyDescent="0.2">
      <c r="A1746" s="496">
        <f t="shared" si="488"/>
        <v>0</v>
      </c>
      <c r="B1746" s="459">
        <f t="shared" si="489"/>
        <v>0</v>
      </c>
      <c r="C1746" s="461"/>
      <c r="D1746" s="460">
        <f t="shared" si="490"/>
        <v>0</v>
      </c>
      <c r="E1746" s="453"/>
      <c r="F1746" s="456">
        <f>IF(C1746="",0,IFERROR(VLOOKUP(COUNTIF($A$1:A1746,"ANALISIS DE PRECIOS"),T_Rendimiento_Equipo,5,FALSE),0))</f>
        <v>0</v>
      </c>
      <c r="G1746" s="453">
        <f t="shared" si="493"/>
        <v>0</v>
      </c>
    </row>
    <row r="1747" spans="1:7" ht="19.899999999999999" customHeight="1" x14ac:dyDescent="0.2">
      <c r="A1747" s="496">
        <f t="shared" si="488"/>
        <v>0</v>
      </c>
      <c r="B1747" s="459">
        <f t="shared" si="489"/>
        <v>0</v>
      </c>
      <c r="C1747" s="450"/>
      <c r="D1747" s="460">
        <f t="shared" si="490"/>
        <v>0</v>
      </c>
      <c r="E1747" s="453"/>
      <c r="F1747" s="456">
        <f>IF(C1747="",0,IFERROR(VLOOKUP(COUNTIF($A$1:A1747,"ANALISIS DE PRECIOS"),T_Rendimiento_Equipo,5,FALSE),0))</f>
        <v>0</v>
      </c>
      <c r="G1747" s="453">
        <f t="shared" si="493"/>
        <v>0</v>
      </c>
    </row>
    <row r="1748" spans="1:7" ht="19.899999999999999" customHeight="1" x14ac:dyDescent="0.2">
      <c r="A1748" s="497"/>
      <c r="B1748" s="440"/>
      <c r="C1748" s="155"/>
      <c r="D1748" s="440"/>
      <c r="E1748" s="441"/>
      <c r="F1748" s="462" t="s">
        <v>27</v>
      </c>
      <c r="G1748" s="498">
        <f>SUBTOTAL(9,G1739:G1747)</f>
        <v>0</v>
      </c>
    </row>
    <row r="1749" spans="1:7" ht="19.899999999999999" customHeight="1" x14ac:dyDescent="0.2">
      <c r="A1749" s="494"/>
      <c r="B1749" s="155"/>
      <c r="C1749" s="436" t="s">
        <v>713</v>
      </c>
      <c r="D1749" s="440"/>
      <c r="E1749" s="441"/>
      <c r="F1749" s="442"/>
      <c r="G1749" s="495"/>
    </row>
    <row r="1750" spans="1:7" ht="19.899999999999999" customHeight="1" x14ac:dyDescent="0.2">
      <c r="A1750" s="677" t="s">
        <v>576</v>
      </c>
      <c r="B1750" s="678"/>
      <c r="C1750" s="679" t="s">
        <v>0</v>
      </c>
      <c r="D1750" s="681" t="s">
        <v>24</v>
      </c>
      <c r="E1750" s="681" t="s">
        <v>1711</v>
      </c>
      <c r="F1750" s="683" t="s">
        <v>983</v>
      </c>
      <c r="G1750" s="685" t="s">
        <v>26</v>
      </c>
    </row>
    <row r="1751" spans="1:7" ht="19.899999999999999" customHeight="1" x14ac:dyDescent="0.2">
      <c r="A1751" s="458" t="s">
        <v>577</v>
      </c>
      <c r="B1751" s="458" t="s">
        <v>578</v>
      </c>
      <c r="C1751" s="680"/>
      <c r="D1751" s="682"/>
      <c r="E1751" s="682"/>
      <c r="F1751" s="684"/>
      <c r="G1751" s="686"/>
    </row>
    <row r="1752" spans="1:7" ht="19.899999999999999" customHeight="1" x14ac:dyDescent="0.2">
      <c r="A1752" s="496">
        <f t="shared" ref="A1752:A1758" si="494">IFERROR(VLOOKUP(C1752,T_Insumos,4,FALSE),0)</f>
        <v>0</v>
      </c>
      <c r="B1752" s="459">
        <f t="shared" ref="B1752:B1758" si="495">IFERROR(VLOOKUP(C1752,T_Insumos,5,FALSE),0)</f>
        <v>0</v>
      </c>
      <c r="C1752" s="463">
        <f>+C1302</f>
        <v>0</v>
      </c>
      <c r="D1752" s="456"/>
      <c r="E1752" s="453">
        <f t="shared" ref="E1752:E1758" si="496">IFERROR(VLOOKUP(C1752,T_Insumos,3,FALSE),0)</f>
        <v>0</v>
      </c>
      <c r="F1752" s="456">
        <f>IF(C1752="",0,IFERROR(VLOOKUP(COUNTIF($A$1:A1752,"ANALISIS DE PRECIOS"),T_Rendimiento_Equipo,5,FALSE),0))</f>
        <v>0</v>
      </c>
      <c r="G1752" s="453">
        <f>IFERROR(ROUND(D1752*E1752/F1752,2),0)</f>
        <v>0</v>
      </c>
    </row>
    <row r="1753" spans="1:7" ht="19.899999999999999" customHeight="1" x14ac:dyDescent="0.2">
      <c r="A1753" s="496">
        <f t="shared" si="494"/>
        <v>0</v>
      </c>
      <c r="B1753" s="459">
        <f t="shared" si="495"/>
        <v>0</v>
      </c>
      <c r="C1753" s="463">
        <f t="shared" ref="C1753:C1755" si="497">+C1303</f>
        <v>0</v>
      </c>
      <c r="D1753" s="456"/>
      <c r="E1753" s="453">
        <f t="shared" si="496"/>
        <v>0</v>
      </c>
      <c r="F1753" s="456">
        <f>IF(C1753="",0,IFERROR(VLOOKUP(COUNTIF($A$1:A1753,"ANALISIS DE PRECIOS"),T_Rendimiento_Equipo,5,FALSE),0))</f>
        <v>0</v>
      </c>
      <c r="G1753" s="453">
        <f t="shared" ref="G1753:G1758" si="498">IFERROR(ROUND(D1753*E1753/F1753,2),0)</f>
        <v>0</v>
      </c>
    </row>
    <row r="1754" spans="1:7" ht="19.899999999999999" customHeight="1" x14ac:dyDescent="0.2">
      <c r="A1754" s="496">
        <f t="shared" si="494"/>
        <v>0</v>
      </c>
      <c r="B1754" s="459">
        <f t="shared" si="495"/>
        <v>0</v>
      </c>
      <c r="C1754" s="463">
        <f t="shared" si="497"/>
        <v>0</v>
      </c>
      <c r="D1754" s="456"/>
      <c r="E1754" s="453">
        <f t="shared" si="496"/>
        <v>0</v>
      </c>
      <c r="F1754" s="456">
        <f>IF(C1754="",0,IFERROR(VLOOKUP(COUNTIF($A$1:A1754,"ANALISIS DE PRECIOS"),T_Rendimiento_Equipo,5,FALSE),0))</f>
        <v>0</v>
      </c>
      <c r="G1754" s="453">
        <f t="shared" si="498"/>
        <v>0</v>
      </c>
    </row>
    <row r="1755" spans="1:7" ht="19.899999999999999" customHeight="1" x14ac:dyDescent="0.2">
      <c r="A1755" s="496">
        <f t="shared" si="494"/>
        <v>0</v>
      </c>
      <c r="B1755" s="459">
        <f t="shared" si="495"/>
        <v>0</v>
      </c>
      <c r="C1755" s="463" t="str">
        <f t="shared" si="497"/>
        <v>B - MANO DE OBRA</v>
      </c>
      <c r="D1755" s="456"/>
      <c r="E1755" s="453">
        <f t="shared" si="496"/>
        <v>0</v>
      </c>
      <c r="F1755" s="456">
        <f>IF(C1755="",0,IFERROR(VLOOKUP(COUNTIF($A$1:A1755,"ANALISIS DE PRECIOS"),T_Rendimiento_Equipo,5,FALSE),0))</f>
        <v>0</v>
      </c>
      <c r="G1755" s="453">
        <f>IFERROR(ROUND(D1755*E1755/F1755,2),0)</f>
        <v>0</v>
      </c>
    </row>
    <row r="1756" spans="1:7" ht="19.899999999999999" customHeight="1" x14ac:dyDescent="0.2">
      <c r="A1756" s="496">
        <f t="shared" si="494"/>
        <v>0</v>
      </c>
      <c r="B1756" s="459">
        <f t="shared" si="495"/>
        <v>0</v>
      </c>
      <c r="C1756" s="450"/>
      <c r="D1756" s="456"/>
      <c r="E1756" s="453">
        <f t="shared" si="496"/>
        <v>0</v>
      </c>
      <c r="F1756" s="456">
        <f>IF(C1756="",0,IFERROR(VLOOKUP(COUNTIF($A$1:A1756,"ANALISIS DE PRECIOS"),T_Rendimiento_Equipo,5,FALSE),0))</f>
        <v>0</v>
      </c>
      <c r="G1756" s="453">
        <f t="shared" ref="G1756:G1761" si="499">IFERROR(ROUND(D1756*E1756/F1756,2),0)</f>
        <v>0</v>
      </c>
    </row>
    <row r="1757" spans="1:7" ht="19.899999999999999" customHeight="1" x14ac:dyDescent="0.2">
      <c r="A1757" s="496">
        <f t="shared" si="494"/>
        <v>0</v>
      </c>
      <c r="B1757" s="459">
        <f t="shared" si="495"/>
        <v>0</v>
      </c>
      <c r="C1757" s="450"/>
      <c r="D1757" s="464"/>
      <c r="E1757" s="453">
        <f t="shared" si="496"/>
        <v>0</v>
      </c>
      <c r="F1757" s="456">
        <f>IF(C1757="",0,IFERROR(VLOOKUP(COUNTIF($A$1:A1757,"ANALISIS DE PRECIOS"),T_Rendimiento_Equipo,5,FALSE),0))</f>
        <v>0</v>
      </c>
      <c r="G1757" s="453">
        <f t="shared" si="499"/>
        <v>0</v>
      </c>
    </row>
    <row r="1758" spans="1:7" ht="19.899999999999999" customHeight="1" x14ac:dyDescent="0.2">
      <c r="A1758" s="496">
        <f t="shared" si="494"/>
        <v>0</v>
      </c>
      <c r="B1758" s="459">
        <f t="shared" si="495"/>
        <v>0</v>
      </c>
      <c r="C1758" s="459"/>
      <c r="D1758" s="465"/>
      <c r="E1758" s="453">
        <f t="shared" si="496"/>
        <v>0</v>
      </c>
      <c r="F1758" s="456">
        <f>IF(C1758="",0,IFERROR(VLOOKUP(COUNTIF($A$1:A1758,"ANALISIS DE PRECIOS"),T_Rendimiento_Equipo,5,FALSE),0))</f>
        <v>0</v>
      </c>
      <c r="G1758" s="453">
        <f t="shared" si="499"/>
        <v>0</v>
      </c>
    </row>
    <row r="1759" spans="1:7" ht="19.899999999999999" customHeight="1" x14ac:dyDescent="0.2">
      <c r="A1759" s="497"/>
      <c r="B1759" s="440"/>
      <c r="C1759" s="155"/>
      <c r="D1759" s="440"/>
      <c r="E1759" s="441"/>
      <c r="F1759" s="462" t="s">
        <v>28</v>
      </c>
      <c r="G1759" s="499">
        <f>SUBTOTAL(9,G1752:G1758)</f>
        <v>0</v>
      </c>
    </row>
    <row r="1760" spans="1:7" ht="19.899999999999999" customHeight="1" x14ac:dyDescent="0.2">
      <c r="A1760" s="494"/>
      <c r="B1760" s="155"/>
      <c r="C1760" s="436" t="s">
        <v>990</v>
      </c>
      <c r="D1760" s="440"/>
      <c r="E1760" s="441"/>
      <c r="F1760" s="442"/>
      <c r="G1760" s="495"/>
    </row>
    <row r="1761" spans="1:7" ht="19.899999999999999" customHeight="1" x14ac:dyDescent="0.2">
      <c r="A1761" s="677" t="s">
        <v>576</v>
      </c>
      <c r="B1761" s="678"/>
      <c r="C1761" s="679" t="s">
        <v>0</v>
      </c>
      <c r="D1761" s="679" t="s">
        <v>1733</v>
      </c>
      <c r="E1761" s="681" t="s">
        <v>24</v>
      </c>
      <c r="F1761" s="683" t="s">
        <v>25</v>
      </c>
      <c r="G1761" s="685" t="s">
        <v>26</v>
      </c>
    </row>
    <row r="1762" spans="1:7" ht="19.899999999999999" customHeight="1" x14ac:dyDescent="0.2">
      <c r="A1762" s="458" t="s">
        <v>577</v>
      </c>
      <c r="B1762" s="458" t="s">
        <v>578</v>
      </c>
      <c r="C1762" s="680"/>
      <c r="D1762" s="680"/>
      <c r="E1762" s="682"/>
      <c r="F1762" s="684"/>
      <c r="G1762" s="686"/>
    </row>
    <row r="1763" spans="1:7" ht="19.899999999999999" customHeight="1" x14ac:dyDescent="0.2">
      <c r="A1763" s="496">
        <f t="shared" ref="A1763:A1773" si="500">IFERROR(VLOOKUP(C1763,T_Insumos,4,FALSE),0)</f>
        <v>0</v>
      </c>
      <c r="B1763" s="459">
        <f t="shared" ref="B1763:B1773" si="501">IFERROR(VLOOKUP(C1763,T_Insumos,5,FALSE),0)</f>
        <v>0</v>
      </c>
      <c r="C1763" s="459">
        <f>+Insumos!A1310</f>
        <v>0</v>
      </c>
      <c r="D1763" s="507">
        <f t="shared" ref="D1763:D1773" si="502">IFERROR(VLOOKUP(C1763,T_Insumos,2,FALSE),0)</f>
        <v>0</v>
      </c>
      <c r="E1763" s="451"/>
      <c r="F1763" s="453">
        <f t="shared" ref="F1763:F1773" si="503">IFERROR(VLOOKUP(C1763,T_Insumos,3,FALSE),0)</f>
        <v>0</v>
      </c>
      <c r="G1763" s="453">
        <f>ROUND(E1763*F1763,2)</f>
        <v>0</v>
      </c>
    </row>
    <row r="1764" spans="1:7" ht="19.899999999999999" customHeight="1" x14ac:dyDescent="0.2">
      <c r="A1764" s="496">
        <f t="shared" si="500"/>
        <v>0</v>
      </c>
      <c r="B1764" s="459">
        <f t="shared" si="501"/>
        <v>0</v>
      </c>
      <c r="C1764" s="459">
        <f>+Insumos!A1352</f>
        <v>0</v>
      </c>
      <c r="D1764" s="507">
        <f t="shared" si="502"/>
        <v>0</v>
      </c>
      <c r="E1764" s="451"/>
      <c r="F1764" s="453">
        <f t="shared" si="503"/>
        <v>0</v>
      </c>
      <c r="G1764" s="453">
        <f>ROUND(E1764*F1764,2)</f>
        <v>0</v>
      </c>
    </row>
    <row r="1765" spans="1:7" ht="19.899999999999999" customHeight="1" x14ac:dyDescent="0.2">
      <c r="A1765" s="496">
        <f t="shared" si="500"/>
        <v>0</v>
      </c>
      <c r="B1765" s="459">
        <f t="shared" si="501"/>
        <v>0</v>
      </c>
      <c r="C1765" s="459"/>
      <c r="D1765" s="507">
        <f t="shared" si="502"/>
        <v>0</v>
      </c>
      <c r="E1765" s="451"/>
      <c r="F1765" s="453">
        <f t="shared" si="503"/>
        <v>0</v>
      </c>
      <c r="G1765" s="453">
        <f t="shared" ref="G1765:G1773" si="504">ROUND(E1765*F1765,2)</f>
        <v>0</v>
      </c>
    </row>
    <row r="1766" spans="1:7" ht="19.899999999999999" customHeight="1" x14ac:dyDescent="0.2">
      <c r="A1766" s="496">
        <f t="shared" si="500"/>
        <v>0</v>
      </c>
      <c r="B1766" s="459">
        <f t="shared" si="501"/>
        <v>0</v>
      </c>
      <c r="C1766" s="459"/>
      <c r="D1766" s="507">
        <f t="shared" si="502"/>
        <v>0</v>
      </c>
      <c r="E1766" s="451"/>
      <c r="F1766" s="453">
        <f t="shared" si="503"/>
        <v>0</v>
      </c>
      <c r="G1766" s="453">
        <f t="shared" si="504"/>
        <v>0</v>
      </c>
    </row>
    <row r="1767" spans="1:7" ht="19.899999999999999" customHeight="1" x14ac:dyDescent="0.2">
      <c r="A1767" s="496">
        <f t="shared" si="500"/>
        <v>0</v>
      </c>
      <c r="B1767" s="459">
        <f t="shared" si="501"/>
        <v>0</v>
      </c>
      <c r="C1767" s="459"/>
      <c r="D1767" s="507">
        <f t="shared" si="502"/>
        <v>0</v>
      </c>
      <c r="E1767" s="451"/>
      <c r="F1767" s="453">
        <f t="shared" si="503"/>
        <v>0</v>
      </c>
      <c r="G1767" s="453">
        <f t="shared" si="504"/>
        <v>0</v>
      </c>
    </row>
    <row r="1768" spans="1:7" ht="19.899999999999999" customHeight="1" x14ac:dyDescent="0.2">
      <c r="A1768" s="496">
        <f t="shared" si="500"/>
        <v>0</v>
      </c>
      <c r="B1768" s="459">
        <f t="shared" si="501"/>
        <v>0</v>
      </c>
      <c r="C1768" s="459"/>
      <c r="D1768" s="507">
        <f t="shared" si="502"/>
        <v>0</v>
      </c>
      <c r="E1768" s="451"/>
      <c r="F1768" s="453">
        <f t="shared" si="503"/>
        <v>0</v>
      </c>
      <c r="G1768" s="453">
        <f t="shared" si="504"/>
        <v>0</v>
      </c>
    </row>
    <row r="1769" spans="1:7" ht="19.899999999999999" customHeight="1" x14ac:dyDescent="0.2">
      <c r="A1769" s="496">
        <f t="shared" si="500"/>
        <v>0</v>
      </c>
      <c r="B1769" s="459">
        <f t="shared" si="501"/>
        <v>0</v>
      </c>
      <c r="C1769" s="459"/>
      <c r="D1769" s="507">
        <f t="shared" si="502"/>
        <v>0</v>
      </c>
      <c r="E1769" s="451"/>
      <c r="F1769" s="453">
        <f t="shared" si="503"/>
        <v>0</v>
      </c>
      <c r="G1769" s="453">
        <f t="shared" si="504"/>
        <v>0</v>
      </c>
    </row>
    <row r="1770" spans="1:7" ht="19.899999999999999" customHeight="1" x14ac:dyDescent="0.2">
      <c r="A1770" s="496">
        <f t="shared" si="500"/>
        <v>0</v>
      </c>
      <c r="B1770" s="459">
        <f t="shared" si="501"/>
        <v>0</v>
      </c>
      <c r="C1770" s="459"/>
      <c r="D1770" s="507">
        <f t="shared" si="502"/>
        <v>0</v>
      </c>
      <c r="E1770" s="451"/>
      <c r="F1770" s="453">
        <f t="shared" si="503"/>
        <v>0</v>
      </c>
      <c r="G1770" s="453">
        <f t="shared" si="504"/>
        <v>0</v>
      </c>
    </row>
    <row r="1771" spans="1:7" ht="19.899999999999999" customHeight="1" x14ac:dyDescent="0.2">
      <c r="A1771" s="496">
        <f t="shared" si="500"/>
        <v>0</v>
      </c>
      <c r="B1771" s="459">
        <f t="shared" si="501"/>
        <v>0</v>
      </c>
      <c r="C1771" s="459"/>
      <c r="D1771" s="507">
        <f t="shared" si="502"/>
        <v>0</v>
      </c>
      <c r="E1771" s="451"/>
      <c r="F1771" s="453">
        <f t="shared" si="503"/>
        <v>0</v>
      </c>
      <c r="G1771" s="453">
        <f t="shared" si="504"/>
        <v>0</v>
      </c>
    </row>
    <row r="1772" spans="1:7" ht="19.899999999999999" customHeight="1" x14ac:dyDescent="0.2">
      <c r="A1772" s="496">
        <f t="shared" si="500"/>
        <v>0</v>
      </c>
      <c r="B1772" s="459">
        <f t="shared" si="501"/>
        <v>0</v>
      </c>
      <c r="C1772" s="459"/>
      <c r="D1772" s="507">
        <f t="shared" si="502"/>
        <v>0</v>
      </c>
      <c r="E1772" s="451"/>
      <c r="F1772" s="453">
        <f t="shared" si="503"/>
        <v>0</v>
      </c>
      <c r="G1772" s="453">
        <f t="shared" si="504"/>
        <v>0</v>
      </c>
    </row>
    <row r="1773" spans="1:7" ht="19.899999999999999" customHeight="1" x14ac:dyDescent="0.2">
      <c r="A1773" s="496">
        <f t="shared" si="500"/>
        <v>0</v>
      </c>
      <c r="B1773" s="459">
        <f t="shared" si="501"/>
        <v>0</v>
      </c>
      <c r="C1773" s="459"/>
      <c r="D1773" s="507">
        <f t="shared" si="502"/>
        <v>0</v>
      </c>
      <c r="E1773" s="451"/>
      <c r="F1773" s="453">
        <f t="shared" si="503"/>
        <v>0</v>
      </c>
      <c r="G1773" s="453">
        <f t="shared" si="504"/>
        <v>0</v>
      </c>
    </row>
    <row r="1774" spans="1:7" ht="19.899999999999999" customHeight="1" x14ac:dyDescent="0.2">
      <c r="A1774" s="494"/>
      <c r="B1774" s="155"/>
      <c r="C1774" s="155"/>
      <c r="D1774" s="440"/>
      <c r="E1774" s="441"/>
      <c r="F1774" s="462" t="s">
        <v>29</v>
      </c>
      <c r="G1774" s="499">
        <f>SUBTOTAL(9,G1763:G1773)</f>
        <v>0</v>
      </c>
    </row>
    <row r="1775" spans="1:7" ht="19.899999999999999" customHeight="1" x14ac:dyDescent="0.2">
      <c r="A1775" s="494"/>
      <c r="B1775" s="155"/>
      <c r="C1775" s="436" t="s">
        <v>991</v>
      </c>
      <c r="D1775" s="440"/>
      <c r="E1775" s="441"/>
      <c r="F1775" s="442"/>
      <c r="G1775" s="495"/>
    </row>
    <row r="1776" spans="1:7" ht="19.899999999999999" customHeight="1" x14ac:dyDescent="0.2">
      <c r="A1776" s="677" t="s">
        <v>576</v>
      </c>
      <c r="B1776" s="678"/>
      <c r="C1776" s="679" t="s">
        <v>0</v>
      </c>
      <c r="D1776" s="679" t="s">
        <v>1733</v>
      </c>
      <c r="E1776" s="681" t="s">
        <v>24</v>
      </c>
      <c r="F1776" s="683" t="s">
        <v>25</v>
      </c>
      <c r="G1776" s="685" t="s">
        <v>26</v>
      </c>
    </row>
    <row r="1777" spans="1:7" ht="19.899999999999999" customHeight="1" x14ac:dyDescent="0.2">
      <c r="A1777" s="458" t="s">
        <v>577</v>
      </c>
      <c r="B1777" s="458" t="s">
        <v>578</v>
      </c>
      <c r="C1777" s="680"/>
      <c r="D1777" s="680"/>
      <c r="E1777" s="682"/>
      <c r="F1777" s="684"/>
      <c r="G1777" s="686"/>
    </row>
    <row r="1778" spans="1:7" ht="19.899999999999999" customHeight="1" x14ac:dyDescent="0.2">
      <c r="A1778" s="496">
        <f>IFERROR(VLOOKUP(C1778,T_Insumos,4,FALSE),0)</f>
        <v>0</v>
      </c>
      <c r="B1778" s="459">
        <f>IFERROR(VLOOKUP(C1778,T_Insumos,5,FALSE),0)</f>
        <v>0</v>
      </c>
      <c r="C1778" s="450"/>
      <c r="D1778" s="507">
        <f>IF(C1778=0,0,"$/tnkm")</f>
        <v>0</v>
      </c>
      <c r="E1778" s="451"/>
      <c r="F1778" s="453">
        <f>IFERROR(VLOOKUP(C1778,T_Insumos,3,FALSE),0)</f>
        <v>0</v>
      </c>
      <c r="G1778" s="453">
        <f>ROUND(E1778*F1778,2)</f>
        <v>0</v>
      </c>
    </row>
    <row r="1779" spans="1:7" ht="19.899999999999999" customHeight="1" x14ac:dyDescent="0.2">
      <c r="A1779" s="496">
        <f>IFERROR(VLOOKUP(C1779,T_Insumos,4,FALSE),0)</f>
        <v>0</v>
      </c>
      <c r="B1779" s="459">
        <f>IFERROR(VLOOKUP(C1779,T_Insumos,5,FALSE),0)</f>
        <v>0</v>
      </c>
      <c r="C1779" s="450"/>
      <c r="D1779" s="507">
        <f>IF(C1779=0,0,"$/tnkm")</f>
        <v>0</v>
      </c>
      <c r="E1779" s="467"/>
      <c r="F1779" s="453">
        <f>IFERROR(VLOOKUP(C1779,T_Insumos,3,FALSE),0)</f>
        <v>0</v>
      </c>
      <c r="G1779" s="453">
        <f t="shared" ref="G1779" si="505">ROUND(E1779*F1779,2)</f>
        <v>0</v>
      </c>
    </row>
    <row r="1780" spans="1:7" ht="19.899999999999999" customHeight="1" x14ac:dyDescent="0.2">
      <c r="A1780" s="494"/>
      <c r="B1780" s="155"/>
      <c r="C1780" s="155"/>
      <c r="D1780" s="440"/>
      <c r="E1780" s="441"/>
      <c r="F1780" s="462" t="s">
        <v>992</v>
      </c>
      <c r="G1780" s="499">
        <f>SUBTOTAL(9,G1778:G1779)</f>
        <v>0</v>
      </c>
    </row>
    <row r="1781" spans="1:7" ht="19.899999999999999" customHeight="1" x14ac:dyDescent="0.2">
      <c r="A1781" s="497"/>
      <c r="B1781" s="440"/>
      <c r="C1781" s="155"/>
      <c r="D1781" s="440"/>
      <c r="E1781" s="441"/>
      <c r="F1781" s="442"/>
      <c r="G1781" s="495"/>
    </row>
    <row r="1782" spans="1:7" ht="19.899999999999999" customHeight="1" x14ac:dyDescent="0.2">
      <c r="A1782" s="555" t="str">
        <f>B1716</f>
        <v>3.3.5</v>
      </c>
      <c r="B1782" s="552" t="str">
        <f ca="1">C1716</f>
        <v>Puente de Adherencia</v>
      </c>
      <c r="C1782" s="440"/>
      <c r="D1782" s="440" t="s">
        <v>1712</v>
      </c>
      <c r="E1782" s="553"/>
      <c r="F1782" s="554" t="str">
        <f ca="1">"$/"&amp;G1716</f>
        <v>$/GL</v>
      </c>
      <c r="G1782" s="504">
        <f>SUBTOTAL(9,G1739:G1781)</f>
        <v>0</v>
      </c>
    </row>
    <row r="1783" spans="1:7" ht="19.899999999999999" customHeight="1" x14ac:dyDescent="0.2">
      <c r="A1783" s="500"/>
      <c r="B1783" s="501"/>
      <c r="C1783" s="502"/>
      <c r="D1783" s="502" t="s">
        <v>1908</v>
      </c>
      <c r="E1783" s="503"/>
      <c r="F1783" s="556" t="str">
        <f ca="1">"$/"&amp;G1716</f>
        <v>$/GL</v>
      </c>
      <c r="G1783" s="504">
        <f>ROUND(G1782*Coeficiente_Paso,2)</f>
        <v>0</v>
      </c>
    </row>
    <row r="1784" spans="1:7" ht="19.899999999999999" customHeight="1" x14ac:dyDescent="0.2">
      <c r="A1784" s="687" t="s">
        <v>31</v>
      </c>
      <c r="B1784" s="688"/>
      <c r="C1784" s="688"/>
      <c r="D1784" s="688"/>
      <c r="E1784" s="688"/>
      <c r="F1784" s="688"/>
      <c r="G1784" s="689"/>
    </row>
    <row r="1785" spans="1:7" ht="19.899999999999999" customHeight="1" x14ac:dyDescent="0.2">
      <c r="A1785" s="483" t="s">
        <v>711</v>
      </c>
      <c r="B1785" s="434" t="str">
        <f>Comitente</f>
        <v>DEPARTAMENTO DE HIDRÁULICA</v>
      </c>
      <c r="C1785" s="435"/>
      <c r="D1785" s="436"/>
      <c r="E1785" s="436"/>
      <c r="F1785" s="437"/>
      <c r="G1785" s="484"/>
    </row>
    <row r="1786" spans="1:7" ht="19.899999999999999" customHeight="1" x14ac:dyDescent="0.2">
      <c r="A1786" s="483" t="s">
        <v>712</v>
      </c>
      <c r="B1786" s="434">
        <f>Contratista</f>
        <v>0</v>
      </c>
      <c r="C1786" s="438"/>
      <c r="D1786" s="438"/>
      <c r="E1786" s="438"/>
      <c r="F1786" s="434"/>
      <c r="G1786" s="485"/>
    </row>
    <row r="1787" spans="1:7" ht="19.899999999999999" customHeight="1" x14ac:dyDescent="0.2">
      <c r="A1787" s="483" t="s">
        <v>21</v>
      </c>
      <c r="B1787" s="434" t="str">
        <f>Obra</f>
        <v>RECRECIMIENTO Y REPARACIÓN CANALES SARMIENTO, 9 DE JULIO Y CHIMBAS</v>
      </c>
      <c r="C1787" s="438"/>
      <c r="D1787" s="438"/>
      <c r="E1787" s="438"/>
      <c r="F1787" s="434" t="s">
        <v>32</v>
      </c>
      <c r="G1787" s="485">
        <f>Fecha_Base</f>
        <v>0</v>
      </c>
    </row>
    <row r="1788" spans="1:7" ht="19.899999999999999" customHeight="1" x14ac:dyDescent="0.2">
      <c r="A1788" s="486" t="s">
        <v>710</v>
      </c>
      <c r="B1788" s="439" t="str">
        <f>Ubicación</f>
        <v>DEPARTAMENTOS SARMIENTO, 9 DE JULIO Y CHIMBAS</v>
      </c>
      <c r="C1788" s="439"/>
      <c r="D1788" s="440"/>
      <c r="E1788" s="441"/>
      <c r="F1788" s="442"/>
      <c r="G1788" s="487"/>
    </row>
    <row r="1789" spans="1:7" ht="19.899999999999999" customHeight="1" x14ac:dyDescent="0.2">
      <c r="A1789" s="486" t="s">
        <v>33</v>
      </c>
      <c r="B1789" s="443">
        <f>IFERROR(VALUE(LEFT(B1790,FIND(".",B1790)-1)),"")</f>
        <v>3</v>
      </c>
      <c r="C1789" s="155" t="str">
        <f ca="1">IFERROR(VLOOKUP(B1789,T_Computo_Presupuesto,2,FALSE),0)</f>
        <v>RECRECIMIENTO C. PASTORIZA-VIDELA</v>
      </c>
      <c r="D1789" s="155"/>
      <c r="E1789" s="441"/>
      <c r="F1789" s="442"/>
      <c r="G1789" s="487"/>
    </row>
    <row r="1790" spans="1:7" ht="19.899999999999999" customHeight="1" x14ac:dyDescent="0.2">
      <c r="A1790" s="486" t="s">
        <v>22</v>
      </c>
      <c r="B1790" s="444" t="str">
        <f>IFERROR(VLOOKUP(COUNTIF($A$1:A1790,"ANALISIS DE PRECIOS"),T_NumeroItem,2,FALSE),"")</f>
        <v>3.3.6</v>
      </c>
      <c r="C1790" s="690" t="str">
        <f ca="1">IFERROR(VLOOKUP(B1790,T_Computo_Presupuesto,2,FALSE),0)</f>
        <v>Juntas de Construccion y Dilatacion</v>
      </c>
      <c r="D1790" s="690"/>
      <c r="E1790" s="690"/>
      <c r="F1790" s="439" t="s">
        <v>23</v>
      </c>
      <c r="G1790" s="488" t="str">
        <f ca="1">IFERROR(VLOOKUP(B1790,T_Computo_Presupuesto,4,FALSE),0)</f>
        <v>ML</v>
      </c>
    </row>
    <row r="1791" spans="1:7" ht="19.899999999999999" customHeight="1" x14ac:dyDescent="0.2">
      <c r="A1791" s="486"/>
      <c r="B1791" s="439"/>
      <c r="C1791" s="155"/>
      <c r="D1791" s="440"/>
      <c r="E1791" s="441"/>
      <c r="F1791" s="155"/>
      <c r="G1791" s="489"/>
    </row>
    <row r="1792" spans="1:7" ht="19.899999999999999" customHeight="1" x14ac:dyDescent="0.2">
      <c r="A1792" s="490"/>
      <c r="B1792" s="445"/>
      <c r="C1792" s="446" t="s">
        <v>975</v>
      </c>
      <c r="D1792" s="445"/>
      <c r="E1792" s="445"/>
      <c r="F1792" s="445"/>
      <c r="G1792" s="491"/>
    </row>
    <row r="1793" spans="1:7" ht="19.899999999999999" customHeight="1" x14ac:dyDescent="0.2">
      <c r="A1793" s="486"/>
      <c r="B1793" s="447"/>
      <c r="C1793" s="155"/>
      <c r="D1793" s="440"/>
      <c r="E1793" s="441"/>
      <c r="F1793" s="439"/>
      <c r="G1793" s="488"/>
    </row>
    <row r="1794" spans="1:7" ht="19.899999999999999" customHeight="1" x14ac:dyDescent="0.2">
      <c r="A1794" s="486"/>
      <c r="B1794" s="447"/>
      <c r="C1794" s="448" t="s">
        <v>976</v>
      </c>
      <c r="D1794" s="449" t="s">
        <v>24</v>
      </c>
      <c r="E1794" s="449" t="s">
        <v>977</v>
      </c>
      <c r="F1794" s="449" t="s">
        <v>978</v>
      </c>
      <c r="G1794" s="448" t="s">
        <v>979</v>
      </c>
    </row>
    <row r="1795" spans="1:7" ht="19.899999999999999" customHeight="1" x14ac:dyDescent="0.2">
      <c r="A1795" s="486"/>
      <c r="B1795" s="447"/>
      <c r="C1795" s="450">
        <f>+Equipos!A1349</f>
        <v>0</v>
      </c>
      <c r="D1795" s="451"/>
      <c r="E1795" s="452">
        <f t="shared" ref="E1795:E1804" si="506">IFERROR(VLOOKUP(C1795,T_Equipos,4,FALSE),0)</f>
        <v>0</v>
      </c>
      <c r="F1795" s="453">
        <f t="shared" ref="F1795:F1804" si="507">IFERROR(VLOOKUP(C1795,T_Equipos,5,FALSE),0)</f>
        <v>0</v>
      </c>
      <c r="G1795" s="453">
        <f>ROUND(D1795*F1795,2)</f>
        <v>0</v>
      </c>
    </row>
    <row r="1796" spans="1:7" ht="19.899999999999999" customHeight="1" x14ac:dyDescent="0.2">
      <c r="A1796" s="486"/>
      <c r="B1796" s="447"/>
      <c r="C1796" s="450">
        <f>+Equipos!A1346</f>
        <v>0</v>
      </c>
      <c r="D1796" s="451"/>
      <c r="E1796" s="452">
        <f t="shared" si="506"/>
        <v>0</v>
      </c>
      <c r="F1796" s="453">
        <f t="shared" si="507"/>
        <v>0</v>
      </c>
      <c r="G1796" s="453">
        <f>ROUND(D1796*F1796,2)</f>
        <v>0</v>
      </c>
    </row>
    <row r="1797" spans="1:7" ht="19.899999999999999" customHeight="1" x14ac:dyDescent="0.2">
      <c r="A1797" s="486"/>
      <c r="B1797" s="447"/>
      <c r="C1797" s="450">
        <f>+Equipos!A1358</f>
        <v>0</v>
      </c>
      <c r="D1797" s="451"/>
      <c r="E1797" s="452">
        <f t="shared" si="506"/>
        <v>0</v>
      </c>
      <c r="F1797" s="453">
        <f t="shared" si="507"/>
        <v>0</v>
      </c>
      <c r="G1797" s="453">
        <f>ROUND(D1797*F1797,2)</f>
        <v>0</v>
      </c>
    </row>
    <row r="1798" spans="1:7" ht="19.899999999999999" customHeight="1" x14ac:dyDescent="0.2">
      <c r="A1798" s="486"/>
      <c r="B1798" s="447"/>
      <c r="C1798" s="450">
        <f>+Equipos!A1366</f>
        <v>0</v>
      </c>
      <c r="D1798" s="451"/>
      <c r="E1798" s="452">
        <f t="shared" si="506"/>
        <v>0</v>
      </c>
      <c r="F1798" s="453">
        <f t="shared" si="507"/>
        <v>0</v>
      </c>
      <c r="G1798" s="453">
        <f>ROUND(D1798*F1798,2)</f>
        <v>0</v>
      </c>
    </row>
    <row r="1799" spans="1:7" ht="19.899999999999999" customHeight="1" x14ac:dyDescent="0.2">
      <c r="A1799" s="486"/>
      <c r="B1799" s="447"/>
      <c r="C1799" s="450">
        <f>+Equipos!A1355</f>
        <v>0</v>
      </c>
      <c r="D1799" s="623"/>
      <c r="E1799" s="452">
        <f t="shared" si="506"/>
        <v>0</v>
      </c>
      <c r="F1799" s="453">
        <f t="shared" si="507"/>
        <v>0</v>
      </c>
      <c r="G1799" s="453">
        <f t="shared" ref="G1799:G1804" si="508">ROUND(D1799*F1799,2)</f>
        <v>0</v>
      </c>
    </row>
    <row r="1800" spans="1:7" ht="19.899999999999999" customHeight="1" x14ac:dyDescent="0.2">
      <c r="A1800" s="486"/>
      <c r="B1800" s="447"/>
      <c r="C1800" s="450">
        <f>+Equipos!A1351</f>
        <v>0</v>
      </c>
      <c r="D1800" s="451"/>
      <c r="E1800" s="452">
        <f t="shared" si="506"/>
        <v>0</v>
      </c>
      <c r="F1800" s="453">
        <f t="shared" si="507"/>
        <v>0</v>
      </c>
      <c r="G1800" s="453">
        <f t="shared" si="508"/>
        <v>0</v>
      </c>
    </row>
    <row r="1801" spans="1:7" ht="19.899999999999999" customHeight="1" x14ac:dyDescent="0.2">
      <c r="A1801" s="486"/>
      <c r="B1801" s="447"/>
      <c r="C1801" s="450"/>
      <c r="D1801" s="451"/>
      <c r="E1801" s="452">
        <f t="shared" si="506"/>
        <v>0</v>
      </c>
      <c r="F1801" s="453">
        <f t="shared" si="507"/>
        <v>0</v>
      </c>
      <c r="G1801" s="453">
        <f t="shared" si="508"/>
        <v>0</v>
      </c>
    </row>
    <row r="1802" spans="1:7" ht="19.899999999999999" customHeight="1" x14ac:dyDescent="0.2">
      <c r="A1802" s="486"/>
      <c r="B1802" s="447"/>
      <c r="C1802" s="450"/>
      <c r="D1802" s="451"/>
      <c r="E1802" s="452">
        <f t="shared" si="506"/>
        <v>0</v>
      </c>
      <c r="F1802" s="453">
        <f t="shared" si="507"/>
        <v>0</v>
      </c>
      <c r="G1802" s="453">
        <f t="shared" si="508"/>
        <v>0</v>
      </c>
    </row>
    <row r="1803" spans="1:7" ht="19.899999999999999" customHeight="1" x14ac:dyDescent="0.2">
      <c r="A1803" s="486"/>
      <c r="B1803" s="447"/>
      <c r="C1803" s="450"/>
      <c r="D1803" s="451"/>
      <c r="E1803" s="452">
        <f t="shared" si="506"/>
        <v>0</v>
      </c>
      <c r="F1803" s="453">
        <f t="shared" si="507"/>
        <v>0</v>
      </c>
      <c r="G1803" s="453">
        <f t="shared" si="508"/>
        <v>0</v>
      </c>
    </row>
    <row r="1804" spans="1:7" ht="19.899999999999999" customHeight="1" x14ac:dyDescent="0.2">
      <c r="A1804" s="486"/>
      <c r="B1804" s="447"/>
      <c r="C1804" s="450"/>
      <c r="D1804" s="451"/>
      <c r="E1804" s="452">
        <f t="shared" si="506"/>
        <v>0</v>
      </c>
      <c r="F1804" s="453">
        <f t="shared" si="507"/>
        <v>0</v>
      </c>
      <c r="G1804" s="453">
        <f t="shared" si="508"/>
        <v>0</v>
      </c>
    </row>
    <row r="1805" spans="1:7" ht="19.899999999999999" customHeight="1" x14ac:dyDescent="0.2">
      <c r="A1805" s="486"/>
      <c r="B1805" s="447"/>
      <c r="C1805" s="155"/>
      <c r="D1805" s="155"/>
      <c r="E1805" s="454"/>
      <c r="F1805" s="439"/>
      <c r="G1805" s="488"/>
    </row>
    <row r="1806" spans="1:7" ht="19.899999999999999" customHeight="1" x14ac:dyDescent="0.2">
      <c r="A1806" s="486"/>
      <c r="B1806" s="155"/>
      <c r="C1806" s="436" t="s">
        <v>980</v>
      </c>
      <c r="D1806" s="439" t="s">
        <v>977</v>
      </c>
      <c r="E1806" s="505">
        <f>SUMPRODUCT(D1795:D1804,E1795:E1804)</f>
        <v>0</v>
      </c>
      <c r="F1806" s="439" t="s">
        <v>981</v>
      </c>
      <c r="G1806" s="506">
        <f>SUM(G1795:G1804)</f>
        <v>0</v>
      </c>
    </row>
    <row r="1807" spans="1:7" ht="19.899999999999999" customHeight="1" x14ac:dyDescent="0.2">
      <c r="A1807" s="486"/>
      <c r="B1807" s="447"/>
      <c r="C1807" s="455"/>
      <c r="D1807" s="454"/>
      <c r="E1807" s="441"/>
      <c r="F1807" s="439"/>
      <c r="G1807" s="492"/>
    </row>
    <row r="1808" spans="1:7" ht="19.899999999999999" customHeight="1" x14ac:dyDescent="0.2">
      <c r="A1808" s="493"/>
      <c r="B1808" s="447"/>
      <c r="C1808" s="439" t="s">
        <v>982</v>
      </c>
      <c r="D1808" s="456">
        <f>IFERROR(VLOOKUP(COUNTIF($A$1:A1808,"ANALISIS DE PRECIOS"),T_Rendimiento_Equipo,5,FALSE),0)</f>
        <v>0</v>
      </c>
      <c r="E1808" s="457" t="str">
        <f ca="1">G1790&amp;"/día"</f>
        <v>ML/día</v>
      </c>
      <c r="F1808" s="433"/>
      <c r="G1808" s="488"/>
    </row>
    <row r="1809" spans="1:7" ht="19.899999999999999" customHeight="1" x14ac:dyDescent="0.2">
      <c r="A1809" s="486"/>
      <c r="B1809" s="447"/>
      <c r="C1809" s="155"/>
      <c r="D1809" s="440"/>
      <c r="E1809" s="441"/>
      <c r="F1809" s="439"/>
      <c r="G1809" s="488"/>
    </row>
    <row r="1810" spans="1:7" ht="19.899999999999999" customHeight="1" x14ac:dyDescent="0.2">
      <c r="A1810" s="677" t="s">
        <v>576</v>
      </c>
      <c r="B1810" s="678"/>
      <c r="C1810" s="679" t="s">
        <v>0</v>
      </c>
      <c r="D1810" s="691" t="s">
        <v>1732</v>
      </c>
      <c r="E1810" s="691" t="s">
        <v>1731</v>
      </c>
      <c r="F1810" s="683" t="s">
        <v>983</v>
      </c>
      <c r="G1810" s="685" t="s">
        <v>26</v>
      </c>
    </row>
    <row r="1811" spans="1:7" ht="19.899999999999999" customHeight="1" x14ac:dyDescent="0.2">
      <c r="A1811" s="458" t="s">
        <v>577</v>
      </c>
      <c r="B1811" s="458" t="s">
        <v>578</v>
      </c>
      <c r="C1811" s="680"/>
      <c r="D1811" s="692"/>
      <c r="E1811" s="682"/>
      <c r="F1811" s="684"/>
      <c r="G1811" s="686"/>
    </row>
    <row r="1812" spans="1:7" ht="19.899999999999999" customHeight="1" x14ac:dyDescent="0.2">
      <c r="A1812" s="494"/>
      <c r="B1812" s="155"/>
      <c r="C1812" s="436" t="s">
        <v>984</v>
      </c>
      <c r="D1812" s="441"/>
      <c r="E1812" s="441"/>
      <c r="F1812" s="155"/>
      <c r="G1812" s="495"/>
    </row>
    <row r="1813" spans="1:7" ht="19.899999999999999" customHeight="1" x14ac:dyDescent="0.2">
      <c r="A1813" s="496">
        <f t="shared" ref="A1813:A1821" si="509">IFERROR(VLOOKUP(C1813,T_Insumos,4,FALSE),0)</f>
        <v>0</v>
      </c>
      <c r="B1813" s="459">
        <f t="shared" ref="B1813:B1821" si="510">IFERROR(VLOOKUP(C1813,T_Insumos,5,FALSE),0)</f>
        <v>0</v>
      </c>
      <c r="C1813" s="450">
        <f>+C1363</f>
        <v>0</v>
      </c>
      <c r="D1813" s="460">
        <f t="shared" ref="D1813:D1821" si="511">IFERROR(VLOOKUP(C1813,T_Insumos,3,FALSE),0)</f>
        <v>0</v>
      </c>
      <c r="E1813" s="453">
        <f>D1813*$G$473</f>
        <v>0</v>
      </c>
      <c r="F1813" s="456">
        <f>IF(C1813="",0,IFERROR(VLOOKUP(COUNTIF($A$1:A1813,"ANALISIS DE PRECIOS"),T_Rendimiento_Equipo,5,FALSE),0))</f>
        <v>0</v>
      </c>
      <c r="G1813" s="453">
        <f>IFERROR(ROUND(E1813/F1813,2),0)</f>
        <v>0</v>
      </c>
    </row>
    <row r="1814" spans="1:7" ht="19.899999999999999" customHeight="1" x14ac:dyDescent="0.2">
      <c r="A1814" s="496">
        <f t="shared" si="509"/>
        <v>0</v>
      </c>
      <c r="B1814" s="459">
        <f t="shared" si="510"/>
        <v>0</v>
      </c>
      <c r="C1814" s="450" t="str">
        <f t="shared" ref="C1814:C1816" si="512">+C1364</f>
        <v>Rendimiento equipo de producción</v>
      </c>
      <c r="D1814" s="460">
        <f t="shared" si="511"/>
        <v>0</v>
      </c>
      <c r="E1814" s="453">
        <f t="shared" ref="E1814:E1815" si="513">D1814*$G$473</f>
        <v>0</v>
      </c>
      <c r="F1814" s="456">
        <f>IF(C1814="",0,IFERROR(VLOOKUP(COUNTIF($A$1:A1814,"ANALISIS DE PRECIOS"),T_Rendimiento_Equipo,5,FALSE),0))</f>
        <v>0</v>
      </c>
      <c r="G1814" s="453">
        <f t="shared" ref="G1814:G1821" si="514">IFERROR(ROUND(E1814/F1814,2),0)</f>
        <v>0</v>
      </c>
    </row>
    <row r="1815" spans="1:7" ht="19.899999999999999" customHeight="1" x14ac:dyDescent="0.2">
      <c r="A1815" s="496">
        <f t="shared" si="509"/>
        <v>0</v>
      </c>
      <c r="B1815" s="459">
        <f t="shared" si="510"/>
        <v>0</v>
      </c>
      <c r="C1815" s="450">
        <f t="shared" si="512"/>
        <v>0</v>
      </c>
      <c r="D1815" s="460">
        <f t="shared" si="511"/>
        <v>0</v>
      </c>
      <c r="E1815" s="453">
        <f t="shared" si="513"/>
        <v>0</v>
      </c>
      <c r="F1815" s="456">
        <f>IF(C1815="",0,IFERROR(VLOOKUP(COUNTIF($A$1:A1815,"ANALISIS DE PRECIOS"),T_Rendimiento_Equipo,5,FALSE),0))</f>
        <v>0</v>
      </c>
      <c r="G1815" s="453">
        <f t="shared" si="514"/>
        <v>0</v>
      </c>
    </row>
    <row r="1816" spans="1:7" ht="19.899999999999999" customHeight="1" x14ac:dyDescent="0.2">
      <c r="A1816" s="496">
        <f t="shared" si="509"/>
        <v>0</v>
      </c>
      <c r="B1816" s="459">
        <f t="shared" si="510"/>
        <v>0</v>
      </c>
      <c r="C1816" s="450" t="str">
        <f t="shared" si="512"/>
        <v>DESIGNACION</v>
      </c>
      <c r="D1816" s="460">
        <f t="shared" si="511"/>
        <v>0</v>
      </c>
      <c r="E1816" s="453">
        <f>D1816*$E$473</f>
        <v>0</v>
      </c>
      <c r="F1816" s="456">
        <f>IF(C1816="",0,IFERROR(VLOOKUP(COUNTIF($A$1:A1816,"ANALISIS DE PRECIOS"),T_Rendimiento_Equipo,5,FALSE),0))</f>
        <v>0</v>
      </c>
      <c r="G1816" s="453">
        <f t="shared" si="514"/>
        <v>0</v>
      </c>
    </row>
    <row r="1817" spans="1:7" ht="19.899999999999999" customHeight="1" x14ac:dyDescent="0.2">
      <c r="A1817" s="496">
        <f t="shared" si="509"/>
        <v>0</v>
      </c>
      <c r="B1817" s="459">
        <f t="shared" si="510"/>
        <v>0</v>
      </c>
      <c r="C1817" s="461"/>
      <c r="D1817" s="460">
        <f t="shared" si="511"/>
        <v>0</v>
      </c>
      <c r="E1817" s="453"/>
      <c r="F1817" s="456">
        <f>IF(C1817="",0,IFERROR(VLOOKUP(COUNTIF($A$1:A1817,"ANALISIS DE PRECIOS"),T_Rendimiento_Equipo,5,FALSE),0))</f>
        <v>0</v>
      </c>
      <c r="G1817" s="453">
        <f t="shared" si="514"/>
        <v>0</v>
      </c>
    </row>
    <row r="1818" spans="1:7" ht="19.899999999999999" customHeight="1" x14ac:dyDescent="0.2">
      <c r="A1818" s="496">
        <f t="shared" si="509"/>
        <v>0</v>
      </c>
      <c r="B1818" s="459">
        <f t="shared" si="510"/>
        <v>0</v>
      </c>
      <c r="C1818" s="461"/>
      <c r="D1818" s="460">
        <f t="shared" si="511"/>
        <v>0</v>
      </c>
      <c r="E1818" s="453"/>
      <c r="F1818" s="456">
        <f>IF(C1818="",0,IFERROR(VLOOKUP(COUNTIF($A$1:A1818,"ANALISIS DE PRECIOS"),T_Rendimiento_Equipo,5,FALSE),0))</f>
        <v>0</v>
      </c>
      <c r="G1818" s="453">
        <f t="shared" si="514"/>
        <v>0</v>
      </c>
    </row>
    <row r="1819" spans="1:7" ht="19.899999999999999" customHeight="1" x14ac:dyDescent="0.2">
      <c r="A1819" s="496">
        <f t="shared" si="509"/>
        <v>0</v>
      </c>
      <c r="B1819" s="459">
        <f t="shared" si="510"/>
        <v>0</v>
      </c>
      <c r="C1819" s="461"/>
      <c r="D1819" s="460">
        <f t="shared" si="511"/>
        <v>0</v>
      </c>
      <c r="E1819" s="453"/>
      <c r="F1819" s="456">
        <f>IF(C1819="",0,IFERROR(VLOOKUP(COUNTIF($A$1:A1819,"ANALISIS DE PRECIOS"),T_Rendimiento_Equipo,5,FALSE),0))</f>
        <v>0</v>
      </c>
      <c r="G1819" s="453">
        <f t="shared" si="514"/>
        <v>0</v>
      </c>
    </row>
    <row r="1820" spans="1:7" ht="19.899999999999999" customHeight="1" x14ac:dyDescent="0.2">
      <c r="A1820" s="496">
        <f t="shared" si="509"/>
        <v>0</v>
      </c>
      <c r="B1820" s="459">
        <f t="shared" si="510"/>
        <v>0</v>
      </c>
      <c r="C1820" s="461"/>
      <c r="D1820" s="460">
        <f t="shared" si="511"/>
        <v>0</v>
      </c>
      <c r="E1820" s="453"/>
      <c r="F1820" s="456">
        <f>IF(C1820="",0,IFERROR(VLOOKUP(COUNTIF($A$1:A1820,"ANALISIS DE PRECIOS"),T_Rendimiento_Equipo,5,FALSE),0))</f>
        <v>0</v>
      </c>
      <c r="G1820" s="453">
        <f t="shared" si="514"/>
        <v>0</v>
      </c>
    </row>
    <row r="1821" spans="1:7" ht="19.899999999999999" customHeight="1" x14ac:dyDescent="0.2">
      <c r="A1821" s="496">
        <f t="shared" si="509"/>
        <v>0</v>
      </c>
      <c r="B1821" s="459">
        <f t="shared" si="510"/>
        <v>0</v>
      </c>
      <c r="C1821" s="450"/>
      <c r="D1821" s="460">
        <f t="shared" si="511"/>
        <v>0</v>
      </c>
      <c r="E1821" s="453"/>
      <c r="F1821" s="456">
        <f>IF(C1821="",0,IFERROR(VLOOKUP(COUNTIF($A$1:A1821,"ANALISIS DE PRECIOS"),T_Rendimiento_Equipo,5,FALSE),0))</f>
        <v>0</v>
      </c>
      <c r="G1821" s="453">
        <f t="shared" si="514"/>
        <v>0</v>
      </c>
    </row>
    <row r="1822" spans="1:7" ht="19.899999999999999" customHeight="1" x14ac:dyDescent="0.2">
      <c r="A1822" s="497"/>
      <c r="B1822" s="440"/>
      <c r="C1822" s="155"/>
      <c r="D1822" s="440"/>
      <c r="E1822" s="441"/>
      <c r="F1822" s="462" t="s">
        <v>27</v>
      </c>
      <c r="G1822" s="498">
        <f>SUBTOTAL(9,G1813:G1821)</f>
        <v>0</v>
      </c>
    </row>
    <row r="1823" spans="1:7" ht="19.899999999999999" customHeight="1" x14ac:dyDescent="0.2">
      <c r="A1823" s="494"/>
      <c r="B1823" s="155"/>
      <c r="C1823" s="436" t="s">
        <v>713</v>
      </c>
      <c r="D1823" s="440"/>
      <c r="E1823" s="441"/>
      <c r="F1823" s="442"/>
      <c r="G1823" s="495"/>
    </row>
    <row r="1824" spans="1:7" ht="19.899999999999999" customHeight="1" x14ac:dyDescent="0.2">
      <c r="A1824" s="677" t="s">
        <v>576</v>
      </c>
      <c r="B1824" s="678"/>
      <c r="C1824" s="679" t="s">
        <v>0</v>
      </c>
      <c r="D1824" s="681" t="s">
        <v>24</v>
      </c>
      <c r="E1824" s="681" t="s">
        <v>1711</v>
      </c>
      <c r="F1824" s="683" t="s">
        <v>983</v>
      </c>
      <c r="G1824" s="685" t="s">
        <v>26</v>
      </c>
    </row>
    <row r="1825" spans="1:7" ht="19.899999999999999" customHeight="1" x14ac:dyDescent="0.2">
      <c r="A1825" s="458" t="s">
        <v>577</v>
      </c>
      <c r="B1825" s="458" t="s">
        <v>578</v>
      </c>
      <c r="C1825" s="680"/>
      <c r="D1825" s="682"/>
      <c r="E1825" s="682"/>
      <c r="F1825" s="684"/>
      <c r="G1825" s="686"/>
    </row>
    <row r="1826" spans="1:7" ht="19.899999999999999" customHeight="1" x14ac:dyDescent="0.2">
      <c r="A1826" s="496">
        <f t="shared" ref="A1826:A1832" si="515">IFERROR(VLOOKUP(C1826,T_Insumos,4,FALSE),0)</f>
        <v>0</v>
      </c>
      <c r="B1826" s="459">
        <f t="shared" ref="B1826:B1832" si="516">IFERROR(VLOOKUP(C1826,T_Insumos,5,FALSE),0)</f>
        <v>0</v>
      </c>
      <c r="C1826" s="463">
        <f>+C1376</f>
        <v>0</v>
      </c>
      <c r="D1826" s="456"/>
      <c r="E1826" s="453">
        <f t="shared" ref="E1826:E1832" si="517">IFERROR(VLOOKUP(C1826,T_Insumos,3,FALSE),0)</f>
        <v>0</v>
      </c>
      <c r="F1826" s="456">
        <f>IF(C1826="",0,IFERROR(VLOOKUP(COUNTIF($A$1:A1826,"ANALISIS DE PRECIOS"),T_Rendimiento_Equipo,5,FALSE),0))</f>
        <v>0</v>
      </c>
      <c r="G1826" s="453">
        <f>IFERROR(ROUND(D1826*E1826/F1826,2),0)</f>
        <v>0</v>
      </c>
    </row>
    <row r="1827" spans="1:7" ht="19.899999999999999" customHeight="1" x14ac:dyDescent="0.2">
      <c r="A1827" s="496">
        <f t="shared" si="515"/>
        <v>0</v>
      </c>
      <c r="B1827" s="459">
        <f t="shared" si="516"/>
        <v>0</v>
      </c>
      <c r="C1827" s="463">
        <f t="shared" ref="C1827:C1829" si="518">+C1377</f>
        <v>0</v>
      </c>
      <c r="D1827" s="456"/>
      <c r="E1827" s="453">
        <f t="shared" si="517"/>
        <v>0</v>
      </c>
      <c r="F1827" s="456">
        <f>IF(C1827="",0,IFERROR(VLOOKUP(COUNTIF($A$1:A1827,"ANALISIS DE PRECIOS"),T_Rendimiento_Equipo,5,FALSE),0))</f>
        <v>0</v>
      </c>
      <c r="G1827" s="453">
        <f t="shared" ref="G1827:G1832" si="519">IFERROR(ROUND(D1827*E1827/F1827,2),0)</f>
        <v>0</v>
      </c>
    </row>
    <row r="1828" spans="1:7" ht="19.899999999999999" customHeight="1" x14ac:dyDescent="0.2">
      <c r="A1828" s="496">
        <f t="shared" si="515"/>
        <v>0</v>
      </c>
      <c r="B1828" s="459">
        <f t="shared" si="516"/>
        <v>0</v>
      </c>
      <c r="C1828" s="463">
        <f t="shared" si="518"/>
        <v>0</v>
      </c>
      <c r="D1828" s="456"/>
      <c r="E1828" s="453">
        <f t="shared" si="517"/>
        <v>0</v>
      </c>
      <c r="F1828" s="456">
        <f>IF(C1828="",0,IFERROR(VLOOKUP(COUNTIF($A$1:A1828,"ANALISIS DE PRECIOS"),T_Rendimiento_Equipo,5,FALSE),0))</f>
        <v>0</v>
      </c>
      <c r="G1828" s="453">
        <f t="shared" si="519"/>
        <v>0</v>
      </c>
    </row>
    <row r="1829" spans="1:7" ht="19.899999999999999" customHeight="1" x14ac:dyDescent="0.2">
      <c r="A1829" s="496">
        <f t="shared" si="515"/>
        <v>0</v>
      </c>
      <c r="B1829" s="459">
        <f t="shared" si="516"/>
        <v>0</v>
      </c>
      <c r="C1829" s="463" t="str">
        <f t="shared" si="518"/>
        <v>B - MANO DE OBRA</v>
      </c>
      <c r="D1829" s="456"/>
      <c r="E1829" s="453">
        <f t="shared" si="517"/>
        <v>0</v>
      </c>
      <c r="F1829" s="456">
        <f>IF(C1829="",0,IFERROR(VLOOKUP(COUNTIF($A$1:A1829,"ANALISIS DE PRECIOS"),T_Rendimiento_Equipo,5,FALSE),0))</f>
        <v>0</v>
      </c>
      <c r="G1829" s="453">
        <f>IFERROR(ROUND(D1829*E1829/F1829,2),0)</f>
        <v>0</v>
      </c>
    </row>
    <row r="1830" spans="1:7" ht="19.899999999999999" customHeight="1" x14ac:dyDescent="0.2">
      <c r="A1830" s="496">
        <f t="shared" si="515"/>
        <v>0</v>
      </c>
      <c r="B1830" s="459">
        <f t="shared" si="516"/>
        <v>0</v>
      </c>
      <c r="C1830" s="450"/>
      <c r="D1830" s="456"/>
      <c r="E1830" s="453">
        <f t="shared" si="517"/>
        <v>0</v>
      </c>
      <c r="F1830" s="456">
        <f>IF(C1830="",0,IFERROR(VLOOKUP(COUNTIF($A$1:A1830,"ANALISIS DE PRECIOS"),T_Rendimiento_Equipo,5,FALSE),0))</f>
        <v>0</v>
      </c>
      <c r="G1830" s="453">
        <f t="shared" ref="G1830:G1835" si="520">IFERROR(ROUND(D1830*E1830/F1830,2),0)</f>
        <v>0</v>
      </c>
    </row>
    <row r="1831" spans="1:7" ht="19.899999999999999" customHeight="1" x14ac:dyDescent="0.2">
      <c r="A1831" s="496">
        <f t="shared" si="515"/>
        <v>0</v>
      </c>
      <c r="B1831" s="459">
        <f t="shared" si="516"/>
        <v>0</v>
      </c>
      <c r="C1831" s="450"/>
      <c r="D1831" s="464"/>
      <c r="E1831" s="453">
        <f t="shared" si="517"/>
        <v>0</v>
      </c>
      <c r="F1831" s="456">
        <f>IF(C1831="",0,IFERROR(VLOOKUP(COUNTIF($A$1:A1831,"ANALISIS DE PRECIOS"),T_Rendimiento_Equipo,5,FALSE),0))</f>
        <v>0</v>
      </c>
      <c r="G1831" s="453">
        <f t="shared" si="520"/>
        <v>0</v>
      </c>
    </row>
    <row r="1832" spans="1:7" ht="19.899999999999999" customHeight="1" x14ac:dyDescent="0.2">
      <c r="A1832" s="496">
        <f t="shared" si="515"/>
        <v>0</v>
      </c>
      <c r="B1832" s="459">
        <f t="shared" si="516"/>
        <v>0</v>
      </c>
      <c r="C1832" s="459"/>
      <c r="D1832" s="465"/>
      <c r="E1832" s="453">
        <f t="shared" si="517"/>
        <v>0</v>
      </c>
      <c r="F1832" s="456">
        <f>IF(C1832="",0,IFERROR(VLOOKUP(COUNTIF($A$1:A1832,"ANALISIS DE PRECIOS"),T_Rendimiento_Equipo,5,FALSE),0))</f>
        <v>0</v>
      </c>
      <c r="G1832" s="453">
        <f t="shared" si="520"/>
        <v>0</v>
      </c>
    </row>
    <row r="1833" spans="1:7" ht="19.899999999999999" customHeight="1" x14ac:dyDescent="0.2">
      <c r="A1833" s="497"/>
      <c r="B1833" s="440"/>
      <c r="C1833" s="155"/>
      <c r="D1833" s="440"/>
      <c r="E1833" s="441"/>
      <c r="F1833" s="462" t="s">
        <v>28</v>
      </c>
      <c r="G1833" s="499">
        <f>SUBTOTAL(9,G1826:G1832)</f>
        <v>0</v>
      </c>
    </row>
    <row r="1834" spans="1:7" ht="19.899999999999999" customHeight="1" x14ac:dyDescent="0.2">
      <c r="A1834" s="494"/>
      <c r="B1834" s="155"/>
      <c r="C1834" s="436" t="s">
        <v>990</v>
      </c>
      <c r="D1834" s="440"/>
      <c r="E1834" s="441"/>
      <c r="F1834" s="442"/>
      <c r="G1834" s="495"/>
    </row>
    <row r="1835" spans="1:7" ht="19.899999999999999" customHeight="1" x14ac:dyDescent="0.2">
      <c r="A1835" s="677" t="s">
        <v>576</v>
      </c>
      <c r="B1835" s="678"/>
      <c r="C1835" s="679" t="s">
        <v>0</v>
      </c>
      <c r="D1835" s="679" t="s">
        <v>1733</v>
      </c>
      <c r="E1835" s="681" t="s">
        <v>24</v>
      </c>
      <c r="F1835" s="683" t="s">
        <v>25</v>
      </c>
      <c r="G1835" s="685" t="s">
        <v>26</v>
      </c>
    </row>
    <row r="1836" spans="1:7" ht="19.899999999999999" customHeight="1" x14ac:dyDescent="0.2">
      <c r="A1836" s="458" t="s">
        <v>577</v>
      </c>
      <c r="B1836" s="458" t="s">
        <v>578</v>
      </c>
      <c r="C1836" s="680"/>
      <c r="D1836" s="680"/>
      <c r="E1836" s="682"/>
      <c r="F1836" s="684"/>
      <c r="G1836" s="686"/>
    </row>
    <row r="1837" spans="1:7" ht="19.899999999999999" customHeight="1" x14ac:dyDescent="0.2">
      <c r="A1837" s="496">
        <f t="shared" ref="A1837:A1847" si="521">IFERROR(VLOOKUP(C1837,T_Insumos,4,FALSE),0)</f>
        <v>0</v>
      </c>
      <c r="B1837" s="459">
        <f t="shared" ref="B1837:B1847" si="522">IFERROR(VLOOKUP(C1837,T_Insumos,5,FALSE),0)</f>
        <v>0</v>
      </c>
      <c r="C1837" s="459">
        <f>+Insumos!A1384</f>
        <v>0</v>
      </c>
      <c r="D1837" s="507">
        <f t="shared" ref="D1837:D1847" si="523">IFERROR(VLOOKUP(C1837,T_Insumos,2,FALSE),0)</f>
        <v>0</v>
      </c>
      <c r="E1837" s="451"/>
      <c r="F1837" s="453">
        <f t="shared" ref="F1837:F1847" si="524">IFERROR(VLOOKUP(C1837,T_Insumos,3,FALSE),0)</f>
        <v>0</v>
      </c>
      <c r="G1837" s="453">
        <f>ROUND(E1837*F1837,2)</f>
        <v>0</v>
      </c>
    </row>
    <row r="1838" spans="1:7" ht="19.899999999999999" customHeight="1" x14ac:dyDescent="0.2">
      <c r="A1838" s="496">
        <f t="shared" si="521"/>
        <v>0</v>
      </c>
      <c r="B1838" s="459">
        <f t="shared" si="522"/>
        <v>0</v>
      </c>
      <c r="C1838" s="459">
        <f>+Insumos!A1426</f>
        <v>0</v>
      </c>
      <c r="D1838" s="507">
        <f t="shared" si="523"/>
        <v>0</v>
      </c>
      <c r="E1838" s="451"/>
      <c r="F1838" s="453">
        <f t="shared" si="524"/>
        <v>0</v>
      </c>
      <c r="G1838" s="453">
        <f>ROUND(E1838*F1838,2)</f>
        <v>0</v>
      </c>
    </row>
    <row r="1839" spans="1:7" ht="19.899999999999999" customHeight="1" x14ac:dyDescent="0.2">
      <c r="A1839" s="496">
        <f t="shared" si="521"/>
        <v>0</v>
      </c>
      <c r="B1839" s="459">
        <f t="shared" si="522"/>
        <v>0</v>
      </c>
      <c r="C1839" s="459"/>
      <c r="D1839" s="507">
        <f t="shared" si="523"/>
        <v>0</v>
      </c>
      <c r="E1839" s="451"/>
      <c r="F1839" s="453">
        <f t="shared" si="524"/>
        <v>0</v>
      </c>
      <c r="G1839" s="453">
        <f t="shared" ref="G1839:G1847" si="525">ROUND(E1839*F1839,2)</f>
        <v>0</v>
      </c>
    </row>
    <row r="1840" spans="1:7" ht="19.899999999999999" customHeight="1" x14ac:dyDescent="0.2">
      <c r="A1840" s="496">
        <f t="shared" si="521"/>
        <v>0</v>
      </c>
      <c r="B1840" s="459">
        <f t="shared" si="522"/>
        <v>0</v>
      </c>
      <c r="C1840" s="459"/>
      <c r="D1840" s="507">
        <f t="shared" si="523"/>
        <v>0</v>
      </c>
      <c r="E1840" s="451"/>
      <c r="F1840" s="453">
        <f t="shared" si="524"/>
        <v>0</v>
      </c>
      <c r="G1840" s="453">
        <f t="shared" si="525"/>
        <v>0</v>
      </c>
    </row>
    <row r="1841" spans="1:7" ht="19.899999999999999" customHeight="1" x14ac:dyDescent="0.2">
      <c r="A1841" s="496">
        <f t="shared" si="521"/>
        <v>0</v>
      </c>
      <c r="B1841" s="459">
        <f t="shared" si="522"/>
        <v>0</v>
      </c>
      <c r="C1841" s="459"/>
      <c r="D1841" s="507">
        <f t="shared" si="523"/>
        <v>0</v>
      </c>
      <c r="E1841" s="451"/>
      <c r="F1841" s="453">
        <f t="shared" si="524"/>
        <v>0</v>
      </c>
      <c r="G1841" s="453">
        <f t="shared" si="525"/>
        <v>0</v>
      </c>
    </row>
    <row r="1842" spans="1:7" ht="19.899999999999999" customHeight="1" x14ac:dyDescent="0.2">
      <c r="A1842" s="496">
        <f t="shared" si="521"/>
        <v>0</v>
      </c>
      <c r="B1842" s="459">
        <f t="shared" si="522"/>
        <v>0</v>
      </c>
      <c r="C1842" s="459"/>
      <c r="D1842" s="507">
        <f t="shared" si="523"/>
        <v>0</v>
      </c>
      <c r="E1842" s="451"/>
      <c r="F1842" s="453">
        <f t="shared" si="524"/>
        <v>0</v>
      </c>
      <c r="G1842" s="453">
        <f t="shared" si="525"/>
        <v>0</v>
      </c>
    </row>
    <row r="1843" spans="1:7" ht="19.899999999999999" customHeight="1" x14ac:dyDescent="0.2">
      <c r="A1843" s="496">
        <f t="shared" si="521"/>
        <v>0</v>
      </c>
      <c r="B1843" s="459">
        <f t="shared" si="522"/>
        <v>0</v>
      </c>
      <c r="C1843" s="459"/>
      <c r="D1843" s="507">
        <f t="shared" si="523"/>
        <v>0</v>
      </c>
      <c r="E1843" s="451"/>
      <c r="F1843" s="453">
        <f t="shared" si="524"/>
        <v>0</v>
      </c>
      <c r="G1843" s="453">
        <f t="shared" si="525"/>
        <v>0</v>
      </c>
    </row>
    <row r="1844" spans="1:7" ht="19.899999999999999" customHeight="1" x14ac:dyDescent="0.2">
      <c r="A1844" s="496">
        <f t="shared" si="521"/>
        <v>0</v>
      </c>
      <c r="B1844" s="459">
        <f t="shared" si="522"/>
        <v>0</v>
      </c>
      <c r="C1844" s="459"/>
      <c r="D1844" s="507">
        <f t="shared" si="523"/>
        <v>0</v>
      </c>
      <c r="E1844" s="451"/>
      <c r="F1844" s="453">
        <f t="shared" si="524"/>
        <v>0</v>
      </c>
      <c r="G1844" s="453">
        <f t="shared" si="525"/>
        <v>0</v>
      </c>
    </row>
    <row r="1845" spans="1:7" ht="19.899999999999999" customHeight="1" x14ac:dyDescent="0.2">
      <c r="A1845" s="496">
        <f t="shared" si="521"/>
        <v>0</v>
      </c>
      <c r="B1845" s="459">
        <f t="shared" si="522"/>
        <v>0</v>
      </c>
      <c r="C1845" s="459"/>
      <c r="D1845" s="507">
        <f t="shared" si="523"/>
        <v>0</v>
      </c>
      <c r="E1845" s="451"/>
      <c r="F1845" s="453">
        <f t="shared" si="524"/>
        <v>0</v>
      </c>
      <c r="G1845" s="453">
        <f t="shared" si="525"/>
        <v>0</v>
      </c>
    </row>
    <row r="1846" spans="1:7" ht="19.899999999999999" customHeight="1" x14ac:dyDescent="0.2">
      <c r="A1846" s="496">
        <f t="shared" si="521"/>
        <v>0</v>
      </c>
      <c r="B1846" s="459">
        <f t="shared" si="522"/>
        <v>0</v>
      </c>
      <c r="C1846" s="459"/>
      <c r="D1846" s="507">
        <f t="shared" si="523"/>
        <v>0</v>
      </c>
      <c r="E1846" s="451"/>
      <c r="F1846" s="453">
        <f t="shared" si="524"/>
        <v>0</v>
      </c>
      <c r="G1846" s="453">
        <f t="shared" si="525"/>
        <v>0</v>
      </c>
    </row>
    <row r="1847" spans="1:7" ht="19.899999999999999" customHeight="1" x14ac:dyDescent="0.2">
      <c r="A1847" s="496">
        <f t="shared" si="521"/>
        <v>0</v>
      </c>
      <c r="B1847" s="459">
        <f t="shared" si="522"/>
        <v>0</v>
      </c>
      <c r="C1847" s="459"/>
      <c r="D1847" s="507">
        <f t="shared" si="523"/>
        <v>0</v>
      </c>
      <c r="E1847" s="451"/>
      <c r="F1847" s="453">
        <f t="shared" si="524"/>
        <v>0</v>
      </c>
      <c r="G1847" s="453">
        <f t="shared" si="525"/>
        <v>0</v>
      </c>
    </row>
    <row r="1848" spans="1:7" ht="19.899999999999999" customHeight="1" x14ac:dyDescent="0.2">
      <c r="A1848" s="494"/>
      <c r="B1848" s="155"/>
      <c r="C1848" s="155"/>
      <c r="D1848" s="440"/>
      <c r="E1848" s="441"/>
      <c r="F1848" s="462" t="s">
        <v>29</v>
      </c>
      <c r="G1848" s="499">
        <f>SUBTOTAL(9,G1837:G1847)</f>
        <v>0</v>
      </c>
    </row>
    <row r="1849" spans="1:7" ht="19.899999999999999" customHeight="1" x14ac:dyDescent="0.2">
      <c r="A1849" s="494"/>
      <c r="B1849" s="155"/>
      <c r="C1849" s="436" t="s">
        <v>991</v>
      </c>
      <c r="D1849" s="440"/>
      <c r="E1849" s="441"/>
      <c r="F1849" s="442"/>
      <c r="G1849" s="495"/>
    </row>
    <row r="1850" spans="1:7" ht="19.899999999999999" customHeight="1" x14ac:dyDescent="0.2">
      <c r="A1850" s="677" t="s">
        <v>576</v>
      </c>
      <c r="B1850" s="678"/>
      <c r="C1850" s="679" t="s">
        <v>0</v>
      </c>
      <c r="D1850" s="679" t="s">
        <v>1733</v>
      </c>
      <c r="E1850" s="681" t="s">
        <v>24</v>
      </c>
      <c r="F1850" s="683" t="s">
        <v>25</v>
      </c>
      <c r="G1850" s="685" t="s">
        <v>26</v>
      </c>
    </row>
    <row r="1851" spans="1:7" ht="19.899999999999999" customHeight="1" x14ac:dyDescent="0.2">
      <c r="A1851" s="458" t="s">
        <v>577</v>
      </c>
      <c r="B1851" s="458" t="s">
        <v>578</v>
      </c>
      <c r="C1851" s="680"/>
      <c r="D1851" s="680"/>
      <c r="E1851" s="682"/>
      <c r="F1851" s="684"/>
      <c r="G1851" s="686"/>
    </row>
    <row r="1852" spans="1:7" ht="19.899999999999999" customHeight="1" x14ac:dyDescent="0.2">
      <c r="A1852" s="496">
        <f>IFERROR(VLOOKUP(C1852,T_Insumos,4,FALSE),0)</f>
        <v>0</v>
      </c>
      <c r="B1852" s="459">
        <f>IFERROR(VLOOKUP(C1852,T_Insumos,5,FALSE),0)</f>
        <v>0</v>
      </c>
      <c r="C1852" s="450"/>
      <c r="D1852" s="507">
        <f>IF(C1852=0,0,"$/tnkm")</f>
        <v>0</v>
      </c>
      <c r="E1852" s="451"/>
      <c r="F1852" s="453">
        <f>IFERROR(VLOOKUP(C1852,T_Insumos,3,FALSE),0)</f>
        <v>0</v>
      </c>
      <c r="G1852" s="453">
        <f>ROUND(E1852*F1852,2)</f>
        <v>0</v>
      </c>
    </row>
    <row r="1853" spans="1:7" ht="19.899999999999999" customHeight="1" x14ac:dyDescent="0.2">
      <c r="A1853" s="496">
        <f>IFERROR(VLOOKUP(C1853,T_Insumos,4,FALSE),0)</f>
        <v>0</v>
      </c>
      <c r="B1853" s="459">
        <f>IFERROR(VLOOKUP(C1853,T_Insumos,5,FALSE),0)</f>
        <v>0</v>
      </c>
      <c r="C1853" s="450"/>
      <c r="D1853" s="507">
        <f>IF(C1853=0,0,"$/tnkm")</f>
        <v>0</v>
      </c>
      <c r="E1853" s="467"/>
      <c r="F1853" s="453">
        <f>IFERROR(VLOOKUP(C1853,T_Insumos,3,FALSE),0)</f>
        <v>0</v>
      </c>
      <c r="G1853" s="453">
        <f t="shared" ref="G1853" si="526">ROUND(E1853*F1853,2)</f>
        <v>0</v>
      </c>
    </row>
    <row r="1854" spans="1:7" ht="19.899999999999999" customHeight="1" x14ac:dyDescent="0.2">
      <c r="A1854" s="494"/>
      <c r="B1854" s="155"/>
      <c r="C1854" s="155"/>
      <c r="D1854" s="440"/>
      <c r="E1854" s="441"/>
      <c r="F1854" s="462" t="s">
        <v>992</v>
      </c>
      <c r="G1854" s="499">
        <f>SUBTOTAL(9,G1852:G1853)</f>
        <v>0</v>
      </c>
    </row>
    <row r="1855" spans="1:7" ht="19.899999999999999" customHeight="1" x14ac:dyDescent="0.2">
      <c r="A1855" s="497"/>
      <c r="B1855" s="440"/>
      <c r="C1855" s="155"/>
      <c r="D1855" s="440"/>
      <c r="E1855" s="441"/>
      <c r="F1855" s="442"/>
      <c r="G1855" s="495"/>
    </row>
    <row r="1856" spans="1:7" ht="19.899999999999999" customHeight="1" x14ac:dyDescent="0.2">
      <c r="A1856" s="555" t="str">
        <f>B1790</f>
        <v>3.3.6</v>
      </c>
      <c r="B1856" s="552" t="str">
        <f ca="1">C1790</f>
        <v>Juntas de Construccion y Dilatacion</v>
      </c>
      <c r="C1856" s="440"/>
      <c r="D1856" s="440" t="s">
        <v>1712</v>
      </c>
      <c r="E1856" s="553"/>
      <c r="F1856" s="554" t="str">
        <f ca="1">"$/"&amp;G1790</f>
        <v>$/ML</v>
      </c>
      <c r="G1856" s="504">
        <f>SUBTOTAL(9,G1813:G1855)</f>
        <v>0</v>
      </c>
    </row>
    <row r="1857" spans="1:7" ht="19.899999999999999" customHeight="1" x14ac:dyDescent="0.2">
      <c r="A1857" s="500"/>
      <c r="B1857" s="501"/>
      <c r="C1857" s="502"/>
      <c r="D1857" s="502" t="s">
        <v>1908</v>
      </c>
      <c r="E1857" s="503"/>
      <c r="F1857" s="556" t="str">
        <f ca="1">"$/"&amp;G1790</f>
        <v>$/ML</v>
      </c>
      <c r="G1857" s="504">
        <f>ROUND(G1856*Coeficiente_Paso,2)</f>
        <v>0</v>
      </c>
    </row>
  </sheetData>
  <sheetProtection insertRows="0" deleteRows="0"/>
  <mergeCells count="650">
    <mergeCell ref="A1835:B1835"/>
    <mergeCell ref="C1835:C1836"/>
    <mergeCell ref="D1835:D1836"/>
    <mergeCell ref="E1835:E1836"/>
    <mergeCell ref="F1835:F1836"/>
    <mergeCell ref="G1835:G1836"/>
    <mergeCell ref="A1850:B1850"/>
    <mergeCell ref="C1850:C1851"/>
    <mergeCell ref="D1850:D1851"/>
    <mergeCell ref="E1850:E1851"/>
    <mergeCell ref="F1850:F1851"/>
    <mergeCell ref="G1850:G1851"/>
    <mergeCell ref="A1784:G1784"/>
    <mergeCell ref="C1790:E1790"/>
    <mergeCell ref="A1810:B1810"/>
    <mergeCell ref="C1810:C1811"/>
    <mergeCell ref="D1810:D1811"/>
    <mergeCell ref="E1810:E1811"/>
    <mergeCell ref="F1810:F1811"/>
    <mergeCell ref="G1810:G1811"/>
    <mergeCell ref="A1824:B1824"/>
    <mergeCell ref="C1824:C1825"/>
    <mergeCell ref="D1824:D1825"/>
    <mergeCell ref="E1824:E1825"/>
    <mergeCell ref="F1824:F1825"/>
    <mergeCell ref="G1824:G1825"/>
    <mergeCell ref="A1761:B1761"/>
    <mergeCell ref="C1761:C1762"/>
    <mergeCell ref="D1761:D1762"/>
    <mergeCell ref="E1761:E1762"/>
    <mergeCell ref="F1761:F1762"/>
    <mergeCell ref="G1761:G1762"/>
    <mergeCell ref="A1776:B1776"/>
    <mergeCell ref="C1776:C1777"/>
    <mergeCell ref="D1776:D1777"/>
    <mergeCell ref="E1776:E1777"/>
    <mergeCell ref="F1776:F1777"/>
    <mergeCell ref="G1776:G1777"/>
    <mergeCell ref="A1710:G1710"/>
    <mergeCell ref="C1716:E1716"/>
    <mergeCell ref="A1736:B1736"/>
    <mergeCell ref="C1736:C1737"/>
    <mergeCell ref="D1736:D1737"/>
    <mergeCell ref="E1736:E1737"/>
    <mergeCell ref="F1736:F1737"/>
    <mergeCell ref="G1736:G1737"/>
    <mergeCell ref="A1750:B1750"/>
    <mergeCell ref="C1750:C1751"/>
    <mergeCell ref="D1750:D1751"/>
    <mergeCell ref="E1750:E1751"/>
    <mergeCell ref="F1750:F1751"/>
    <mergeCell ref="G1750:G1751"/>
    <mergeCell ref="A1687:B1687"/>
    <mergeCell ref="C1687:C1688"/>
    <mergeCell ref="D1687:D1688"/>
    <mergeCell ref="E1687:E1688"/>
    <mergeCell ref="F1687:F1688"/>
    <mergeCell ref="G1687:G1688"/>
    <mergeCell ref="A1702:B1702"/>
    <mergeCell ref="C1702:C1703"/>
    <mergeCell ref="D1702:D1703"/>
    <mergeCell ref="E1702:E1703"/>
    <mergeCell ref="F1702:F1703"/>
    <mergeCell ref="G1702:G1703"/>
    <mergeCell ref="A1636:G1636"/>
    <mergeCell ref="C1642:E1642"/>
    <mergeCell ref="A1662:B1662"/>
    <mergeCell ref="C1662:C1663"/>
    <mergeCell ref="D1662:D1663"/>
    <mergeCell ref="E1662:E1663"/>
    <mergeCell ref="F1662:F1663"/>
    <mergeCell ref="G1662:G1663"/>
    <mergeCell ref="A1676:B1676"/>
    <mergeCell ref="C1676:C1677"/>
    <mergeCell ref="D1676:D1677"/>
    <mergeCell ref="E1676:E1677"/>
    <mergeCell ref="F1676:F1677"/>
    <mergeCell ref="G1676:G1677"/>
    <mergeCell ref="A1613:B1613"/>
    <mergeCell ref="C1613:C1614"/>
    <mergeCell ref="D1613:D1614"/>
    <mergeCell ref="E1613:E1614"/>
    <mergeCell ref="F1613:F1614"/>
    <mergeCell ref="G1613:G1614"/>
    <mergeCell ref="A1628:B1628"/>
    <mergeCell ref="C1628:C1629"/>
    <mergeCell ref="D1628:D1629"/>
    <mergeCell ref="E1628:E1629"/>
    <mergeCell ref="F1628:F1629"/>
    <mergeCell ref="G1628:G1629"/>
    <mergeCell ref="A1562:G1562"/>
    <mergeCell ref="C1568:E1568"/>
    <mergeCell ref="A1588:B1588"/>
    <mergeCell ref="C1588:C1589"/>
    <mergeCell ref="D1588:D1589"/>
    <mergeCell ref="E1588:E1589"/>
    <mergeCell ref="F1588:F1589"/>
    <mergeCell ref="G1588:G1589"/>
    <mergeCell ref="A1602:B1602"/>
    <mergeCell ref="C1602:C1603"/>
    <mergeCell ref="D1602:D1603"/>
    <mergeCell ref="E1602:E1603"/>
    <mergeCell ref="F1602:F1603"/>
    <mergeCell ref="G1602:G1603"/>
    <mergeCell ref="A1539:B1539"/>
    <mergeCell ref="C1539:C1540"/>
    <mergeCell ref="D1539:D1540"/>
    <mergeCell ref="E1539:E1540"/>
    <mergeCell ref="F1539:F1540"/>
    <mergeCell ref="G1539:G1540"/>
    <mergeCell ref="A1554:B1554"/>
    <mergeCell ref="C1554:C1555"/>
    <mergeCell ref="D1554:D1555"/>
    <mergeCell ref="E1554:E1555"/>
    <mergeCell ref="F1554:F1555"/>
    <mergeCell ref="G1554:G1555"/>
    <mergeCell ref="A1488:G1488"/>
    <mergeCell ref="C1494:E1494"/>
    <mergeCell ref="A1514:B1514"/>
    <mergeCell ref="C1514:C1515"/>
    <mergeCell ref="D1514:D1515"/>
    <mergeCell ref="E1514:E1515"/>
    <mergeCell ref="F1514:F1515"/>
    <mergeCell ref="G1514:G1515"/>
    <mergeCell ref="A1528:B1528"/>
    <mergeCell ref="C1528:C1529"/>
    <mergeCell ref="D1528:D1529"/>
    <mergeCell ref="E1528:E1529"/>
    <mergeCell ref="F1528:F1529"/>
    <mergeCell ref="G1528:G1529"/>
    <mergeCell ref="A1465:B1465"/>
    <mergeCell ref="C1465:C1466"/>
    <mergeCell ref="D1465:D1466"/>
    <mergeCell ref="E1465:E1466"/>
    <mergeCell ref="F1465:F1466"/>
    <mergeCell ref="G1465:G1466"/>
    <mergeCell ref="A1480:B1480"/>
    <mergeCell ref="C1480:C1481"/>
    <mergeCell ref="D1480:D1481"/>
    <mergeCell ref="E1480:E1481"/>
    <mergeCell ref="F1480:F1481"/>
    <mergeCell ref="G1480:G1481"/>
    <mergeCell ref="A1414:G1414"/>
    <mergeCell ref="C1420:E1420"/>
    <mergeCell ref="A1440:B1440"/>
    <mergeCell ref="C1440:C1441"/>
    <mergeCell ref="D1440:D1441"/>
    <mergeCell ref="E1440:E1441"/>
    <mergeCell ref="F1440:F1441"/>
    <mergeCell ref="G1440:G1441"/>
    <mergeCell ref="A1454:B1454"/>
    <mergeCell ref="C1454:C1455"/>
    <mergeCell ref="D1454:D1455"/>
    <mergeCell ref="E1454:E1455"/>
    <mergeCell ref="F1454:F1455"/>
    <mergeCell ref="G1454:G1455"/>
    <mergeCell ref="A1391:B1391"/>
    <mergeCell ref="C1391:C1392"/>
    <mergeCell ref="D1391:D1392"/>
    <mergeCell ref="E1391:E1392"/>
    <mergeCell ref="F1391:F1392"/>
    <mergeCell ref="G1391:G1392"/>
    <mergeCell ref="A1406:B1406"/>
    <mergeCell ref="C1406:C1407"/>
    <mergeCell ref="D1406:D1407"/>
    <mergeCell ref="E1406:E1407"/>
    <mergeCell ref="F1406:F1407"/>
    <mergeCell ref="G1406:G1407"/>
    <mergeCell ref="A1340:G1340"/>
    <mergeCell ref="C1346:E1346"/>
    <mergeCell ref="A1366:B1366"/>
    <mergeCell ref="C1366:C1367"/>
    <mergeCell ref="D1366:D1367"/>
    <mergeCell ref="E1366:E1367"/>
    <mergeCell ref="F1366:F1367"/>
    <mergeCell ref="G1366:G1367"/>
    <mergeCell ref="A1380:B1380"/>
    <mergeCell ref="C1380:C1381"/>
    <mergeCell ref="D1380:D1381"/>
    <mergeCell ref="E1380:E1381"/>
    <mergeCell ref="F1380:F1381"/>
    <mergeCell ref="G1380:G1381"/>
    <mergeCell ref="A1317:B1317"/>
    <mergeCell ref="C1317:C1318"/>
    <mergeCell ref="D1317:D1318"/>
    <mergeCell ref="E1317:E1318"/>
    <mergeCell ref="F1317:F1318"/>
    <mergeCell ref="G1317:G1318"/>
    <mergeCell ref="A1332:B1332"/>
    <mergeCell ref="C1332:C1333"/>
    <mergeCell ref="D1332:D1333"/>
    <mergeCell ref="E1332:E1333"/>
    <mergeCell ref="F1332:F1333"/>
    <mergeCell ref="G1332:G1333"/>
    <mergeCell ref="A1266:G1266"/>
    <mergeCell ref="C1272:E1272"/>
    <mergeCell ref="A1292:B1292"/>
    <mergeCell ref="C1292:C1293"/>
    <mergeCell ref="D1292:D1293"/>
    <mergeCell ref="E1292:E1293"/>
    <mergeCell ref="F1292:F1293"/>
    <mergeCell ref="G1292:G1293"/>
    <mergeCell ref="A1306:B1306"/>
    <mergeCell ref="C1306:C1307"/>
    <mergeCell ref="D1306:D1307"/>
    <mergeCell ref="E1306:E1307"/>
    <mergeCell ref="F1306:F1307"/>
    <mergeCell ref="G1306:G1307"/>
    <mergeCell ref="A1243:B1243"/>
    <mergeCell ref="C1243:C1244"/>
    <mergeCell ref="D1243:D1244"/>
    <mergeCell ref="E1243:E1244"/>
    <mergeCell ref="F1243:F1244"/>
    <mergeCell ref="G1243:G1244"/>
    <mergeCell ref="A1258:B1258"/>
    <mergeCell ref="C1258:C1259"/>
    <mergeCell ref="D1258:D1259"/>
    <mergeCell ref="E1258:E1259"/>
    <mergeCell ref="F1258:F1259"/>
    <mergeCell ref="G1258:G1259"/>
    <mergeCell ref="A1192:G1192"/>
    <mergeCell ref="C1198:E1198"/>
    <mergeCell ref="A1218:B1218"/>
    <mergeCell ref="C1218:C1219"/>
    <mergeCell ref="D1218:D1219"/>
    <mergeCell ref="E1218:E1219"/>
    <mergeCell ref="F1218:F1219"/>
    <mergeCell ref="G1218:G1219"/>
    <mergeCell ref="A1232:B1232"/>
    <mergeCell ref="C1232:C1233"/>
    <mergeCell ref="D1232:D1233"/>
    <mergeCell ref="E1232:E1233"/>
    <mergeCell ref="F1232:F1233"/>
    <mergeCell ref="G1232:G1233"/>
    <mergeCell ref="A1169:B1169"/>
    <mergeCell ref="C1169:C1170"/>
    <mergeCell ref="D1169:D1170"/>
    <mergeCell ref="E1169:E1170"/>
    <mergeCell ref="F1169:F1170"/>
    <mergeCell ref="G1169:G1170"/>
    <mergeCell ref="A1184:B1184"/>
    <mergeCell ref="C1184:C1185"/>
    <mergeCell ref="D1184:D1185"/>
    <mergeCell ref="E1184:E1185"/>
    <mergeCell ref="F1184:F1185"/>
    <mergeCell ref="G1184:G1185"/>
    <mergeCell ref="A1118:G1118"/>
    <mergeCell ref="C1124:E1124"/>
    <mergeCell ref="A1144:B1144"/>
    <mergeCell ref="C1144:C1145"/>
    <mergeCell ref="D1144:D1145"/>
    <mergeCell ref="E1144:E1145"/>
    <mergeCell ref="F1144:F1145"/>
    <mergeCell ref="G1144:G1145"/>
    <mergeCell ref="A1158:B1158"/>
    <mergeCell ref="C1158:C1159"/>
    <mergeCell ref="D1158:D1159"/>
    <mergeCell ref="E1158:E1159"/>
    <mergeCell ref="F1158:F1159"/>
    <mergeCell ref="G1158:G1159"/>
    <mergeCell ref="A1095:B1095"/>
    <mergeCell ref="C1095:C1096"/>
    <mergeCell ref="D1095:D1096"/>
    <mergeCell ref="E1095:E1096"/>
    <mergeCell ref="F1095:F1096"/>
    <mergeCell ref="G1095:G1096"/>
    <mergeCell ref="A1110:B1110"/>
    <mergeCell ref="C1110:C1111"/>
    <mergeCell ref="D1110:D1111"/>
    <mergeCell ref="E1110:E1111"/>
    <mergeCell ref="F1110:F1111"/>
    <mergeCell ref="G1110:G1111"/>
    <mergeCell ref="A1044:G1044"/>
    <mergeCell ref="C1050:E1050"/>
    <mergeCell ref="A1070:B1070"/>
    <mergeCell ref="C1070:C1071"/>
    <mergeCell ref="D1070:D1071"/>
    <mergeCell ref="E1070:E1071"/>
    <mergeCell ref="F1070:F1071"/>
    <mergeCell ref="G1070:G1071"/>
    <mergeCell ref="A1084:B1084"/>
    <mergeCell ref="C1084:C1085"/>
    <mergeCell ref="D1084:D1085"/>
    <mergeCell ref="E1084:E1085"/>
    <mergeCell ref="F1084:F1085"/>
    <mergeCell ref="G1084:G1085"/>
    <mergeCell ref="A1021:B1021"/>
    <mergeCell ref="C1021:C1022"/>
    <mergeCell ref="D1021:D1022"/>
    <mergeCell ref="E1021:E1022"/>
    <mergeCell ref="F1021:F1022"/>
    <mergeCell ref="G1021:G1022"/>
    <mergeCell ref="A1036:B1036"/>
    <mergeCell ref="C1036:C1037"/>
    <mergeCell ref="D1036:D1037"/>
    <mergeCell ref="E1036:E1037"/>
    <mergeCell ref="F1036:F1037"/>
    <mergeCell ref="G1036:G1037"/>
    <mergeCell ref="A970:G970"/>
    <mergeCell ref="C976:E976"/>
    <mergeCell ref="A996:B996"/>
    <mergeCell ref="C996:C997"/>
    <mergeCell ref="D996:D997"/>
    <mergeCell ref="E996:E997"/>
    <mergeCell ref="F996:F997"/>
    <mergeCell ref="G996:G997"/>
    <mergeCell ref="A1010:B1010"/>
    <mergeCell ref="C1010:C1011"/>
    <mergeCell ref="D1010:D1011"/>
    <mergeCell ref="E1010:E1011"/>
    <mergeCell ref="F1010:F1011"/>
    <mergeCell ref="G1010:G1011"/>
    <mergeCell ref="A947:B947"/>
    <mergeCell ref="C947:C948"/>
    <mergeCell ref="D947:D948"/>
    <mergeCell ref="E947:E948"/>
    <mergeCell ref="F947:F948"/>
    <mergeCell ref="G947:G948"/>
    <mergeCell ref="A962:B962"/>
    <mergeCell ref="C962:C963"/>
    <mergeCell ref="D962:D963"/>
    <mergeCell ref="E962:E963"/>
    <mergeCell ref="F962:F963"/>
    <mergeCell ref="G962:G963"/>
    <mergeCell ref="A896:G896"/>
    <mergeCell ref="C902:E902"/>
    <mergeCell ref="A922:B922"/>
    <mergeCell ref="C922:C923"/>
    <mergeCell ref="D922:D923"/>
    <mergeCell ref="E922:E923"/>
    <mergeCell ref="F922:F923"/>
    <mergeCell ref="G922:G923"/>
    <mergeCell ref="A936:B936"/>
    <mergeCell ref="C936:C937"/>
    <mergeCell ref="D936:D937"/>
    <mergeCell ref="E936:E937"/>
    <mergeCell ref="F936:F937"/>
    <mergeCell ref="G936:G937"/>
    <mergeCell ref="A873:B873"/>
    <mergeCell ref="C873:C874"/>
    <mergeCell ref="D873:D874"/>
    <mergeCell ref="E873:E874"/>
    <mergeCell ref="F873:F874"/>
    <mergeCell ref="G873:G874"/>
    <mergeCell ref="A888:B888"/>
    <mergeCell ref="C888:C889"/>
    <mergeCell ref="D888:D889"/>
    <mergeCell ref="E888:E889"/>
    <mergeCell ref="F888:F889"/>
    <mergeCell ref="G888:G889"/>
    <mergeCell ref="A822:G822"/>
    <mergeCell ref="C828:E828"/>
    <mergeCell ref="A848:B848"/>
    <mergeCell ref="C848:C849"/>
    <mergeCell ref="D848:D849"/>
    <mergeCell ref="E848:E849"/>
    <mergeCell ref="F848:F849"/>
    <mergeCell ref="G848:G849"/>
    <mergeCell ref="A862:B862"/>
    <mergeCell ref="C862:C863"/>
    <mergeCell ref="D862:D863"/>
    <mergeCell ref="E862:E863"/>
    <mergeCell ref="F862:F863"/>
    <mergeCell ref="G862:G863"/>
    <mergeCell ref="A799:B799"/>
    <mergeCell ref="C799:C800"/>
    <mergeCell ref="D799:D800"/>
    <mergeCell ref="E799:E800"/>
    <mergeCell ref="F799:F800"/>
    <mergeCell ref="G799:G800"/>
    <mergeCell ref="A814:B814"/>
    <mergeCell ref="C814:C815"/>
    <mergeCell ref="D814:D815"/>
    <mergeCell ref="E814:E815"/>
    <mergeCell ref="F814:F815"/>
    <mergeCell ref="G814:G815"/>
    <mergeCell ref="A748:G748"/>
    <mergeCell ref="C754:E754"/>
    <mergeCell ref="A774:B774"/>
    <mergeCell ref="C774:C775"/>
    <mergeCell ref="D774:D775"/>
    <mergeCell ref="E774:E775"/>
    <mergeCell ref="F774:F775"/>
    <mergeCell ref="G774:G775"/>
    <mergeCell ref="A788:B788"/>
    <mergeCell ref="C788:C789"/>
    <mergeCell ref="D788:D789"/>
    <mergeCell ref="E788:E789"/>
    <mergeCell ref="F788:F789"/>
    <mergeCell ref="G788:G789"/>
    <mergeCell ref="A725:B725"/>
    <mergeCell ref="C725:C726"/>
    <mergeCell ref="D725:D726"/>
    <mergeCell ref="E725:E726"/>
    <mergeCell ref="F725:F726"/>
    <mergeCell ref="G725:G726"/>
    <mergeCell ref="A740:B740"/>
    <mergeCell ref="C740:C741"/>
    <mergeCell ref="D740:D741"/>
    <mergeCell ref="E740:E741"/>
    <mergeCell ref="F740:F741"/>
    <mergeCell ref="G740:G741"/>
    <mergeCell ref="A674:G674"/>
    <mergeCell ref="C680:E680"/>
    <mergeCell ref="A700:B700"/>
    <mergeCell ref="C700:C701"/>
    <mergeCell ref="D700:D701"/>
    <mergeCell ref="E700:E701"/>
    <mergeCell ref="F700:F701"/>
    <mergeCell ref="G700:G701"/>
    <mergeCell ref="A714:B714"/>
    <mergeCell ref="C714:C715"/>
    <mergeCell ref="D714:D715"/>
    <mergeCell ref="E714:E715"/>
    <mergeCell ref="F714:F715"/>
    <mergeCell ref="G714:G715"/>
    <mergeCell ref="A651:B651"/>
    <mergeCell ref="C651:C652"/>
    <mergeCell ref="D651:D652"/>
    <mergeCell ref="E651:E652"/>
    <mergeCell ref="F651:F652"/>
    <mergeCell ref="G651:G652"/>
    <mergeCell ref="A666:B666"/>
    <mergeCell ref="C666:C667"/>
    <mergeCell ref="D666:D667"/>
    <mergeCell ref="E666:E667"/>
    <mergeCell ref="F666:F667"/>
    <mergeCell ref="G666:G667"/>
    <mergeCell ref="A600:G600"/>
    <mergeCell ref="C606:E606"/>
    <mergeCell ref="A626:B626"/>
    <mergeCell ref="C626:C627"/>
    <mergeCell ref="D626:D627"/>
    <mergeCell ref="E626:E627"/>
    <mergeCell ref="F626:F627"/>
    <mergeCell ref="G626:G627"/>
    <mergeCell ref="A640:B640"/>
    <mergeCell ref="C640:C641"/>
    <mergeCell ref="D640:D641"/>
    <mergeCell ref="E640:E641"/>
    <mergeCell ref="F640:F641"/>
    <mergeCell ref="G640:G641"/>
    <mergeCell ref="A577:B577"/>
    <mergeCell ref="C577:C578"/>
    <mergeCell ref="D577:D578"/>
    <mergeCell ref="E577:E578"/>
    <mergeCell ref="F577:F578"/>
    <mergeCell ref="G577:G578"/>
    <mergeCell ref="A592:B592"/>
    <mergeCell ref="C592:C593"/>
    <mergeCell ref="D592:D593"/>
    <mergeCell ref="E592:E593"/>
    <mergeCell ref="F592:F593"/>
    <mergeCell ref="G592:G593"/>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E341:E342"/>
    <mergeCell ref="F341:F342"/>
    <mergeCell ref="G341:G342"/>
    <mergeCell ref="A352:B352"/>
    <mergeCell ref="C352:C353"/>
    <mergeCell ref="D352:D353"/>
    <mergeCell ref="E352:E353"/>
    <mergeCell ref="F352:F353"/>
    <mergeCell ref="F442:F443"/>
    <mergeCell ref="G442:G44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A442:B442"/>
    <mergeCell ref="C442:C443"/>
    <mergeCell ref="D442:D443"/>
    <mergeCell ref="E442:E443"/>
    <mergeCell ref="A292:B292"/>
    <mergeCell ref="C292:C293"/>
    <mergeCell ref="D292:D293"/>
    <mergeCell ref="E292:E293"/>
    <mergeCell ref="F217:F218"/>
    <mergeCell ref="A266:B266"/>
    <mergeCell ref="C266:C267"/>
    <mergeCell ref="D266:D267"/>
    <mergeCell ref="E266:E267"/>
    <mergeCell ref="F266:F267"/>
    <mergeCell ref="A277:B277"/>
    <mergeCell ref="C277:C278"/>
    <mergeCell ref="D277:D278"/>
    <mergeCell ref="E277:E278"/>
    <mergeCell ref="F277:F278"/>
    <mergeCell ref="A226:G226"/>
    <mergeCell ref="C232:E232"/>
    <mergeCell ref="A252:B252"/>
    <mergeCell ref="C252:C253"/>
    <mergeCell ref="D252:D253"/>
    <mergeCell ref="G402:G403"/>
    <mergeCell ref="A402:B402"/>
    <mergeCell ref="C402:C403"/>
    <mergeCell ref="D402:D403"/>
    <mergeCell ref="E402:E403"/>
    <mergeCell ref="F402:F403"/>
    <mergeCell ref="A427:B427"/>
    <mergeCell ref="C427:C428"/>
    <mergeCell ref="D427:D428"/>
    <mergeCell ref="E427:E428"/>
    <mergeCell ref="F427:F428"/>
    <mergeCell ref="G427:G428"/>
    <mergeCell ref="G352:G353"/>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A301:G301"/>
    <mergeCell ref="C307:E307"/>
    <mergeCell ref="A341:B341"/>
    <mergeCell ref="C341:C342"/>
    <mergeCell ref="G177:G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217:G218"/>
    <mergeCell ref="G266:G267"/>
    <mergeCell ref="G277:G278"/>
    <mergeCell ref="G252:G253"/>
    <mergeCell ref="D341:D342"/>
    <mergeCell ref="F252:F253"/>
    <mergeCell ref="A76:G76"/>
    <mergeCell ref="C82:E82"/>
    <mergeCell ref="E127:E128"/>
    <mergeCell ref="F127:F128"/>
    <mergeCell ref="G127:G128"/>
    <mergeCell ref="A142:B142"/>
    <mergeCell ref="C142:C143"/>
    <mergeCell ref="D142:D143"/>
    <mergeCell ref="E142:E143"/>
    <mergeCell ref="F142:F143"/>
    <mergeCell ref="C127:C128"/>
    <mergeCell ref="D127:D128"/>
    <mergeCell ref="G202:G203"/>
    <mergeCell ref="F327:F328"/>
    <mergeCell ref="G327:G328"/>
    <mergeCell ref="A151:G151"/>
    <mergeCell ref="C157:E157"/>
    <mergeCell ref="A177:B177"/>
    <mergeCell ref="C177:C178"/>
    <mergeCell ref="C67:C68"/>
    <mergeCell ref="D67:D68"/>
    <mergeCell ref="E67:E68"/>
    <mergeCell ref="F67:F68"/>
    <mergeCell ref="G67:G68"/>
    <mergeCell ref="A327:B327"/>
    <mergeCell ref="C327:C328"/>
    <mergeCell ref="D327:D328"/>
    <mergeCell ref="E327:E328"/>
    <mergeCell ref="G142:G143"/>
    <mergeCell ref="F292:F293"/>
    <mergeCell ref="G292:G293"/>
    <mergeCell ref="A217:B217"/>
    <mergeCell ref="C217:C218"/>
    <mergeCell ref="D217:D218"/>
    <mergeCell ref="E217:E218"/>
    <mergeCell ref="E252:E253"/>
    <mergeCell ref="A52:B52"/>
    <mergeCell ref="C52:C53"/>
    <mergeCell ref="D52:D53"/>
    <mergeCell ref="E52:E53"/>
    <mergeCell ref="F52:F53"/>
    <mergeCell ref="A102:B102"/>
    <mergeCell ref="A202:B202"/>
    <mergeCell ref="C202:C203"/>
    <mergeCell ref="D202:D203"/>
    <mergeCell ref="E202:E203"/>
    <mergeCell ref="F202:F203"/>
  </mergeCells>
  <pageMargins left="1.1811023622047245" right="0.78740157480314965" top="1.1811023622047245" bottom="0.78740157480314965" header="0.39370078740157483" footer="0.39370078740157483"/>
  <pageSetup paperSize="9" scale="36" fitToHeight="0" orientation="portrait" r:id="rId1"/>
  <headerFooter>
    <oddHeader>&amp;L&amp;G</oddHeader>
  </headerFooter>
  <rowBreaks count="24" manualBreakCount="24">
    <brk id="75" max="6" man="1"/>
    <brk id="150" max="6" man="1"/>
    <brk id="225" max="6" man="1"/>
    <brk id="300" max="6" man="1"/>
    <brk id="375" max="6" man="1"/>
    <brk id="450" max="6" man="1"/>
    <brk id="525" max="6" man="1"/>
    <brk id="599" max="6" man="1"/>
    <brk id="673" max="6" man="1"/>
    <brk id="747" max="6" man="1"/>
    <brk id="821" max="6" man="1"/>
    <brk id="895" max="6" man="1"/>
    <brk id="969" max="6" man="1"/>
    <brk id="1043" max="6" man="1"/>
    <brk id="1117" max="6" man="1"/>
    <brk id="1191" max="6" man="1"/>
    <brk id="1265" max="6" man="1"/>
    <brk id="1339" max="6" man="1"/>
    <brk id="1413" max="6" man="1"/>
    <brk id="1487" max="6" man="1"/>
    <brk id="1561" max="6" man="1"/>
    <brk id="1635" max="6" man="1"/>
    <brk id="1709" max="6" man="1"/>
    <brk id="1783"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dimension ref="A1:Q1411"/>
  <sheetViews>
    <sheetView workbookViewId="0">
      <selection activeCell="O33" sqref="O33"/>
    </sheetView>
  </sheetViews>
  <sheetFormatPr baseColWidth="10" defaultRowHeight="12.75" x14ac:dyDescent="0.2"/>
  <cols>
    <col min="1" max="1" width="33.7109375" style="575" customWidth="1"/>
    <col min="2" max="2" width="15.85546875" style="575" customWidth="1"/>
    <col min="3" max="4" width="13.85546875" style="575" customWidth="1"/>
    <col min="5" max="5" width="15.140625" style="575" customWidth="1"/>
    <col min="6" max="9" width="13.85546875" style="575" customWidth="1"/>
    <col min="10" max="10" width="16.7109375" style="575" customWidth="1"/>
    <col min="11" max="11" width="13.85546875" style="575" customWidth="1"/>
    <col min="12" max="14" width="11.42578125" style="575"/>
    <col min="15" max="15" width="49.85546875" style="575" bestFit="1" customWidth="1"/>
    <col min="16" max="16384" width="11.42578125" style="575"/>
  </cols>
  <sheetData>
    <row r="1" spans="1:17" x14ac:dyDescent="0.2">
      <c r="A1" s="575" t="s">
        <v>1939</v>
      </c>
    </row>
    <row r="2" spans="1:17" x14ac:dyDescent="0.2">
      <c r="A2" s="575" t="s">
        <v>1938</v>
      </c>
    </row>
    <row r="3" spans="1:17" x14ac:dyDescent="0.2">
      <c r="A3" s="575" t="s">
        <v>1936</v>
      </c>
    </row>
    <row r="4" spans="1:17" x14ac:dyDescent="0.2">
      <c r="A4" s="575" t="s">
        <v>1937</v>
      </c>
    </row>
    <row r="6" spans="1:17" ht="15.75" x14ac:dyDescent="0.25">
      <c r="A6" s="693" t="s">
        <v>1699</v>
      </c>
      <c r="B6" s="693"/>
      <c r="C6" s="693"/>
      <c r="D6" s="693"/>
      <c r="E6" s="693"/>
      <c r="F6" s="693"/>
      <c r="G6" s="693"/>
      <c r="H6" s="693"/>
      <c r="I6" s="693"/>
      <c r="J6" s="693"/>
      <c r="K6" s="693"/>
      <c r="P6" s="575">
        <v>140</v>
      </c>
      <c r="Q6" s="575">
        <v>900000</v>
      </c>
    </row>
    <row r="7" spans="1:17" x14ac:dyDescent="0.2">
      <c r="P7" s="575">
        <v>140</v>
      </c>
      <c r="Q7" s="575">
        <v>1260000</v>
      </c>
    </row>
    <row r="8" spans="1:17" s="557" customFormat="1" ht="38.25" x14ac:dyDescent="0.2">
      <c r="A8" s="570" t="s">
        <v>1700</v>
      </c>
      <c r="B8" s="570" t="s">
        <v>1701</v>
      </c>
      <c r="C8" s="570" t="s">
        <v>1702</v>
      </c>
      <c r="D8" s="570" t="s">
        <v>1703</v>
      </c>
      <c r="E8" s="570" t="s">
        <v>1710</v>
      </c>
      <c r="F8" s="570" t="s">
        <v>1704</v>
      </c>
      <c r="G8" s="570" t="s">
        <v>1705</v>
      </c>
      <c r="H8" s="570" t="s">
        <v>1706</v>
      </c>
      <c r="I8" s="570" t="s">
        <v>1707</v>
      </c>
      <c r="J8" s="570" t="s">
        <v>1708</v>
      </c>
      <c r="K8" s="570" t="s">
        <v>1709</v>
      </c>
      <c r="O8" s="575"/>
      <c r="P8" s="575">
        <v>140</v>
      </c>
      <c r="Q8" s="575">
        <v>1080000</v>
      </c>
    </row>
    <row r="9" spans="1:17" s="557" customFormat="1" x14ac:dyDescent="0.2">
      <c r="A9" s="571" t="s">
        <v>1721</v>
      </c>
      <c r="B9" s="570"/>
      <c r="C9" s="570"/>
      <c r="D9" s="570"/>
      <c r="E9" s="570"/>
      <c r="F9" s="570"/>
      <c r="G9" s="570"/>
      <c r="H9" s="570"/>
      <c r="I9" s="570"/>
      <c r="J9" s="570"/>
      <c r="K9" s="570"/>
      <c r="O9" s="575"/>
      <c r="P9" s="575"/>
      <c r="Q9" s="575"/>
    </row>
    <row r="10" spans="1:17" x14ac:dyDescent="0.2">
      <c r="A10" s="572"/>
      <c r="B10" s="572"/>
      <c r="C10" s="572"/>
      <c r="D10" s="573"/>
      <c r="E10" s="574"/>
      <c r="F10" s="572"/>
      <c r="G10" s="572"/>
      <c r="H10" s="572"/>
      <c r="I10" s="572"/>
      <c r="J10" s="572"/>
      <c r="K10" s="572"/>
      <c r="P10" s="575">
        <v>110</v>
      </c>
      <c r="Q10" s="575">
        <v>630000</v>
      </c>
    </row>
    <row r="11" spans="1:17" x14ac:dyDescent="0.2">
      <c r="A11" s="572"/>
      <c r="B11" s="572"/>
      <c r="C11" s="572"/>
      <c r="D11" s="573"/>
      <c r="E11" s="574"/>
      <c r="F11" s="572"/>
      <c r="G11" s="572"/>
      <c r="H11" s="572"/>
      <c r="I11" s="572"/>
      <c r="J11" s="572"/>
      <c r="K11" s="572"/>
      <c r="P11" s="575">
        <v>160</v>
      </c>
      <c r="Q11" s="575">
        <v>1260000</v>
      </c>
    </row>
    <row r="12" spans="1:17" x14ac:dyDescent="0.2">
      <c r="A12" s="572"/>
      <c r="B12" s="572"/>
      <c r="C12" s="572"/>
      <c r="D12" s="573"/>
      <c r="E12" s="574"/>
      <c r="F12" s="572"/>
      <c r="G12" s="572"/>
      <c r="H12" s="572"/>
      <c r="I12" s="572"/>
      <c r="J12" s="572"/>
      <c r="K12" s="572"/>
      <c r="P12" s="575">
        <v>360</v>
      </c>
      <c r="Q12" s="575">
        <v>1800000</v>
      </c>
    </row>
    <row r="13" spans="1:17" x14ac:dyDescent="0.2">
      <c r="A13" s="572"/>
      <c r="B13" s="572"/>
      <c r="C13" s="572"/>
      <c r="D13" s="573"/>
      <c r="E13" s="574"/>
      <c r="F13" s="572"/>
      <c r="G13" s="572"/>
      <c r="H13" s="572"/>
      <c r="I13" s="572"/>
      <c r="J13" s="572"/>
      <c r="K13" s="572"/>
      <c r="P13" s="575">
        <v>120</v>
      </c>
      <c r="Q13" s="575">
        <v>270000</v>
      </c>
    </row>
    <row r="14" spans="1:17" x14ac:dyDescent="0.2">
      <c r="A14" s="572"/>
      <c r="B14" s="572"/>
      <c r="C14" s="572"/>
      <c r="D14" s="573"/>
      <c r="E14" s="574"/>
      <c r="F14" s="572"/>
      <c r="G14" s="572"/>
      <c r="H14" s="572"/>
      <c r="I14" s="572"/>
      <c r="J14" s="572"/>
      <c r="K14" s="572"/>
      <c r="P14" s="575">
        <v>140</v>
      </c>
      <c r="Q14" s="575">
        <v>900000</v>
      </c>
    </row>
    <row r="15" spans="1:17" x14ac:dyDescent="0.2">
      <c r="A15" s="572"/>
      <c r="B15" s="572"/>
      <c r="C15" s="572"/>
      <c r="D15" s="573"/>
      <c r="E15" s="574"/>
      <c r="F15" s="572"/>
      <c r="G15" s="572"/>
      <c r="H15" s="572"/>
      <c r="I15" s="572"/>
      <c r="J15" s="572"/>
      <c r="K15" s="572"/>
      <c r="P15" s="575">
        <v>200</v>
      </c>
      <c r="Q15" s="575">
        <v>3240000</v>
      </c>
    </row>
    <row r="16" spans="1:17" x14ac:dyDescent="0.2">
      <c r="A16" s="572"/>
      <c r="B16" s="572"/>
      <c r="C16" s="572"/>
      <c r="D16" s="573"/>
      <c r="E16" s="574"/>
      <c r="F16" s="572"/>
      <c r="G16" s="572"/>
      <c r="H16" s="572"/>
      <c r="I16" s="572"/>
      <c r="J16" s="572"/>
      <c r="K16" s="572"/>
      <c r="P16" s="575">
        <v>90</v>
      </c>
      <c r="Q16" s="575">
        <v>1170000</v>
      </c>
    </row>
    <row r="17" spans="1:17" x14ac:dyDescent="0.2">
      <c r="A17" s="572"/>
      <c r="D17" s="573"/>
      <c r="E17" s="574"/>
      <c r="F17" s="572"/>
      <c r="G17" s="572"/>
      <c r="H17" s="572"/>
      <c r="I17" s="572"/>
      <c r="J17" s="572"/>
      <c r="K17" s="572"/>
      <c r="P17" s="575">
        <v>260</v>
      </c>
      <c r="Q17" s="575">
        <v>3960000</v>
      </c>
    </row>
    <row r="18" spans="1:17" x14ac:dyDescent="0.2">
      <c r="A18" s="572"/>
      <c r="B18" s="572"/>
      <c r="C18" s="572"/>
      <c r="D18" s="573"/>
      <c r="E18" s="574"/>
      <c r="F18" s="572"/>
      <c r="G18" s="572"/>
      <c r="H18" s="572"/>
      <c r="I18" s="572"/>
      <c r="J18" s="572"/>
      <c r="K18" s="572"/>
      <c r="P18" s="575">
        <v>75</v>
      </c>
      <c r="Q18" s="575">
        <v>1170000</v>
      </c>
    </row>
    <row r="19" spans="1:17" x14ac:dyDescent="0.2">
      <c r="A19" s="572"/>
      <c r="B19" s="572"/>
      <c r="C19" s="572"/>
      <c r="D19" s="573"/>
      <c r="E19" s="574"/>
      <c r="F19" s="572"/>
      <c r="G19" s="572"/>
      <c r="H19" s="572"/>
      <c r="I19" s="572"/>
      <c r="J19" s="572"/>
      <c r="K19" s="572"/>
      <c r="P19" s="575">
        <v>90</v>
      </c>
      <c r="Q19" s="575">
        <v>2700000</v>
      </c>
    </row>
    <row r="20" spans="1:17" x14ac:dyDescent="0.2">
      <c r="A20" s="572"/>
      <c r="B20" s="572"/>
      <c r="C20" s="572"/>
      <c r="D20" s="573"/>
      <c r="E20" s="574"/>
      <c r="F20" s="572"/>
      <c r="G20" s="572"/>
      <c r="H20" s="572"/>
      <c r="I20" s="572"/>
      <c r="J20" s="572"/>
      <c r="K20" s="572"/>
      <c r="P20" s="575">
        <v>110</v>
      </c>
      <c r="Q20" s="575">
        <v>1260000</v>
      </c>
    </row>
    <row r="21" spans="1:17" x14ac:dyDescent="0.2">
      <c r="A21" s="572"/>
      <c r="B21" s="572"/>
      <c r="C21" s="572"/>
      <c r="D21" s="573"/>
      <c r="E21" s="574"/>
      <c r="F21" s="572"/>
      <c r="G21" s="572"/>
      <c r="H21" s="572"/>
      <c r="I21" s="572"/>
      <c r="J21" s="572"/>
      <c r="K21" s="572"/>
      <c r="P21" s="575">
        <v>140</v>
      </c>
      <c r="Q21" s="575">
        <v>1080000</v>
      </c>
    </row>
    <row r="22" spans="1:17" x14ac:dyDescent="0.2">
      <c r="A22" s="572"/>
      <c r="B22" s="572"/>
      <c r="C22" s="572"/>
      <c r="D22" s="573"/>
      <c r="E22" s="574"/>
      <c r="F22" s="572"/>
      <c r="G22" s="572"/>
      <c r="H22" s="572"/>
      <c r="I22" s="572"/>
      <c r="J22" s="572"/>
      <c r="K22" s="572"/>
      <c r="P22" s="575">
        <v>110</v>
      </c>
      <c r="Q22" s="575">
        <v>1260000</v>
      </c>
    </row>
    <row r="23" spans="1:17" x14ac:dyDescent="0.2">
      <c r="A23" s="572"/>
      <c r="B23" s="572"/>
      <c r="C23" s="572"/>
      <c r="D23" s="573"/>
      <c r="E23" s="574"/>
      <c r="F23" s="572"/>
      <c r="G23" s="572"/>
      <c r="H23" s="572"/>
      <c r="I23" s="572"/>
      <c r="J23" s="572"/>
      <c r="K23" s="572"/>
    </row>
    <row r="24" spans="1:17" x14ac:dyDescent="0.2">
      <c r="A24" s="572"/>
      <c r="B24" s="572"/>
      <c r="C24" s="572"/>
      <c r="D24" s="573"/>
      <c r="E24" s="574"/>
      <c r="F24" s="572"/>
      <c r="G24" s="572"/>
      <c r="H24" s="572"/>
      <c r="I24" s="572"/>
      <c r="J24" s="572"/>
      <c r="K24" s="572"/>
    </row>
    <row r="25" spans="1:17" x14ac:dyDescent="0.2">
      <c r="A25" s="572"/>
      <c r="B25" s="572"/>
      <c r="C25" s="572"/>
      <c r="D25" s="573"/>
      <c r="E25" s="574"/>
      <c r="F25" s="572"/>
      <c r="G25" s="572"/>
      <c r="H25" s="572"/>
      <c r="I25" s="572"/>
      <c r="J25" s="572"/>
      <c r="K25" s="572"/>
    </row>
    <row r="26" spans="1:17" x14ac:dyDescent="0.2">
      <c r="A26" s="572"/>
      <c r="B26" s="572"/>
      <c r="C26" s="572"/>
      <c r="D26" s="573"/>
      <c r="E26" s="576"/>
      <c r="F26" s="572"/>
      <c r="G26" s="572"/>
      <c r="H26" s="572"/>
      <c r="I26" s="572"/>
      <c r="J26" s="572"/>
      <c r="K26" s="572"/>
    </row>
    <row r="27" spans="1:17" x14ac:dyDescent="0.2">
      <c r="A27" s="572"/>
      <c r="B27" s="572"/>
      <c r="C27" s="577"/>
      <c r="D27" s="578"/>
      <c r="E27" s="579"/>
      <c r="F27" s="572"/>
      <c r="G27" s="572"/>
      <c r="H27" s="572"/>
      <c r="I27" s="572"/>
      <c r="J27" s="572"/>
      <c r="K27" s="572"/>
    </row>
    <row r="28" spans="1:17" x14ac:dyDescent="0.2">
      <c r="A28" s="572"/>
      <c r="B28" s="572"/>
      <c r="C28" s="577"/>
      <c r="D28" s="578"/>
      <c r="E28" s="579"/>
      <c r="F28" s="572"/>
      <c r="G28" s="572"/>
      <c r="H28" s="572"/>
      <c r="I28" s="572"/>
      <c r="J28" s="572"/>
      <c r="K28" s="572"/>
    </row>
    <row r="29" spans="1:17" x14ac:dyDescent="0.2">
      <c r="A29" s="572"/>
      <c r="B29" s="572"/>
      <c r="C29" s="577"/>
      <c r="D29" s="578"/>
      <c r="E29" s="579"/>
      <c r="F29" s="572"/>
      <c r="G29" s="572"/>
      <c r="H29" s="572"/>
      <c r="I29" s="572"/>
      <c r="J29" s="572"/>
      <c r="K29" s="572"/>
    </row>
    <row r="30" spans="1:17" x14ac:dyDescent="0.2">
      <c r="A30" s="572"/>
      <c r="B30" s="572"/>
      <c r="C30" s="577"/>
      <c r="D30" s="578"/>
      <c r="E30" s="579"/>
      <c r="F30" s="572"/>
      <c r="G30" s="572"/>
      <c r="H30" s="572"/>
      <c r="I30" s="572"/>
      <c r="J30" s="572"/>
      <c r="K30" s="572"/>
    </row>
    <row r="31" spans="1:17" x14ac:dyDescent="0.2">
      <c r="A31" s="572"/>
      <c r="B31" s="572"/>
      <c r="C31" s="577"/>
      <c r="D31" s="578"/>
      <c r="E31" s="579"/>
      <c r="F31" s="572"/>
      <c r="G31" s="572"/>
      <c r="H31" s="572"/>
      <c r="I31" s="572"/>
      <c r="J31" s="572"/>
      <c r="K31" s="572"/>
    </row>
    <row r="32" spans="1:17" x14ac:dyDescent="0.2">
      <c r="A32" s="572"/>
      <c r="B32" s="572"/>
      <c r="C32" s="577"/>
      <c r="D32" s="578"/>
      <c r="E32" s="579"/>
      <c r="F32" s="572"/>
      <c r="G32" s="572"/>
      <c r="H32" s="572"/>
      <c r="I32" s="572"/>
      <c r="J32" s="572"/>
      <c r="K32" s="572"/>
    </row>
    <row r="33" spans="1:11" x14ac:dyDescent="0.2">
      <c r="A33" s="572"/>
      <c r="B33" s="572"/>
      <c r="C33" s="577"/>
      <c r="D33" s="578"/>
      <c r="E33" s="579"/>
      <c r="F33" s="572"/>
      <c r="G33" s="572"/>
      <c r="H33" s="572"/>
      <c r="I33" s="572"/>
      <c r="J33" s="572"/>
      <c r="K33" s="572"/>
    </row>
    <row r="34" spans="1:11" x14ac:dyDescent="0.2">
      <c r="A34" s="572"/>
      <c r="B34" s="572"/>
      <c r="C34" s="577"/>
      <c r="D34" s="578"/>
      <c r="E34" s="579"/>
      <c r="F34" s="572"/>
      <c r="G34" s="572"/>
      <c r="H34" s="572"/>
      <c r="I34" s="572"/>
      <c r="J34" s="572"/>
      <c r="K34" s="572"/>
    </row>
    <row r="35" spans="1:11" x14ac:dyDescent="0.2">
      <c r="A35" s="572"/>
      <c r="B35" s="572"/>
      <c r="C35" s="577"/>
      <c r="D35" s="578"/>
      <c r="E35" s="579"/>
      <c r="F35" s="572"/>
      <c r="G35" s="572"/>
      <c r="H35" s="572"/>
      <c r="I35" s="572"/>
      <c r="J35" s="572"/>
      <c r="K35" s="572"/>
    </row>
    <row r="36" spans="1:11" x14ac:dyDescent="0.2">
      <c r="A36" s="572"/>
      <c r="B36" s="572"/>
      <c r="C36" s="577"/>
      <c r="D36" s="578"/>
      <c r="E36" s="579"/>
      <c r="F36" s="572"/>
      <c r="G36" s="572"/>
      <c r="H36" s="572"/>
      <c r="I36" s="572"/>
      <c r="J36" s="572"/>
      <c r="K36" s="572"/>
    </row>
    <row r="37" spans="1:11" x14ac:dyDescent="0.2">
      <c r="A37" s="572"/>
      <c r="B37" s="572"/>
      <c r="C37" s="577"/>
      <c r="D37" s="578"/>
      <c r="E37" s="579"/>
      <c r="F37" s="572"/>
      <c r="G37" s="572"/>
      <c r="H37" s="572"/>
      <c r="I37" s="572"/>
      <c r="J37" s="572"/>
      <c r="K37" s="572"/>
    </row>
    <row r="38" spans="1:11" x14ac:dyDescent="0.2">
      <c r="A38" s="572"/>
      <c r="B38" s="572"/>
      <c r="C38" s="577"/>
      <c r="D38" s="578"/>
      <c r="E38" s="579"/>
      <c r="F38" s="572"/>
      <c r="G38" s="572"/>
      <c r="H38" s="572"/>
      <c r="I38" s="572"/>
      <c r="J38" s="572"/>
      <c r="K38" s="572"/>
    </row>
    <row r="39" spans="1:11" x14ac:dyDescent="0.2">
      <c r="A39" s="572"/>
      <c r="B39" s="572"/>
      <c r="C39" s="577"/>
      <c r="D39" s="578"/>
      <c r="E39" s="579"/>
      <c r="F39" s="572"/>
      <c r="G39" s="572"/>
      <c r="H39" s="572"/>
      <c r="I39" s="572"/>
      <c r="J39" s="572"/>
      <c r="K39" s="572"/>
    </row>
    <row r="40" spans="1:11" x14ac:dyDescent="0.2">
      <c r="A40" s="572"/>
      <c r="B40" s="572"/>
      <c r="C40" s="577"/>
      <c r="D40" s="578"/>
      <c r="E40" s="579"/>
      <c r="F40" s="572"/>
      <c r="G40" s="572"/>
      <c r="H40" s="572"/>
      <c r="I40" s="572"/>
      <c r="J40" s="572"/>
      <c r="K40" s="572"/>
    </row>
    <row r="41" spans="1:11" x14ac:dyDescent="0.2">
      <c r="A41" s="572"/>
      <c r="B41" s="572"/>
      <c r="C41" s="577"/>
      <c r="D41" s="578"/>
      <c r="E41" s="579"/>
      <c r="F41" s="572"/>
      <c r="G41" s="572"/>
      <c r="H41" s="572"/>
      <c r="I41" s="572"/>
      <c r="J41" s="572"/>
      <c r="K41" s="572"/>
    </row>
    <row r="42" spans="1:11" x14ac:dyDescent="0.2">
      <c r="A42" s="572"/>
      <c r="B42" s="572"/>
      <c r="C42" s="577"/>
      <c r="D42" s="578"/>
      <c r="E42" s="579"/>
      <c r="F42" s="572"/>
      <c r="G42" s="572"/>
      <c r="H42" s="572"/>
      <c r="I42" s="572"/>
      <c r="J42" s="572"/>
      <c r="K42" s="572"/>
    </row>
    <row r="43" spans="1:11" x14ac:dyDescent="0.2">
      <c r="A43" s="572"/>
      <c r="B43" s="572"/>
      <c r="C43" s="577"/>
      <c r="D43" s="578"/>
      <c r="E43" s="579"/>
      <c r="F43" s="572"/>
      <c r="G43" s="572"/>
      <c r="H43" s="572"/>
      <c r="I43" s="572"/>
      <c r="J43" s="572"/>
      <c r="K43" s="572"/>
    </row>
    <row r="44" spans="1:11" x14ac:dyDescent="0.2">
      <c r="A44" s="572"/>
      <c r="B44" s="572"/>
      <c r="C44" s="577"/>
      <c r="D44" s="578"/>
      <c r="E44" s="579"/>
      <c r="F44" s="572"/>
      <c r="G44" s="572"/>
      <c r="H44" s="572"/>
      <c r="I44" s="572"/>
      <c r="J44" s="572"/>
      <c r="K44" s="572"/>
    </row>
    <row r="45" spans="1:11" x14ac:dyDescent="0.2">
      <c r="A45" s="572"/>
      <c r="B45" s="572"/>
      <c r="C45" s="577"/>
      <c r="D45" s="578"/>
      <c r="E45" s="579"/>
      <c r="F45" s="572"/>
      <c r="G45" s="572"/>
      <c r="H45" s="572"/>
      <c r="I45" s="572"/>
      <c r="J45" s="572"/>
      <c r="K45" s="572"/>
    </row>
    <row r="46" spans="1:11" x14ac:dyDescent="0.2">
      <c r="A46" s="572"/>
      <c r="B46" s="572"/>
      <c r="C46" s="577"/>
      <c r="D46" s="578"/>
      <c r="E46" s="579"/>
      <c r="F46" s="572"/>
      <c r="G46" s="572"/>
      <c r="H46" s="572"/>
      <c r="I46" s="572"/>
      <c r="J46" s="572"/>
      <c r="K46" s="572"/>
    </row>
    <row r="47" spans="1:11" x14ac:dyDescent="0.2">
      <c r="A47" s="572"/>
      <c r="B47" s="572"/>
      <c r="C47" s="577"/>
      <c r="D47" s="578"/>
      <c r="E47" s="579"/>
      <c r="F47" s="572"/>
      <c r="G47" s="572"/>
      <c r="H47" s="572"/>
      <c r="I47" s="572"/>
      <c r="J47" s="572"/>
      <c r="K47" s="572"/>
    </row>
    <row r="48" spans="1:11" x14ac:dyDescent="0.2">
      <c r="A48" s="572"/>
      <c r="B48" s="572"/>
      <c r="C48" s="577"/>
      <c r="D48" s="578"/>
      <c r="E48" s="579"/>
      <c r="F48" s="572"/>
      <c r="G48" s="572"/>
      <c r="H48" s="572"/>
      <c r="I48" s="572"/>
      <c r="J48" s="572"/>
      <c r="K48" s="572"/>
    </row>
    <row r="49" spans="1:11" x14ac:dyDescent="0.2">
      <c r="A49" s="572"/>
      <c r="B49" s="572"/>
      <c r="C49" s="577"/>
      <c r="D49" s="578"/>
      <c r="E49" s="579"/>
      <c r="F49" s="572"/>
      <c r="G49" s="572"/>
      <c r="H49" s="572"/>
      <c r="I49" s="572"/>
      <c r="J49" s="572"/>
      <c r="K49" s="572"/>
    </row>
    <row r="50" spans="1:11" x14ac:dyDescent="0.2">
      <c r="A50" s="572"/>
      <c r="B50" s="572"/>
      <c r="C50" s="577"/>
      <c r="D50" s="578"/>
      <c r="E50" s="579"/>
      <c r="F50" s="572"/>
      <c r="G50" s="572"/>
      <c r="H50" s="572"/>
      <c r="I50" s="572"/>
      <c r="J50" s="572"/>
      <c r="K50" s="572"/>
    </row>
    <row r="527" spans="15:17" x14ac:dyDescent="0.2">
      <c r="O527" s="557"/>
      <c r="P527" s="557"/>
      <c r="Q527" s="557"/>
    </row>
    <row r="528" spans="15:17" x14ac:dyDescent="0.2">
      <c r="Q528" s="575" t="s">
        <v>32</v>
      </c>
    </row>
    <row r="541" spans="17:17" x14ac:dyDescent="0.2">
      <c r="Q541" s="575">
        <v>0</v>
      </c>
    </row>
    <row r="542" spans="17:17" x14ac:dyDescent="0.2">
      <c r="Q542" s="575">
        <v>0</v>
      </c>
    </row>
    <row r="543" spans="17:17" x14ac:dyDescent="0.2">
      <c r="Q543" s="575">
        <v>0</v>
      </c>
    </row>
    <row r="544" spans="17:17" x14ac:dyDescent="0.2">
      <c r="Q544" s="575">
        <v>0</v>
      </c>
    </row>
    <row r="545" spans="17:17" x14ac:dyDescent="0.2">
      <c r="Q545" s="575">
        <v>0</v>
      </c>
    </row>
    <row r="546" spans="17:17" x14ac:dyDescent="0.2">
      <c r="Q546" s="575" t="s">
        <v>27</v>
      </c>
    </row>
    <row r="549" spans="17:17" x14ac:dyDescent="0.2">
      <c r="Q549" s="575">
        <v>27</v>
      </c>
    </row>
    <row r="550" spans="17:17" x14ac:dyDescent="0.2">
      <c r="Q550" s="575" t="s">
        <v>28</v>
      </c>
    </row>
    <row r="558" spans="17:17" x14ac:dyDescent="0.2">
      <c r="Q558" s="575" t="s">
        <v>29</v>
      </c>
    </row>
    <row r="561" spans="17:17" x14ac:dyDescent="0.2">
      <c r="Q561" s="575" t="s">
        <v>992</v>
      </c>
    </row>
    <row r="563" spans="17:17" x14ac:dyDescent="0.2">
      <c r="Q563" s="575" t="s">
        <v>1719</v>
      </c>
    </row>
    <row r="568" spans="17:17" x14ac:dyDescent="0.2">
      <c r="Q568" s="575" t="s">
        <v>32</v>
      </c>
    </row>
    <row r="584" spans="17:17" x14ac:dyDescent="0.2">
      <c r="Q584" s="575">
        <v>0</v>
      </c>
    </row>
    <row r="585" spans="17:17" x14ac:dyDescent="0.2">
      <c r="Q585" s="575">
        <v>0</v>
      </c>
    </row>
    <row r="586" spans="17:17" x14ac:dyDescent="0.2">
      <c r="Q586" s="575">
        <v>0</v>
      </c>
    </row>
    <row r="587" spans="17:17" x14ac:dyDescent="0.2">
      <c r="Q587" s="575">
        <v>0</v>
      </c>
    </row>
    <row r="588" spans="17:17" x14ac:dyDescent="0.2">
      <c r="Q588" s="575">
        <v>0</v>
      </c>
    </row>
    <row r="589" spans="17:17" x14ac:dyDescent="0.2">
      <c r="Q589" s="575" t="s">
        <v>27</v>
      </c>
    </row>
    <row r="592" spans="17:17" x14ac:dyDescent="0.2">
      <c r="Q592" s="575">
        <v>320</v>
      </c>
    </row>
    <row r="593" spans="17:17" x14ac:dyDescent="0.2">
      <c r="Q593" s="575" t="s">
        <v>28</v>
      </c>
    </row>
    <row r="606" spans="17:17" x14ac:dyDescent="0.2">
      <c r="Q606" s="575" t="s">
        <v>29</v>
      </c>
    </row>
    <row r="609" spans="17:17" x14ac:dyDescent="0.2">
      <c r="Q609" s="575" t="s">
        <v>992</v>
      </c>
    </row>
    <row r="611" spans="17:17" x14ac:dyDescent="0.2">
      <c r="Q611" s="575" t="s">
        <v>1719</v>
      </c>
    </row>
    <row r="616" spans="17:17" x14ac:dyDescent="0.2">
      <c r="Q616" s="575" t="s">
        <v>32</v>
      </c>
    </row>
    <row r="631" spans="17:17" x14ac:dyDescent="0.2">
      <c r="Q631" s="575">
        <v>0</v>
      </c>
    </row>
    <row r="632" spans="17:17" x14ac:dyDescent="0.2">
      <c r="Q632" s="575">
        <v>0</v>
      </c>
    </row>
    <row r="633" spans="17:17" x14ac:dyDescent="0.2">
      <c r="Q633" s="575">
        <v>0</v>
      </c>
    </row>
    <row r="634" spans="17:17" x14ac:dyDescent="0.2">
      <c r="Q634" s="575">
        <v>0</v>
      </c>
    </row>
    <row r="635" spans="17:17" x14ac:dyDescent="0.2">
      <c r="Q635" s="575">
        <v>0</v>
      </c>
    </row>
    <row r="636" spans="17:17" x14ac:dyDescent="0.2">
      <c r="Q636" s="575" t="s">
        <v>27</v>
      </c>
    </row>
    <row r="639" spans="17:17" x14ac:dyDescent="0.2">
      <c r="Q639" s="575">
        <v>380</v>
      </c>
    </row>
    <row r="640" spans="17:17" x14ac:dyDescent="0.2">
      <c r="Q640" s="575" t="s">
        <v>28</v>
      </c>
    </row>
    <row r="652" spans="17:17" x14ac:dyDescent="0.2">
      <c r="Q652" s="575" t="s">
        <v>29</v>
      </c>
    </row>
    <row r="655" spans="17:17" x14ac:dyDescent="0.2">
      <c r="Q655" s="575" t="s">
        <v>992</v>
      </c>
    </row>
    <row r="657" spans="17:17" x14ac:dyDescent="0.2">
      <c r="Q657" s="575" t="s">
        <v>1719</v>
      </c>
    </row>
    <row r="662" spans="17:17" x14ac:dyDescent="0.2">
      <c r="Q662" s="575" t="s">
        <v>32</v>
      </c>
    </row>
    <row r="677" spans="17:17" x14ac:dyDescent="0.2">
      <c r="Q677" s="575">
        <v>0</v>
      </c>
    </row>
    <row r="678" spans="17:17" x14ac:dyDescent="0.2">
      <c r="Q678" s="575">
        <v>0</v>
      </c>
    </row>
    <row r="679" spans="17:17" x14ac:dyDescent="0.2">
      <c r="Q679" s="575">
        <v>0</v>
      </c>
    </row>
    <row r="680" spans="17:17" x14ac:dyDescent="0.2">
      <c r="Q680" s="575">
        <v>0</v>
      </c>
    </row>
    <row r="681" spans="17:17" x14ac:dyDescent="0.2">
      <c r="Q681" s="575">
        <v>0</v>
      </c>
    </row>
    <row r="682" spans="17:17" x14ac:dyDescent="0.2">
      <c r="Q682" s="575" t="s">
        <v>27</v>
      </c>
    </row>
    <row r="685" spans="17:17" x14ac:dyDescent="0.2">
      <c r="Q685" s="575">
        <v>275</v>
      </c>
    </row>
    <row r="686" spans="17:17" x14ac:dyDescent="0.2">
      <c r="Q686" s="575" t="s">
        <v>28</v>
      </c>
    </row>
    <row r="698" spans="17:17" x14ac:dyDescent="0.2">
      <c r="Q698" s="575" t="s">
        <v>29</v>
      </c>
    </row>
    <row r="701" spans="17:17" x14ac:dyDescent="0.2">
      <c r="Q701" s="575" t="s">
        <v>992</v>
      </c>
    </row>
    <row r="703" spans="17:17" x14ac:dyDescent="0.2">
      <c r="Q703" s="575" t="s">
        <v>1720</v>
      </c>
    </row>
    <row r="708" spans="17:17" x14ac:dyDescent="0.2">
      <c r="Q708" s="575" t="s">
        <v>32</v>
      </c>
    </row>
    <row r="723" spans="17:17" x14ac:dyDescent="0.2">
      <c r="Q723" s="575">
        <v>0</v>
      </c>
    </row>
    <row r="724" spans="17:17" x14ac:dyDescent="0.2">
      <c r="Q724" s="575">
        <v>0</v>
      </c>
    </row>
    <row r="725" spans="17:17" x14ac:dyDescent="0.2">
      <c r="Q725" s="575">
        <v>0</v>
      </c>
    </row>
    <row r="726" spans="17:17" x14ac:dyDescent="0.2">
      <c r="Q726" s="575">
        <v>0</v>
      </c>
    </row>
    <row r="727" spans="17:17" x14ac:dyDescent="0.2">
      <c r="Q727" s="575">
        <v>0</v>
      </c>
    </row>
    <row r="728" spans="17:17" x14ac:dyDescent="0.2">
      <c r="Q728" s="575" t="s">
        <v>27</v>
      </c>
    </row>
    <row r="731" spans="17:17" x14ac:dyDescent="0.2">
      <c r="Q731" s="575">
        <v>260</v>
      </c>
    </row>
    <row r="732" spans="17:17" x14ac:dyDescent="0.2">
      <c r="Q732" s="575" t="s">
        <v>28</v>
      </c>
    </row>
    <row r="744" spans="17:17" x14ac:dyDescent="0.2">
      <c r="Q744" s="575" t="s">
        <v>29</v>
      </c>
    </row>
    <row r="747" spans="17:17" x14ac:dyDescent="0.2">
      <c r="Q747" s="575" t="s">
        <v>992</v>
      </c>
    </row>
    <row r="749" spans="17:17" x14ac:dyDescent="0.2">
      <c r="Q749" s="575" t="e">
        <v>#N/A</v>
      </c>
    </row>
    <row r="754" spans="17:17" x14ac:dyDescent="0.2">
      <c r="Q754" s="575" t="s">
        <v>32</v>
      </c>
    </row>
    <row r="771" spans="17:17" x14ac:dyDescent="0.2">
      <c r="Q771" s="575">
        <v>0</v>
      </c>
    </row>
    <row r="772" spans="17:17" x14ac:dyDescent="0.2">
      <c r="Q772" s="575">
        <v>0</v>
      </c>
    </row>
    <row r="773" spans="17:17" x14ac:dyDescent="0.2">
      <c r="Q773" s="575">
        <v>0</v>
      </c>
    </row>
    <row r="774" spans="17:17" x14ac:dyDescent="0.2">
      <c r="Q774" s="575">
        <v>0</v>
      </c>
    </row>
    <row r="775" spans="17:17" x14ac:dyDescent="0.2">
      <c r="Q775" s="575">
        <v>0</v>
      </c>
    </row>
    <row r="776" spans="17:17" x14ac:dyDescent="0.2">
      <c r="Q776" s="575" t="s">
        <v>27</v>
      </c>
    </row>
    <row r="779" spans="17:17" x14ac:dyDescent="0.2">
      <c r="Q779" s="575">
        <v>4800</v>
      </c>
    </row>
    <row r="780" spans="17:17" x14ac:dyDescent="0.2">
      <c r="Q780" s="575" t="s">
        <v>28</v>
      </c>
    </row>
    <row r="792" spans="17:17" x14ac:dyDescent="0.2">
      <c r="Q792" s="575" t="s">
        <v>29</v>
      </c>
    </row>
    <row r="796" spans="17:17" x14ac:dyDescent="0.2">
      <c r="Q796" s="575" t="s">
        <v>992</v>
      </c>
    </row>
    <row r="798" spans="17:17" x14ac:dyDescent="0.2">
      <c r="Q798" s="575" t="e">
        <v>#N/A</v>
      </c>
    </row>
    <row r="803" spans="17:17" x14ac:dyDescent="0.2">
      <c r="Q803" s="575" t="s">
        <v>32</v>
      </c>
    </row>
    <row r="820" spans="17:17" x14ac:dyDescent="0.2">
      <c r="Q820" s="575">
        <v>0</v>
      </c>
    </row>
    <row r="821" spans="17:17" x14ac:dyDescent="0.2">
      <c r="Q821" s="575">
        <v>0</v>
      </c>
    </row>
    <row r="822" spans="17:17" x14ac:dyDescent="0.2">
      <c r="Q822" s="575">
        <v>0</v>
      </c>
    </row>
    <row r="823" spans="17:17" x14ac:dyDescent="0.2">
      <c r="Q823" s="575">
        <v>0</v>
      </c>
    </row>
    <row r="824" spans="17:17" x14ac:dyDescent="0.2">
      <c r="Q824" s="575">
        <v>0</v>
      </c>
    </row>
    <row r="825" spans="17:17" x14ac:dyDescent="0.2">
      <c r="Q825" s="575" t="s">
        <v>27</v>
      </c>
    </row>
    <row r="828" spans="17:17" x14ac:dyDescent="0.2">
      <c r="Q828" s="575">
        <v>5500</v>
      </c>
    </row>
    <row r="829" spans="17:17" x14ac:dyDescent="0.2">
      <c r="Q829" s="575" t="s">
        <v>28</v>
      </c>
    </row>
    <row r="841" spans="17:17" x14ac:dyDescent="0.2">
      <c r="Q841" s="575" t="s">
        <v>29</v>
      </c>
    </row>
    <row r="845" spans="17:17" x14ac:dyDescent="0.2">
      <c r="Q845" s="575" t="s">
        <v>992</v>
      </c>
    </row>
    <row r="847" spans="17:17" x14ac:dyDescent="0.2">
      <c r="Q847" s="575" t="e">
        <v>#N/A</v>
      </c>
    </row>
    <row r="852" spans="17:17" x14ac:dyDescent="0.2">
      <c r="Q852" s="575" t="s">
        <v>32</v>
      </c>
    </row>
    <row r="867" spans="17:17" x14ac:dyDescent="0.2">
      <c r="Q867" s="575">
        <v>0</v>
      </c>
    </row>
    <row r="868" spans="17:17" x14ac:dyDescent="0.2">
      <c r="Q868" s="575">
        <v>0</v>
      </c>
    </row>
    <row r="869" spans="17:17" x14ac:dyDescent="0.2">
      <c r="Q869" s="575">
        <v>0</v>
      </c>
    </row>
    <row r="870" spans="17:17" x14ac:dyDescent="0.2">
      <c r="Q870" s="575">
        <v>0</v>
      </c>
    </row>
    <row r="871" spans="17:17" x14ac:dyDescent="0.2">
      <c r="Q871" s="575">
        <v>0</v>
      </c>
    </row>
    <row r="872" spans="17:17" x14ac:dyDescent="0.2">
      <c r="Q872" s="575" t="s">
        <v>27</v>
      </c>
    </row>
    <row r="875" spans="17:17" x14ac:dyDescent="0.2">
      <c r="Q875" s="575">
        <v>2333.3333333333335</v>
      </c>
    </row>
    <row r="876" spans="17:17" x14ac:dyDescent="0.2">
      <c r="Q876" s="575" t="s">
        <v>28</v>
      </c>
    </row>
    <row r="888" spans="17:17" x14ac:dyDescent="0.2">
      <c r="Q888" s="575" t="s">
        <v>29</v>
      </c>
    </row>
    <row r="891" spans="17:17" x14ac:dyDescent="0.2">
      <c r="Q891" s="575" t="s">
        <v>992</v>
      </c>
    </row>
    <row r="893" spans="17:17" x14ac:dyDescent="0.2">
      <c r="Q893" s="575" t="e">
        <v>#N/A</v>
      </c>
    </row>
    <row r="898" spans="17:17" x14ac:dyDescent="0.2">
      <c r="Q898" s="575" t="s">
        <v>32</v>
      </c>
    </row>
    <row r="913" spans="17:17" x14ac:dyDescent="0.2">
      <c r="Q913" s="575">
        <v>0</v>
      </c>
    </row>
    <row r="914" spans="17:17" x14ac:dyDescent="0.2">
      <c r="Q914" s="575">
        <v>0</v>
      </c>
    </row>
    <row r="915" spans="17:17" x14ac:dyDescent="0.2">
      <c r="Q915" s="575">
        <v>0</v>
      </c>
    </row>
    <row r="916" spans="17:17" x14ac:dyDescent="0.2">
      <c r="Q916" s="575">
        <v>0</v>
      </c>
    </row>
    <row r="917" spans="17:17" x14ac:dyDescent="0.2">
      <c r="Q917" s="575">
        <v>0</v>
      </c>
    </row>
    <row r="918" spans="17:17" x14ac:dyDescent="0.2">
      <c r="Q918" s="575" t="s">
        <v>27</v>
      </c>
    </row>
    <row r="921" spans="17:17" x14ac:dyDescent="0.2">
      <c r="Q921" s="575">
        <v>290</v>
      </c>
    </row>
    <row r="922" spans="17:17" x14ac:dyDescent="0.2">
      <c r="Q922" s="575" t="s">
        <v>28</v>
      </c>
    </row>
    <row r="934" spans="17:17" x14ac:dyDescent="0.2">
      <c r="Q934" s="575" t="s">
        <v>29</v>
      </c>
    </row>
    <row r="937" spans="17:17" x14ac:dyDescent="0.2">
      <c r="Q937" s="575" t="s">
        <v>992</v>
      </c>
    </row>
    <row r="939" spans="17:17" x14ac:dyDescent="0.2">
      <c r="Q939" s="575" t="e">
        <v>#N/A</v>
      </c>
    </row>
    <row r="944" spans="17:17" x14ac:dyDescent="0.2">
      <c r="Q944" s="575" t="s">
        <v>32</v>
      </c>
    </row>
    <row r="958" spans="17:17" x14ac:dyDescent="0.2">
      <c r="Q958" s="575">
        <v>0</v>
      </c>
    </row>
    <row r="959" spans="17:17" x14ac:dyDescent="0.2">
      <c r="Q959" s="575">
        <v>0</v>
      </c>
    </row>
    <row r="960" spans="17:17" x14ac:dyDescent="0.2">
      <c r="Q960" s="575">
        <v>0</v>
      </c>
    </row>
    <row r="961" spans="17:17" x14ac:dyDescent="0.2">
      <c r="Q961" s="575">
        <v>0</v>
      </c>
    </row>
    <row r="962" spans="17:17" x14ac:dyDescent="0.2">
      <c r="Q962" s="575">
        <v>0</v>
      </c>
    </row>
    <row r="963" spans="17:17" x14ac:dyDescent="0.2">
      <c r="Q963" s="575" t="s">
        <v>27</v>
      </c>
    </row>
    <row r="966" spans="17:17" x14ac:dyDescent="0.2">
      <c r="Q966" s="575">
        <v>3</v>
      </c>
    </row>
    <row r="967" spans="17:17" x14ac:dyDescent="0.2">
      <c r="Q967" s="575" t="s">
        <v>28</v>
      </c>
    </row>
    <row r="980" spans="17:17" x14ac:dyDescent="0.2">
      <c r="Q980" s="575" t="s">
        <v>29</v>
      </c>
    </row>
    <row r="983" spans="17:17" x14ac:dyDescent="0.2">
      <c r="Q983" s="575" t="s">
        <v>992</v>
      </c>
    </row>
    <row r="985" spans="17:17" x14ac:dyDescent="0.2">
      <c r="Q985" s="575" t="e">
        <v>#N/A</v>
      </c>
    </row>
    <row r="990" spans="17:17" x14ac:dyDescent="0.2">
      <c r="Q990" s="575" t="s">
        <v>32</v>
      </c>
    </row>
    <row r="1004" spans="17:17" x14ac:dyDescent="0.2">
      <c r="Q1004" s="575">
        <v>0</v>
      </c>
    </row>
    <row r="1005" spans="17:17" x14ac:dyDescent="0.2">
      <c r="Q1005" s="575">
        <v>0</v>
      </c>
    </row>
    <row r="1006" spans="17:17" x14ac:dyDescent="0.2">
      <c r="Q1006" s="575">
        <v>0</v>
      </c>
    </row>
    <row r="1007" spans="17:17" x14ac:dyDescent="0.2">
      <c r="Q1007" s="575">
        <v>0</v>
      </c>
    </row>
    <row r="1008" spans="17:17" x14ac:dyDescent="0.2">
      <c r="Q1008" s="575">
        <v>0</v>
      </c>
    </row>
    <row r="1009" spans="17:17" x14ac:dyDescent="0.2">
      <c r="Q1009" s="575" t="s">
        <v>27</v>
      </c>
    </row>
    <row r="1012" spans="17:17" x14ac:dyDescent="0.2">
      <c r="Q1012" s="575">
        <v>3</v>
      </c>
    </row>
    <row r="1013" spans="17:17" x14ac:dyDescent="0.2">
      <c r="Q1013" s="575" t="s">
        <v>28</v>
      </c>
    </row>
    <row r="1026" spans="17:17" x14ac:dyDescent="0.2">
      <c r="Q1026" s="575" t="s">
        <v>29</v>
      </c>
    </row>
    <row r="1030" spans="17:17" x14ac:dyDescent="0.2">
      <c r="Q1030" s="575" t="s">
        <v>992</v>
      </c>
    </row>
    <row r="1032" spans="17:17" x14ac:dyDescent="0.2">
      <c r="Q1032" s="575" t="e">
        <v>#N/A</v>
      </c>
    </row>
    <row r="1037" spans="17:17" x14ac:dyDescent="0.2">
      <c r="Q1037" s="575" t="s">
        <v>32</v>
      </c>
    </row>
    <row r="1052" spans="17:17" x14ac:dyDescent="0.2">
      <c r="Q1052" s="575">
        <v>0</v>
      </c>
    </row>
    <row r="1053" spans="17:17" x14ac:dyDescent="0.2">
      <c r="Q1053" s="575">
        <v>0</v>
      </c>
    </row>
    <row r="1054" spans="17:17" x14ac:dyDescent="0.2">
      <c r="Q1054" s="575">
        <v>0</v>
      </c>
    </row>
    <row r="1055" spans="17:17" x14ac:dyDescent="0.2">
      <c r="Q1055" s="575">
        <v>0</v>
      </c>
    </row>
    <row r="1056" spans="17:17" x14ac:dyDescent="0.2">
      <c r="Q1056" s="575">
        <v>0</v>
      </c>
    </row>
    <row r="1057" spans="17:17" x14ac:dyDescent="0.2">
      <c r="Q1057" s="575" t="s">
        <v>27</v>
      </c>
    </row>
    <row r="1060" spans="17:17" x14ac:dyDescent="0.2">
      <c r="Q1060" s="575">
        <v>7</v>
      </c>
    </row>
    <row r="1061" spans="17:17" x14ac:dyDescent="0.2">
      <c r="Q1061" s="575" t="s">
        <v>28</v>
      </c>
    </row>
    <row r="1069" spans="17:17" x14ac:dyDescent="0.2">
      <c r="Q1069" s="575" t="s">
        <v>29</v>
      </c>
    </row>
    <row r="1073" spans="17:17" x14ac:dyDescent="0.2">
      <c r="Q1073" s="575" t="s">
        <v>992</v>
      </c>
    </row>
    <row r="1075" spans="17:17" x14ac:dyDescent="0.2">
      <c r="Q1075" s="575" t="e">
        <v>#N/A</v>
      </c>
    </row>
    <row r="1080" spans="17:17" x14ac:dyDescent="0.2">
      <c r="Q1080" s="575" t="s">
        <v>32</v>
      </c>
    </row>
    <row r="1095" spans="17:17" x14ac:dyDescent="0.2">
      <c r="Q1095" s="575">
        <v>0</v>
      </c>
    </row>
    <row r="1096" spans="17:17" x14ac:dyDescent="0.2">
      <c r="Q1096" s="575">
        <v>0</v>
      </c>
    </row>
    <row r="1097" spans="17:17" x14ac:dyDescent="0.2">
      <c r="Q1097" s="575">
        <v>0</v>
      </c>
    </row>
    <row r="1098" spans="17:17" x14ac:dyDescent="0.2">
      <c r="Q1098" s="575">
        <v>0</v>
      </c>
    </row>
    <row r="1099" spans="17:17" x14ac:dyDescent="0.2">
      <c r="Q1099" s="575">
        <v>0</v>
      </c>
    </row>
    <row r="1100" spans="17:17" x14ac:dyDescent="0.2">
      <c r="Q1100" s="575" t="s">
        <v>27</v>
      </c>
    </row>
    <row r="1103" spans="17:17" x14ac:dyDescent="0.2">
      <c r="Q1103" s="575">
        <v>5</v>
      </c>
    </row>
    <row r="1104" spans="17:17" x14ac:dyDescent="0.2">
      <c r="Q1104" s="575" t="s">
        <v>28</v>
      </c>
    </row>
    <row r="1115" spans="17:17" x14ac:dyDescent="0.2">
      <c r="Q1115" s="575" t="s">
        <v>29</v>
      </c>
    </row>
    <row r="1119" spans="17:17" x14ac:dyDescent="0.2">
      <c r="Q1119" s="575" t="s">
        <v>992</v>
      </c>
    </row>
    <row r="1121" spans="17:17" x14ac:dyDescent="0.2">
      <c r="Q1121" s="575" t="e">
        <v>#N/A</v>
      </c>
    </row>
    <row r="1126" spans="17:17" x14ac:dyDescent="0.2">
      <c r="Q1126" s="575" t="s">
        <v>32</v>
      </c>
    </row>
    <row r="1141" spans="17:17" x14ac:dyDescent="0.2">
      <c r="Q1141" s="575">
        <v>0</v>
      </c>
    </row>
    <row r="1142" spans="17:17" x14ac:dyDescent="0.2">
      <c r="Q1142" s="575">
        <v>0</v>
      </c>
    </row>
    <row r="1143" spans="17:17" x14ac:dyDescent="0.2">
      <c r="Q1143" s="575">
        <v>0</v>
      </c>
    </row>
    <row r="1144" spans="17:17" x14ac:dyDescent="0.2">
      <c r="Q1144" s="575">
        <v>0</v>
      </c>
    </row>
    <row r="1145" spans="17:17" x14ac:dyDescent="0.2">
      <c r="Q1145" s="575">
        <v>0</v>
      </c>
    </row>
    <row r="1146" spans="17:17" x14ac:dyDescent="0.2">
      <c r="Q1146" s="575" t="s">
        <v>27</v>
      </c>
    </row>
    <row r="1149" spans="17:17" x14ac:dyDescent="0.2">
      <c r="Q1149" s="575">
        <v>3</v>
      </c>
    </row>
    <row r="1150" spans="17:17" x14ac:dyDescent="0.2">
      <c r="Q1150" s="575" t="s">
        <v>28</v>
      </c>
    </row>
    <row r="1159" spans="17:17" x14ac:dyDescent="0.2">
      <c r="Q1159" s="575" t="s">
        <v>29</v>
      </c>
    </row>
    <row r="1163" spans="17:17" x14ac:dyDescent="0.2">
      <c r="Q1163" s="575" t="s">
        <v>992</v>
      </c>
    </row>
    <row r="1165" spans="17:17" x14ac:dyDescent="0.2">
      <c r="Q1165" s="575" t="e">
        <v>#N/A</v>
      </c>
    </row>
    <row r="1170" spans="17:17" x14ac:dyDescent="0.2">
      <c r="Q1170" s="575" t="s">
        <v>32</v>
      </c>
    </row>
    <row r="1187" spans="17:17" x14ac:dyDescent="0.2">
      <c r="Q1187" s="575">
        <v>0</v>
      </c>
    </row>
    <row r="1188" spans="17:17" x14ac:dyDescent="0.2">
      <c r="Q1188" s="575">
        <v>0</v>
      </c>
    </row>
    <row r="1189" spans="17:17" x14ac:dyDescent="0.2">
      <c r="Q1189" s="575">
        <v>0</v>
      </c>
    </row>
    <row r="1190" spans="17:17" x14ac:dyDescent="0.2">
      <c r="Q1190" s="575">
        <v>0</v>
      </c>
    </row>
    <row r="1191" spans="17:17" x14ac:dyDescent="0.2">
      <c r="Q1191" s="575">
        <v>0</v>
      </c>
    </row>
    <row r="1192" spans="17:17" x14ac:dyDescent="0.2">
      <c r="Q1192" s="575" t="s">
        <v>27</v>
      </c>
    </row>
    <row r="1195" spans="17:17" x14ac:dyDescent="0.2">
      <c r="Q1195" s="575">
        <v>0.2</v>
      </c>
    </row>
    <row r="1196" spans="17:17" x14ac:dyDescent="0.2">
      <c r="Q1196" s="575" t="s">
        <v>28</v>
      </c>
    </row>
    <row r="1209" spans="17:17" x14ac:dyDescent="0.2">
      <c r="Q1209" s="575" t="s">
        <v>29</v>
      </c>
    </row>
    <row r="1213" spans="17:17" x14ac:dyDescent="0.2">
      <c r="Q1213" s="575" t="s">
        <v>992</v>
      </c>
    </row>
    <row r="1215" spans="17:17" x14ac:dyDescent="0.2">
      <c r="Q1215" s="575" t="e">
        <v>#N/A</v>
      </c>
    </row>
    <row r="1220" spans="17:17" x14ac:dyDescent="0.2">
      <c r="Q1220" s="575" t="s">
        <v>32</v>
      </c>
    </row>
    <row r="1238" spans="17:17" x14ac:dyDescent="0.2">
      <c r="Q1238" s="575">
        <v>0</v>
      </c>
    </row>
    <row r="1239" spans="17:17" x14ac:dyDescent="0.2">
      <c r="Q1239" s="575">
        <v>0</v>
      </c>
    </row>
    <row r="1240" spans="17:17" x14ac:dyDescent="0.2">
      <c r="Q1240" s="575">
        <v>0</v>
      </c>
    </row>
    <row r="1241" spans="17:17" x14ac:dyDescent="0.2">
      <c r="Q1241" s="575">
        <v>0</v>
      </c>
    </row>
    <row r="1242" spans="17:17" x14ac:dyDescent="0.2">
      <c r="Q1242" s="575">
        <v>0</v>
      </c>
    </row>
    <row r="1243" spans="17:17" x14ac:dyDescent="0.2">
      <c r="Q1243" s="575" t="s">
        <v>27</v>
      </c>
    </row>
    <row r="1246" spans="17:17" x14ac:dyDescent="0.2">
      <c r="Q1246" s="575">
        <v>0.2</v>
      </c>
    </row>
    <row r="1247" spans="17:17" x14ac:dyDescent="0.2">
      <c r="Q1247" s="575" t="s">
        <v>28</v>
      </c>
    </row>
    <row r="1259" spans="17:17" x14ac:dyDescent="0.2">
      <c r="Q1259" s="575" t="s">
        <v>29</v>
      </c>
    </row>
    <row r="1263" spans="17:17" x14ac:dyDescent="0.2">
      <c r="Q1263" s="575" t="s">
        <v>992</v>
      </c>
    </row>
    <row r="1265" spans="17:17" x14ac:dyDescent="0.2">
      <c r="Q1265" s="575" t="e">
        <v>#N/A</v>
      </c>
    </row>
    <row r="1269" spans="17:17" x14ac:dyDescent="0.2">
      <c r="Q1269" s="575" t="s">
        <v>32</v>
      </c>
    </row>
    <row r="1286" spans="17:17" x14ac:dyDescent="0.2">
      <c r="Q1286" s="575">
        <v>0</v>
      </c>
    </row>
    <row r="1287" spans="17:17" x14ac:dyDescent="0.2">
      <c r="Q1287" s="575">
        <v>0</v>
      </c>
    </row>
    <row r="1288" spans="17:17" x14ac:dyDescent="0.2">
      <c r="Q1288" s="575">
        <v>0</v>
      </c>
    </row>
    <row r="1289" spans="17:17" x14ac:dyDescent="0.2">
      <c r="Q1289" s="575">
        <v>0</v>
      </c>
    </row>
    <row r="1290" spans="17:17" x14ac:dyDescent="0.2">
      <c r="Q1290" s="575">
        <v>0</v>
      </c>
    </row>
    <row r="1291" spans="17:17" x14ac:dyDescent="0.2">
      <c r="Q1291" s="575" t="s">
        <v>27</v>
      </c>
    </row>
    <row r="1294" spans="17:17" x14ac:dyDescent="0.2">
      <c r="Q1294" s="575">
        <v>0.2</v>
      </c>
    </row>
    <row r="1295" spans="17:17" x14ac:dyDescent="0.2">
      <c r="Q1295" s="575" t="s">
        <v>28</v>
      </c>
    </row>
    <row r="1308" spans="17:17" x14ac:dyDescent="0.2">
      <c r="Q1308" s="575" t="s">
        <v>29</v>
      </c>
    </row>
    <row r="1312" spans="17:17" x14ac:dyDescent="0.2">
      <c r="Q1312" s="575" t="s">
        <v>992</v>
      </c>
    </row>
    <row r="1314" spans="17:17" x14ac:dyDescent="0.2">
      <c r="Q1314" s="575" t="e">
        <v>#N/A</v>
      </c>
    </row>
    <row r="1318" spans="17:17" x14ac:dyDescent="0.2">
      <c r="Q1318" s="575" t="s">
        <v>32</v>
      </c>
    </row>
    <row r="1335" spans="17:17" x14ac:dyDescent="0.2">
      <c r="Q1335" s="575">
        <v>0</v>
      </c>
    </row>
    <row r="1336" spans="17:17" x14ac:dyDescent="0.2">
      <c r="Q1336" s="575">
        <v>0</v>
      </c>
    </row>
    <row r="1337" spans="17:17" x14ac:dyDescent="0.2">
      <c r="Q1337" s="575">
        <v>0</v>
      </c>
    </row>
    <row r="1338" spans="17:17" x14ac:dyDescent="0.2">
      <c r="Q1338" s="575">
        <v>0</v>
      </c>
    </row>
    <row r="1339" spans="17:17" x14ac:dyDescent="0.2">
      <c r="Q1339" s="575">
        <v>0</v>
      </c>
    </row>
    <row r="1340" spans="17:17" x14ac:dyDescent="0.2">
      <c r="Q1340" s="575" t="s">
        <v>27</v>
      </c>
    </row>
    <row r="1343" spans="17:17" x14ac:dyDescent="0.2">
      <c r="Q1343" s="575">
        <v>600</v>
      </c>
    </row>
    <row r="1344" spans="17:17" x14ac:dyDescent="0.2">
      <c r="Q1344" s="575" t="s">
        <v>28</v>
      </c>
    </row>
    <row r="1357" spans="17:17" x14ac:dyDescent="0.2">
      <c r="Q1357" s="575" t="s">
        <v>29</v>
      </c>
    </row>
    <row r="1361" spans="17:17" x14ac:dyDescent="0.2">
      <c r="Q1361" s="575" t="s">
        <v>992</v>
      </c>
    </row>
    <row r="1363" spans="17:17" x14ac:dyDescent="0.2">
      <c r="Q1363" s="575" t="e">
        <v>#N/A</v>
      </c>
    </row>
    <row r="1367" spans="17:17" x14ac:dyDescent="0.2">
      <c r="Q1367" s="575" t="s">
        <v>32</v>
      </c>
    </row>
    <row r="1384" spans="17:17" x14ac:dyDescent="0.2">
      <c r="Q1384" s="575">
        <v>0</v>
      </c>
    </row>
    <row r="1385" spans="17:17" x14ac:dyDescent="0.2">
      <c r="Q1385" s="575">
        <v>0</v>
      </c>
    </row>
    <row r="1386" spans="17:17" x14ac:dyDescent="0.2">
      <c r="Q1386" s="575">
        <v>0</v>
      </c>
    </row>
    <row r="1387" spans="17:17" x14ac:dyDescent="0.2">
      <c r="Q1387" s="575">
        <v>0</v>
      </c>
    </row>
    <row r="1388" spans="17:17" x14ac:dyDescent="0.2">
      <c r="Q1388" s="575">
        <v>0</v>
      </c>
    </row>
    <row r="1389" spans="17:17" x14ac:dyDescent="0.2">
      <c r="Q1389" s="575" t="s">
        <v>27</v>
      </c>
    </row>
    <row r="1392" spans="17:17" x14ac:dyDescent="0.2">
      <c r="Q1392" s="575">
        <v>8.5000000000000006E-3</v>
      </c>
    </row>
    <row r="1393" spans="17:17" x14ac:dyDescent="0.2">
      <c r="Q1393" s="575" t="s">
        <v>28</v>
      </c>
    </row>
    <row r="1405" spans="17:17" x14ac:dyDescent="0.2">
      <c r="Q1405" s="575" t="s">
        <v>29</v>
      </c>
    </row>
    <row r="1409" spans="17:17" x14ac:dyDescent="0.2">
      <c r="Q1409" s="575" t="s">
        <v>992</v>
      </c>
    </row>
    <row r="1411" spans="17:17" x14ac:dyDescent="0.2">
      <c r="Q1411" s="575" t="e">
        <v>#N/A</v>
      </c>
    </row>
  </sheetData>
  <sortState xmlns:xlrd2="http://schemas.microsoft.com/office/spreadsheetml/2017/richdata2" ref="O1:Q1411">
    <sortCondition ref="O1:O1411"/>
  </sortState>
  <mergeCells count="1">
    <mergeCell ref="A6:K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E545"/>
  <sheetViews>
    <sheetView zoomScale="90" zoomScaleNormal="90" workbookViewId="0">
      <selection activeCell="D4" sqref="D4:D8"/>
    </sheetView>
  </sheetViews>
  <sheetFormatPr baseColWidth="10" defaultColWidth="11.42578125" defaultRowHeight="12" x14ac:dyDescent="0.2"/>
  <cols>
    <col min="1" max="1" width="46.42578125" style="58" customWidth="1"/>
    <col min="2" max="2" width="7.28515625" style="60" customWidth="1"/>
    <col min="3" max="3" width="15.140625" style="618" bestFit="1" customWidth="1"/>
    <col min="4" max="4" width="19" style="58" customWidth="1"/>
    <col min="5" max="5" width="46.5703125" style="58" customWidth="1"/>
    <col min="6" max="16384" width="11.42578125" style="58"/>
  </cols>
  <sheetData>
    <row r="1" spans="1:5" x14ac:dyDescent="0.2">
      <c r="A1" s="57" t="s">
        <v>906</v>
      </c>
    </row>
    <row r="3" spans="1:5" s="60" customFormat="1" x14ac:dyDescent="0.2">
      <c r="A3" s="59" t="s">
        <v>921</v>
      </c>
      <c r="B3" s="59" t="s">
        <v>1</v>
      </c>
      <c r="C3" s="619" t="s">
        <v>905</v>
      </c>
      <c r="D3" s="59" t="s">
        <v>899</v>
      </c>
      <c r="E3" s="59" t="s">
        <v>900</v>
      </c>
    </row>
    <row r="4" spans="1:5" x14ac:dyDescent="0.2">
      <c r="A4" s="61"/>
      <c r="B4" s="59"/>
      <c r="C4" s="620"/>
      <c r="D4" s="61"/>
      <c r="E4" s="61" t="str">
        <f t="shared" ref="E4:E68" si="0">IFERROR(VLOOKUP(D4,T_Indices,5,FALSE),"")</f>
        <v/>
      </c>
    </row>
    <row r="5" spans="1:5" x14ac:dyDescent="0.2">
      <c r="A5" s="61"/>
      <c r="B5" s="59"/>
      <c r="C5" s="620"/>
      <c r="D5" s="61"/>
      <c r="E5" s="61" t="str">
        <f t="shared" si="0"/>
        <v/>
      </c>
    </row>
    <row r="6" spans="1:5" x14ac:dyDescent="0.2">
      <c r="A6" s="61"/>
      <c r="B6" s="59"/>
      <c r="C6" s="620"/>
      <c r="D6" s="61"/>
      <c r="E6" s="61" t="str">
        <f t="shared" si="0"/>
        <v/>
      </c>
    </row>
    <row r="7" spans="1:5" x14ac:dyDescent="0.2">
      <c r="A7" s="61"/>
      <c r="B7" s="59"/>
      <c r="C7" s="620"/>
      <c r="D7" s="61"/>
      <c r="E7" s="61" t="str">
        <f t="shared" si="0"/>
        <v/>
      </c>
    </row>
    <row r="8" spans="1:5" x14ac:dyDescent="0.2">
      <c r="A8" s="61"/>
      <c r="B8" s="59"/>
      <c r="C8" s="620"/>
      <c r="D8" s="61"/>
      <c r="E8" s="61" t="str">
        <f t="shared" si="0"/>
        <v/>
      </c>
    </row>
    <row r="9" spans="1:5" x14ac:dyDescent="0.2">
      <c r="A9" s="61"/>
      <c r="B9" s="59"/>
      <c r="C9" s="620"/>
      <c r="D9" s="61"/>
      <c r="E9" s="61" t="str">
        <f t="shared" si="0"/>
        <v/>
      </c>
    </row>
    <row r="10" spans="1:5" x14ac:dyDescent="0.2">
      <c r="A10" s="61"/>
      <c r="B10" s="59"/>
      <c r="C10" s="620"/>
      <c r="D10" s="61"/>
      <c r="E10" s="61" t="str">
        <f t="shared" si="0"/>
        <v/>
      </c>
    </row>
    <row r="11" spans="1:5" x14ac:dyDescent="0.2">
      <c r="A11" s="61"/>
      <c r="B11" s="59"/>
      <c r="C11" s="620"/>
      <c r="D11" s="61"/>
      <c r="E11" s="61" t="str">
        <f t="shared" si="0"/>
        <v/>
      </c>
    </row>
    <row r="12" spans="1:5" x14ac:dyDescent="0.2">
      <c r="A12" s="61"/>
      <c r="B12" s="59"/>
      <c r="C12" s="620"/>
      <c r="D12" s="61"/>
      <c r="E12" s="61" t="str">
        <f t="shared" si="0"/>
        <v/>
      </c>
    </row>
    <row r="13" spans="1:5" x14ac:dyDescent="0.2">
      <c r="A13" s="61"/>
      <c r="B13" s="59"/>
      <c r="C13" s="620"/>
      <c r="D13" s="61"/>
      <c r="E13" s="61" t="str">
        <f t="shared" si="0"/>
        <v/>
      </c>
    </row>
    <row r="14" spans="1:5" x14ac:dyDescent="0.2">
      <c r="A14" s="61"/>
      <c r="B14" s="59"/>
      <c r="C14" s="621"/>
      <c r="D14" s="61"/>
      <c r="E14" s="61" t="str">
        <f t="shared" si="0"/>
        <v/>
      </c>
    </row>
    <row r="15" spans="1:5" x14ac:dyDescent="0.2">
      <c r="A15" s="61"/>
      <c r="B15" s="59"/>
      <c r="C15" s="621"/>
      <c r="D15" s="61"/>
      <c r="E15" s="61" t="str">
        <f t="shared" si="0"/>
        <v/>
      </c>
    </row>
    <row r="16" spans="1:5" x14ac:dyDescent="0.2">
      <c r="A16" s="61"/>
      <c r="B16" s="59"/>
      <c r="C16" s="621"/>
      <c r="D16" s="61"/>
      <c r="E16" s="61" t="str">
        <f t="shared" si="0"/>
        <v/>
      </c>
    </row>
    <row r="17" spans="1:5" x14ac:dyDescent="0.2">
      <c r="A17" s="61"/>
      <c r="B17" s="59"/>
      <c r="C17" s="621"/>
      <c r="D17" s="61"/>
      <c r="E17" s="61" t="str">
        <f t="shared" si="0"/>
        <v/>
      </c>
    </row>
    <row r="18" spans="1:5" x14ac:dyDescent="0.2">
      <c r="A18" s="61"/>
      <c r="B18" s="59"/>
      <c r="C18" s="621"/>
      <c r="D18" s="61"/>
      <c r="E18" s="61" t="str">
        <f t="shared" si="0"/>
        <v/>
      </c>
    </row>
    <row r="19" spans="1:5" x14ac:dyDescent="0.2">
      <c r="A19" s="61"/>
      <c r="B19" s="59"/>
      <c r="C19" s="621"/>
      <c r="D19" s="61"/>
      <c r="E19" s="61" t="str">
        <f t="shared" si="0"/>
        <v/>
      </c>
    </row>
    <row r="20" spans="1:5" x14ac:dyDescent="0.2">
      <c r="A20" s="61"/>
      <c r="B20" s="59"/>
      <c r="C20" s="621"/>
      <c r="D20" s="61"/>
      <c r="E20" s="61" t="str">
        <f t="shared" si="0"/>
        <v/>
      </c>
    </row>
    <row r="21" spans="1:5" x14ac:dyDescent="0.2">
      <c r="A21" s="61"/>
      <c r="B21" s="59"/>
      <c r="C21" s="621"/>
      <c r="D21" s="61"/>
      <c r="E21" s="61" t="str">
        <f t="shared" ref="E21" si="1">IFERROR(VLOOKUP(D21,T_Indices,5,FALSE),"")</f>
        <v/>
      </c>
    </row>
    <row r="22" spans="1:5" x14ac:dyDescent="0.2">
      <c r="A22" s="61"/>
      <c r="B22" s="59"/>
      <c r="C22" s="621"/>
      <c r="D22" s="61"/>
      <c r="E22" s="61" t="str">
        <f t="shared" si="0"/>
        <v/>
      </c>
    </row>
    <row r="23" spans="1:5" x14ac:dyDescent="0.2">
      <c r="A23" s="61"/>
      <c r="B23" s="59"/>
      <c r="C23" s="621"/>
      <c r="D23" s="61"/>
      <c r="E23" s="61" t="str">
        <f t="shared" si="0"/>
        <v/>
      </c>
    </row>
    <row r="24" spans="1:5" x14ac:dyDescent="0.2">
      <c r="A24" s="61"/>
      <c r="B24" s="59"/>
      <c r="C24" s="621"/>
      <c r="D24" s="61"/>
      <c r="E24" s="61" t="str">
        <f t="shared" si="0"/>
        <v/>
      </c>
    </row>
    <row r="25" spans="1:5" x14ac:dyDescent="0.2">
      <c r="A25" s="61"/>
      <c r="B25" s="59"/>
      <c r="C25" s="621"/>
      <c r="D25" s="61"/>
      <c r="E25" s="61" t="str">
        <f t="shared" si="0"/>
        <v/>
      </c>
    </row>
    <row r="26" spans="1:5" x14ac:dyDescent="0.2">
      <c r="A26" s="61"/>
      <c r="B26" s="59"/>
      <c r="C26" s="621"/>
      <c r="D26" s="61"/>
      <c r="E26" s="61" t="str">
        <f t="shared" si="0"/>
        <v/>
      </c>
    </row>
    <row r="27" spans="1:5" x14ac:dyDescent="0.2">
      <c r="A27" s="61"/>
      <c r="B27" s="59"/>
      <c r="C27" s="621"/>
      <c r="D27" s="61"/>
      <c r="E27" s="61" t="str">
        <f t="shared" si="0"/>
        <v/>
      </c>
    </row>
    <row r="28" spans="1:5" x14ac:dyDescent="0.2">
      <c r="A28" s="61"/>
      <c r="B28" s="59"/>
      <c r="C28" s="620"/>
      <c r="D28" s="61"/>
      <c r="E28" s="61" t="str">
        <f t="shared" si="0"/>
        <v/>
      </c>
    </row>
    <row r="29" spans="1:5" x14ac:dyDescent="0.2">
      <c r="A29" s="61"/>
      <c r="B29" s="59"/>
      <c r="C29" s="620"/>
      <c r="D29" s="61"/>
      <c r="E29" s="61" t="str">
        <f t="shared" si="0"/>
        <v/>
      </c>
    </row>
    <row r="30" spans="1:5" x14ac:dyDescent="0.2">
      <c r="A30" s="61"/>
      <c r="B30" s="59"/>
      <c r="C30" s="620"/>
      <c r="D30" s="61"/>
      <c r="E30" s="61" t="str">
        <f t="shared" si="0"/>
        <v/>
      </c>
    </row>
    <row r="31" spans="1:5" x14ac:dyDescent="0.2">
      <c r="A31" s="61"/>
      <c r="B31" s="59"/>
      <c r="C31" s="620"/>
      <c r="D31" s="61"/>
      <c r="E31" s="61" t="str">
        <f t="shared" si="0"/>
        <v/>
      </c>
    </row>
    <row r="32" spans="1:5" x14ac:dyDescent="0.2">
      <c r="A32" s="61"/>
      <c r="B32" s="59"/>
      <c r="C32" s="620"/>
      <c r="D32" s="61"/>
      <c r="E32" s="61" t="str">
        <f t="shared" si="0"/>
        <v/>
      </c>
    </row>
    <row r="33" spans="1:5" x14ac:dyDescent="0.2">
      <c r="A33" s="61"/>
      <c r="B33" s="59"/>
      <c r="C33" s="620"/>
      <c r="D33" s="61"/>
      <c r="E33" s="61" t="str">
        <f t="shared" si="0"/>
        <v/>
      </c>
    </row>
    <row r="34" spans="1:5" x14ac:dyDescent="0.2">
      <c r="A34" s="61"/>
      <c r="B34" s="59"/>
      <c r="C34" s="620"/>
      <c r="D34" s="61"/>
      <c r="E34" s="61" t="str">
        <f t="shared" si="0"/>
        <v/>
      </c>
    </row>
    <row r="35" spans="1:5" x14ac:dyDescent="0.2">
      <c r="A35" s="61"/>
      <c r="B35" s="59"/>
      <c r="C35" s="620"/>
      <c r="D35" s="61"/>
      <c r="E35" s="61" t="str">
        <f t="shared" si="0"/>
        <v/>
      </c>
    </row>
    <row r="36" spans="1:5" x14ac:dyDescent="0.2">
      <c r="A36" s="61"/>
      <c r="B36" s="59"/>
      <c r="C36" s="620"/>
      <c r="D36" s="61"/>
      <c r="E36" s="61" t="str">
        <f t="shared" si="0"/>
        <v/>
      </c>
    </row>
    <row r="37" spans="1:5" x14ac:dyDescent="0.2">
      <c r="A37" s="61"/>
      <c r="B37" s="59"/>
      <c r="C37" s="620"/>
      <c r="D37" s="61"/>
      <c r="E37" s="61" t="str">
        <f t="shared" si="0"/>
        <v/>
      </c>
    </row>
    <row r="38" spans="1:5" x14ac:dyDescent="0.2">
      <c r="A38" s="61"/>
      <c r="B38" s="59"/>
      <c r="C38" s="620"/>
      <c r="D38" s="61"/>
      <c r="E38" s="61" t="str">
        <f t="shared" si="0"/>
        <v/>
      </c>
    </row>
    <row r="39" spans="1:5" x14ac:dyDescent="0.2">
      <c r="A39" s="61"/>
      <c r="B39" s="59"/>
      <c r="C39" s="620"/>
      <c r="D39" s="61"/>
      <c r="E39" s="61" t="str">
        <f t="shared" si="0"/>
        <v/>
      </c>
    </row>
    <row r="40" spans="1:5" x14ac:dyDescent="0.2">
      <c r="A40" s="61"/>
      <c r="B40" s="59"/>
      <c r="C40" s="620"/>
      <c r="D40" s="61"/>
      <c r="E40" s="61" t="str">
        <f t="shared" si="0"/>
        <v/>
      </c>
    </row>
    <row r="41" spans="1:5" x14ac:dyDescent="0.2">
      <c r="A41" s="61"/>
      <c r="B41" s="59"/>
      <c r="C41" s="620"/>
      <c r="D41" s="61"/>
      <c r="E41" s="61" t="str">
        <f t="shared" si="0"/>
        <v/>
      </c>
    </row>
    <row r="42" spans="1:5" x14ac:dyDescent="0.2">
      <c r="A42" s="61"/>
      <c r="B42" s="59"/>
      <c r="C42" s="620"/>
      <c r="D42" s="139"/>
      <c r="E42" s="61" t="str">
        <f t="shared" si="0"/>
        <v/>
      </c>
    </row>
    <row r="43" spans="1:5" x14ac:dyDescent="0.2">
      <c r="A43" s="61"/>
      <c r="B43" s="59"/>
      <c r="C43" s="620"/>
      <c r="D43" s="139"/>
      <c r="E43" s="61" t="str">
        <f t="shared" si="0"/>
        <v/>
      </c>
    </row>
    <row r="44" spans="1:5" x14ac:dyDescent="0.2">
      <c r="A44" s="61"/>
      <c r="B44" s="59"/>
      <c r="C44" s="620"/>
      <c r="D44" s="139"/>
      <c r="E44" s="61" t="str">
        <f t="shared" si="0"/>
        <v/>
      </c>
    </row>
    <row r="45" spans="1:5" x14ac:dyDescent="0.2">
      <c r="A45" s="61"/>
      <c r="B45" s="59"/>
      <c r="C45" s="620"/>
      <c r="D45" s="61"/>
      <c r="E45" s="61" t="str">
        <f t="shared" si="0"/>
        <v/>
      </c>
    </row>
    <row r="46" spans="1:5" x14ac:dyDescent="0.2">
      <c r="A46" s="61"/>
      <c r="B46" s="59"/>
      <c r="C46" s="620"/>
      <c r="D46" s="61"/>
      <c r="E46" s="61" t="str">
        <f t="shared" si="0"/>
        <v/>
      </c>
    </row>
    <row r="47" spans="1:5" x14ac:dyDescent="0.2">
      <c r="A47" s="61"/>
      <c r="B47" s="59"/>
      <c r="C47" s="620"/>
      <c r="D47" s="61"/>
      <c r="E47" s="61" t="str">
        <f t="shared" si="0"/>
        <v/>
      </c>
    </row>
    <row r="48" spans="1:5" x14ac:dyDescent="0.2">
      <c r="A48" s="61"/>
      <c r="B48" s="59"/>
      <c r="C48" s="620"/>
      <c r="D48" s="61"/>
      <c r="E48" s="61" t="str">
        <f t="shared" si="0"/>
        <v/>
      </c>
    </row>
    <row r="49" spans="1:5" x14ac:dyDescent="0.2">
      <c r="A49" s="61"/>
      <c r="B49" s="59"/>
      <c r="C49" s="620"/>
      <c r="D49" s="61"/>
      <c r="E49" s="61" t="str">
        <f t="shared" si="0"/>
        <v/>
      </c>
    </row>
    <row r="50" spans="1:5" x14ac:dyDescent="0.2">
      <c r="A50" s="61"/>
      <c r="B50" s="59"/>
      <c r="C50" s="620"/>
      <c r="D50" s="61"/>
      <c r="E50" s="61" t="str">
        <f t="shared" si="0"/>
        <v/>
      </c>
    </row>
    <row r="51" spans="1:5" x14ac:dyDescent="0.2">
      <c r="A51" s="61"/>
      <c r="B51" s="59"/>
      <c r="C51" s="620"/>
      <c r="D51" s="61"/>
      <c r="E51" s="61" t="str">
        <f t="shared" si="0"/>
        <v/>
      </c>
    </row>
    <row r="52" spans="1:5" x14ac:dyDescent="0.2">
      <c r="A52" s="61"/>
      <c r="B52" s="59"/>
      <c r="C52" s="620"/>
      <c r="D52" s="61"/>
      <c r="E52" s="61" t="str">
        <f t="shared" si="0"/>
        <v/>
      </c>
    </row>
    <row r="53" spans="1:5" x14ac:dyDescent="0.2">
      <c r="A53" s="61"/>
      <c r="B53" s="59"/>
      <c r="C53" s="620"/>
      <c r="D53" s="61"/>
      <c r="E53" s="61" t="str">
        <f t="shared" si="0"/>
        <v/>
      </c>
    </row>
    <row r="54" spans="1:5" x14ac:dyDescent="0.2">
      <c r="A54" s="61"/>
      <c r="B54" s="59"/>
      <c r="C54" s="620"/>
      <c r="D54" s="61"/>
      <c r="E54" s="61" t="str">
        <f t="shared" si="0"/>
        <v/>
      </c>
    </row>
    <row r="55" spans="1:5" x14ac:dyDescent="0.2">
      <c r="A55" s="61"/>
      <c r="B55" s="59"/>
      <c r="C55" s="620"/>
      <c r="D55" s="61"/>
      <c r="E55" s="61" t="str">
        <f t="shared" si="0"/>
        <v/>
      </c>
    </row>
    <row r="56" spans="1:5" x14ac:dyDescent="0.2">
      <c r="A56" s="61"/>
      <c r="B56" s="59"/>
      <c r="C56" s="620"/>
      <c r="D56" s="61"/>
      <c r="E56" s="61" t="str">
        <f t="shared" si="0"/>
        <v/>
      </c>
    </row>
    <row r="57" spans="1:5" x14ac:dyDescent="0.2">
      <c r="A57" s="61"/>
      <c r="B57" s="59"/>
      <c r="C57" s="620"/>
      <c r="D57" s="61"/>
      <c r="E57" s="61" t="str">
        <f t="shared" si="0"/>
        <v/>
      </c>
    </row>
    <row r="58" spans="1:5" x14ac:dyDescent="0.2">
      <c r="A58" s="61"/>
      <c r="B58" s="59"/>
      <c r="C58" s="620"/>
      <c r="D58" s="61"/>
      <c r="E58" s="61" t="str">
        <f t="shared" si="0"/>
        <v/>
      </c>
    </row>
    <row r="59" spans="1:5" x14ac:dyDescent="0.2">
      <c r="A59" s="61"/>
      <c r="B59" s="59"/>
      <c r="C59" s="620"/>
      <c r="D59" s="61"/>
      <c r="E59" s="61" t="str">
        <f t="shared" si="0"/>
        <v/>
      </c>
    </row>
    <row r="60" spans="1:5" x14ac:dyDescent="0.2">
      <c r="A60" s="61"/>
      <c r="B60" s="59"/>
      <c r="C60" s="620"/>
      <c r="D60" s="61"/>
      <c r="E60" s="61" t="str">
        <f t="shared" si="0"/>
        <v/>
      </c>
    </row>
    <row r="61" spans="1:5" x14ac:dyDescent="0.2">
      <c r="A61" s="61"/>
      <c r="B61" s="59"/>
      <c r="C61" s="620"/>
      <c r="D61" s="61"/>
      <c r="E61" s="61" t="str">
        <f t="shared" si="0"/>
        <v/>
      </c>
    </row>
    <row r="62" spans="1:5" x14ac:dyDescent="0.2">
      <c r="A62" s="61"/>
      <c r="B62" s="59"/>
      <c r="C62" s="620"/>
      <c r="D62" s="61"/>
      <c r="E62" s="61" t="str">
        <f t="shared" si="0"/>
        <v/>
      </c>
    </row>
    <row r="63" spans="1:5" x14ac:dyDescent="0.2">
      <c r="A63" s="61"/>
      <c r="B63" s="59"/>
      <c r="C63" s="620"/>
      <c r="D63" s="61"/>
      <c r="E63" s="61" t="str">
        <f t="shared" si="0"/>
        <v/>
      </c>
    </row>
    <row r="64" spans="1:5" x14ac:dyDescent="0.2">
      <c r="A64" s="61"/>
      <c r="B64" s="59"/>
      <c r="C64" s="620"/>
      <c r="D64" s="61"/>
      <c r="E64" s="61" t="str">
        <f t="shared" si="0"/>
        <v/>
      </c>
    </row>
    <row r="65" spans="1:5" x14ac:dyDescent="0.2">
      <c r="A65" s="61"/>
      <c r="B65" s="59"/>
      <c r="C65" s="620"/>
      <c r="D65" s="61"/>
      <c r="E65" s="61" t="str">
        <f t="shared" si="0"/>
        <v/>
      </c>
    </row>
    <row r="66" spans="1:5" x14ac:dyDescent="0.2">
      <c r="A66" s="61"/>
      <c r="B66" s="59"/>
      <c r="C66" s="620"/>
      <c r="D66" s="61"/>
      <c r="E66" s="61" t="str">
        <f t="shared" si="0"/>
        <v/>
      </c>
    </row>
    <row r="67" spans="1:5" x14ac:dyDescent="0.2">
      <c r="A67" s="61"/>
      <c r="B67" s="59"/>
      <c r="C67" s="620"/>
      <c r="D67" s="61"/>
      <c r="E67" s="61" t="str">
        <f t="shared" si="0"/>
        <v/>
      </c>
    </row>
    <row r="68" spans="1:5" x14ac:dyDescent="0.2">
      <c r="A68" s="61"/>
      <c r="B68" s="59"/>
      <c r="C68" s="620"/>
      <c r="D68" s="61"/>
      <c r="E68" s="61" t="str">
        <f t="shared" si="0"/>
        <v/>
      </c>
    </row>
    <row r="69" spans="1:5" x14ac:dyDescent="0.2">
      <c r="A69" s="61"/>
      <c r="B69" s="59"/>
      <c r="C69" s="620"/>
      <c r="D69" s="61"/>
      <c r="E69" s="61" t="str">
        <f t="shared" ref="E69:E132" si="2">IFERROR(VLOOKUP(D69,T_Indices,5,FALSE),"")</f>
        <v/>
      </c>
    </row>
    <row r="70" spans="1:5" x14ac:dyDescent="0.2">
      <c r="A70" s="61"/>
      <c r="B70" s="59"/>
      <c r="C70" s="620"/>
      <c r="D70" s="61"/>
      <c r="E70" s="61" t="str">
        <f t="shared" si="2"/>
        <v/>
      </c>
    </row>
    <row r="71" spans="1:5" x14ac:dyDescent="0.2">
      <c r="A71" s="61"/>
      <c r="B71" s="59"/>
      <c r="C71" s="620"/>
      <c r="D71" s="61"/>
      <c r="E71" s="61" t="str">
        <f t="shared" si="2"/>
        <v/>
      </c>
    </row>
    <row r="72" spans="1:5" x14ac:dyDescent="0.2">
      <c r="A72" s="61"/>
      <c r="B72" s="59"/>
      <c r="C72" s="620"/>
      <c r="D72" s="61"/>
      <c r="E72" s="61" t="str">
        <f t="shared" si="2"/>
        <v/>
      </c>
    </row>
    <row r="73" spans="1:5" x14ac:dyDescent="0.2">
      <c r="A73" s="61"/>
      <c r="B73" s="59"/>
      <c r="C73" s="620"/>
      <c r="D73" s="61"/>
      <c r="E73" s="61" t="str">
        <f t="shared" si="2"/>
        <v/>
      </c>
    </row>
    <row r="74" spans="1:5" x14ac:dyDescent="0.2">
      <c r="A74" s="61"/>
      <c r="B74" s="59"/>
      <c r="C74" s="620"/>
      <c r="D74" s="61"/>
      <c r="E74" s="61"/>
    </row>
    <row r="75" spans="1:5" x14ac:dyDescent="0.2">
      <c r="A75" s="61"/>
      <c r="B75" s="59"/>
      <c r="C75" s="620"/>
      <c r="D75" s="61"/>
      <c r="E75" s="61"/>
    </row>
    <row r="76" spans="1:5" x14ac:dyDescent="0.2">
      <c r="A76" s="61"/>
      <c r="B76" s="59"/>
      <c r="C76" s="620"/>
      <c r="D76" s="61"/>
      <c r="E76" s="61"/>
    </row>
    <row r="77" spans="1:5" x14ac:dyDescent="0.2">
      <c r="A77" s="61"/>
      <c r="B77" s="59"/>
      <c r="C77" s="620"/>
      <c r="D77" s="61"/>
      <c r="E77" s="61"/>
    </row>
    <row r="78" spans="1:5" x14ac:dyDescent="0.2">
      <c r="A78" s="61"/>
      <c r="B78" s="59"/>
      <c r="C78" s="620"/>
      <c r="D78" s="61"/>
      <c r="E78" s="61"/>
    </row>
    <row r="79" spans="1:5" x14ac:dyDescent="0.2">
      <c r="A79" s="61"/>
      <c r="B79" s="59"/>
      <c r="C79" s="620"/>
      <c r="D79" s="61"/>
      <c r="E79" s="61"/>
    </row>
    <row r="80" spans="1:5" x14ac:dyDescent="0.2">
      <c r="A80" s="61"/>
      <c r="B80" s="59"/>
      <c r="C80" s="620"/>
      <c r="D80" s="61"/>
      <c r="E80" s="61"/>
    </row>
    <row r="81" spans="1:5" x14ac:dyDescent="0.2">
      <c r="A81" s="61"/>
      <c r="B81" s="59"/>
      <c r="C81" s="620"/>
      <c r="D81" s="61"/>
      <c r="E81" s="61"/>
    </row>
    <row r="82" spans="1:5" x14ac:dyDescent="0.2">
      <c r="A82" s="61"/>
      <c r="B82" s="59"/>
      <c r="C82" s="620"/>
      <c r="D82" s="61"/>
      <c r="E82" s="61"/>
    </row>
    <row r="83" spans="1:5" x14ac:dyDescent="0.2">
      <c r="A83" s="61"/>
      <c r="B83" s="59"/>
      <c r="C83" s="620"/>
      <c r="D83" s="61"/>
      <c r="E83" s="61"/>
    </row>
    <row r="84" spans="1:5" x14ac:dyDescent="0.2">
      <c r="A84" s="61"/>
      <c r="B84" s="59"/>
      <c r="C84" s="620"/>
      <c r="D84" s="61"/>
      <c r="E84" s="61"/>
    </row>
    <row r="85" spans="1:5" x14ac:dyDescent="0.2">
      <c r="A85" s="61"/>
      <c r="B85" s="59"/>
      <c r="C85" s="620"/>
      <c r="D85" s="61"/>
      <c r="E85" s="61"/>
    </row>
    <row r="86" spans="1:5" x14ac:dyDescent="0.2">
      <c r="A86" s="61"/>
      <c r="B86" s="59"/>
      <c r="C86" s="620"/>
      <c r="D86" s="61"/>
      <c r="E86" s="61"/>
    </row>
    <row r="87" spans="1:5" x14ac:dyDescent="0.2">
      <c r="A87" s="61"/>
      <c r="B87" s="59"/>
      <c r="C87" s="620"/>
      <c r="D87" s="61"/>
      <c r="E87" s="61"/>
    </row>
    <row r="88" spans="1:5" x14ac:dyDescent="0.2">
      <c r="A88" s="61"/>
      <c r="B88" s="59"/>
      <c r="C88" s="620"/>
      <c r="D88" s="61"/>
      <c r="E88" s="61"/>
    </row>
    <row r="89" spans="1:5" x14ac:dyDescent="0.2">
      <c r="A89" s="61"/>
      <c r="B89" s="59"/>
      <c r="C89" s="620"/>
      <c r="D89" s="61"/>
      <c r="E89" s="61"/>
    </row>
    <row r="90" spans="1:5" x14ac:dyDescent="0.2">
      <c r="A90" s="61"/>
      <c r="B90" s="59"/>
      <c r="C90" s="620"/>
      <c r="D90" s="61"/>
      <c r="E90" s="61"/>
    </row>
    <row r="91" spans="1:5" x14ac:dyDescent="0.2">
      <c r="A91" s="61"/>
      <c r="B91" s="59"/>
      <c r="C91" s="620"/>
      <c r="D91" s="61"/>
      <c r="E91" s="61"/>
    </row>
    <row r="92" spans="1:5" x14ac:dyDescent="0.2">
      <c r="A92" s="61"/>
      <c r="B92" s="59"/>
      <c r="C92" s="620"/>
      <c r="D92" s="61"/>
      <c r="E92" s="61"/>
    </row>
    <row r="93" spans="1:5" x14ac:dyDescent="0.2">
      <c r="A93" s="61"/>
      <c r="B93" s="59"/>
      <c r="C93" s="620"/>
      <c r="D93" s="61"/>
      <c r="E93" s="61"/>
    </row>
    <row r="94" spans="1:5" x14ac:dyDescent="0.2">
      <c r="A94" s="61"/>
      <c r="B94" s="59"/>
      <c r="C94" s="620"/>
      <c r="D94" s="61"/>
      <c r="E94" s="61"/>
    </row>
    <row r="95" spans="1:5" x14ac:dyDescent="0.2">
      <c r="A95" s="61"/>
      <c r="B95" s="59"/>
      <c r="C95" s="620"/>
      <c r="D95" s="61"/>
      <c r="E95" s="61"/>
    </row>
    <row r="96" spans="1:5" x14ac:dyDescent="0.2">
      <c r="A96" s="61"/>
      <c r="B96" s="59"/>
      <c r="C96" s="620"/>
      <c r="D96" s="61"/>
      <c r="E96" s="61"/>
    </row>
    <row r="97" spans="1:5" x14ac:dyDescent="0.2">
      <c r="A97" s="61"/>
      <c r="B97" s="59"/>
      <c r="C97" s="620"/>
      <c r="D97" s="61"/>
      <c r="E97" s="61"/>
    </row>
    <row r="98" spans="1:5" x14ac:dyDescent="0.2">
      <c r="A98" s="61"/>
      <c r="B98" s="59"/>
      <c r="C98" s="620"/>
      <c r="D98" s="61"/>
      <c r="E98" s="61"/>
    </row>
    <row r="99" spans="1:5" x14ac:dyDescent="0.2">
      <c r="A99" s="61"/>
      <c r="B99" s="59"/>
      <c r="C99" s="620"/>
      <c r="D99" s="61"/>
      <c r="E99" s="61"/>
    </row>
    <row r="100" spans="1:5" x14ac:dyDescent="0.2">
      <c r="A100" s="61"/>
      <c r="B100" s="59"/>
      <c r="C100" s="620"/>
      <c r="D100" s="61"/>
      <c r="E100" s="61"/>
    </row>
    <row r="101" spans="1:5" x14ac:dyDescent="0.2">
      <c r="A101" s="61"/>
      <c r="B101" s="59"/>
      <c r="C101" s="620"/>
      <c r="D101" s="61"/>
      <c r="E101" s="61"/>
    </row>
    <row r="102" spans="1:5" x14ac:dyDescent="0.2">
      <c r="A102" s="61"/>
      <c r="B102" s="59"/>
      <c r="C102" s="620"/>
      <c r="D102" s="61"/>
      <c r="E102" s="61"/>
    </row>
    <row r="103" spans="1:5" x14ac:dyDescent="0.2">
      <c r="A103" s="61"/>
      <c r="B103" s="59"/>
      <c r="C103" s="620"/>
      <c r="D103" s="61"/>
      <c r="E103" s="61"/>
    </row>
    <row r="104" spans="1:5" x14ac:dyDescent="0.2">
      <c r="A104" s="61"/>
      <c r="B104" s="59"/>
      <c r="C104" s="620"/>
      <c r="D104" s="61"/>
      <c r="E104" s="61"/>
    </row>
    <row r="105" spans="1:5" x14ac:dyDescent="0.2">
      <c r="A105" s="61"/>
      <c r="B105" s="59"/>
      <c r="C105" s="620"/>
      <c r="D105" s="61"/>
      <c r="E105" s="61"/>
    </row>
    <row r="106" spans="1:5" x14ac:dyDescent="0.2">
      <c r="A106" s="61"/>
      <c r="B106" s="59"/>
      <c r="C106" s="620"/>
      <c r="D106" s="61"/>
      <c r="E106" s="61"/>
    </row>
    <row r="107" spans="1:5" x14ac:dyDescent="0.2">
      <c r="A107" s="61"/>
      <c r="B107" s="59"/>
      <c r="C107" s="620"/>
      <c r="D107" s="61"/>
      <c r="E107" s="61"/>
    </row>
    <row r="108" spans="1:5" x14ac:dyDescent="0.2">
      <c r="A108" s="61"/>
      <c r="B108" s="59"/>
      <c r="C108" s="620"/>
      <c r="D108" s="61"/>
      <c r="E108" s="61"/>
    </row>
    <row r="109" spans="1:5" x14ac:dyDescent="0.2">
      <c r="A109" s="61"/>
      <c r="B109" s="59"/>
      <c r="C109" s="620"/>
      <c r="D109" s="61"/>
      <c r="E109" s="61"/>
    </row>
    <row r="110" spans="1:5" x14ac:dyDescent="0.2">
      <c r="A110" s="61"/>
      <c r="B110" s="59"/>
      <c r="C110" s="620"/>
      <c r="D110" s="61"/>
      <c r="E110" s="61"/>
    </row>
    <row r="111" spans="1:5" x14ac:dyDescent="0.2">
      <c r="A111" s="61"/>
      <c r="B111" s="59"/>
      <c r="C111" s="620"/>
      <c r="D111" s="61"/>
      <c r="E111" s="61"/>
    </row>
    <row r="112" spans="1:5" x14ac:dyDescent="0.2">
      <c r="A112" s="61"/>
      <c r="B112" s="59"/>
      <c r="C112" s="620"/>
      <c r="D112" s="61"/>
      <c r="E112" s="61"/>
    </row>
    <row r="113" spans="1:5" x14ac:dyDescent="0.2">
      <c r="A113" s="61"/>
      <c r="B113" s="59"/>
      <c r="C113" s="620"/>
      <c r="D113" s="61"/>
      <c r="E113" s="61"/>
    </row>
    <row r="114" spans="1:5" x14ac:dyDescent="0.2">
      <c r="A114" s="61"/>
      <c r="B114" s="59"/>
      <c r="C114" s="620"/>
      <c r="D114" s="61"/>
      <c r="E114" s="61"/>
    </row>
    <row r="115" spans="1:5" x14ac:dyDescent="0.2">
      <c r="A115" s="61"/>
      <c r="B115" s="59"/>
      <c r="C115" s="620"/>
      <c r="D115" s="61"/>
      <c r="E115" s="61"/>
    </row>
    <row r="116" spans="1:5" x14ac:dyDescent="0.2">
      <c r="A116" s="61"/>
      <c r="B116" s="59"/>
      <c r="C116" s="620"/>
      <c r="D116" s="61"/>
      <c r="E116" s="61"/>
    </row>
    <row r="117" spans="1:5" x14ac:dyDescent="0.2">
      <c r="A117" s="61"/>
      <c r="B117" s="59"/>
      <c r="C117" s="620"/>
      <c r="D117" s="61"/>
      <c r="E117" s="61"/>
    </row>
    <row r="118" spans="1:5" x14ac:dyDescent="0.2">
      <c r="A118" s="61"/>
      <c r="B118" s="59"/>
      <c r="C118" s="620"/>
      <c r="D118" s="61"/>
      <c r="E118" s="61" t="str">
        <f t="shared" si="2"/>
        <v/>
      </c>
    </row>
    <row r="119" spans="1:5" x14ac:dyDescent="0.2">
      <c r="A119" s="61"/>
      <c r="B119" s="59"/>
      <c r="C119" s="620"/>
      <c r="D119" s="61"/>
      <c r="E119" s="61" t="str">
        <f t="shared" si="2"/>
        <v/>
      </c>
    </row>
    <row r="120" spans="1:5" x14ac:dyDescent="0.2">
      <c r="A120" s="61"/>
      <c r="B120" s="59"/>
      <c r="C120" s="620"/>
      <c r="D120" s="61"/>
      <c r="E120" s="61" t="str">
        <f t="shared" si="2"/>
        <v/>
      </c>
    </row>
    <row r="121" spans="1:5" x14ac:dyDescent="0.2">
      <c r="A121" s="61"/>
      <c r="B121" s="59"/>
      <c r="C121" s="620"/>
      <c r="D121" s="61"/>
      <c r="E121" s="61" t="str">
        <f t="shared" si="2"/>
        <v/>
      </c>
    </row>
    <row r="122" spans="1:5" x14ac:dyDescent="0.2">
      <c r="A122" s="61"/>
      <c r="B122" s="59"/>
      <c r="C122" s="620"/>
      <c r="D122" s="61"/>
      <c r="E122" s="61" t="str">
        <f t="shared" si="2"/>
        <v/>
      </c>
    </row>
    <row r="123" spans="1:5" x14ac:dyDescent="0.2">
      <c r="A123" s="61"/>
      <c r="B123" s="59"/>
      <c r="C123" s="620"/>
      <c r="D123" s="61"/>
      <c r="E123" s="61" t="str">
        <f t="shared" si="2"/>
        <v/>
      </c>
    </row>
    <row r="124" spans="1:5" x14ac:dyDescent="0.2">
      <c r="A124" s="61"/>
      <c r="B124" s="59"/>
      <c r="C124" s="620"/>
      <c r="D124" s="61"/>
      <c r="E124" s="61" t="str">
        <f t="shared" si="2"/>
        <v/>
      </c>
    </row>
    <row r="125" spans="1:5" x14ac:dyDescent="0.2">
      <c r="A125" s="61"/>
      <c r="B125" s="59"/>
      <c r="C125" s="620"/>
      <c r="D125" s="61"/>
      <c r="E125" s="61" t="str">
        <f t="shared" si="2"/>
        <v/>
      </c>
    </row>
    <row r="126" spans="1:5" x14ac:dyDescent="0.2">
      <c r="A126" s="61"/>
      <c r="B126" s="59"/>
      <c r="C126" s="620"/>
      <c r="D126" s="61"/>
      <c r="E126" s="61" t="str">
        <f t="shared" si="2"/>
        <v/>
      </c>
    </row>
    <row r="127" spans="1:5" x14ac:dyDescent="0.2">
      <c r="A127" s="61"/>
      <c r="B127" s="59"/>
      <c r="C127" s="620"/>
      <c r="D127" s="61"/>
      <c r="E127" s="61" t="str">
        <f t="shared" si="2"/>
        <v/>
      </c>
    </row>
    <row r="128" spans="1:5" x14ac:dyDescent="0.2">
      <c r="A128" s="61"/>
      <c r="B128" s="59"/>
      <c r="C128" s="620"/>
      <c r="D128" s="61"/>
      <c r="E128" s="61" t="str">
        <f t="shared" si="2"/>
        <v/>
      </c>
    </row>
    <row r="129" spans="1:5" x14ac:dyDescent="0.2">
      <c r="A129" s="61"/>
      <c r="B129" s="59"/>
      <c r="C129" s="620"/>
      <c r="D129" s="61"/>
      <c r="E129" s="61" t="str">
        <f t="shared" si="2"/>
        <v/>
      </c>
    </row>
    <row r="130" spans="1:5" x14ac:dyDescent="0.2">
      <c r="A130" s="61"/>
      <c r="B130" s="59"/>
      <c r="C130" s="620"/>
      <c r="D130" s="61"/>
      <c r="E130" s="61" t="str">
        <f t="shared" si="2"/>
        <v/>
      </c>
    </row>
    <row r="131" spans="1:5" x14ac:dyDescent="0.2">
      <c r="A131" s="61"/>
      <c r="B131" s="59"/>
      <c r="C131" s="620"/>
      <c r="D131" s="61"/>
      <c r="E131" s="61" t="str">
        <f t="shared" si="2"/>
        <v/>
      </c>
    </row>
    <row r="132" spans="1:5" x14ac:dyDescent="0.2">
      <c r="A132" s="61"/>
      <c r="B132" s="59"/>
      <c r="C132" s="620"/>
      <c r="D132" s="61"/>
      <c r="E132" s="61" t="str">
        <f t="shared" si="2"/>
        <v/>
      </c>
    </row>
    <row r="133" spans="1:5" x14ac:dyDescent="0.2">
      <c r="A133" s="61"/>
      <c r="B133" s="59"/>
      <c r="C133" s="620"/>
      <c r="D133" s="61"/>
      <c r="E133" s="61" t="str">
        <f t="shared" ref="E133:E196" si="3">IFERROR(VLOOKUP(D133,T_Indices,5,FALSE),"")</f>
        <v/>
      </c>
    </row>
    <row r="134" spans="1:5" x14ac:dyDescent="0.2">
      <c r="A134" s="61"/>
      <c r="B134" s="59"/>
      <c r="C134" s="620"/>
      <c r="D134" s="61"/>
      <c r="E134" s="61" t="str">
        <f t="shared" si="3"/>
        <v/>
      </c>
    </row>
    <row r="135" spans="1:5" x14ac:dyDescent="0.2">
      <c r="A135" s="61"/>
      <c r="B135" s="59"/>
      <c r="C135" s="620"/>
      <c r="D135" s="61"/>
      <c r="E135" s="61" t="str">
        <f t="shared" si="3"/>
        <v/>
      </c>
    </row>
    <row r="136" spans="1:5" x14ac:dyDescent="0.2">
      <c r="A136" s="61"/>
      <c r="B136" s="59"/>
      <c r="C136" s="620"/>
      <c r="D136" s="61"/>
      <c r="E136" s="61" t="str">
        <f t="shared" si="3"/>
        <v/>
      </c>
    </row>
    <row r="137" spans="1:5" x14ac:dyDescent="0.2">
      <c r="A137" s="61"/>
      <c r="B137" s="59"/>
      <c r="C137" s="620"/>
      <c r="D137" s="61"/>
      <c r="E137" s="61" t="str">
        <f t="shared" si="3"/>
        <v/>
      </c>
    </row>
    <row r="138" spans="1:5" x14ac:dyDescent="0.2">
      <c r="A138" s="61"/>
      <c r="B138" s="59"/>
      <c r="C138" s="620"/>
      <c r="D138" s="61"/>
      <c r="E138" s="61" t="str">
        <f t="shared" si="3"/>
        <v/>
      </c>
    </row>
    <row r="139" spans="1:5" x14ac:dyDescent="0.2">
      <c r="A139" s="61"/>
      <c r="B139" s="59"/>
      <c r="C139" s="620"/>
      <c r="D139" s="61"/>
      <c r="E139" s="61" t="str">
        <f t="shared" si="3"/>
        <v/>
      </c>
    </row>
    <row r="140" spans="1:5" x14ac:dyDescent="0.2">
      <c r="A140" s="61"/>
      <c r="B140" s="59"/>
      <c r="C140" s="620"/>
      <c r="D140" s="61"/>
      <c r="E140" s="61" t="str">
        <f t="shared" si="3"/>
        <v/>
      </c>
    </row>
    <row r="141" spans="1:5" x14ac:dyDescent="0.2">
      <c r="A141" s="61"/>
      <c r="B141" s="59"/>
      <c r="C141" s="620"/>
      <c r="D141" s="61"/>
      <c r="E141" s="61" t="str">
        <f t="shared" si="3"/>
        <v/>
      </c>
    </row>
    <row r="142" spans="1:5" x14ac:dyDescent="0.2">
      <c r="A142" s="61"/>
      <c r="B142" s="59"/>
      <c r="C142" s="620"/>
      <c r="D142" s="61"/>
      <c r="E142" s="61" t="str">
        <f t="shared" si="3"/>
        <v/>
      </c>
    </row>
    <row r="143" spans="1:5" x14ac:dyDescent="0.2">
      <c r="A143" s="61"/>
      <c r="B143" s="59"/>
      <c r="C143" s="620"/>
      <c r="D143" s="61"/>
      <c r="E143" s="61" t="str">
        <f t="shared" si="3"/>
        <v/>
      </c>
    </row>
    <row r="144" spans="1:5" x14ac:dyDescent="0.2">
      <c r="A144" s="61"/>
      <c r="B144" s="59"/>
      <c r="C144" s="620"/>
      <c r="D144" s="61"/>
      <c r="E144" s="61" t="str">
        <f t="shared" si="3"/>
        <v/>
      </c>
    </row>
    <row r="145" spans="1:5" x14ac:dyDescent="0.2">
      <c r="A145" s="61"/>
      <c r="B145" s="59"/>
      <c r="C145" s="620"/>
      <c r="D145" s="61"/>
      <c r="E145" s="61" t="str">
        <f t="shared" si="3"/>
        <v/>
      </c>
    </row>
    <row r="146" spans="1:5" x14ac:dyDescent="0.2">
      <c r="A146" s="61"/>
      <c r="B146" s="59"/>
      <c r="C146" s="620"/>
      <c r="D146" s="61"/>
      <c r="E146" s="61" t="str">
        <f t="shared" si="3"/>
        <v/>
      </c>
    </row>
    <row r="147" spans="1:5" x14ac:dyDescent="0.2">
      <c r="A147" s="61"/>
      <c r="B147" s="59"/>
      <c r="C147" s="620"/>
      <c r="D147" s="61"/>
      <c r="E147" s="61" t="str">
        <f t="shared" si="3"/>
        <v/>
      </c>
    </row>
    <row r="148" spans="1:5" x14ac:dyDescent="0.2">
      <c r="A148" s="61"/>
      <c r="B148" s="59"/>
      <c r="C148" s="620"/>
      <c r="D148" s="61"/>
      <c r="E148" s="61" t="str">
        <f t="shared" si="3"/>
        <v/>
      </c>
    </row>
    <row r="149" spans="1:5" x14ac:dyDescent="0.2">
      <c r="A149" s="61"/>
      <c r="B149" s="59"/>
      <c r="C149" s="620"/>
      <c r="D149" s="61"/>
      <c r="E149" s="61" t="str">
        <f t="shared" si="3"/>
        <v/>
      </c>
    </row>
    <row r="150" spans="1:5" x14ac:dyDescent="0.2">
      <c r="A150" s="61"/>
      <c r="B150" s="59"/>
      <c r="C150" s="620"/>
      <c r="D150" s="61"/>
      <c r="E150" s="61" t="str">
        <f t="shared" si="3"/>
        <v/>
      </c>
    </row>
    <row r="151" spans="1:5" x14ac:dyDescent="0.2">
      <c r="A151" s="61"/>
      <c r="B151" s="59"/>
      <c r="C151" s="620"/>
      <c r="D151" s="61"/>
      <c r="E151" s="61" t="str">
        <f t="shared" si="3"/>
        <v/>
      </c>
    </row>
    <row r="152" spans="1:5" x14ac:dyDescent="0.2">
      <c r="A152" s="61"/>
      <c r="B152" s="59"/>
      <c r="C152" s="620"/>
      <c r="D152" s="61"/>
      <c r="E152" s="61" t="str">
        <f t="shared" si="3"/>
        <v/>
      </c>
    </row>
    <row r="153" spans="1:5" x14ac:dyDescent="0.2">
      <c r="A153" s="61"/>
      <c r="B153" s="59"/>
      <c r="C153" s="620"/>
      <c r="D153" s="61"/>
      <c r="E153" s="61" t="str">
        <f t="shared" si="3"/>
        <v/>
      </c>
    </row>
    <row r="154" spans="1:5" x14ac:dyDescent="0.2">
      <c r="A154" s="61"/>
      <c r="B154" s="59"/>
      <c r="C154" s="620"/>
      <c r="D154" s="61"/>
      <c r="E154" s="61" t="str">
        <f t="shared" si="3"/>
        <v/>
      </c>
    </row>
    <row r="155" spans="1:5" x14ac:dyDescent="0.2">
      <c r="A155" s="61"/>
      <c r="B155" s="59"/>
      <c r="C155" s="620"/>
      <c r="D155" s="61"/>
      <c r="E155" s="61" t="str">
        <f t="shared" si="3"/>
        <v/>
      </c>
    </row>
    <row r="156" spans="1:5" x14ac:dyDescent="0.2">
      <c r="A156" s="61"/>
      <c r="B156" s="59"/>
      <c r="C156" s="620"/>
      <c r="D156" s="61"/>
      <c r="E156" s="61" t="str">
        <f t="shared" si="3"/>
        <v/>
      </c>
    </row>
    <row r="157" spans="1:5" x14ac:dyDescent="0.2">
      <c r="A157" s="61"/>
      <c r="B157" s="59"/>
      <c r="C157" s="620"/>
      <c r="D157" s="61"/>
      <c r="E157" s="61" t="str">
        <f t="shared" si="3"/>
        <v/>
      </c>
    </row>
    <row r="158" spans="1:5" x14ac:dyDescent="0.2">
      <c r="A158" s="61"/>
      <c r="B158" s="59"/>
      <c r="C158" s="620"/>
      <c r="D158" s="61"/>
      <c r="E158" s="61" t="str">
        <f t="shared" si="3"/>
        <v/>
      </c>
    </row>
    <row r="159" spans="1:5" x14ac:dyDescent="0.2">
      <c r="A159" s="61"/>
      <c r="B159" s="59"/>
      <c r="C159" s="620"/>
      <c r="D159" s="61"/>
      <c r="E159" s="61" t="str">
        <f t="shared" si="3"/>
        <v/>
      </c>
    </row>
    <row r="160" spans="1:5" x14ac:dyDescent="0.2">
      <c r="A160" s="61"/>
      <c r="B160" s="59"/>
      <c r="C160" s="620"/>
      <c r="D160" s="61"/>
      <c r="E160" s="61" t="str">
        <f t="shared" si="3"/>
        <v/>
      </c>
    </row>
    <row r="161" spans="1:5" x14ac:dyDescent="0.2">
      <c r="A161" s="61"/>
      <c r="B161" s="59"/>
      <c r="C161" s="620"/>
      <c r="D161" s="61"/>
      <c r="E161" s="61" t="str">
        <f t="shared" si="3"/>
        <v/>
      </c>
    </row>
    <row r="162" spans="1:5" x14ac:dyDescent="0.2">
      <c r="A162" s="61"/>
      <c r="B162" s="59"/>
      <c r="C162" s="620"/>
      <c r="D162" s="61"/>
      <c r="E162" s="61" t="str">
        <f t="shared" si="3"/>
        <v/>
      </c>
    </row>
    <row r="163" spans="1:5" x14ac:dyDescent="0.2">
      <c r="A163" s="61"/>
      <c r="B163" s="59"/>
      <c r="C163" s="620"/>
      <c r="D163" s="61"/>
      <c r="E163" s="61" t="str">
        <f t="shared" si="3"/>
        <v/>
      </c>
    </row>
    <row r="164" spans="1:5" x14ac:dyDescent="0.2">
      <c r="A164" s="61"/>
      <c r="B164" s="59"/>
      <c r="C164" s="620"/>
      <c r="D164" s="61"/>
      <c r="E164" s="61" t="str">
        <f t="shared" si="3"/>
        <v/>
      </c>
    </row>
    <row r="165" spans="1:5" x14ac:dyDescent="0.2">
      <c r="A165" s="61"/>
      <c r="B165" s="59"/>
      <c r="C165" s="620"/>
      <c r="D165" s="61"/>
      <c r="E165" s="61" t="str">
        <f t="shared" si="3"/>
        <v/>
      </c>
    </row>
    <row r="166" spans="1:5" x14ac:dyDescent="0.2">
      <c r="A166" s="61"/>
      <c r="B166" s="59"/>
      <c r="C166" s="620"/>
      <c r="D166" s="61"/>
      <c r="E166" s="61" t="str">
        <f t="shared" si="3"/>
        <v/>
      </c>
    </row>
    <row r="167" spans="1:5" x14ac:dyDescent="0.2">
      <c r="A167" s="61"/>
      <c r="B167" s="59"/>
      <c r="C167" s="620"/>
      <c r="D167" s="61"/>
      <c r="E167" s="61" t="str">
        <f t="shared" si="3"/>
        <v/>
      </c>
    </row>
    <row r="168" spans="1:5" x14ac:dyDescent="0.2">
      <c r="A168" s="61"/>
      <c r="B168" s="59"/>
      <c r="C168" s="620"/>
      <c r="D168" s="61"/>
      <c r="E168" s="61" t="str">
        <f t="shared" si="3"/>
        <v/>
      </c>
    </row>
    <row r="169" spans="1:5" x14ac:dyDescent="0.2">
      <c r="A169" s="61"/>
      <c r="B169" s="59"/>
      <c r="C169" s="620"/>
      <c r="D169" s="61"/>
      <c r="E169" s="61" t="str">
        <f t="shared" si="3"/>
        <v/>
      </c>
    </row>
    <row r="170" spans="1:5" x14ac:dyDescent="0.2">
      <c r="A170" s="61"/>
      <c r="B170" s="59"/>
      <c r="C170" s="620"/>
      <c r="D170" s="61"/>
      <c r="E170" s="61" t="str">
        <f t="shared" si="3"/>
        <v/>
      </c>
    </row>
    <row r="171" spans="1:5" x14ac:dyDescent="0.2">
      <c r="A171" s="61"/>
      <c r="B171" s="59"/>
      <c r="C171" s="620"/>
      <c r="D171" s="61"/>
      <c r="E171" s="61" t="str">
        <f t="shared" si="3"/>
        <v/>
      </c>
    </row>
    <row r="172" spans="1:5" x14ac:dyDescent="0.2">
      <c r="A172" s="61"/>
      <c r="B172" s="59"/>
      <c r="C172" s="620"/>
      <c r="D172" s="61"/>
      <c r="E172" s="61" t="str">
        <f t="shared" si="3"/>
        <v/>
      </c>
    </row>
    <row r="173" spans="1:5" x14ac:dyDescent="0.2">
      <c r="A173" s="61"/>
      <c r="B173" s="59"/>
      <c r="C173" s="620"/>
      <c r="D173" s="61"/>
      <c r="E173" s="61" t="str">
        <f t="shared" si="3"/>
        <v/>
      </c>
    </row>
    <row r="174" spans="1:5" x14ac:dyDescent="0.2">
      <c r="A174" s="61"/>
      <c r="B174" s="59"/>
      <c r="C174" s="620"/>
      <c r="D174" s="61"/>
      <c r="E174" s="61" t="str">
        <f t="shared" si="3"/>
        <v/>
      </c>
    </row>
    <row r="175" spans="1:5" x14ac:dyDescent="0.2">
      <c r="A175" s="61"/>
      <c r="B175" s="59"/>
      <c r="C175" s="620"/>
      <c r="D175" s="61"/>
      <c r="E175" s="61" t="str">
        <f t="shared" si="3"/>
        <v/>
      </c>
    </row>
    <row r="176" spans="1:5" x14ac:dyDescent="0.2">
      <c r="A176" s="61"/>
      <c r="B176" s="59"/>
      <c r="C176" s="620"/>
      <c r="D176" s="61"/>
      <c r="E176" s="61" t="str">
        <f t="shared" si="3"/>
        <v/>
      </c>
    </row>
    <row r="177" spans="1:5" x14ac:dyDescent="0.2">
      <c r="A177" s="61"/>
      <c r="B177" s="59"/>
      <c r="C177" s="620"/>
      <c r="D177" s="61"/>
      <c r="E177" s="61" t="str">
        <f t="shared" si="3"/>
        <v/>
      </c>
    </row>
    <row r="178" spans="1:5" x14ac:dyDescent="0.2">
      <c r="A178" s="61"/>
      <c r="B178" s="59"/>
      <c r="C178" s="620"/>
      <c r="D178" s="61"/>
      <c r="E178" s="61" t="str">
        <f t="shared" si="3"/>
        <v/>
      </c>
    </row>
    <row r="179" spans="1:5" x14ac:dyDescent="0.2">
      <c r="A179" s="61"/>
      <c r="B179" s="59"/>
      <c r="C179" s="620"/>
      <c r="D179" s="61"/>
      <c r="E179" s="61" t="str">
        <f t="shared" si="3"/>
        <v/>
      </c>
    </row>
    <row r="180" spans="1:5" x14ac:dyDescent="0.2">
      <c r="A180" s="61"/>
      <c r="B180" s="59"/>
      <c r="C180" s="620"/>
      <c r="D180" s="61"/>
      <c r="E180" s="61" t="str">
        <f t="shared" si="3"/>
        <v/>
      </c>
    </row>
    <row r="181" spans="1:5" x14ac:dyDescent="0.2">
      <c r="A181" s="61"/>
      <c r="B181" s="59"/>
      <c r="C181" s="620"/>
      <c r="D181" s="61"/>
      <c r="E181" s="61" t="str">
        <f t="shared" si="3"/>
        <v/>
      </c>
    </row>
    <row r="182" spans="1:5" x14ac:dyDescent="0.2">
      <c r="A182" s="61"/>
      <c r="B182" s="59"/>
      <c r="C182" s="620"/>
      <c r="D182" s="61"/>
      <c r="E182" s="61" t="str">
        <f t="shared" si="3"/>
        <v/>
      </c>
    </row>
    <row r="183" spans="1:5" x14ac:dyDescent="0.2">
      <c r="A183" s="61"/>
      <c r="B183" s="59"/>
      <c r="C183" s="620"/>
      <c r="D183" s="61"/>
      <c r="E183" s="61" t="str">
        <f t="shared" si="3"/>
        <v/>
      </c>
    </row>
    <row r="184" spans="1:5" x14ac:dyDescent="0.2">
      <c r="A184" s="61"/>
      <c r="B184" s="59"/>
      <c r="C184" s="620"/>
      <c r="D184" s="61"/>
      <c r="E184" s="61" t="str">
        <f t="shared" si="3"/>
        <v/>
      </c>
    </row>
    <row r="185" spans="1:5" x14ac:dyDescent="0.2">
      <c r="A185" s="61"/>
      <c r="B185" s="59"/>
      <c r="C185" s="620"/>
      <c r="D185" s="61"/>
      <c r="E185" s="61" t="str">
        <f t="shared" si="3"/>
        <v/>
      </c>
    </row>
    <row r="186" spans="1:5" x14ac:dyDescent="0.2">
      <c r="A186" s="61"/>
      <c r="B186" s="59"/>
      <c r="C186" s="620"/>
      <c r="D186" s="61"/>
      <c r="E186" s="61" t="str">
        <f t="shared" si="3"/>
        <v/>
      </c>
    </row>
    <row r="187" spans="1:5" x14ac:dyDescent="0.2">
      <c r="A187" s="61"/>
      <c r="B187" s="59"/>
      <c r="C187" s="620"/>
      <c r="D187" s="61"/>
      <c r="E187" s="61" t="str">
        <f t="shared" si="3"/>
        <v/>
      </c>
    </row>
    <row r="188" spans="1:5" x14ac:dyDescent="0.2">
      <c r="A188" s="61"/>
      <c r="B188" s="59"/>
      <c r="C188" s="620"/>
      <c r="D188" s="61"/>
      <c r="E188" s="61" t="str">
        <f t="shared" si="3"/>
        <v/>
      </c>
    </row>
    <row r="189" spans="1:5" x14ac:dyDescent="0.2">
      <c r="A189" s="61"/>
      <c r="B189" s="59"/>
      <c r="C189" s="620"/>
      <c r="D189" s="61"/>
      <c r="E189" s="61" t="str">
        <f t="shared" si="3"/>
        <v/>
      </c>
    </row>
    <row r="190" spans="1:5" x14ac:dyDescent="0.2">
      <c r="A190" s="61"/>
      <c r="B190" s="59"/>
      <c r="C190" s="620"/>
      <c r="D190" s="61"/>
      <c r="E190" s="61" t="str">
        <f t="shared" si="3"/>
        <v/>
      </c>
    </row>
    <row r="191" spans="1:5" x14ac:dyDescent="0.2">
      <c r="A191" s="61"/>
      <c r="B191" s="59"/>
      <c r="C191" s="620"/>
      <c r="D191" s="61"/>
      <c r="E191" s="61" t="str">
        <f t="shared" si="3"/>
        <v/>
      </c>
    </row>
    <row r="192" spans="1:5" x14ac:dyDescent="0.2">
      <c r="A192" s="61"/>
      <c r="B192" s="59"/>
      <c r="C192" s="620"/>
      <c r="D192" s="61"/>
      <c r="E192" s="61" t="str">
        <f t="shared" si="3"/>
        <v/>
      </c>
    </row>
    <row r="193" spans="1:5" x14ac:dyDescent="0.2">
      <c r="A193" s="61"/>
      <c r="B193" s="59"/>
      <c r="C193" s="620"/>
      <c r="D193" s="61"/>
      <c r="E193" s="61" t="str">
        <f t="shared" si="3"/>
        <v/>
      </c>
    </row>
    <row r="194" spans="1:5" x14ac:dyDescent="0.2">
      <c r="A194" s="61"/>
      <c r="B194" s="59"/>
      <c r="C194" s="620"/>
      <c r="D194" s="61"/>
      <c r="E194" s="61" t="str">
        <f t="shared" si="3"/>
        <v/>
      </c>
    </row>
    <row r="195" spans="1:5" x14ac:dyDescent="0.2">
      <c r="A195" s="61"/>
      <c r="B195" s="59"/>
      <c r="C195" s="620"/>
      <c r="D195" s="61"/>
      <c r="E195" s="61" t="str">
        <f t="shared" si="3"/>
        <v/>
      </c>
    </row>
    <row r="196" spans="1:5" x14ac:dyDescent="0.2">
      <c r="A196" s="61"/>
      <c r="B196" s="59"/>
      <c r="C196" s="620"/>
      <c r="D196" s="61"/>
      <c r="E196" s="61" t="str">
        <f t="shared" si="3"/>
        <v/>
      </c>
    </row>
    <row r="197" spans="1:5" x14ac:dyDescent="0.2">
      <c r="A197" s="61"/>
      <c r="B197" s="59"/>
      <c r="C197" s="620"/>
      <c r="D197" s="61"/>
      <c r="E197" s="61" t="str">
        <f t="shared" ref="E197:E260" si="4">IFERROR(VLOOKUP(D197,T_Indices,5,FALSE),"")</f>
        <v/>
      </c>
    </row>
    <row r="198" spans="1:5" x14ac:dyDescent="0.2">
      <c r="A198" s="61"/>
      <c r="B198" s="59"/>
      <c r="C198" s="620"/>
      <c r="D198" s="61"/>
      <c r="E198" s="61" t="str">
        <f t="shared" si="4"/>
        <v/>
      </c>
    </row>
    <row r="199" spans="1:5" x14ac:dyDescent="0.2">
      <c r="A199" s="61"/>
      <c r="B199" s="59"/>
      <c r="C199" s="620"/>
      <c r="D199" s="61"/>
      <c r="E199" s="61" t="str">
        <f t="shared" si="4"/>
        <v/>
      </c>
    </row>
    <row r="200" spans="1:5" x14ac:dyDescent="0.2">
      <c r="A200" s="61"/>
      <c r="B200" s="59"/>
      <c r="C200" s="620"/>
      <c r="D200" s="61"/>
      <c r="E200" s="61" t="str">
        <f t="shared" si="4"/>
        <v/>
      </c>
    </row>
    <row r="201" spans="1:5" x14ac:dyDescent="0.2">
      <c r="A201" s="61"/>
      <c r="B201" s="59"/>
      <c r="C201" s="620"/>
      <c r="D201" s="61"/>
      <c r="E201" s="61" t="str">
        <f t="shared" si="4"/>
        <v/>
      </c>
    </row>
    <row r="202" spans="1:5" x14ac:dyDescent="0.2">
      <c r="A202" s="61"/>
      <c r="B202" s="59"/>
      <c r="C202" s="620"/>
      <c r="D202" s="61"/>
      <c r="E202" s="61" t="str">
        <f t="shared" si="4"/>
        <v/>
      </c>
    </row>
    <row r="203" spans="1:5" x14ac:dyDescent="0.2">
      <c r="A203" s="61"/>
      <c r="B203" s="59"/>
      <c r="C203" s="620"/>
      <c r="D203" s="61"/>
      <c r="E203" s="61" t="str">
        <f t="shared" si="4"/>
        <v/>
      </c>
    </row>
    <row r="204" spans="1:5" x14ac:dyDescent="0.2">
      <c r="A204" s="61"/>
      <c r="B204" s="59"/>
      <c r="C204" s="620"/>
      <c r="D204" s="61"/>
      <c r="E204" s="61" t="str">
        <f t="shared" si="4"/>
        <v/>
      </c>
    </row>
    <row r="205" spans="1:5" x14ac:dyDescent="0.2">
      <c r="A205" s="61"/>
      <c r="B205" s="59"/>
      <c r="C205" s="620"/>
      <c r="D205" s="61"/>
      <c r="E205" s="61" t="str">
        <f t="shared" si="4"/>
        <v/>
      </c>
    </row>
    <row r="206" spans="1:5" x14ac:dyDescent="0.2">
      <c r="A206" s="61"/>
      <c r="B206" s="59"/>
      <c r="C206" s="620"/>
      <c r="D206" s="61"/>
      <c r="E206" s="61" t="str">
        <f t="shared" si="4"/>
        <v/>
      </c>
    </row>
    <row r="207" spans="1:5" x14ac:dyDescent="0.2">
      <c r="A207" s="61"/>
      <c r="B207" s="59"/>
      <c r="C207" s="620"/>
      <c r="D207" s="61"/>
      <c r="E207" s="61" t="str">
        <f t="shared" si="4"/>
        <v/>
      </c>
    </row>
    <row r="208" spans="1:5" x14ac:dyDescent="0.2">
      <c r="A208" s="61"/>
      <c r="B208" s="59"/>
      <c r="C208" s="620"/>
      <c r="D208" s="61"/>
      <c r="E208" s="61" t="str">
        <f t="shared" si="4"/>
        <v/>
      </c>
    </row>
    <row r="209" spans="1:5" x14ac:dyDescent="0.2">
      <c r="A209" s="61"/>
      <c r="B209" s="59"/>
      <c r="C209" s="620"/>
      <c r="D209" s="61"/>
      <c r="E209" s="61" t="str">
        <f t="shared" si="4"/>
        <v/>
      </c>
    </row>
    <row r="210" spans="1:5" x14ac:dyDescent="0.2">
      <c r="A210" s="61"/>
      <c r="B210" s="59"/>
      <c r="C210" s="620"/>
      <c r="D210" s="61"/>
      <c r="E210" s="61" t="str">
        <f t="shared" si="4"/>
        <v/>
      </c>
    </row>
    <row r="211" spans="1:5" x14ac:dyDescent="0.2">
      <c r="A211" s="61"/>
      <c r="B211" s="59"/>
      <c r="C211" s="620"/>
      <c r="D211" s="61"/>
      <c r="E211" s="61" t="str">
        <f t="shared" si="4"/>
        <v/>
      </c>
    </row>
    <row r="212" spans="1:5" x14ac:dyDescent="0.2">
      <c r="A212" s="61"/>
      <c r="B212" s="59"/>
      <c r="C212" s="620"/>
      <c r="D212" s="61"/>
      <c r="E212" s="61" t="str">
        <f t="shared" si="4"/>
        <v/>
      </c>
    </row>
    <row r="213" spans="1:5" x14ac:dyDescent="0.2">
      <c r="A213" s="61"/>
      <c r="B213" s="59"/>
      <c r="C213" s="620"/>
      <c r="D213" s="61"/>
      <c r="E213" s="61" t="str">
        <f t="shared" si="4"/>
        <v/>
      </c>
    </row>
    <row r="214" spans="1:5" x14ac:dyDescent="0.2">
      <c r="A214" s="61"/>
      <c r="B214" s="59"/>
      <c r="C214" s="620"/>
      <c r="D214" s="61"/>
      <c r="E214" s="61" t="str">
        <f t="shared" si="4"/>
        <v/>
      </c>
    </row>
    <row r="215" spans="1:5" x14ac:dyDescent="0.2">
      <c r="A215" s="61"/>
      <c r="B215" s="59"/>
      <c r="C215" s="620"/>
      <c r="D215" s="61"/>
      <c r="E215" s="61" t="str">
        <f t="shared" si="4"/>
        <v/>
      </c>
    </row>
    <row r="216" spans="1:5" x14ac:dyDescent="0.2">
      <c r="A216" s="61"/>
      <c r="B216" s="59"/>
      <c r="C216" s="620"/>
      <c r="D216" s="61"/>
      <c r="E216" s="61" t="str">
        <f t="shared" si="4"/>
        <v/>
      </c>
    </row>
    <row r="217" spans="1:5" x14ac:dyDescent="0.2">
      <c r="A217" s="61"/>
      <c r="B217" s="59"/>
      <c r="C217" s="620"/>
      <c r="D217" s="61"/>
      <c r="E217" s="61" t="str">
        <f t="shared" si="4"/>
        <v/>
      </c>
    </row>
    <row r="218" spans="1:5" x14ac:dyDescent="0.2">
      <c r="A218" s="61"/>
      <c r="B218" s="59"/>
      <c r="C218" s="620"/>
      <c r="D218" s="61"/>
      <c r="E218" s="61" t="str">
        <f t="shared" si="4"/>
        <v/>
      </c>
    </row>
    <row r="219" spans="1:5" x14ac:dyDescent="0.2">
      <c r="A219" s="61"/>
      <c r="B219" s="59"/>
      <c r="C219" s="620"/>
      <c r="D219" s="61"/>
      <c r="E219" s="61" t="str">
        <f t="shared" si="4"/>
        <v/>
      </c>
    </row>
    <row r="220" spans="1:5" x14ac:dyDescent="0.2">
      <c r="A220" s="61"/>
      <c r="B220" s="59"/>
      <c r="C220" s="620"/>
      <c r="D220" s="61"/>
      <c r="E220" s="61" t="str">
        <f t="shared" si="4"/>
        <v/>
      </c>
    </row>
    <row r="221" spans="1:5" x14ac:dyDescent="0.2">
      <c r="A221" s="61"/>
      <c r="B221" s="59"/>
      <c r="C221" s="620"/>
      <c r="D221" s="61"/>
      <c r="E221" s="61" t="str">
        <f t="shared" si="4"/>
        <v/>
      </c>
    </row>
    <row r="222" spans="1:5" x14ac:dyDescent="0.2">
      <c r="A222" s="61"/>
      <c r="B222" s="59"/>
      <c r="C222" s="620"/>
      <c r="D222" s="61"/>
      <c r="E222" s="61" t="str">
        <f t="shared" si="4"/>
        <v/>
      </c>
    </row>
    <row r="223" spans="1:5" x14ac:dyDescent="0.2">
      <c r="A223" s="61"/>
      <c r="B223" s="59"/>
      <c r="C223" s="620"/>
      <c r="D223" s="61"/>
      <c r="E223" s="61" t="str">
        <f t="shared" si="4"/>
        <v/>
      </c>
    </row>
    <row r="224" spans="1:5" x14ac:dyDescent="0.2">
      <c r="A224" s="61"/>
      <c r="B224" s="59"/>
      <c r="C224" s="620"/>
      <c r="D224" s="61"/>
      <c r="E224" s="61" t="str">
        <f t="shared" si="4"/>
        <v/>
      </c>
    </row>
    <row r="225" spans="1:5" x14ac:dyDescent="0.2">
      <c r="A225" s="61"/>
      <c r="B225" s="59"/>
      <c r="C225" s="620"/>
      <c r="D225" s="61"/>
      <c r="E225" s="61" t="str">
        <f t="shared" si="4"/>
        <v/>
      </c>
    </row>
    <row r="226" spans="1:5" x14ac:dyDescent="0.2">
      <c r="A226" s="61"/>
      <c r="B226" s="59"/>
      <c r="C226" s="620"/>
      <c r="D226" s="61"/>
      <c r="E226" s="61" t="str">
        <f t="shared" si="4"/>
        <v/>
      </c>
    </row>
    <row r="227" spans="1:5" x14ac:dyDescent="0.2">
      <c r="A227" s="61"/>
      <c r="B227" s="59"/>
      <c r="C227" s="620"/>
      <c r="D227" s="61"/>
      <c r="E227" s="61" t="str">
        <f t="shared" si="4"/>
        <v/>
      </c>
    </row>
    <row r="228" spans="1:5" x14ac:dyDescent="0.2">
      <c r="A228" s="61"/>
      <c r="B228" s="59"/>
      <c r="C228" s="620"/>
      <c r="D228" s="61"/>
      <c r="E228" s="61" t="str">
        <f t="shared" si="4"/>
        <v/>
      </c>
    </row>
    <row r="229" spans="1:5" x14ac:dyDescent="0.2">
      <c r="A229" s="61"/>
      <c r="B229" s="59"/>
      <c r="C229" s="620"/>
      <c r="D229" s="61"/>
      <c r="E229" s="61" t="str">
        <f t="shared" si="4"/>
        <v/>
      </c>
    </row>
    <row r="230" spans="1:5" x14ac:dyDescent="0.2">
      <c r="A230" s="61"/>
      <c r="B230" s="59"/>
      <c r="C230" s="620"/>
      <c r="D230" s="61"/>
      <c r="E230" s="61" t="str">
        <f t="shared" si="4"/>
        <v/>
      </c>
    </row>
    <row r="231" spans="1:5" x14ac:dyDescent="0.2">
      <c r="A231" s="61"/>
      <c r="B231" s="59"/>
      <c r="C231" s="620"/>
      <c r="D231" s="61"/>
      <c r="E231" s="61" t="str">
        <f t="shared" si="4"/>
        <v/>
      </c>
    </row>
    <row r="232" spans="1:5" x14ac:dyDescent="0.2">
      <c r="A232" s="61"/>
      <c r="B232" s="59"/>
      <c r="C232" s="620"/>
      <c r="D232" s="61"/>
      <c r="E232" s="61" t="str">
        <f t="shared" si="4"/>
        <v/>
      </c>
    </row>
    <row r="233" spans="1:5" x14ac:dyDescent="0.2">
      <c r="A233" s="61"/>
      <c r="B233" s="59"/>
      <c r="C233" s="620"/>
      <c r="D233" s="61"/>
      <c r="E233" s="61" t="str">
        <f t="shared" si="4"/>
        <v/>
      </c>
    </row>
    <row r="234" spans="1:5" x14ac:dyDescent="0.2">
      <c r="A234" s="61"/>
      <c r="B234" s="59"/>
      <c r="C234" s="620"/>
      <c r="D234" s="61"/>
      <c r="E234" s="61" t="str">
        <f t="shared" si="4"/>
        <v/>
      </c>
    </row>
    <row r="235" spans="1:5" x14ac:dyDescent="0.2">
      <c r="A235" s="61"/>
      <c r="B235" s="59"/>
      <c r="C235" s="620"/>
      <c r="D235" s="61"/>
      <c r="E235" s="61" t="str">
        <f t="shared" si="4"/>
        <v/>
      </c>
    </row>
    <row r="236" spans="1:5" x14ac:dyDescent="0.2">
      <c r="A236" s="61"/>
      <c r="B236" s="59"/>
      <c r="C236" s="620"/>
      <c r="D236" s="61"/>
      <c r="E236" s="61" t="str">
        <f t="shared" si="4"/>
        <v/>
      </c>
    </row>
    <row r="237" spans="1:5" x14ac:dyDescent="0.2">
      <c r="A237" s="61"/>
      <c r="B237" s="59"/>
      <c r="C237" s="620"/>
      <c r="D237" s="61"/>
      <c r="E237" s="61" t="str">
        <f t="shared" si="4"/>
        <v/>
      </c>
    </row>
    <row r="238" spans="1:5" x14ac:dyDescent="0.2">
      <c r="A238" s="61"/>
      <c r="B238" s="59"/>
      <c r="C238" s="620"/>
      <c r="D238" s="61"/>
      <c r="E238" s="61" t="str">
        <f t="shared" si="4"/>
        <v/>
      </c>
    </row>
    <row r="239" spans="1:5" x14ac:dyDescent="0.2">
      <c r="A239" s="61"/>
      <c r="B239" s="59"/>
      <c r="C239" s="620"/>
      <c r="D239" s="61"/>
      <c r="E239" s="61" t="str">
        <f t="shared" si="4"/>
        <v/>
      </c>
    </row>
    <row r="240" spans="1:5" x14ac:dyDescent="0.2">
      <c r="A240" s="61"/>
      <c r="B240" s="59"/>
      <c r="C240" s="620"/>
      <c r="D240" s="61"/>
      <c r="E240" s="61" t="str">
        <f t="shared" si="4"/>
        <v/>
      </c>
    </row>
    <row r="241" spans="1:5" x14ac:dyDescent="0.2">
      <c r="A241" s="61"/>
      <c r="B241" s="59"/>
      <c r="C241" s="620"/>
      <c r="D241" s="61"/>
      <c r="E241" s="61" t="str">
        <f t="shared" si="4"/>
        <v/>
      </c>
    </row>
    <row r="242" spans="1:5" x14ac:dyDescent="0.2">
      <c r="A242" s="61"/>
      <c r="B242" s="59"/>
      <c r="C242" s="620"/>
      <c r="D242" s="61"/>
      <c r="E242" s="61" t="str">
        <f t="shared" si="4"/>
        <v/>
      </c>
    </row>
    <row r="243" spans="1:5" x14ac:dyDescent="0.2">
      <c r="A243" s="61"/>
      <c r="B243" s="59"/>
      <c r="C243" s="620"/>
      <c r="D243" s="61"/>
      <c r="E243" s="61" t="str">
        <f t="shared" si="4"/>
        <v/>
      </c>
    </row>
    <row r="244" spans="1:5" x14ac:dyDescent="0.2">
      <c r="A244" s="61"/>
      <c r="B244" s="59"/>
      <c r="C244" s="620"/>
      <c r="D244" s="61"/>
      <c r="E244" s="61" t="str">
        <f t="shared" si="4"/>
        <v/>
      </c>
    </row>
    <row r="245" spans="1:5" x14ac:dyDescent="0.2">
      <c r="A245" s="61"/>
      <c r="B245" s="59"/>
      <c r="C245" s="620"/>
      <c r="D245" s="61"/>
      <c r="E245" s="61" t="str">
        <f t="shared" si="4"/>
        <v/>
      </c>
    </row>
    <row r="246" spans="1:5" x14ac:dyDescent="0.2">
      <c r="A246" s="61"/>
      <c r="B246" s="59"/>
      <c r="C246" s="620"/>
      <c r="D246" s="61"/>
      <c r="E246" s="61" t="str">
        <f t="shared" si="4"/>
        <v/>
      </c>
    </row>
    <row r="247" spans="1:5" x14ac:dyDescent="0.2">
      <c r="A247" s="61"/>
      <c r="B247" s="59"/>
      <c r="C247" s="620"/>
      <c r="D247" s="61"/>
      <c r="E247" s="61" t="str">
        <f t="shared" si="4"/>
        <v/>
      </c>
    </row>
    <row r="248" spans="1:5" x14ac:dyDescent="0.2">
      <c r="A248" s="61"/>
      <c r="B248" s="59"/>
      <c r="C248" s="620"/>
      <c r="D248" s="61"/>
      <c r="E248" s="61" t="str">
        <f t="shared" si="4"/>
        <v/>
      </c>
    </row>
    <row r="249" spans="1:5" x14ac:dyDescent="0.2">
      <c r="A249" s="61"/>
      <c r="B249" s="59"/>
      <c r="C249" s="620"/>
      <c r="D249" s="61"/>
      <c r="E249" s="61" t="str">
        <f t="shared" si="4"/>
        <v/>
      </c>
    </row>
    <row r="250" spans="1:5" x14ac:dyDescent="0.2">
      <c r="A250" s="61"/>
      <c r="B250" s="59"/>
      <c r="C250" s="620"/>
      <c r="D250" s="61"/>
      <c r="E250" s="61" t="str">
        <f t="shared" si="4"/>
        <v/>
      </c>
    </row>
    <row r="251" spans="1:5" x14ac:dyDescent="0.2">
      <c r="A251" s="61"/>
      <c r="B251" s="59"/>
      <c r="C251" s="620"/>
      <c r="D251" s="61"/>
      <c r="E251" s="61" t="str">
        <f t="shared" si="4"/>
        <v/>
      </c>
    </row>
    <row r="252" spans="1:5" x14ac:dyDescent="0.2">
      <c r="A252" s="61"/>
      <c r="B252" s="59"/>
      <c r="C252" s="620"/>
      <c r="D252" s="61"/>
      <c r="E252" s="61" t="str">
        <f t="shared" si="4"/>
        <v/>
      </c>
    </row>
    <row r="253" spans="1:5" x14ac:dyDescent="0.2">
      <c r="A253" s="61"/>
      <c r="B253" s="59"/>
      <c r="C253" s="620"/>
      <c r="D253" s="61"/>
      <c r="E253" s="61" t="str">
        <f t="shared" si="4"/>
        <v/>
      </c>
    </row>
    <row r="254" spans="1:5" x14ac:dyDescent="0.2">
      <c r="A254" s="61"/>
      <c r="B254" s="59"/>
      <c r="C254" s="620"/>
      <c r="D254" s="61"/>
      <c r="E254" s="61" t="str">
        <f t="shared" si="4"/>
        <v/>
      </c>
    </row>
    <row r="255" spans="1:5" x14ac:dyDescent="0.2">
      <c r="A255" s="61"/>
      <c r="B255" s="59"/>
      <c r="C255" s="620"/>
      <c r="D255" s="61"/>
      <c r="E255" s="61" t="str">
        <f t="shared" si="4"/>
        <v/>
      </c>
    </row>
    <row r="256" spans="1:5" x14ac:dyDescent="0.2">
      <c r="A256" s="61"/>
      <c r="B256" s="59"/>
      <c r="C256" s="620"/>
      <c r="D256" s="61"/>
      <c r="E256" s="61" t="str">
        <f t="shared" si="4"/>
        <v/>
      </c>
    </row>
    <row r="257" spans="1:5" x14ac:dyDescent="0.2">
      <c r="A257" s="61"/>
      <c r="B257" s="59"/>
      <c r="C257" s="620"/>
      <c r="D257" s="61"/>
      <c r="E257" s="61" t="str">
        <f t="shared" si="4"/>
        <v/>
      </c>
    </row>
    <row r="258" spans="1:5" x14ac:dyDescent="0.2">
      <c r="A258" s="61"/>
      <c r="B258" s="59"/>
      <c r="C258" s="620"/>
      <c r="D258" s="61"/>
      <c r="E258" s="61" t="str">
        <f t="shared" si="4"/>
        <v/>
      </c>
    </row>
    <row r="259" spans="1:5" x14ac:dyDescent="0.2">
      <c r="A259" s="61"/>
      <c r="B259" s="59"/>
      <c r="C259" s="620"/>
      <c r="D259" s="61"/>
      <c r="E259" s="61" t="str">
        <f t="shared" si="4"/>
        <v/>
      </c>
    </row>
    <row r="260" spans="1:5" x14ac:dyDescent="0.2">
      <c r="A260" s="61"/>
      <c r="B260" s="59"/>
      <c r="C260" s="620"/>
      <c r="D260" s="61"/>
      <c r="E260" s="61" t="str">
        <f t="shared" si="4"/>
        <v/>
      </c>
    </row>
    <row r="261" spans="1:5" x14ac:dyDescent="0.2">
      <c r="A261" s="61"/>
      <c r="B261" s="59"/>
      <c r="C261" s="620"/>
      <c r="D261" s="61"/>
      <c r="E261" s="61" t="str">
        <f t="shared" ref="E261:E324" si="5">IFERROR(VLOOKUP(D261,T_Indices,5,FALSE),"")</f>
        <v/>
      </c>
    </row>
    <row r="262" spans="1:5" x14ac:dyDescent="0.2">
      <c r="A262" s="61"/>
      <c r="B262" s="59"/>
      <c r="C262" s="620"/>
      <c r="D262" s="61"/>
      <c r="E262" s="61" t="str">
        <f t="shared" si="5"/>
        <v/>
      </c>
    </row>
    <row r="263" spans="1:5" x14ac:dyDescent="0.2">
      <c r="A263" s="61"/>
      <c r="B263" s="59"/>
      <c r="C263" s="620"/>
      <c r="D263" s="61"/>
      <c r="E263" s="61" t="str">
        <f t="shared" si="5"/>
        <v/>
      </c>
    </row>
    <row r="264" spans="1:5" x14ac:dyDescent="0.2">
      <c r="A264" s="61"/>
      <c r="B264" s="59"/>
      <c r="C264" s="620"/>
      <c r="D264" s="61"/>
      <c r="E264" s="61" t="str">
        <f t="shared" si="5"/>
        <v/>
      </c>
    </row>
    <row r="265" spans="1:5" x14ac:dyDescent="0.2">
      <c r="A265" s="61"/>
      <c r="B265" s="59"/>
      <c r="C265" s="620"/>
      <c r="D265" s="61"/>
      <c r="E265" s="61" t="str">
        <f t="shared" si="5"/>
        <v/>
      </c>
    </row>
    <row r="266" spans="1:5" x14ac:dyDescent="0.2">
      <c r="A266" s="61"/>
      <c r="B266" s="59"/>
      <c r="C266" s="620"/>
      <c r="D266" s="61"/>
      <c r="E266" s="61" t="str">
        <f t="shared" si="5"/>
        <v/>
      </c>
    </row>
    <row r="267" spans="1:5" x14ac:dyDescent="0.2">
      <c r="A267" s="61"/>
      <c r="B267" s="59"/>
      <c r="C267" s="620"/>
      <c r="D267" s="61"/>
      <c r="E267" s="61" t="str">
        <f t="shared" si="5"/>
        <v/>
      </c>
    </row>
    <row r="268" spans="1:5" x14ac:dyDescent="0.2">
      <c r="A268" s="61"/>
      <c r="B268" s="59"/>
      <c r="C268" s="620"/>
      <c r="D268" s="61"/>
      <c r="E268" s="61" t="str">
        <f t="shared" si="5"/>
        <v/>
      </c>
    </row>
    <row r="269" spans="1:5" x14ac:dyDescent="0.2">
      <c r="A269" s="61"/>
      <c r="B269" s="59"/>
      <c r="C269" s="620"/>
      <c r="D269" s="61"/>
      <c r="E269" s="61" t="str">
        <f t="shared" si="5"/>
        <v/>
      </c>
    </row>
    <row r="270" spans="1:5" x14ac:dyDescent="0.2">
      <c r="A270" s="61"/>
      <c r="B270" s="59"/>
      <c r="C270" s="620"/>
      <c r="D270" s="61"/>
      <c r="E270" s="61" t="str">
        <f t="shared" si="5"/>
        <v/>
      </c>
    </row>
    <row r="271" spans="1:5" x14ac:dyDescent="0.2">
      <c r="A271" s="61"/>
      <c r="B271" s="59"/>
      <c r="C271" s="620"/>
      <c r="D271" s="61"/>
      <c r="E271" s="61" t="str">
        <f t="shared" si="5"/>
        <v/>
      </c>
    </row>
    <row r="272" spans="1:5" x14ac:dyDescent="0.2">
      <c r="A272" s="61"/>
      <c r="B272" s="59"/>
      <c r="C272" s="620"/>
      <c r="D272" s="61"/>
      <c r="E272" s="61" t="str">
        <f t="shared" si="5"/>
        <v/>
      </c>
    </row>
    <row r="273" spans="1:5" x14ac:dyDescent="0.2">
      <c r="A273" s="61"/>
      <c r="B273" s="59"/>
      <c r="C273" s="620"/>
      <c r="D273" s="61"/>
      <c r="E273" s="61" t="str">
        <f t="shared" si="5"/>
        <v/>
      </c>
    </row>
    <row r="274" spans="1:5" x14ac:dyDescent="0.2">
      <c r="A274" s="61"/>
      <c r="B274" s="59"/>
      <c r="C274" s="620"/>
      <c r="D274" s="61"/>
      <c r="E274" s="61" t="str">
        <f t="shared" si="5"/>
        <v/>
      </c>
    </row>
    <row r="275" spans="1:5" x14ac:dyDescent="0.2">
      <c r="A275" s="61"/>
      <c r="B275" s="59"/>
      <c r="C275" s="620"/>
      <c r="D275" s="61"/>
      <c r="E275" s="61" t="str">
        <f t="shared" si="5"/>
        <v/>
      </c>
    </row>
    <row r="276" spans="1:5" x14ac:dyDescent="0.2">
      <c r="A276" s="61"/>
      <c r="B276" s="59"/>
      <c r="C276" s="620"/>
      <c r="D276" s="61"/>
      <c r="E276" s="61" t="str">
        <f t="shared" si="5"/>
        <v/>
      </c>
    </row>
    <row r="277" spans="1:5" x14ac:dyDescent="0.2">
      <c r="A277" s="61"/>
      <c r="B277" s="59"/>
      <c r="C277" s="620"/>
      <c r="D277" s="61"/>
      <c r="E277" s="61" t="str">
        <f t="shared" si="5"/>
        <v/>
      </c>
    </row>
    <row r="278" spans="1:5" x14ac:dyDescent="0.2">
      <c r="A278" s="61"/>
      <c r="B278" s="59"/>
      <c r="C278" s="620"/>
      <c r="D278" s="61"/>
      <c r="E278" s="61" t="str">
        <f t="shared" si="5"/>
        <v/>
      </c>
    </row>
    <row r="279" spans="1:5" x14ac:dyDescent="0.2">
      <c r="A279" s="61"/>
      <c r="B279" s="59"/>
      <c r="C279" s="620"/>
      <c r="D279" s="61"/>
      <c r="E279" s="61" t="str">
        <f t="shared" si="5"/>
        <v/>
      </c>
    </row>
    <row r="280" spans="1:5" x14ac:dyDescent="0.2">
      <c r="A280" s="61"/>
      <c r="B280" s="59"/>
      <c r="C280" s="620"/>
      <c r="D280" s="61"/>
      <c r="E280" s="61" t="str">
        <f t="shared" si="5"/>
        <v/>
      </c>
    </row>
    <row r="281" spans="1:5" x14ac:dyDescent="0.2">
      <c r="A281" s="61"/>
      <c r="B281" s="59"/>
      <c r="C281" s="620"/>
      <c r="D281" s="61"/>
      <c r="E281" s="61" t="str">
        <f t="shared" si="5"/>
        <v/>
      </c>
    </row>
    <row r="282" spans="1:5" x14ac:dyDescent="0.2">
      <c r="A282" s="61"/>
      <c r="B282" s="59"/>
      <c r="C282" s="620"/>
      <c r="D282" s="61"/>
      <c r="E282" s="61" t="str">
        <f t="shared" si="5"/>
        <v/>
      </c>
    </row>
    <row r="283" spans="1:5" x14ac:dyDescent="0.2">
      <c r="A283" s="61"/>
      <c r="B283" s="59"/>
      <c r="C283" s="620"/>
      <c r="D283" s="61"/>
      <c r="E283" s="61" t="str">
        <f t="shared" si="5"/>
        <v/>
      </c>
    </row>
    <row r="284" spans="1:5" x14ac:dyDescent="0.2">
      <c r="A284" s="61"/>
      <c r="B284" s="59"/>
      <c r="C284" s="620"/>
      <c r="D284" s="61"/>
      <c r="E284" s="61" t="str">
        <f t="shared" si="5"/>
        <v/>
      </c>
    </row>
    <row r="285" spans="1:5" x14ac:dyDescent="0.2">
      <c r="A285" s="61"/>
      <c r="B285" s="59"/>
      <c r="C285" s="620"/>
      <c r="D285" s="61"/>
      <c r="E285" s="61" t="str">
        <f t="shared" si="5"/>
        <v/>
      </c>
    </row>
    <row r="286" spans="1:5" x14ac:dyDescent="0.2">
      <c r="A286" s="61"/>
      <c r="B286" s="59"/>
      <c r="C286" s="620"/>
      <c r="D286" s="61"/>
      <c r="E286" s="61" t="str">
        <f t="shared" si="5"/>
        <v/>
      </c>
    </row>
    <row r="287" spans="1:5" x14ac:dyDescent="0.2">
      <c r="A287" s="61"/>
      <c r="B287" s="59"/>
      <c r="C287" s="620"/>
      <c r="D287" s="61"/>
      <c r="E287" s="61" t="str">
        <f t="shared" si="5"/>
        <v/>
      </c>
    </row>
    <row r="288" spans="1:5" x14ac:dyDescent="0.2">
      <c r="A288" s="61"/>
      <c r="B288" s="59"/>
      <c r="C288" s="620"/>
      <c r="D288" s="61"/>
      <c r="E288" s="61" t="str">
        <f t="shared" si="5"/>
        <v/>
      </c>
    </row>
    <row r="289" spans="1:5" x14ac:dyDescent="0.2">
      <c r="A289" s="61"/>
      <c r="B289" s="59"/>
      <c r="C289" s="620"/>
      <c r="D289" s="61"/>
      <c r="E289" s="61" t="str">
        <f t="shared" si="5"/>
        <v/>
      </c>
    </row>
    <row r="290" spans="1:5" x14ac:dyDescent="0.2">
      <c r="A290" s="61"/>
      <c r="B290" s="59"/>
      <c r="C290" s="620"/>
      <c r="D290" s="61"/>
      <c r="E290" s="61" t="str">
        <f t="shared" si="5"/>
        <v/>
      </c>
    </row>
    <row r="291" spans="1:5" x14ac:dyDescent="0.2">
      <c r="A291" s="61"/>
      <c r="B291" s="59"/>
      <c r="C291" s="620"/>
      <c r="D291" s="61"/>
      <c r="E291" s="61" t="str">
        <f t="shared" si="5"/>
        <v/>
      </c>
    </row>
    <row r="292" spans="1:5" x14ac:dyDescent="0.2">
      <c r="A292" s="61"/>
      <c r="B292" s="59"/>
      <c r="C292" s="620"/>
      <c r="D292" s="61"/>
      <c r="E292" s="61" t="str">
        <f t="shared" si="5"/>
        <v/>
      </c>
    </row>
    <row r="293" spans="1:5" x14ac:dyDescent="0.2">
      <c r="A293" s="61"/>
      <c r="B293" s="59"/>
      <c r="C293" s="620"/>
      <c r="D293" s="61"/>
      <c r="E293" s="61" t="str">
        <f t="shared" si="5"/>
        <v/>
      </c>
    </row>
    <row r="294" spans="1:5" x14ac:dyDescent="0.2">
      <c r="A294" s="61"/>
      <c r="B294" s="59"/>
      <c r="C294" s="620"/>
      <c r="D294" s="61"/>
      <c r="E294" s="61" t="str">
        <f t="shared" si="5"/>
        <v/>
      </c>
    </row>
    <row r="295" spans="1:5" x14ac:dyDescent="0.2">
      <c r="A295" s="61"/>
      <c r="B295" s="59"/>
      <c r="C295" s="620"/>
      <c r="D295" s="61"/>
      <c r="E295" s="61" t="str">
        <f t="shared" si="5"/>
        <v/>
      </c>
    </row>
    <row r="296" spans="1:5" x14ac:dyDescent="0.2">
      <c r="A296" s="61"/>
      <c r="B296" s="59"/>
      <c r="C296" s="620"/>
      <c r="D296" s="61"/>
      <c r="E296" s="61" t="str">
        <f t="shared" si="5"/>
        <v/>
      </c>
    </row>
    <row r="297" spans="1:5" x14ac:dyDescent="0.2">
      <c r="A297" s="61"/>
      <c r="B297" s="59"/>
      <c r="C297" s="620"/>
      <c r="D297" s="61"/>
      <c r="E297" s="61" t="str">
        <f t="shared" si="5"/>
        <v/>
      </c>
    </row>
    <row r="298" spans="1:5" x14ac:dyDescent="0.2">
      <c r="A298" s="61"/>
      <c r="B298" s="59"/>
      <c r="C298" s="620"/>
      <c r="D298" s="61"/>
      <c r="E298" s="61" t="str">
        <f t="shared" si="5"/>
        <v/>
      </c>
    </row>
    <row r="299" spans="1:5" x14ac:dyDescent="0.2">
      <c r="A299" s="61"/>
      <c r="B299" s="59"/>
      <c r="C299" s="620"/>
      <c r="D299" s="61"/>
      <c r="E299" s="61" t="str">
        <f t="shared" si="5"/>
        <v/>
      </c>
    </row>
    <row r="300" spans="1:5" x14ac:dyDescent="0.2">
      <c r="A300" s="61"/>
      <c r="B300" s="59"/>
      <c r="C300" s="620"/>
      <c r="D300" s="61"/>
      <c r="E300" s="61" t="str">
        <f t="shared" si="5"/>
        <v/>
      </c>
    </row>
    <row r="301" spans="1:5" x14ac:dyDescent="0.2">
      <c r="A301" s="61"/>
      <c r="B301" s="59"/>
      <c r="C301" s="620"/>
      <c r="D301" s="61"/>
      <c r="E301" s="61" t="str">
        <f t="shared" si="5"/>
        <v/>
      </c>
    </row>
    <row r="302" spans="1:5" x14ac:dyDescent="0.2">
      <c r="A302" s="61"/>
      <c r="B302" s="59"/>
      <c r="C302" s="620"/>
      <c r="D302" s="61"/>
      <c r="E302" s="61" t="str">
        <f t="shared" si="5"/>
        <v/>
      </c>
    </row>
    <row r="303" spans="1:5" x14ac:dyDescent="0.2">
      <c r="A303" s="61"/>
      <c r="B303" s="59"/>
      <c r="C303" s="620"/>
      <c r="D303" s="61"/>
      <c r="E303" s="61" t="str">
        <f t="shared" si="5"/>
        <v/>
      </c>
    </row>
    <row r="304" spans="1:5" x14ac:dyDescent="0.2">
      <c r="A304" s="61"/>
      <c r="B304" s="59"/>
      <c r="C304" s="620"/>
      <c r="D304" s="61"/>
      <c r="E304" s="61" t="str">
        <f t="shared" si="5"/>
        <v/>
      </c>
    </row>
    <row r="305" spans="1:5" x14ac:dyDescent="0.2">
      <c r="A305" s="61"/>
      <c r="B305" s="59"/>
      <c r="C305" s="620"/>
      <c r="D305" s="61"/>
      <c r="E305" s="61" t="str">
        <f t="shared" si="5"/>
        <v/>
      </c>
    </row>
    <row r="306" spans="1:5" x14ac:dyDescent="0.2">
      <c r="A306" s="61"/>
      <c r="B306" s="59"/>
      <c r="C306" s="620"/>
      <c r="D306" s="61"/>
      <c r="E306" s="61" t="str">
        <f t="shared" si="5"/>
        <v/>
      </c>
    </row>
    <row r="307" spans="1:5" x14ac:dyDescent="0.2">
      <c r="A307" s="61"/>
      <c r="B307" s="59"/>
      <c r="C307" s="620"/>
      <c r="D307" s="61"/>
      <c r="E307" s="61" t="str">
        <f t="shared" si="5"/>
        <v/>
      </c>
    </row>
    <row r="308" spans="1:5" x14ac:dyDescent="0.2">
      <c r="A308" s="61"/>
      <c r="B308" s="59"/>
      <c r="C308" s="620"/>
      <c r="D308" s="61"/>
      <c r="E308" s="61" t="str">
        <f t="shared" si="5"/>
        <v/>
      </c>
    </row>
    <row r="309" spans="1:5" x14ac:dyDescent="0.2">
      <c r="A309" s="61"/>
      <c r="B309" s="59"/>
      <c r="C309" s="620"/>
      <c r="D309" s="61"/>
      <c r="E309" s="61" t="str">
        <f t="shared" si="5"/>
        <v/>
      </c>
    </row>
    <row r="310" spans="1:5" x14ac:dyDescent="0.2">
      <c r="A310" s="61"/>
      <c r="B310" s="59"/>
      <c r="C310" s="620"/>
      <c r="D310" s="61"/>
      <c r="E310" s="61" t="str">
        <f t="shared" si="5"/>
        <v/>
      </c>
    </row>
    <row r="311" spans="1:5" x14ac:dyDescent="0.2">
      <c r="A311" s="61"/>
      <c r="B311" s="59"/>
      <c r="C311" s="620"/>
      <c r="D311" s="61"/>
      <c r="E311" s="61" t="str">
        <f t="shared" si="5"/>
        <v/>
      </c>
    </row>
    <row r="312" spans="1:5" x14ac:dyDescent="0.2">
      <c r="A312" s="61"/>
      <c r="B312" s="59"/>
      <c r="C312" s="620"/>
      <c r="D312" s="61"/>
      <c r="E312" s="61" t="str">
        <f t="shared" si="5"/>
        <v/>
      </c>
    </row>
    <row r="313" spans="1:5" x14ac:dyDescent="0.2">
      <c r="A313" s="61"/>
      <c r="B313" s="59"/>
      <c r="C313" s="620"/>
      <c r="D313" s="61"/>
      <c r="E313" s="61" t="str">
        <f t="shared" si="5"/>
        <v/>
      </c>
    </row>
    <row r="314" spans="1:5" x14ac:dyDescent="0.2">
      <c r="A314" s="61"/>
      <c r="B314" s="59"/>
      <c r="C314" s="620"/>
      <c r="D314" s="61"/>
      <c r="E314" s="61" t="str">
        <f t="shared" si="5"/>
        <v/>
      </c>
    </row>
    <row r="315" spans="1:5" x14ac:dyDescent="0.2">
      <c r="A315" s="61"/>
      <c r="B315" s="59"/>
      <c r="C315" s="620"/>
      <c r="D315" s="61"/>
      <c r="E315" s="61" t="str">
        <f t="shared" si="5"/>
        <v/>
      </c>
    </row>
    <row r="316" spans="1:5" x14ac:dyDescent="0.2">
      <c r="A316" s="61"/>
      <c r="B316" s="59"/>
      <c r="C316" s="620"/>
      <c r="D316" s="61"/>
      <c r="E316" s="61" t="str">
        <f t="shared" si="5"/>
        <v/>
      </c>
    </row>
    <row r="317" spans="1:5" x14ac:dyDescent="0.2">
      <c r="A317" s="61"/>
      <c r="B317" s="59"/>
      <c r="C317" s="620"/>
      <c r="D317" s="61"/>
      <c r="E317" s="61" t="str">
        <f t="shared" si="5"/>
        <v/>
      </c>
    </row>
    <row r="318" spans="1:5" x14ac:dyDescent="0.2">
      <c r="A318" s="61"/>
      <c r="B318" s="59"/>
      <c r="C318" s="620"/>
      <c r="D318" s="61"/>
      <c r="E318" s="61" t="str">
        <f t="shared" si="5"/>
        <v/>
      </c>
    </row>
    <row r="319" spans="1:5" x14ac:dyDescent="0.2">
      <c r="A319" s="61"/>
      <c r="B319" s="59"/>
      <c r="C319" s="620"/>
      <c r="D319" s="61"/>
      <c r="E319" s="61" t="str">
        <f t="shared" si="5"/>
        <v/>
      </c>
    </row>
    <row r="320" spans="1:5" x14ac:dyDescent="0.2">
      <c r="A320" s="61"/>
      <c r="B320" s="59"/>
      <c r="C320" s="620"/>
      <c r="D320" s="61"/>
      <c r="E320" s="61" t="str">
        <f t="shared" si="5"/>
        <v/>
      </c>
    </row>
    <row r="321" spans="1:5" x14ac:dyDescent="0.2">
      <c r="A321" s="61"/>
      <c r="B321" s="59"/>
      <c r="C321" s="620"/>
      <c r="D321" s="61"/>
      <c r="E321" s="61" t="str">
        <f t="shared" si="5"/>
        <v/>
      </c>
    </row>
    <row r="322" spans="1:5" x14ac:dyDescent="0.2">
      <c r="A322" s="61"/>
      <c r="B322" s="59"/>
      <c r="C322" s="620"/>
      <c r="D322" s="61"/>
      <c r="E322" s="61" t="str">
        <f t="shared" si="5"/>
        <v/>
      </c>
    </row>
    <row r="323" spans="1:5" x14ac:dyDescent="0.2">
      <c r="A323" s="61"/>
      <c r="B323" s="59"/>
      <c r="C323" s="620"/>
      <c r="D323" s="61"/>
      <c r="E323" s="61" t="str">
        <f t="shared" si="5"/>
        <v/>
      </c>
    </row>
    <row r="324" spans="1:5" x14ac:dyDescent="0.2">
      <c r="A324" s="61"/>
      <c r="B324" s="59"/>
      <c r="C324" s="620"/>
      <c r="D324" s="61"/>
      <c r="E324" s="61" t="str">
        <f t="shared" si="5"/>
        <v/>
      </c>
    </row>
    <row r="325" spans="1:5" x14ac:dyDescent="0.2">
      <c r="A325" s="61"/>
      <c r="B325" s="59"/>
      <c r="C325" s="620"/>
      <c r="D325" s="61"/>
      <c r="E325" s="61" t="str">
        <f t="shared" ref="E325:E388" si="6">IFERROR(VLOOKUP(D325,T_Indices,5,FALSE),"")</f>
        <v/>
      </c>
    </row>
    <row r="326" spans="1:5" x14ac:dyDescent="0.2">
      <c r="A326" s="61"/>
      <c r="B326" s="59"/>
      <c r="C326" s="620"/>
      <c r="D326" s="61"/>
      <c r="E326" s="61" t="str">
        <f t="shared" si="6"/>
        <v/>
      </c>
    </row>
    <row r="327" spans="1:5" x14ac:dyDescent="0.2">
      <c r="A327" s="61"/>
      <c r="B327" s="59"/>
      <c r="C327" s="620"/>
      <c r="D327" s="61"/>
      <c r="E327" s="61" t="str">
        <f t="shared" si="6"/>
        <v/>
      </c>
    </row>
    <row r="328" spans="1:5" x14ac:dyDescent="0.2">
      <c r="A328" s="61"/>
      <c r="B328" s="59"/>
      <c r="C328" s="620"/>
      <c r="D328" s="61"/>
      <c r="E328" s="61" t="str">
        <f t="shared" si="6"/>
        <v/>
      </c>
    </row>
    <row r="329" spans="1:5" x14ac:dyDescent="0.2">
      <c r="A329" s="61"/>
      <c r="B329" s="59"/>
      <c r="C329" s="620"/>
      <c r="D329" s="61"/>
      <c r="E329" s="61" t="str">
        <f t="shared" si="6"/>
        <v/>
      </c>
    </row>
    <row r="330" spans="1:5" x14ac:dyDescent="0.2">
      <c r="A330" s="61"/>
      <c r="B330" s="59"/>
      <c r="C330" s="620"/>
      <c r="D330" s="61"/>
      <c r="E330" s="61" t="str">
        <f t="shared" si="6"/>
        <v/>
      </c>
    </row>
    <row r="331" spans="1:5" x14ac:dyDescent="0.2">
      <c r="A331" s="61"/>
      <c r="B331" s="59"/>
      <c r="C331" s="620"/>
      <c r="D331" s="61"/>
      <c r="E331" s="61" t="str">
        <f t="shared" si="6"/>
        <v/>
      </c>
    </row>
    <row r="332" spans="1:5" x14ac:dyDescent="0.2">
      <c r="A332" s="61"/>
      <c r="B332" s="59"/>
      <c r="C332" s="620"/>
      <c r="D332" s="61"/>
      <c r="E332" s="61" t="str">
        <f t="shared" si="6"/>
        <v/>
      </c>
    </row>
    <row r="333" spans="1:5" x14ac:dyDescent="0.2">
      <c r="A333" s="61"/>
      <c r="B333" s="59"/>
      <c r="C333" s="620"/>
      <c r="D333" s="61"/>
      <c r="E333" s="61" t="str">
        <f t="shared" si="6"/>
        <v/>
      </c>
    </row>
    <row r="334" spans="1:5" x14ac:dyDescent="0.2">
      <c r="A334" s="61"/>
      <c r="B334" s="59"/>
      <c r="C334" s="620"/>
      <c r="D334" s="61"/>
      <c r="E334" s="61" t="str">
        <f t="shared" si="6"/>
        <v/>
      </c>
    </row>
    <row r="335" spans="1:5" x14ac:dyDescent="0.2">
      <c r="A335" s="61"/>
      <c r="B335" s="59"/>
      <c r="C335" s="620"/>
      <c r="D335" s="61"/>
      <c r="E335" s="61" t="str">
        <f t="shared" si="6"/>
        <v/>
      </c>
    </row>
    <row r="336" spans="1:5" x14ac:dyDescent="0.2">
      <c r="A336" s="61"/>
      <c r="B336" s="59"/>
      <c r="C336" s="620"/>
      <c r="D336" s="61"/>
      <c r="E336" s="61" t="str">
        <f t="shared" si="6"/>
        <v/>
      </c>
    </row>
    <row r="337" spans="1:5" x14ac:dyDescent="0.2">
      <c r="A337" s="61"/>
      <c r="B337" s="59"/>
      <c r="C337" s="620"/>
      <c r="D337" s="61"/>
      <c r="E337" s="61" t="str">
        <f t="shared" si="6"/>
        <v/>
      </c>
    </row>
    <row r="338" spans="1:5" x14ac:dyDescent="0.2">
      <c r="A338" s="61"/>
      <c r="B338" s="59"/>
      <c r="C338" s="620"/>
      <c r="D338" s="61"/>
      <c r="E338" s="61" t="str">
        <f t="shared" si="6"/>
        <v/>
      </c>
    </row>
    <row r="339" spans="1:5" x14ac:dyDescent="0.2">
      <c r="A339" s="61"/>
      <c r="B339" s="59"/>
      <c r="C339" s="620"/>
      <c r="D339" s="61"/>
      <c r="E339" s="61" t="str">
        <f t="shared" si="6"/>
        <v/>
      </c>
    </row>
    <row r="340" spans="1:5" x14ac:dyDescent="0.2">
      <c r="A340" s="61"/>
      <c r="B340" s="59"/>
      <c r="C340" s="620"/>
      <c r="D340" s="61"/>
      <c r="E340" s="61" t="str">
        <f t="shared" si="6"/>
        <v/>
      </c>
    </row>
    <row r="341" spans="1:5" x14ac:dyDescent="0.2">
      <c r="A341" s="61"/>
      <c r="B341" s="59"/>
      <c r="C341" s="620"/>
      <c r="D341" s="61"/>
      <c r="E341" s="61" t="str">
        <f t="shared" si="6"/>
        <v/>
      </c>
    </row>
    <row r="342" spans="1:5" x14ac:dyDescent="0.2">
      <c r="A342" s="61"/>
      <c r="B342" s="59"/>
      <c r="C342" s="620"/>
      <c r="D342" s="61"/>
      <c r="E342" s="61" t="str">
        <f t="shared" si="6"/>
        <v/>
      </c>
    </row>
    <row r="343" spans="1:5" x14ac:dyDescent="0.2">
      <c r="A343" s="61"/>
      <c r="B343" s="59"/>
      <c r="C343" s="620"/>
      <c r="D343" s="61"/>
      <c r="E343" s="61" t="str">
        <f t="shared" si="6"/>
        <v/>
      </c>
    </row>
    <row r="344" spans="1:5" x14ac:dyDescent="0.2">
      <c r="A344" s="61"/>
      <c r="B344" s="59"/>
      <c r="C344" s="620"/>
      <c r="D344" s="61"/>
      <c r="E344" s="61" t="str">
        <f t="shared" si="6"/>
        <v/>
      </c>
    </row>
    <row r="345" spans="1:5" x14ac:dyDescent="0.2">
      <c r="A345" s="61"/>
      <c r="B345" s="59"/>
      <c r="C345" s="620"/>
      <c r="D345" s="61"/>
      <c r="E345" s="61" t="str">
        <f t="shared" si="6"/>
        <v/>
      </c>
    </row>
    <row r="346" spans="1:5" x14ac:dyDescent="0.2">
      <c r="A346" s="61"/>
      <c r="B346" s="59"/>
      <c r="C346" s="620"/>
      <c r="D346" s="61"/>
      <c r="E346" s="61" t="str">
        <f t="shared" si="6"/>
        <v/>
      </c>
    </row>
    <row r="347" spans="1:5" x14ac:dyDescent="0.2">
      <c r="A347" s="61"/>
      <c r="B347" s="59"/>
      <c r="C347" s="620"/>
      <c r="D347" s="61"/>
      <c r="E347" s="61" t="str">
        <f t="shared" si="6"/>
        <v/>
      </c>
    </row>
    <row r="348" spans="1:5" x14ac:dyDescent="0.2">
      <c r="A348" s="61"/>
      <c r="B348" s="59"/>
      <c r="C348" s="620"/>
      <c r="D348" s="61"/>
      <c r="E348" s="61" t="str">
        <f t="shared" si="6"/>
        <v/>
      </c>
    </row>
    <row r="349" spans="1:5" x14ac:dyDescent="0.2">
      <c r="A349" s="61"/>
      <c r="B349" s="59"/>
      <c r="C349" s="620"/>
      <c r="D349" s="61"/>
      <c r="E349" s="61" t="str">
        <f t="shared" si="6"/>
        <v/>
      </c>
    </row>
    <row r="350" spans="1:5" x14ac:dyDescent="0.2">
      <c r="A350" s="61"/>
      <c r="B350" s="59"/>
      <c r="C350" s="620"/>
      <c r="D350" s="61"/>
      <c r="E350" s="61" t="str">
        <f t="shared" si="6"/>
        <v/>
      </c>
    </row>
    <row r="351" spans="1:5" x14ac:dyDescent="0.2">
      <c r="A351" s="61"/>
      <c r="B351" s="59"/>
      <c r="C351" s="620"/>
      <c r="D351" s="61"/>
      <c r="E351" s="61" t="str">
        <f t="shared" si="6"/>
        <v/>
      </c>
    </row>
    <row r="352" spans="1:5" x14ac:dyDescent="0.2">
      <c r="A352" s="61"/>
      <c r="B352" s="59"/>
      <c r="C352" s="620"/>
      <c r="D352" s="61"/>
      <c r="E352" s="61" t="str">
        <f t="shared" si="6"/>
        <v/>
      </c>
    </row>
    <row r="353" spans="1:5" x14ac:dyDescent="0.2">
      <c r="A353" s="61"/>
      <c r="B353" s="59"/>
      <c r="C353" s="620"/>
      <c r="D353" s="61"/>
      <c r="E353" s="61" t="str">
        <f t="shared" si="6"/>
        <v/>
      </c>
    </row>
    <row r="354" spans="1:5" x14ac:dyDescent="0.2">
      <c r="A354" s="61"/>
      <c r="B354" s="59"/>
      <c r="C354" s="620"/>
      <c r="D354" s="61"/>
      <c r="E354" s="61" t="str">
        <f t="shared" si="6"/>
        <v/>
      </c>
    </row>
    <row r="355" spans="1:5" x14ac:dyDescent="0.2">
      <c r="A355" s="61"/>
      <c r="B355" s="59"/>
      <c r="C355" s="620"/>
      <c r="D355" s="61"/>
      <c r="E355" s="61" t="str">
        <f t="shared" si="6"/>
        <v/>
      </c>
    </row>
    <row r="356" spans="1:5" x14ac:dyDescent="0.2">
      <c r="A356" s="61"/>
      <c r="B356" s="59"/>
      <c r="C356" s="620"/>
      <c r="D356" s="61"/>
      <c r="E356" s="61" t="str">
        <f t="shared" si="6"/>
        <v/>
      </c>
    </row>
    <row r="357" spans="1:5" x14ac:dyDescent="0.2">
      <c r="A357" s="61"/>
      <c r="B357" s="59"/>
      <c r="C357" s="620"/>
      <c r="D357" s="61"/>
      <c r="E357" s="61" t="str">
        <f t="shared" si="6"/>
        <v/>
      </c>
    </row>
    <row r="358" spans="1:5" x14ac:dyDescent="0.2">
      <c r="A358" s="61"/>
      <c r="B358" s="59"/>
      <c r="C358" s="620"/>
      <c r="D358" s="61"/>
      <c r="E358" s="61" t="str">
        <f t="shared" si="6"/>
        <v/>
      </c>
    </row>
    <row r="359" spans="1:5" x14ac:dyDescent="0.2">
      <c r="A359" s="61"/>
      <c r="B359" s="59"/>
      <c r="C359" s="620"/>
      <c r="D359" s="61"/>
      <c r="E359" s="61" t="str">
        <f t="shared" si="6"/>
        <v/>
      </c>
    </row>
    <row r="360" spans="1:5" x14ac:dyDescent="0.2">
      <c r="A360" s="61"/>
      <c r="B360" s="59"/>
      <c r="C360" s="620"/>
      <c r="D360" s="61"/>
      <c r="E360" s="61" t="str">
        <f t="shared" si="6"/>
        <v/>
      </c>
    </row>
    <row r="361" spans="1:5" x14ac:dyDescent="0.2">
      <c r="A361" s="61"/>
      <c r="B361" s="59"/>
      <c r="C361" s="620"/>
      <c r="D361" s="61"/>
      <c r="E361" s="61" t="str">
        <f t="shared" si="6"/>
        <v/>
      </c>
    </row>
    <row r="362" spans="1:5" x14ac:dyDescent="0.2">
      <c r="A362" s="61"/>
      <c r="B362" s="59"/>
      <c r="C362" s="620"/>
      <c r="D362" s="61"/>
      <c r="E362" s="61" t="str">
        <f t="shared" si="6"/>
        <v/>
      </c>
    </row>
    <row r="363" spans="1:5" x14ac:dyDescent="0.2">
      <c r="A363" s="61"/>
      <c r="B363" s="59"/>
      <c r="C363" s="620"/>
      <c r="D363" s="61"/>
      <c r="E363" s="61" t="str">
        <f t="shared" si="6"/>
        <v/>
      </c>
    </row>
    <row r="364" spans="1:5" x14ac:dyDescent="0.2">
      <c r="A364" s="61"/>
      <c r="B364" s="59"/>
      <c r="C364" s="620"/>
      <c r="D364" s="61"/>
      <c r="E364" s="61" t="str">
        <f t="shared" si="6"/>
        <v/>
      </c>
    </row>
    <row r="365" spans="1:5" x14ac:dyDescent="0.2">
      <c r="A365" s="61"/>
      <c r="B365" s="59"/>
      <c r="C365" s="620"/>
      <c r="D365" s="61"/>
      <c r="E365" s="61" t="str">
        <f t="shared" si="6"/>
        <v/>
      </c>
    </row>
    <row r="366" spans="1:5" x14ac:dyDescent="0.2">
      <c r="A366" s="61"/>
      <c r="B366" s="59"/>
      <c r="C366" s="620"/>
      <c r="D366" s="61"/>
      <c r="E366" s="61" t="str">
        <f t="shared" si="6"/>
        <v/>
      </c>
    </row>
    <row r="367" spans="1:5" x14ac:dyDescent="0.2">
      <c r="A367" s="61"/>
      <c r="B367" s="59"/>
      <c r="C367" s="620"/>
      <c r="D367" s="61"/>
      <c r="E367" s="61" t="str">
        <f t="shared" si="6"/>
        <v/>
      </c>
    </row>
    <row r="368" spans="1:5" x14ac:dyDescent="0.2">
      <c r="A368" s="61"/>
      <c r="B368" s="59"/>
      <c r="C368" s="620"/>
      <c r="D368" s="61"/>
      <c r="E368" s="61" t="str">
        <f t="shared" si="6"/>
        <v/>
      </c>
    </row>
    <row r="369" spans="1:5" x14ac:dyDescent="0.2">
      <c r="A369" s="61"/>
      <c r="B369" s="59"/>
      <c r="C369" s="620"/>
      <c r="D369" s="61"/>
      <c r="E369" s="61" t="str">
        <f t="shared" si="6"/>
        <v/>
      </c>
    </row>
    <row r="370" spans="1:5" x14ac:dyDescent="0.2">
      <c r="A370" s="61"/>
      <c r="B370" s="59"/>
      <c r="C370" s="620"/>
      <c r="D370" s="61"/>
      <c r="E370" s="61" t="str">
        <f t="shared" si="6"/>
        <v/>
      </c>
    </row>
    <row r="371" spans="1:5" x14ac:dyDescent="0.2">
      <c r="A371" s="61"/>
      <c r="B371" s="59"/>
      <c r="C371" s="620"/>
      <c r="D371" s="61"/>
      <c r="E371" s="61" t="str">
        <f t="shared" si="6"/>
        <v/>
      </c>
    </row>
    <row r="372" spans="1:5" x14ac:dyDescent="0.2">
      <c r="A372" s="61"/>
      <c r="B372" s="59"/>
      <c r="C372" s="620"/>
      <c r="D372" s="61"/>
      <c r="E372" s="61" t="str">
        <f t="shared" si="6"/>
        <v/>
      </c>
    </row>
    <row r="373" spans="1:5" x14ac:dyDescent="0.2">
      <c r="A373" s="61"/>
      <c r="B373" s="59"/>
      <c r="C373" s="620"/>
      <c r="D373" s="61"/>
      <c r="E373" s="61" t="str">
        <f t="shared" si="6"/>
        <v/>
      </c>
    </row>
    <row r="374" spans="1:5" x14ac:dyDescent="0.2">
      <c r="A374" s="61"/>
      <c r="B374" s="59"/>
      <c r="C374" s="620"/>
      <c r="D374" s="61"/>
      <c r="E374" s="61" t="str">
        <f t="shared" si="6"/>
        <v/>
      </c>
    </row>
    <row r="375" spans="1:5" x14ac:dyDescent="0.2">
      <c r="A375" s="61"/>
      <c r="B375" s="59"/>
      <c r="C375" s="620"/>
      <c r="D375" s="61"/>
      <c r="E375" s="61" t="str">
        <f t="shared" si="6"/>
        <v/>
      </c>
    </row>
    <row r="376" spans="1:5" x14ac:dyDescent="0.2">
      <c r="A376" s="61"/>
      <c r="B376" s="59"/>
      <c r="C376" s="620"/>
      <c r="D376" s="61"/>
      <c r="E376" s="61" t="str">
        <f t="shared" si="6"/>
        <v/>
      </c>
    </row>
    <row r="377" spans="1:5" x14ac:dyDescent="0.2">
      <c r="A377" s="61"/>
      <c r="B377" s="59"/>
      <c r="C377" s="620"/>
      <c r="D377" s="61"/>
      <c r="E377" s="61" t="str">
        <f t="shared" si="6"/>
        <v/>
      </c>
    </row>
    <row r="378" spans="1:5" x14ac:dyDescent="0.2">
      <c r="A378" s="61"/>
      <c r="B378" s="59"/>
      <c r="C378" s="620"/>
      <c r="D378" s="61"/>
      <c r="E378" s="61" t="str">
        <f t="shared" si="6"/>
        <v/>
      </c>
    </row>
    <row r="379" spans="1:5" x14ac:dyDescent="0.2">
      <c r="A379" s="61"/>
      <c r="B379" s="59"/>
      <c r="C379" s="620"/>
      <c r="D379" s="61"/>
      <c r="E379" s="61" t="str">
        <f t="shared" si="6"/>
        <v/>
      </c>
    </row>
    <row r="380" spans="1:5" x14ac:dyDescent="0.2">
      <c r="A380" s="61"/>
      <c r="B380" s="59"/>
      <c r="C380" s="620"/>
      <c r="D380" s="61"/>
      <c r="E380" s="61" t="str">
        <f t="shared" si="6"/>
        <v/>
      </c>
    </row>
    <row r="381" spans="1:5" x14ac:dyDescent="0.2">
      <c r="A381" s="61"/>
      <c r="B381" s="59"/>
      <c r="C381" s="620"/>
      <c r="D381" s="61"/>
      <c r="E381" s="61" t="str">
        <f t="shared" si="6"/>
        <v/>
      </c>
    </row>
    <row r="382" spans="1:5" x14ac:dyDescent="0.2">
      <c r="A382" s="61"/>
      <c r="B382" s="59"/>
      <c r="C382" s="620"/>
      <c r="D382" s="61"/>
      <c r="E382" s="61" t="str">
        <f t="shared" si="6"/>
        <v/>
      </c>
    </row>
    <row r="383" spans="1:5" x14ac:dyDescent="0.2">
      <c r="A383" s="61"/>
      <c r="B383" s="59"/>
      <c r="C383" s="620"/>
      <c r="D383" s="61"/>
      <c r="E383" s="61" t="str">
        <f t="shared" si="6"/>
        <v/>
      </c>
    </row>
    <row r="384" spans="1:5" x14ac:dyDescent="0.2">
      <c r="A384" s="61"/>
      <c r="B384" s="59"/>
      <c r="C384" s="620"/>
      <c r="D384" s="61"/>
      <c r="E384" s="61" t="str">
        <f t="shared" si="6"/>
        <v/>
      </c>
    </row>
    <row r="385" spans="1:5" x14ac:dyDescent="0.2">
      <c r="A385" s="61"/>
      <c r="B385" s="59"/>
      <c r="C385" s="620"/>
      <c r="D385" s="61"/>
      <c r="E385" s="61" t="str">
        <f t="shared" si="6"/>
        <v/>
      </c>
    </row>
    <row r="386" spans="1:5" x14ac:dyDescent="0.2">
      <c r="A386" s="61"/>
      <c r="B386" s="59"/>
      <c r="C386" s="620"/>
      <c r="D386" s="61"/>
      <c r="E386" s="61" t="str">
        <f t="shared" si="6"/>
        <v/>
      </c>
    </row>
    <row r="387" spans="1:5" x14ac:dyDescent="0.2">
      <c r="A387" s="61"/>
      <c r="B387" s="59"/>
      <c r="C387" s="620"/>
      <c r="D387" s="61"/>
      <c r="E387" s="61" t="str">
        <f t="shared" si="6"/>
        <v/>
      </c>
    </row>
    <row r="388" spans="1:5" x14ac:dyDescent="0.2">
      <c r="A388" s="61"/>
      <c r="B388" s="59"/>
      <c r="C388" s="620"/>
      <c r="D388" s="61"/>
      <c r="E388" s="61" t="str">
        <f t="shared" si="6"/>
        <v/>
      </c>
    </row>
    <row r="389" spans="1:5" x14ac:dyDescent="0.2">
      <c r="A389" s="61"/>
      <c r="B389" s="59"/>
      <c r="C389" s="620"/>
      <c r="D389" s="61"/>
      <c r="E389" s="61" t="str">
        <f t="shared" ref="E389:E452" si="7">IFERROR(VLOOKUP(D389,T_Indices,5,FALSE),"")</f>
        <v/>
      </c>
    </row>
    <row r="390" spans="1:5" x14ac:dyDescent="0.2">
      <c r="A390" s="61"/>
      <c r="B390" s="59"/>
      <c r="C390" s="620"/>
      <c r="D390" s="61"/>
      <c r="E390" s="61" t="str">
        <f t="shared" si="7"/>
        <v/>
      </c>
    </row>
    <row r="391" spans="1:5" x14ac:dyDescent="0.2">
      <c r="A391" s="61"/>
      <c r="B391" s="59"/>
      <c r="C391" s="620"/>
      <c r="D391" s="61"/>
      <c r="E391" s="61" t="str">
        <f t="shared" si="7"/>
        <v/>
      </c>
    </row>
    <row r="392" spans="1:5" x14ac:dyDescent="0.2">
      <c r="A392" s="61"/>
      <c r="B392" s="59"/>
      <c r="C392" s="620"/>
      <c r="D392" s="61"/>
      <c r="E392" s="61" t="str">
        <f t="shared" si="7"/>
        <v/>
      </c>
    </row>
    <row r="393" spans="1:5" x14ac:dyDescent="0.2">
      <c r="A393" s="61"/>
      <c r="B393" s="59"/>
      <c r="C393" s="620"/>
      <c r="D393" s="61"/>
      <c r="E393" s="61" t="str">
        <f t="shared" si="7"/>
        <v/>
      </c>
    </row>
    <row r="394" spans="1:5" x14ac:dyDescent="0.2">
      <c r="A394" s="61"/>
      <c r="B394" s="59"/>
      <c r="C394" s="620"/>
      <c r="D394" s="61"/>
      <c r="E394" s="61" t="str">
        <f t="shared" si="7"/>
        <v/>
      </c>
    </row>
    <row r="395" spans="1:5" x14ac:dyDescent="0.2">
      <c r="A395" s="61"/>
      <c r="B395" s="59"/>
      <c r="C395" s="620"/>
      <c r="D395" s="61"/>
      <c r="E395" s="61" t="str">
        <f t="shared" si="7"/>
        <v/>
      </c>
    </row>
    <row r="396" spans="1:5" x14ac:dyDescent="0.2">
      <c r="A396" s="61"/>
      <c r="B396" s="59"/>
      <c r="C396" s="620"/>
      <c r="D396" s="61"/>
      <c r="E396" s="61" t="str">
        <f t="shared" si="7"/>
        <v/>
      </c>
    </row>
    <row r="397" spans="1:5" x14ac:dyDescent="0.2">
      <c r="A397" s="61"/>
      <c r="B397" s="59"/>
      <c r="C397" s="620"/>
      <c r="D397" s="61"/>
      <c r="E397" s="61" t="str">
        <f t="shared" si="7"/>
        <v/>
      </c>
    </row>
    <row r="398" spans="1:5" x14ac:dyDescent="0.2">
      <c r="A398" s="61"/>
      <c r="B398" s="59"/>
      <c r="C398" s="620"/>
      <c r="D398" s="61"/>
      <c r="E398" s="61" t="str">
        <f t="shared" si="7"/>
        <v/>
      </c>
    </row>
    <row r="399" spans="1:5" x14ac:dyDescent="0.2">
      <c r="A399" s="61"/>
      <c r="B399" s="59"/>
      <c r="C399" s="620"/>
      <c r="D399" s="61"/>
      <c r="E399" s="61" t="str">
        <f t="shared" si="7"/>
        <v/>
      </c>
    </row>
    <row r="400" spans="1:5" x14ac:dyDescent="0.2">
      <c r="A400" s="61"/>
      <c r="B400" s="59"/>
      <c r="C400" s="620"/>
      <c r="D400" s="61"/>
      <c r="E400" s="61" t="str">
        <f t="shared" si="7"/>
        <v/>
      </c>
    </row>
    <row r="401" spans="1:5" x14ac:dyDescent="0.2">
      <c r="A401" s="61"/>
      <c r="B401" s="59"/>
      <c r="C401" s="620"/>
      <c r="D401" s="61"/>
      <c r="E401" s="61" t="str">
        <f t="shared" si="7"/>
        <v/>
      </c>
    </row>
    <row r="402" spans="1:5" x14ac:dyDescent="0.2">
      <c r="A402" s="61"/>
      <c r="B402" s="59"/>
      <c r="C402" s="620"/>
      <c r="D402" s="61"/>
      <c r="E402" s="61" t="str">
        <f t="shared" si="7"/>
        <v/>
      </c>
    </row>
    <row r="403" spans="1:5" x14ac:dyDescent="0.2">
      <c r="A403" s="61"/>
      <c r="B403" s="59"/>
      <c r="C403" s="620"/>
      <c r="D403" s="61"/>
      <c r="E403" s="61" t="str">
        <f t="shared" si="7"/>
        <v/>
      </c>
    </row>
    <row r="404" spans="1:5" x14ac:dyDescent="0.2">
      <c r="A404" s="61"/>
      <c r="B404" s="59"/>
      <c r="C404" s="620"/>
      <c r="D404" s="61"/>
      <c r="E404" s="61" t="str">
        <f t="shared" si="7"/>
        <v/>
      </c>
    </row>
    <row r="405" spans="1:5" x14ac:dyDescent="0.2">
      <c r="A405" s="61"/>
      <c r="B405" s="59"/>
      <c r="C405" s="620"/>
      <c r="D405" s="61"/>
      <c r="E405" s="61" t="str">
        <f t="shared" si="7"/>
        <v/>
      </c>
    </row>
    <row r="406" spans="1:5" x14ac:dyDescent="0.2">
      <c r="A406" s="61"/>
      <c r="B406" s="59"/>
      <c r="C406" s="620"/>
      <c r="D406" s="61"/>
      <c r="E406" s="61" t="str">
        <f t="shared" si="7"/>
        <v/>
      </c>
    </row>
    <row r="407" spans="1:5" x14ac:dyDescent="0.2">
      <c r="A407" s="61"/>
      <c r="B407" s="59"/>
      <c r="C407" s="620"/>
      <c r="D407" s="61"/>
      <c r="E407" s="61" t="str">
        <f t="shared" si="7"/>
        <v/>
      </c>
    </row>
    <row r="408" spans="1:5" x14ac:dyDescent="0.2">
      <c r="A408" s="61"/>
      <c r="B408" s="59"/>
      <c r="C408" s="620"/>
      <c r="D408" s="61"/>
      <c r="E408" s="61" t="str">
        <f t="shared" si="7"/>
        <v/>
      </c>
    </row>
    <row r="409" spans="1:5" x14ac:dyDescent="0.2">
      <c r="A409" s="61"/>
      <c r="B409" s="59"/>
      <c r="C409" s="620"/>
      <c r="D409" s="61"/>
      <c r="E409" s="61" t="str">
        <f t="shared" si="7"/>
        <v/>
      </c>
    </row>
    <row r="410" spans="1:5" x14ac:dyDescent="0.2">
      <c r="A410" s="61"/>
      <c r="B410" s="59"/>
      <c r="C410" s="620"/>
      <c r="D410" s="61"/>
      <c r="E410" s="61" t="str">
        <f t="shared" si="7"/>
        <v/>
      </c>
    </row>
    <row r="411" spans="1:5" x14ac:dyDescent="0.2">
      <c r="A411" s="61"/>
      <c r="B411" s="59"/>
      <c r="C411" s="620"/>
      <c r="D411" s="61"/>
      <c r="E411" s="61" t="str">
        <f t="shared" si="7"/>
        <v/>
      </c>
    </row>
    <row r="412" spans="1:5" x14ac:dyDescent="0.2">
      <c r="A412" s="61"/>
      <c r="B412" s="59"/>
      <c r="C412" s="620"/>
      <c r="D412" s="61"/>
      <c r="E412" s="61" t="str">
        <f t="shared" si="7"/>
        <v/>
      </c>
    </row>
    <row r="413" spans="1:5" x14ac:dyDescent="0.2">
      <c r="A413" s="61"/>
      <c r="B413" s="59"/>
      <c r="C413" s="620"/>
      <c r="D413" s="61"/>
      <c r="E413" s="61" t="str">
        <f t="shared" si="7"/>
        <v/>
      </c>
    </row>
    <row r="414" spans="1:5" x14ac:dyDescent="0.2">
      <c r="A414" s="61"/>
      <c r="B414" s="59"/>
      <c r="C414" s="620"/>
      <c r="D414" s="61"/>
      <c r="E414" s="61" t="str">
        <f t="shared" si="7"/>
        <v/>
      </c>
    </row>
    <row r="415" spans="1:5" x14ac:dyDescent="0.2">
      <c r="A415" s="61"/>
      <c r="B415" s="59"/>
      <c r="C415" s="620"/>
      <c r="D415" s="61"/>
      <c r="E415" s="61" t="str">
        <f t="shared" si="7"/>
        <v/>
      </c>
    </row>
    <row r="416" spans="1:5" x14ac:dyDescent="0.2">
      <c r="A416" s="61"/>
      <c r="B416" s="59"/>
      <c r="C416" s="620"/>
      <c r="D416" s="61"/>
      <c r="E416" s="61" t="str">
        <f t="shared" si="7"/>
        <v/>
      </c>
    </row>
    <row r="417" spans="1:5" x14ac:dyDescent="0.2">
      <c r="A417" s="61"/>
      <c r="B417" s="59"/>
      <c r="C417" s="620"/>
      <c r="D417" s="61"/>
      <c r="E417" s="61" t="str">
        <f t="shared" si="7"/>
        <v/>
      </c>
    </row>
    <row r="418" spans="1:5" x14ac:dyDescent="0.2">
      <c r="A418" s="61"/>
      <c r="B418" s="59"/>
      <c r="C418" s="620"/>
      <c r="D418" s="61"/>
      <c r="E418" s="61" t="str">
        <f t="shared" si="7"/>
        <v/>
      </c>
    </row>
    <row r="419" spans="1:5" x14ac:dyDescent="0.2">
      <c r="A419" s="61"/>
      <c r="B419" s="59"/>
      <c r="C419" s="620"/>
      <c r="D419" s="61"/>
      <c r="E419" s="61" t="str">
        <f t="shared" si="7"/>
        <v/>
      </c>
    </row>
    <row r="420" spans="1:5" x14ac:dyDescent="0.2">
      <c r="A420" s="61"/>
      <c r="B420" s="59"/>
      <c r="C420" s="620"/>
      <c r="D420" s="61"/>
      <c r="E420" s="61" t="str">
        <f t="shared" si="7"/>
        <v/>
      </c>
    </row>
    <row r="421" spans="1:5" x14ac:dyDescent="0.2">
      <c r="A421" s="61"/>
      <c r="B421" s="59"/>
      <c r="C421" s="620"/>
      <c r="D421" s="61"/>
      <c r="E421" s="61" t="str">
        <f t="shared" si="7"/>
        <v/>
      </c>
    </row>
    <row r="422" spans="1:5" x14ac:dyDescent="0.2">
      <c r="A422" s="61"/>
      <c r="B422" s="59"/>
      <c r="C422" s="620"/>
      <c r="D422" s="61"/>
      <c r="E422" s="61" t="str">
        <f t="shared" si="7"/>
        <v/>
      </c>
    </row>
    <row r="423" spans="1:5" x14ac:dyDescent="0.2">
      <c r="A423" s="61"/>
      <c r="B423" s="59"/>
      <c r="C423" s="620"/>
      <c r="D423" s="61"/>
      <c r="E423" s="61" t="str">
        <f t="shared" si="7"/>
        <v/>
      </c>
    </row>
    <row r="424" spans="1:5" x14ac:dyDescent="0.2">
      <c r="A424" s="61"/>
      <c r="B424" s="59"/>
      <c r="C424" s="620"/>
      <c r="D424" s="61"/>
      <c r="E424" s="61" t="str">
        <f t="shared" si="7"/>
        <v/>
      </c>
    </row>
    <row r="425" spans="1:5" x14ac:dyDescent="0.2">
      <c r="A425" s="61"/>
      <c r="B425" s="59"/>
      <c r="C425" s="620"/>
      <c r="D425" s="61"/>
      <c r="E425" s="61" t="str">
        <f t="shared" si="7"/>
        <v/>
      </c>
    </row>
    <row r="426" spans="1:5" x14ac:dyDescent="0.2">
      <c r="A426" s="61"/>
      <c r="B426" s="59"/>
      <c r="C426" s="620"/>
      <c r="D426" s="61"/>
      <c r="E426" s="61" t="str">
        <f t="shared" si="7"/>
        <v/>
      </c>
    </row>
    <row r="427" spans="1:5" x14ac:dyDescent="0.2">
      <c r="A427" s="61"/>
      <c r="B427" s="59"/>
      <c r="C427" s="620"/>
      <c r="D427" s="61"/>
      <c r="E427" s="61" t="str">
        <f t="shared" si="7"/>
        <v/>
      </c>
    </row>
    <row r="428" spans="1:5" x14ac:dyDescent="0.2">
      <c r="A428" s="61"/>
      <c r="B428" s="59"/>
      <c r="C428" s="620"/>
      <c r="D428" s="61"/>
      <c r="E428" s="61" t="str">
        <f t="shared" si="7"/>
        <v/>
      </c>
    </row>
    <row r="429" spans="1:5" x14ac:dyDescent="0.2">
      <c r="A429" s="61"/>
      <c r="B429" s="59"/>
      <c r="C429" s="620"/>
      <c r="D429" s="61"/>
      <c r="E429" s="61" t="str">
        <f t="shared" si="7"/>
        <v/>
      </c>
    </row>
    <row r="430" spans="1:5" x14ac:dyDescent="0.2">
      <c r="A430" s="61"/>
      <c r="B430" s="59"/>
      <c r="C430" s="620"/>
      <c r="D430" s="61"/>
      <c r="E430" s="61" t="str">
        <f t="shared" si="7"/>
        <v/>
      </c>
    </row>
    <row r="431" spans="1:5" x14ac:dyDescent="0.2">
      <c r="A431" s="61"/>
      <c r="B431" s="59"/>
      <c r="C431" s="620"/>
      <c r="D431" s="61"/>
      <c r="E431" s="61" t="str">
        <f t="shared" si="7"/>
        <v/>
      </c>
    </row>
    <row r="432" spans="1:5" x14ac:dyDescent="0.2">
      <c r="A432" s="61"/>
      <c r="B432" s="59"/>
      <c r="C432" s="620"/>
      <c r="D432" s="61"/>
      <c r="E432" s="61" t="str">
        <f t="shared" si="7"/>
        <v/>
      </c>
    </row>
    <row r="433" spans="1:5" x14ac:dyDescent="0.2">
      <c r="A433" s="61"/>
      <c r="B433" s="59"/>
      <c r="C433" s="620"/>
      <c r="D433" s="61"/>
      <c r="E433" s="61" t="str">
        <f t="shared" si="7"/>
        <v/>
      </c>
    </row>
    <row r="434" spans="1:5" x14ac:dyDescent="0.2">
      <c r="A434" s="61"/>
      <c r="B434" s="59"/>
      <c r="C434" s="620"/>
      <c r="D434" s="61"/>
      <c r="E434" s="61" t="str">
        <f t="shared" si="7"/>
        <v/>
      </c>
    </row>
    <row r="435" spans="1:5" x14ac:dyDescent="0.2">
      <c r="A435" s="61"/>
      <c r="B435" s="59"/>
      <c r="C435" s="620"/>
      <c r="D435" s="61"/>
      <c r="E435" s="61" t="str">
        <f t="shared" si="7"/>
        <v/>
      </c>
    </row>
    <row r="436" spans="1:5" x14ac:dyDescent="0.2">
      <c r="A436" s="61"/>
      <c r="B436" s="59"/>
      <c r="C436" s="620"/>
      <c r="D436" s="61"/>
      <c r="E436" s="61" t="str">
        <f t="shared" si="7"/>
        <v/>
      </c>
    </row>
    <row r="437" spans="1:5" x14ac:dyDescent="0.2">
      <c r="A437" s="61"/>
      <c r="B437" s="59"/>
      <c r="C437" s="620"/>
      <c r="D437" s="61"/>
      <c r="E437" s="61" t="str">
        <f t="shared" si="7"/>
        <v/>
      </c>
    </row>
    <row r="438" spans="1:5" x14ac:dyDescent="0.2">
      <c r="A438" s="61"/>
      <c r="B438" s="59"/>
      <c r="C438" s="620"/>
      <c r="D438" s="61"/>
      <c r="E438" s="61" t="str">
        <f t="shared" si="7"/>
        <v/>
      </c>
    </row>
    <row r="439" spans="1:5" x14ac:dyDescent="0.2">
      <c r="A439" s="61"/>
      <c r="B439" s="59"/>
      <c r="C439" s="620"/>
      <c r="D439" s="61"/>
      <c r="E439" s="61" t="str">
        <f t="shared" si="7"/>
        <v/>
      </c>
    </row>
    <row r="440" spans="1:5" x14ac:dyDescent="0.2">
      <c r="A440" s="61"/>
      <c r="B440" s="59"/>
      <c r="C440" s="620"/>
      <c r="D440" s="61"/>
      <c r="E440" s="61" t="str">
        <f t="shared" si="7"/>
        <v/>
      </c>
    </row>
    <row r="441" spans="1:5" x14ac:dyDescent="0.2">
      <c r="A441" s="61"/>
      <c r="B441" s="59"/>
      <c r="C441" s="620"/>
      <c r="D441" s="61"/>
      <c r="E441" s="61" t="str">
        <f t="shared" si="7"/>
        <v/>
      </c>
    </row>
    <row r="442" spans="1:5" x14ac:dyDescent="0.2">
      <c r="A442" s="61"/>
      <c r="B442" s="59"/>
      <c r="C442" s="620"/>
      <c r="D442" s="61"/>
      <c r="E442" s="61" t="str">
        <f t="shared" si="7"/>
        <v/>
      </c>
    </row>
    <row r="443" spans="1:5" x14ac:dyDescent="0.2">
      <c r="A443" s="61"/>
      <c r="B443" s="59"/>
      <c r="C443" s="620"/>
      <c r="D443" s="61"/>
      <c r="E443" s="61" t="str">
        <f t="shared" si="7"/>
        <v/>
      </c>
    </row>
    <row r="444" spans="1:5" x14ac:dyDescent="0.2">
      <c r="A444" s="61"/>
      <c r="B444" s="59"/>
      <c r="C444" s="620"/>
      <c r="D444" s="61"/>
      <c r="E444" s="61" t="str">
        <f t="shared" si="7"/>
        <v/>
      </c>
    </row>
    <row r="445" spans="1:5" x14ac:dyDescent="0.2">
      <c r="A445" s="61"/>
      <c r="B445" s="59"/>
      <c r="C445" s="620"/>
      <c r="D445" s="61"/>
      <c r="E445" s="61" t="str">
        <f t="shared" si="7"/>
        <v/>
      </c>
    </row>
    <row r="446" spans="1:5" x14ac:dyDescent="0.2">
      <c r="A446" s="61"/>
      <c r="B446" s="59"/>
      <c r="C446" s="620"/>
      <c r="D446" s="61"/>
      <c r="E446" s="61" t="str">
        <f t="shared" si="7"/>
        <v/>
      </c>
    </row>
    <row r="447" spans="1:5" x14ac:dyDescent="0.2">
      <c r="A447" s="61"/>
      <c r="B447" s="59"/>
      <c r="C447" s="620"/>
      <c r="D447" s="61"/>
      <c r="E447" s="61" t="str">
        <f t="shared" si="7"/>
        <v/>
      </c>
    </row>
    <row r="448" spans="1:5" x14ac:dyDescent="0.2">
      <c r="A448" s="61"/>
      <c r="B448" s="59"/>
      <c r="C448" s="620"/>
      <c r="D448" s="61"/>
      <c r="E448" s="61" t="str">
        <f t="shared" si="7"/>
        <v/>
      </c>
    </row>
    <row r="449" spans="1:5" x14ac:dyDescent="0.2">
      <c r="A449" s="61"/>
      <c r="B449" s="59"/>
      <c r="C449" s="620"/>
      <c r="D449" s="61"/>
      <c r="E449" s="61" t="str">
        <f t="shared" si="7"/>
        <v/>
      </c>
    </row>
    <row r="450" spans="1:5" x14ac:dyDescent="0.2">
      <c r="A450" s="61"/>
      <c r="B450" s="59"/>
      <c r="C450" s="620"/>
      <c r="D450" s="61"/>
      <c r="E450" s="61" t="str">
        <f t="shared" si="7"/>
        <v/>
      </c>
    </row>
    <row r="451" spans="1:5" x14ac:dyDescent="0.2">
      <c r="A451" s="61"/>
      <c r="B451" s="59"/>
      <c r="C451" s="620"/>
      <c r="D451" s="61"/>
      <c r="E451" s="61" t="str">
        <f t="shared" si="7"/>
        <v/>
      </c>
    </row>
    <row r="452" spans="1:5" x14ac:dyDescent="0.2">
      <c r="A452" s="61"/>
      <c r="B452" s="59"/>
      <c r="C452" s="620"/>
      <c r="D452" s="61"/>
      <c r="E452" s="61" t="str">
        <f t="shared" si="7"/>
        <v/>
      </c>
    </row>
    <row r="453" spans="1:5" x14ac:dyDescent="0.2">
      <c r="A453" s="61"/>
      <c r="B453" s="59"/>
      <c r="C453" s="620"/>
      <c r="D453" s="61"/>
      <c r="E453" s="61" t="str">
        <f t="shared" ref="E453:E516" si="8">IFERROR(VLOOKUP(D453,T_Indices,5,FALSE),"")</f>
        <v/>
      </c>
    </row>
    <row r="454" spans="1:5" x14ac:dyDescent="0.2">
      <c r="A454" s="61"/>
      <c r="B454" s="59"/>
      <c r="C454" s="620"/>
      <c r="D454" s="61"/>
      <c r="E454" s="61" t="str">
        <f t="shared" si="8"/>
        <v/>
      </c>
    </row>
    <row r="455" spans="1:5" x14ac:dyDescent="0.2">
      <c r="A455" s="61"/>
      <c r="B455" s="59"/>
      <c r="C455" s="620"/>
      <c r="D455" s="61"/>
      <c r="E455" s="61" t="str">
        <f t="shared" si="8"/>
        <v/>
      </c>
    </row>
    <row r="456" spans="1:5" x14ac:dyDescent="0.2">
      <c r="A456" s="61"/>
      <c r="B456" s="59"/>
      <c r="C456" s="620"/>
      <c r="D456" s="61"/>
      <c r="E456" s="61" t="str">
        <f t="shared" si="8"/>
        <v/>
      </c>
    </row>
    <row r="457" spans="1:5" x14ac:dyDescent="0.2">
      <c r="A457" s="61"/>
      <c r="B457" s="59"/>
      <c r="C457" s="620"/>
      <c r="D457" s="61"/>
      <c r="E457" s="61" t="str">
        <f t="shared" si="8"/>
        <v/>
      </c>
    </row>
    <row r="458" spans="1:5" x14ac:dyDescent="0.2">
      <c r="A458" s="61"/>
      <c r="B458" s="59"/>
      <c r="C458" s="620"/>
      <c r="D458" s="61"/>
      <c r="E458" s="61" t="str">
        <f t="shared" si="8"/>
        <v/>
      </c>
    </row>
    <row r="459" spans="1:5" x14ac:dyDescent="0.2">
      <c r="A459" s="61"/>
      <c r="B459" s="59"/>
      <c r="C459" s="620"/>
      <c r="D459" s="61"/>
      <c r="E459" s="61" t="str">
        <f t="shared" si="8"/>
        <v/>
      </c>
    </row>
    <row r="460" spans="1:5" x14ac:dyDescent="0.2">
      <c r="A460" s="61"/>
      <c r="B460" s="59"/>
      <c r="C460" s="620"/>
      <c r="D460" s="61"/>
      <c r="E460" s="61" t="str">
        <f t="shared" si="8"/>
        <v/>
      </c>
    </row>
    <row r="461" spans="1:5" x14ac:dyDescent="0.2">
      <c r="A461" s="61"/>
      <c r="B461" s="59"/>
      <c r="C461" s="620"/>
      <c r="D461" s="61"/>
      <c r="E461" s="61" t="str">
        <f t="shared" si="8"/>
        <v/>
      </c>
    </row>
    <row r="462" spans="1:5" x14ac:dyDescent="0.2">
      <c r="A462" s="61"/>
      <c r="B462" s="59"/>
      <c r="C462" s="620"/>
      <c r="D462" s="61"/>
      <c r="E462" s="61" t="str">
        <f t="shared" si="8"/>
        <v/>
      </c>
    </row>
    <row r="463" spans="1:5" x14ac:dyDescent="0.2">
      <c r="A463" s="61"/>
      <c r="B463" s="59"/>
      <c r="C463" s="620"/>
      <c r="D463" s="61"/>
      <c r="E463" s="61" t="str">
        <f t="shared" si="8"/>
        <v/>
      </c>
    </row>
    <row r="464" spans="1:5" x14ac:dyDescent="0.2">
      <c r="A464" s="61"/>
      <c r="B464" s="59"/>
      <c r="C464" s="620"/>
      <c r="D464" s="61"/>
      <c r="E464" s="61" t="str">
        <f t="shared" si="8"/>
        <v/>
      </c>
    </row>
    <row r="465" spans="1:5" x14ac:dyDescent="0.2">
      <c r="A465" s="61"/>
      <c r="B465" s="59"/>
      <c r="C465" s="620"/>
      <c r="D465" s="61"/>
      <c r="E465" s="61" t="str">
        <f t="shared" si="8"/>
        <v/>
      </c>
    </row>
    <row r="466" spans="1:5" x14ac:dyDescent="0.2">
      <c r="A466" s="61"/>
      <c r="B466" s="59"/>
      <c r="C466" s="620"/>
      <c r="D466" s="61"/>
      <c r="E466" s="61" t="str">
        <f t="shared" si="8"/>
        <v/>
      </c>
    </row>
    <row r="467" spans="1:5" x14ac:dyDescent="0.2">
      <c r="A467" s="61"/>
      <c r="B467" s="59"/>
      <c r="C467" s="620"/>
      <c r="D467" s="61"/>
      <c r="E467" s="61" t="str">
        <f t="shared" si="8"/>
        <v/>
      </c>
    </row>
    <row r="468" spans="1:5" x14ac:dyDescent="0.2">
      <c r="A468" s="61"/>
      <c r="B468" s="59"/>
      <c r="C468" s="620"/>
      <c r="D468" s="61"/>
      <c r="E468" s="61" t="str">
        <f t="shared" si="8"/>
        <v/>
      </c>
    </row>
    <row r="469" spans="1:5" x14ac:dyDescent="0.2">
      <c r="A469" s="61"/>
      <c r="B469" s="59"/>
      <c r="C469" s="620"/>
      <c r="D469" s="61"/>
      <c r="E469" s="61" t="str">
        <f t="shared" si="8"/>
        <v/>
      </c>
    </row>
    <row r="470" spans="1:5" x14ac:dyDescent="0.2">
      <c r="A470" s="61"/>
      <c r="B470" s="59"/>
      <c r="C470" s="620"/>
      <c r="D470" s="61"/>
      <c r="E470" s="61" t="str">
        <f t="shared" si="8"/>
        <v/>
      </c>
    </row>
    <row r="471" spans="1:5" x14ac:dyDescent="0.2">
      <c r="A471" s="61"/>
      <c r="B471" s="59"/>
      <c r="C471" s="620"/>
      <c r="D471" s="61"/>
      <c r="E471" s="61" t="str">
        <f t="shared" si="8"/>
        <v/>
      </c>
    </row>
    <row r="472" spans="1:5" x14ac:dyDescent="0.2">
      <c r="A472" s="61"/>
      <c r="B472" s="59"/>
      <c r="C472" s="620"/>
      <c r="D472" s="61"/>
      <c r="E472" s="61" t="str">
        <f t="shared" si="8"/>
        <v/>
      </c>
    </row>
    <row r="473" spans="1:5" x14ac:dyDescent="0.2">
      <c r="A473" s="61"/>
      <c r="B473" s="59"/>
      <c r="C473" s="620"/>
      <c r="D473" s="61"/>
      <c r="E473" s="61" t="str">
        <f t="shared" si="8"/>
        <v/>
      </c>
    </row>
    <row r="474" spans="1:5" x14ac:dyDescent="0.2">
      <c r="A474" s="61"/>
      <c r="B474" s="59"/>
      <c r="C474" s="620"/>
      <c r="D474" s="61"/>
      <c r="E474" s="61" t="str">
        <f t="shared" si="8"/>
        <v/>
      </c>
    </row>
    <row r="475" spans="1:5" x14ac:dyDescent="0.2">
      <c r="A475" s="61"/>
      <c r="B475" s="59"/>
      <c r="C475" s="620"/>
      <c r="D475" s="61"/>
      <c r="E475" s="61" t="str">
        <f t="shared" si="8"/>
        <v/>
      </c>
    </row>
    <row r="476" spans="1:5" x14ac:dyDescent="0.2">
      <c r="A476" s="61"/>
      <c r="B476" s="59"/>
      <c r="C476" s="620"/>
      <c r="D476" s="61"/>
      <c r="E476" s="61" t="str">
        <f t="shared" si="8"/>
        <v/>
      </c>
    </row>
    <row r="477" spans="1:5" x14ac:dyDescent="0.2">
      <c r="A477" s="61"/>
      <c r="B477" s="59"/>
      <c r="C477" s="620"/>
      <c r="D477" s="61"/>
      <c r="E477" s="61" t="str">
        <f t="shared" si="8"/>
        <v/>
      </c>
    </row>
    <row r="478" spans="1:5" x14ac:dyDescent="0.2">
      <c r="A478" s="61"/>
      <c r="B478" s="59"/>
      <c r="C478" s="620"/>
      <c r="D478" s="61"/>
      <c r="E478" s="61" t="str">
        <f t="shared" si="8"/>
        <v/>
      </c>
    </row>
    <row r="479" spans="1:5" x14ac:dyDescent="0.2">
      <c r="A479" s="61"/>
      <c r="B479" s="59"/>
      <c r="C479" s="620"/>
      <c r="D479" s="61"/>
      <c r="E479" s="61" t="str">
        <f t="shared" si="8"/>
        <v/>
      </c>
    </row>
    <row r="480" spans="1:5" x14ac:dyDescent="0.2">
      <c r="A480" s="61"/>
      <c r="B480" s="59"/>
      <c r="C480" s="620"/>
      <c r="D480" s="61"/>
      <c r="E480" s="61" t="str">
        <f t="shared" si="8"/>
        <v/>
      </c>
    </row>
    <row r="481" spans="1:5" x14ac:dyDescent="0.2">
      <c r="A481" s="61"/>
      <c r="B481" s="59"/>
      <c r="C481" s="620"/>
      <c r="D481" s="61"/>
      <c r="E481" s="61" t="str">
        <f t="shared" si="8"/>
        <v/>
      </c>
    </row>
    <row r="482" spans="1:5" x14ac:dyDescent="0.2">
      <c r="A482" s="61"/>
      <c r="B482" s="59"/>
      <c r="C482" s="620"/>
      <c r="D482" s="61"/>
      <c r="E482" s="61" t="str">
        <f t="shared" si="8"/>
        <v/>
      </c>
    </row>
    <row r="483" spans="1:5" x14ac:dyDescent="0.2">
      <c r="A483" s="61"/>
      <c r="B483" s="59"/>
      <c r="C483" s="620"/>
      <c r="D483" s="61"/>
      <c r="E483" s="61" t="str">
        <f t="shared" si="8"/>
        <v/>
      </c>
    </row>
    <row r="484" spans="1:5" x14ac:dyDescent="0.2">
      <c r="A484" s="61"/>
      <c r="B484" s="59"/>
      <c r="C484" s="620"/>
      <c r="D484" s="61"/>
      <c r="E484" s="61" t="str">
        <f t="shared" si="8"/>
        <v/>
      </c>
    </row>
    <row r="485" spans="1:5" x14ac:dyDescent="0.2">
      <c r="A485" s="61"/>
      <c r="B485" s="59"/>
      <c r="C485" s="620"/>
      <c r="D485" s="61"/>
      <c r="E485" s="61" t="str">
        <f t="shared" si="8"/>
        <v/>
      </c>
    </row>
    <row r="486" spans="1:5" x14ac:dyDescent="0.2">
      <c r="A486" s="61"/>
      <c r="B486" s="59"/>
      <c r="C486" s="620"/>
      <c r="D486" s="61"/>
      <c r="E486" s="61" t="str">
        <f t="shared" si="8"/>
        <v/>
      </c>
    </row>
    <row r="487" spans="1:5" x14ac:dyDescent="0.2">
      <c r="A487" s="61"/>
      <c r="B487" s="59"/>
      <c r="C487" s="620"/>
      <c r="D487" s="61"/>
      <c r="E487" s="61" t="str">
        <f t="shared" si="8"/>
        <v/>
      </c>
    </row>
    <row r="488" spans="1:5" x14ac:dyDescent="0.2">
      <c r="A488" s="61"/>
      <c r="B488" s="59"/>
      <c r="C488" s="620"/>
      <c r="D488" s="61"/>
      <c r="E488" s="61" t="str">
        <f t="shared" si="8"/>
        <v/>
      </c>
    </row>
    <row r="489" spans="1:5" x14ac:dyDescent="0.2">
      <c r="A489" s="61"/>
      <c r="B489" s="59"/>
      <c r="C489" s="620"/>
      <c r="D489" s="61"/>
      <c r="E489" s="61" t="str">
        <f t="shared" si="8"/>
        <v/>
      </c>
    </row>
    <row r="490" spans="1:5" x14ac:dyDescent="0.2">
      <c r="A490" s="61"/>
      <c r="B490" s="59"/>
      <c r="C490" s="620"/>
      <c r="D490" s="61"/>
      <c r="E490" s="61" t="str">
        <f t="shared" si="8"/>
        <v/>
      </c>
    </row>
    <row r="491" spans="1:5" x14ac:dyDescent="0.2">
      <c r="A491" s="61"/>
      <c r="B491" s="59"/>
      <c r="C491" s="620"/>
      <c r="D491" s="61"/>
      <c r="E491" s="61" t="str">
        <f t="shared" si="8"/>
        <v/>
      </c>
    </row>
    <row r="492" spans="1:5" x14ac:dyDescent="0.2">
      <c r="A492" s="61"/>
      <c r="B492" s="59"/>
      <c r="C492" s="620"/>
      <c r="D492" s="61"/>
      <c r="E492" s="61" t="str">
        <f t="shared" si="8"/>
        <v/>
      </c>
    </row>
    <row r="493" spans="1:5" x14ac:dyDescent="0.2">
      <c r="A493" s="61"/>
      <c r="B493" s="59"/>
      <c r="C493" s="620"/>
      <c r="D493" s="61"/>
      <c r="E493" s="61" t="str">
        <f t="shared" si="8"/>
        <v/>
      </c>
    </row>
    <row r="494" spans="1:5" x14ac:dyDescent="0.2">
      <c r="A494" s="61"/>
      <c r="B494" s="59"/>
      <c r="C494" s="620"/>
      <c r="D494" s="61"/>
      <c r="E494" s="61" t="str">
        <f t="shared" si="8"/>
        <v/>
      </c>
    </row>
    <row r="495" spans="1:5" x14ac:dyDescent="0.2">
      <c r="A495" s="61"/>
      <c r="B495" s="59"/>
      <c r="C495" s="620"/>
      <c r="D495" s="61"/>
      <c r="E495" s="61" t="str">
        <f t="shared" si="8"/>
        <v/>
      </c>
    </row>
    <row r="496" spans="1:5" x14ac:dyDescent="0.2">
      <c r="A496" s="61"/>
      <c r="B496" s="59"/>
      <c r="C496" s="620"/>
      <c r="D496" s="61"/>
      <c r="E496" s="61" t="str">
        <f t="shared" si="8"/>
        <v/>
      </c>
    </row>
    <row r="497" spans="1:5" x14ac:dyDescent="0.2">
      <c r="A497" s="61"/>
      <c r="B497" s="59"/>
      <c r="C497" s="620"/>
      <c r="D497" s="61"/>
      <c r="E497" s="61" t="str">
        <f t="shared" si="8"/>
        <v/>
      </c>
    </row>
    <row r="498" spans="1:5" x14ac:dyDescent="0.2">
      <c r="A498" s="61"/>
      <c r="B498" s="59"/>
      <c r="C498" s="620"/>
      <c r="D498" s="61"/>
      <c r="E498" s="61" t="str">
        <f t="shared" si="8"/>
        <v/>
      </c>
    </row>
    <row r="499" spans="1:5" x14ac:dyDescent="0.2">
      <c r="A499" s="61"/>
      <c r="B499" s="59"/>
      <c r="C499" s="620"/>
      <c r="D499" s="61"/>
      <c r="E499" s="61" t="str">
        <f t="shared" si="8"/>
        <v/>
      </c>
    </row>
    <row r="500" spans="1:5" x14ac:dyDescent="0.2">
      <c r="A500" s="61"/>
      <c r="B500" s="59"/>
      <c r="C500" s="620"/>
      <c r="D500" s="61"/>
      <c r="E500" s="61" t="str">
        <f t="shared" si="8"/>
        <v/>
      </c>
    </row>
    <row r="501" spans="1:5" x14ac:dyDescent="0.2">
      <c r="A501" s="61"/>
      <c r="B501" s="59"/>
      <c r="C501" s="620"/>
      <c r="D501" s="61"/>
      <c r="E501" s="61" t="str">
        <f t="shared" si="8"/>
        <v/>
      </c>
    </row>
    <row r="502" spans="1:5" x14ac:dyDescent="0.2">
      <c r="A502" s="61"/>
      <c r="B502" s="59"/>
      <c r="C502" s="620"/>
      <c r="D502" s="61"/>
      <c r="E502" s="61" t="str">
        <f t="shared" si="8"/>
        <v/>
      </c>
    </row>
    <row r="503" spans="1:5" x14ac:dyDescent="0.2">
      <c r="A503" s="61"/>
      <c r="B503" s="59"/>
      <c r="C503" s="620"/>
      <c r="D503" s="61"/>
      <c r="E503" s="61" t="str">
        <f t="shared" si="8"/>
        <v/>
      </c>
    </row>
    <row r="504" spans="1:5" x14ac:dyDescent="0.2">
      <c r="A504" s="61"/>
      <c r="B504" s="59"/>
      <c r="C504" s="620"/>
      <c r="D504" s="61"/>
      <c r="E504" s="61" t="str">
        <f t="shared" si="8"/>
        <v/>
      </c>
    </row>
    <row r="505" spans="1:5" x14ac:dyDescent="0.2">
      <c r="A505" s="61"/>
      <c r="B505" s="59"/>
      <c r="C505" s="620"/>
      <c r="D505" s="61"/>
      <c r="E505" s="61" t="str">
        <f t="shared" si="8"/>
        <v/>
      </c>
    </row>
    <row r="506" spans="1:5" x14ac:dyDescent="0.2">
      <c r="A506" s="61"/>
      <c r="B506" s="59"/>
      <c r="C506" s="620"/>
      <c r="D506" s="61"/>
      <c r="E506" s="61" t="str">
        <f t="shared" si="8"/>
        <v/>
      </c>
    </row>
    <row r="507" spans="1:5" x14ac:dyDescent="0.2">
      <c r="A507" s="61"/>
      <c r="B507" s="59"/>
      <c r="C507" s="620"/>
      <c r="D507" s="61"/>
      <c r="E507" s="61" t="str">
        <f t="shared" si="8"/>
        <v/>
      </c>
    </row>
    <row r="508" spans="1:5" x14ac:dyDescent="0.2">
      <c r="A508" s="61"/>
      <c r="B508" s="59"/>
      <c r="C508" s="620"/>
      <c r="D508" s="61"/>
      <c r="E508" s="61" t="str">
        <f t="shared" si="8"/>
        <v/>
      </c>
    </row>
    <row r="509" spans="1:5" x14ac:dyDescent="0.2">
      <c r="A509" s="61"/>
      <c r="B509" s="59"/>
      <c r="C509" s="620"/>
      <c r="D509" s="61"/>
      <c r="E509" s="61" t="str">
        <f t="shared" si="8"/>
        <v/>
      </c>
    </row>
    <row r="510" spans="1:5" x14ac:dyDescent="0.2">
      <c r="A510" s="61"/>
      <c r="B510" s="59"/>
      <c r="C510" s="620"/>
      <c r="D510" s="61"/>
      <c r="E510" s="61" t="str">
        <f t="shared" si="8"/>
        <v/>
      </c>
    </row>
    <row r="511" spans="1:5" x14ac:dyDescent="0.2">
      <c r="A511" s="61"/>
      <c r="B511" s="59"/>
      <c r="C511" s="620"/>
      <c r="D511" s="61"/>
      <c r="E511" s="61" t="str">
        <f t="shared" si="8"/>
        <v/>
      </c>
    </row>
    <row r="512" spans="1:5" x14ac:dyDescent="0.2">
      <c r="A512" s="61"/>
      <c r="B512" s="59"/>
      <c r="C512" s="620"/>
      <c r="D512" s="61"/>
      <c r="E512" s="61" t="str">
        <f t="shared" si="8"/>
        <v/>
      </c>
    </row>
    <row r="513" spans="1:5" x14ac:dyDescent="0.2">
      <c r="A513" s="61"/>
      <c r="B513" s="59"/>
      <c r="C513" s="620"/>
      <c r="D513" s="61"/>
      <c r="E513" s="61" t="str">
        <f t="shared" si="8"/>
        <v/>
      </c>
    </row>
    <row r="514" spans="1:5" x14ac:dyDescent="0.2">
      <c r="A514" s="61"/>
      <c r="B514" s="59"/>
      <c r="C514" s="620"/>
      <c r="D514" s="61"/>
      <c r="E514" s="61" t="str">
        <f t="shared" si="8"/>
        <v/>
      </c>
    </row>
    <row r="515" spans="1:5" x14ac:dyDescent="0.2">
      <c r="A515" s="61"/>
      <c r="B515" s="59"/>
      <c r="C515" s="620"/>
      <c r="D515" s="61"/>
      <c r="E515" s="61" t="str">
        <f t="shared" si="8"/>
        <v/>
      </c>
    </row>
    <row r="516" spans="1:5" x14ac:dyDescent="0.2">
      <c r="A516" s="61"/>
      <c r="B516" s="59"/>
      <c r="C516" s="620"/>
      <c r="D516" s="61"/>
      <c r="E516" s="61" t="str">
        <f t="shared" si="8"/>
        <v/>
      </c>
    </row>
    <row r="517" spans="1:5" x14ac:dyDescent="0.2">
      <c r="A517" s="61"/>
      <c r="B517" s="59"/>
      <c r="C517" s="620"/>
      <c r="D517" s="61"/>
      <c r="E517" s="61" t="str">
        <f t="shared" ref="E517:E545" si="9">IFERROR(VLOOKUP(D517,T_Indices,5,FALSE),"")</f>
        <v/>
      </c>
    </row>
    <row r="518" spans="1:5" x14ac:dyDescent="0.2">
      <c r="A518" s="61"/>
      <c r="B518" s="59"/>
      <c r="C518" s="620"/>
      <c r="D518" s="61"/>
      <c r="E518" s="61" t="str">
        <f t="shared" si="9"/>
        <v/>
      </c>
    </row>
    <row r="519" spans="1:5" x14ac:dyDescent="0.2">
      <c r="A519" s="61"/>
      <c r="B519" s="59"/>
      <c r="C519" s="620"/>
      <c r="D519" s="61"/>
      <c r="E519" s="61" t="str">
        <f t="shared" si="9"/>
        <v/>
      </c>
    </row>
    <row r="520" spans="1:5" x14ac:dyDescent="0.2">
      <c r="A520" s="61"/>
      <c r="B520" s="59"/>
      <c r="C520" s="620"/>
      <c r="D520" s="61"/>
      <c r="E520" s="61" t="str">
        <f t="shared" si="9"/>
        <v/>
      </c>
    </row>
    <row r="521" spans="1:5" x14ac:dyDescent="0.2">
      <c r="A521" s="61"/>
      <c r="B521" s="59"/>
      <c r="C521" s="620"/>
      <c r="D521" s="61"/>
      <c r="E521" s="61" t="str">
        <f t="shared" si="9"/>
        <v/>
      </c>
    </row>
    <row r="522" spans="1:5" x14ac:dyDescent="0.2">
      <c r="A522" s="61"/>
      <c r="B522" s="59"/>
      <c r="C522" s="620"/>
      <c r="D522" s="61"/>
      <c r="E522" s="61" t="str">
        <f t="shared" si="9"/>
        <v/>
      </c>
    </row>
    <row r="523" spans="1:5" x14ac:dyDescent="0.2">
      <c r="A523" s="61"/>
      <c r="B523" s="59"/>
      <c r="C523" s="620"/>
      <c r="D523" s="61"/>
      <c r="E523" s="61" t="str">
        <f t="shared" si="9"/>
        <v/>
      </c>
    </row>
    <row r="524" spans="1:5" x14ac:dyDescent="0.2">
      <c r="A524" s="61"/>
      <c r="B524" s="59"/>
      <c r="C524" s="620"/>
      <c r="D524" s="61"/>
      <c r="E524" s="61" t="str">
        <f t="shared" si="9"/>
        <v/>
      </c>
    </row>
    <row r="525" spans="1:5" x14ac:dyDescent="0.2">
      <c r="A525" s="61"/>
      <c r="B525" s="59"/>
      <c r="C525" s="620"/>
      <c r="D525" s="61"/>
      <c r="E525" s="61" t="str">
        <f t="shared" si="9"/>
        <v/>
      </c>
    </row>
    <row r="526" spans="1:5" x14ac:dyDescent="0.2">
      <c r="A526" s="61"/>
      <c r="B526" s="59"/>
      <c r="C526" s="620"/>
      <c r="D526" s="61"/>
      <c r="E526" s="61" t="str">
        <f t="shared" si="9"/>
        <v/>
      </c>
    </row>
    <row r="527" spans="1:5" x14ac:dyDescent="0.2">
      <c r="A527" s="61"/>
      <c r="B527" s="59"/>
      <c r="C527" s="620"/>
      <c r="D527" s="61"/>
      <c r="E527" s="61" t="str">
        <f t="shared" si="9"/>
        <v/>
      </c>
    </row>
    <row r="528" spans="1:5" x14ac:dyDescent="0.2">
      <c r="A528" s="61"/>
      <c r="B528" s="59"/>
      <c r="C528" s="620"/>
      <c r="D528" s="61"/>
      <c r="E528" s="61" t="str">
        <f t="shared" si="9"/>
        <v/>
      </c>
    </row>
    <row r="529" spans="1:5" x14ac:dyDescent="0.2">
      <c r="A529" s="61"/>
      <c r="B529" s="59"/>
      <c r="C529" s="620"/>
      <c r="D529" s="61"/>
      <c r="E529" s="61" t="str">
        <f t="shared" si="9"/>
        <v/>
      </c>
    </row>
    <row r="530" spans="1:5" x14ac:dyDescent="0.2">
      <c r="A530" s="61"/>
      <c r="B530" s="59"/>
      <c r="C530" s="620"/>
      <c r="D530" s="61"/>
      <c r="E530" s="61" t="str">
        <f t="shared" si="9"/>
        <v/>
      </c>
    </row>
    <row r="531" spans="1:5" x14ac:dyDescent="0.2">
      <c r="A531" s="61"/>
      <c r="B531" s="59"/>
      <c r="C531" s="620"/>
      <c r="D531" s="61"/>
      <c r="E531" s="61" t="str">
        <f t="shared" si="9"/>
        <v/>
      </c>
    </row>
    <row r="532" spans="1:5" x14ac:dyDescent="0.2">
      <c r="A532" s="61"/>
      <c r="B532" s="59"/>
      <c r="C532" s="620"/>
      <c r="D532" s="61"/>
      <c r="E532" s="61" t="str">
        <f t="shared" si="9"/>
        <v/>
      </c>
    </row>
    <row r="533" spans="1:5" x14ac:dyDescent="0.2">
      <c r="A533" s="61"/>
      <c r="B533" s="59"/>
      <c r="C533" s="620"/>
      <c r="D533" s="61"/>
      <c r="E533" s="61" t="str">
        <f t="shared" si="9"/>
        <v/>
      </c>
    </row>
    <row r="534" spans="1:5" x14ac:dyDescent="0.2">
      <c r="A534" s="61"/>
      <c r="B534" s="59"/>
      <c r="C534" s="620"/>
      <c r="D534" s="61"/>
      <c r="E534" s="61" t="str">
        <f t="shared" si="9"/>
        <v/>
      </c>
    </row>
    <row r="535" spans="1:5" x14ac:dyDescent="0.2">
      <c r="A535" s="61"/>
      <c r="B535" s="59"/>
      <c r="C535" s="620"/>
      <c r="D535" s="61"/>
      <c r="E535" s="61" t="str">
        <f t="shared" si="9"/>
        <v/>
      </c>
    </row>
    <row r="536" spans="1:5" x14ac:dyDescent="0.2">
      <c r="A536" s="61"/>
      <c r="B536" s="59"/>
      <c r="C536" s="620"/>
      <c r="D536" s="61"/>
      <c r="E536" s="61" t="str">
        <f t="shared" si="9"/>
        <v/>
      </c>
    </row>
    <row r="537" spans="1:5" x14ac:dyDescent="0.2">
      <c r="A537" s="61"/>
      <c r="B537" s="59"/>
      <c r="C537" s="620"/>
      <c r="D537" s="61"/>
      <c r="E537" s="61" t="str">
        <f t="shared" si="9"/>
        <v/>
      </c>
    </row>
    <row r="538" spans="1:5" x14ac:dyDescent="0.2">
      <c r="A538" s="61"/>
      <c r="B538" s="59"/>
      <c r="C538" s="620"/>
      <c r="D538" s="61"/>
      <c r="E538" s="61" t="str">
        <f t="shared" si="9"/>
        <v/>
      </c>
    </row>
    <row r="539" spans="1:5" x14ac:dyDescent="0.2">
      <c r="A539" s="61"/>
      <c r="B539" s="59"/>
      <c r="C539" s="620"/>
      <c r="D539" s="61"/>
      <c r="E539" s="61" t="str">
        <f t="shared" si="9"/>
        <v/>
      </c>
    </row>
    <row r="540" spans="1:5" x14ac:dyDescent="0.2">
      <c r="A540" s="61"/>
      <c r="B540" s="59"/>
      <c r="C540" s="620"/>
      <c r="D540" s="61"/>
      <c r="E540" s="61" t="str">
        <f t="shared" si="9"/>
        <v/>
      </c>
    </row>
    <row r="541" spans="1:5" x14ac:dyDescent="0.2">
      <c r="A541" s="61"/>
      <c r="B541" s="59"/>
      <c r="C541" s="620"/>
      <c r="D541" s="61"/>
      <c r="E541" s="61" t="str">
        <f t="shared" si="9"/>
        <v/>
      </c>
    </row>
    <row r="542" spans="1:5" x14ac:dyDescent="0.2">
      <c r="A542" s="61"/>
      <c r="B542" s="59"/>
      <c r="C542" s="620"/>
      <c r="D542" s="61"/>
      <c r="E542" s="61" t="str">
        <f t="shared" si="9"/>
        <v/>
      </c>
    </row>
    <row r="543" spans="1:5" x14ac:dyDescent="0.2">
      <c r="A543" s="61"/>
      <c r="B543" s="59"/>
      <c r="C543" s="620"/>
      <c r="D543" s="61"/>
      <c r="E543" s="61" t="str">
        <f t="shared" si="9"/>
        <v/>
      </c>
    </row>
    <row r="544" spans="1:5" x14ac:dyDescent="0.2">
      <c r="A544" s="61"/>
      <c r="B544" s="59"/>
      <c r="C544" s="620"/>
      <c r="D544" s="61"/>
      <c r="E544" s="61" t="str">
        <f t="shared" si="9"/>
        <v/>
      </c>
    </row>
    <row r="545" spans="1:5" x14ac:dyDescent="0.2">
      <c r="A545" s="61"/>
      <c r="B545" s="59"/>
      <c r="C545" s="620"/>
      <c r="D545" s="61"/>
      <c r="E545" s="61" t="str">
        <f t="shared" si="9"/>
        <v/>
      </c>
    </row>
  </sheetData>
  <sortState xmlns:xlrd2="http://schemas.microsoft.com/office/spreadsheetml/2017/richdata2" ref="A33:G320">
    <sortCondition ref="A33:A320"/>
  </sortState>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BU56"/>
  <sheetViews>
    <sheetView showZeros="0" view="pageBreakPreview" zoomScaleNormal="100" zoomScaleSheetLayoutView="100" workbookViewId="0">
      <selection activeCell="G54" sqref="G5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7" width="15.7109375" style="8" customWidth="1"/>
    <col min="8" max="8" width="10.7109375" style="8" customWidth="1"/>
    <col min="9" max="24" width="10.7109375" style="73" customWidth="1"/>
    <col min="25" max="73" width="11.42578125" style="73"/>
    <col min="74" max="16384" width="11.42578125" style="8"/>
  </cols>
  <sheetData>
    <row r="1" spans="1:73" s="2" customFormat="1" ht="20.100000000000001" customHeight="1" x14ac:dyDescent="0.2">
      <c r="A1" s="3" t="s">
        <v>8</v>
      </c>
      <c r="B1" s="3"/>
      <c r="C1" s="3" t="str">
        <f>Comitente</f>
        <v>DEPARTAMENTO DE HIDRÁULICA</v>
      </c>
      <c r="D1" s="4"/>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row>
    <row r="2" spans="1:73" s="5" customFormat="1" ht="20.100000000000001" customHeight="1" x14ac:dyDescent="0.2">
      <c r="A2" s="11" t="s">
        <v>9</v>
      </c>
      <c r="B2" s="11"/>
      <c r="C2" s="11" t="str">
        <f>Obra</f>
        <v>RECRECIMIENTO Y REPARACIÓN CANALES SARMIENTO, 9 DE JULIO Y CHIMBAS</v>
      </c>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row>
    <row r="3" spans="1:73" s="5" customFormat="1" ht="20.100000000000001" customHeight="1" x14ac:dyDescent="0.2">
      <c r="A3" s="11" t="s">
        <v>13</v>
      </c>
      <c r="B3" s="11"/>
      <c r="C3" s="11" t="str">
        <f>Ubicación</f>
        <v>DEPARTAMENTOS SARMIENTO, 9 DE JULIO Y CHIMBAS</v>
      </c>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row>
    <row r="4" spans="1:73" s="5" customFormat="1" ht="20.100000000000001" customHeight="1" x14ac:dyDescent="0.2">
      <c r="A4" s="11" t="s">
        <v>12</v>
      </c>
      <c r="B4" s="12"/>
      <c r="C4" s="55" t="str">
        <f>Licitación_N°</f>
        <v>____/23</v>
      </c>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row>
    <row r="5" spans="1:73" s="5" customFormat="1" ht="20.100000000000001" customHeight="1" x14ac:dyDescent="0.2">
      <c r="A5" s="11" t="s">
        <v>14</v>
      </c>
      <c r="B5" s="12"/>
      <c r="C5" s="56">
        <f>Plazo_Obra</f>
        <v>60</v>
      </c>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row>
    <row r="6" spans="1:73" s="5" customFormat="1" ht="20.100000000000001" customHeight="1" x14ac:dyDescent="0.2">
      <c r="A6" s="11" t="s">
        <v>10</v>
      </c>
      <c r="B6" s="11"/>
      <c r="C6" s="11">
        <f>Contratista</f>
        <v>0</v>
      </c>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row>
    <row r="7" spans="1:73" s="2" customFormat="1" ht="20.100000000000001" customHeight="1" x14ac:dyDescent="0.2">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row>
    <row r="8" spans="1:73" s="2" customFormat="1" ht="20.100000000000001" customHeight="1" x14ac:dyDescent="0.2">
      <c r="A8" s="694" t="s">
        <v>39</v>
      </c>
      <c r="B8" s="695"/>
      <c r="C8" s="695"/>
      <c r="D8" s="696"/>
      <c r="E8" s="7"/>
      <c r="F8" s="7"/>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row>
    <row r="10" spans="1:73" ht="20.100000000000001" customHeight="1" x14ac:dyDescent="0.2">
      <c r="A10" s="667" t="s">
        <v>893</v>
      </c>
      <c r="B10" s="698" t="s">
        <v>0</v>
      </c>
      <c r="C10" s="698"/>
      <c r="D10" s="699" t="s">
        <v>11</v>
      </c>
      <c r="E10" s="38"/>
      <c r="F10" s="660" t="s">
        <v>17</v>
      </c>
      <c r="G10" s="660" t="s">
        <v>17</v>
      </c>
      <c r="H10" s="697" t="s">
        <v>16</v>
      </c>
    </row>
    <row r="11" spans="1:73" ht="20.100000000000001" customHeight="1" x14ac:dyDescent="0.2">
      <c r="A11" s="667"/>
      <c r="B11" s="698"/>
      <c r="C11" s="698"/>
      <c r="D11" s="699"/>
      <c r="E11" s="38">
        <v>0</v>
      </c>
      <c r="F11" s="24">
        <v>1</v>
      </c>
      <c r="G11" s="24">
        <v>2</v>
      </c>
      <c r="H11" s="697"/>
    </row>
    <row r="12" spans="1:73" ht="20.100000000000001" customHeight="1" x14ac:dyDescent="0.2">
      <c r="A12" s="25"/>
      <c r="B12" s="42"/>
      <c r="C12" s="42"/>
      <c r="D12" s="43"/>
      <c r="E12" s="38"/>
      <c r="F12" s="26"/>
      <c r="G12" s="20"/>
      <c r="H12" s="66"/>
    </row>
    <row r="13" spans="1:73" ht="20.100000000000001" customHeight="1" x14ac:dyDescent="0.2">
      <c r="A13" s="49">
        <f ca="1">INDIRECT("Datos!B"&amp;MATCH("RUBRO ITEM",Datos!B:B,0)+ROW()-MATCH("RUBRO ITEM",A:A,0)-1)</f>
        <v>1</v>
      </c>
      <c r="B13" s="27" t="str">
        <f t="shared" ref="B13:B25" ca="1" si="0">IFERROR(VLOOKUP(A13,T_Computo_Presupuesto,2,FALSE),"")</f>
        <v>DPTO. SARMIENTO - CANAL PRIMERO DE COCHAGUAL</v>
      </c>
      <c r="C13" s="28"/>
      <c r="D13" s="13">
        <f t="shared" ref="D13:D25" ca="1" si="1">IFERROR(VLOOKUP(A13,T_Computo_Presupuesto,9,FALSE),0)</f>
        <v>0</v>
      </c>
      <c r="E13" s="30"/>
      <c r="F13" s="418"/>
      <c r="G13" s="418"/>
      <c r="H13" s="22">
        <f t="shared" ref="H13:H47" si="2">SUM(F13:F13)</f>
        <v>0</v>
      </c>
    </row>
    <row r="14" spans="1:73" ht="20.100000000000001" customHeight="1" x14ac:dyDescent="0.2">
      <c r="A14" s="49" t="str">
        <f ca="1">INDIRECT("Datos!B"&amp;MATCH("RUBRO ITEM",Datos!B:B,0)+ROW()-MATCH("RUBRO ITEM",A:A,0)-1)</f>
        <v>1.1</v>
      </c>
      <c r="B14" s="27" t="str">
        <f t="shared" ca="1" si="0"/>
        <v>TRABAJOS PREPARATORIOS</v>
      </c>
      <c r="C14" s="28"/>
      <c r="D14" s="13">
        <f t="shared" ca="1" si="1"/>
        <v>0</v>
      </c>
      <c r="E14" s="39"/>
      <c r="F14" s="418"/>
      <c r="G14" s="418"/>
      <c r="H14" s="22">
        <f t="shared" si="2"/>
        <v>0</v>
      </c>
    </row>
    <row r="15" spans="1:73" ht="20.100000000000001" customHeight="1" x14ac:dyDescent="0.2">
      <c r="A15" s="49" t="str">
        <f ca="1">INDIRECT("Datos!B"&amp;MATCH("RUBRO ITEM",Datos!B:B,0)+ROW()-MATCH("RUBRO ITEM",A:A,0)-1)</f>
        <v>1.1.1</v>
      </c>
      <c r="B15" s="27" t="str">
        <f t="shared" ca="1" si="0"/>
        <v>Preparación y Limpieza de Superf.</v>
      </c>
      <c r="C15" s="28"/>
      <c r="D15" s="13">
        <f t="shared" ca="1" si="1"/>
        <v>0</v>
      </c>
      <c r="E15" s="39"/>
      <c r="F15" s="418"/>
      <c r="G15" s="418"/>
      <c r="H15" s="22">
        <f t="shared" si="2"/>
        <v>0</v>
      </c>
    </row>
    <row r="16" spans="1:73" ht="20.100000000000001" customHeight="1" x14ac:dyDescent="0.2">
      <c r="A16" s="49" t="str">
        <f ca="1">INDIRECT("Datos!B"&amp;MATCH("RUBRO ITEM",Datos!B:B,0)+ROW()-MATCH("RUBRO ITEM",A:A,0)-1)</f>
        <v>1.1.2</v>
      </c>
      <c r="B16" s="27" t="str">
        <f t="shared" ca="1" si="0"/>
        <v>Replanteo</v>
      </c>
      <c r="C16" s="28"/>
      <c r="D16" s="13">
        <f t="shared" ca="1" si="1"/>
        <v>0</v>
      </c>
      <c r="E16" s="39"/>
      <c r="F16" s="418"/>
      <c r="G16" s="418"/>
      <c r="H16" s="22">
        <f t="shared" si="2"/>
        <v>0</v>
      </c>
    </row>
    <row r="17" spans="1:8" ht="20.100000000000001" customHeight="1" x14ac:dyDescent="0.2">
      <c r="A17" s="49" t="str">
        <f ca="1">INDIRECT("Datos!B"&amp;MATCH("RUBRO ITEM",Datos!B:B,0)+ROW()-MATCH("RUBRO ITEM",A:A,0)-1)</f>
        <v>1.2</v>
      </c>
      <c r="B17" s="27" t="str">
        <f t="shared" ca="1" si="0"/>
        <v>ESTRUCTURA RESISTENTE</v>
      </c>
      <c r="C17" s="28"/>
      <c r="D17" s="13">
        <f t="shared" ca="1" si="1"/>
        <v>0</v>
      </c>
      <c r="E17" s="39"/>
      <c r="F17" s="418"/>
      <c r="G17" s="418"/>
      <c r="H17" s="22">
        <f t="shared" si="2"/>
        <v>0</v>
      </c>
    </row>
    <row r="18" spans="1:8" ht="20.100000000000001" customHeight="1" x14ac:dyDescent="0.2">
      <c r="A18" s="49" t="str">
        <f ca="1">INDIRECT("Datos!B"&amp;MATCH("RUBRO ITEM",Datos!B:B,0)+ROW()-MATCH("RUBRO ITEM",A:A,0)-1)</f>
        <v>1.2.1</v>
      </c>
      <c r="B18" s="27" t="str">
        <f t="shared" ca="1" si="0"/>
        <v xml:space="preserve">Hormigón H-21  </v>
      </c>
      <c r="C18" s="28"/>
      <c r="D18" s="13">
        <f t="shared" ca="1" si="1"/>
        <v>0</v>
      </c>
      <c r="E18" s="39"/>
      <c r="F18" s="418"/>
      <c r="G18" s="418"/>
      <c r="H18" s="22">
        <f t="shared" si="2"/>
        <v>0</v>
      </c>
    </row>
    <row r="19" spans="1:8" ht="20.100000000000001" customHeight="1" x14ac:dyDescent="0.2">
      <c r="A19" s="49" t="str">
        <f ca="1">INDIRECT("Datos!B"&amp;MATCH("RUBRO ITEM",Datos!B:B,0)+ROW()-MATCH("RUBRO ITEM",A:A,0)-1)</f>
        <v>1.2.2</v>
      </c>
      <c r="B19" s="27" t="str">
        <f t="shared" ca="1" si="0"/>
        <v>Armadura puesta en obra</v>
      </c>
      <c r="C19" s="28"/>
      <c r="D19" s="13">
        <f t="shared" ca="1" si="1"/>
        <v>0</v>
      </c>
      <c r="E19" s="39"/>
      <c r="F19" s="418"/>
      <c r="G19" s="418"/>
      <c r="H19" s="22">
        <f t="shared" si="2"/>
        <v>0</v>
      </c>
    </row>
    <row r="20" spans="1:8" ht="20.100000000000001" customHeight="1" x14ac:dyDescent="0.2">
      <c r="A20" s="49" t="str">
        <f ca="1">INDIRECT("Datos!B"&amp;MATCH("RUBRO ITEM",Datos!B:B,0)+ROW()-MATCH("RUBRO ITEM",A:A,0)-1)</f>
        <v>1.2.3</v>
      </c>
      <c r="B20" s="27" t="str">
        <f t="shared" ca="1" si="0"/>
        <v>Anclajes Químicos</v>
      </c>
      <c r="C20" s="28"/>
      <c r="D20" s="13">
        <f t="shared" ca="1" si="1"/>
        <v>0</v>
      </c>
      <c r="E20" s="39"/>
      <c r="F20" s="418"/>
      <c r="G20" s="418"/>
      <c r="H20" s="22">
        <f t="shared" si="2"/>
        <v>0</v>
      </c>
    </row>
    <row r="21" spans="1:8" ht="20.100000000000001" customHeight="1" x14ac:dyDescent="0.2">
      <c r="A21" s="49" t="str">
        <f ca="1">INDIRECT("Datos!B"&amp;MATCH("RUBRO ITEM",Datos!B:B,0)+ROW()-MATCH("RUBRO ITEM",A:A,0)-1)</f>
        <v>1.2.4</v>
      </c>
      <c r="B21" s="27" t="str">
        <f t="shared" ca="1" si="0"/>
        <v>Puente de Adherencia</v>
      </c>
      <c r="C21" s="28"/>
      <c r="D21" s="13">
        <f t="shared" ca="1" si="1"/>
        <v>0</v>
      </c>
      <c r="E21" s="39"/>
      <c r="F21" s="418"/>
      <c r="G21" s="418"/>
      <c r="H21" s="22">
        <f t="shared" si="2"/>
        <v>0</v>
      </c>
    </row>
    <row r="22" spans="1:8" ht="20.100000000000001" customHeight="1" x14ac:dyDescent="0.2">
      <c r="A22" s="49" t="str">
        <f ca="1">INDIRECT("Datos!B"&amp;MATCH("RUBRO ITEM",Datos!B:B,0)+ROW()-MATCH("RUBRO ITEM",A:A,0)-1)</f>
        <v>1.2.5</v>
      </c>
      <c r="B22" s="27" t="str">
        <f t="shared" ca="1" si="0"/>
        <v>Juntas de Contracción y dilatación</v>
      </c>
      <c r="C22" s="28"/>
      <c r="D22" s="13">
        <f t="shared" ca="1" si="1"/>
        <v>0</v>
      </c>
      <c r="E22" s="39"/>
      <c r="F22" s="418"/>
      <c r="G22" s="418"/>
      <c r="H22" s="22">
        <f t="shared" si="2"/>
        <v>0</v>
      </c>
    </row>
    <row r="23" spans="1:8" ht="20.100000000000001" customHeight="1" x14ac:dyDescent="0.2">
      <c r="A23" s="49">
        <f ca="1">INDIRECT("Datos!B"&amp;MATCH("RUBRO ITEM",Datos!B:B,0)+ROW()-MATCH("RUBRO ITEM",A:A,0)-1)</f>
        <v>2</v>
      </c>
      <c r="B23" s="27" t="str">
        <f t="shared" ca="1" si="0"/>
        <v>DPTO. 9 DE JULIO (R. BALMACEDA y R. ZUNGRY ALDAY)</v>
      </c>
      <c r="C23" s="28"/>
      <c r="D23" s="13">
        <f t="shared" ca="1" si="1"/>
        <v>0</v>
      </c>
      <c r="E23" s="39"/>
      <c r="F23" s="418"/>
      <c r="G23" s="418"/>
      <c r="H23" s="22">
        <f t="shared" si="2"/>
        <v>0</v>
      </c>
    </row>
    <row r="24" spans="1:8" ht="20.100000000000001" customHeight="1" x14ac:dyDescent="0.2">
      <c r="A24" s="49" t="str">
        <f ca="1">INDIRECT("Datos!B"&amp;MATCH("RUBRO ITEM",Datos!B:B,0)+ROW()-MATCH("RUBRO ITEM",A:A,0)-1)</f>
        <v>2.1</v>
      </c>
      <c r="B24" s="27" t="str">
        <f t="shared" ca="1" si="0"/>
        <v>TRABAJOS PREPARATORIOS</v>
      </c>
      <c r="C24" s="28"/>
      <c r="D24" s="13">
        <f t="shared" ca="1" si="1"/>
        <v>0</v>
      </c>
      <c r="E24" s="39"/>
      <c r="F24" s="418"/>
      <c r="G24" s="418"/>
      <c r="H24" s="22">
        <f t="shared" si="2"/>
        <v>0</v>
      </c>
    </row>
    <row r="25" spans="1:8" ht="20.100000000000001" customHeight="1" x14ac:dyDescent="0.2">
      <c r="A25" s="49" t="str">
        <f ca="1">INDIRECT("Datos!B"&amp;MATCH("RUBRO ITEM",Datos!B:B,0)+ROW()-MATCH("RUBRO ITEM",A:A,0)-1)</f>
        <v>2.1.1</v>
      </c>
      <c r="B25" s="27" t="str">
        <f t="shared" ca="1" si="0"/>
        <v>Preparación y Limpieza de Superf.</v>
      </c>
      <c r="C25" s="28"/>
      <c r="D25" s="13">
        <f t="shared" ca="1" si="1"/>
        <v>0</v>
      </c>
      <c r="E25" s="39"/>
      <c r="F25" s="418"/>
      <c r="G25" s="418"/>
      <c r="H25" s="22">
        <f t="shared" si="2"/>
        <v>0</v>
      </c>
    </row>
    <row r="26" spans="1:8" ht="20.100000000000001" customHeight="1" x14ac:dyDescent="0.2">
      <c r="A26" s="49" t="str">
        <f ca="1">INDIRECT("Datos!B"&amp;MATCH("RUBRO ITEM",Datos!B:B,0)+ROW()-MATCH("RUBRO ITEM",A:A,0)-1)</f>
        <v>2.1.2</v>
      </c>
      <c r="B26" s="27" t="str">
        <f t="shared" ref="B26:B47" ca="1" si="3">IFERROR(VLOOKUP(A26,T_Computo_Presupuesto,2,FALSE),"")</f>
        <v>Replanteo</v>
      </c>
      <c r="C26" s="28"/>
      <c r="D26" s="13">
        <f t="shared" ref="D26:D47" ca="1" si="4">IFERROR(VLOOKUP(A26,T_Computo_Presupuesto,9,FALSE),0)</f>
        <v>0</v>
      </c>
      <c r="E26" s="39"/>
      <c r="F26" s="418"/>
      <c r="G26" s="418"/>
      <c r="H26" s="22">
        <f t="shared" si="2"/>
        <v>0</v>
      </c>
    </row>
    <row r="27" spans="1:8" ht="20.100000000000001" customHeight="1" x14ac:dyDescent="0.2">
      <c r="A27" s="49" t="str">
        <f ca="1">INDIRECT("Datos!B"&amp;MATCH("RUBRO ITEM",Datos!B:B,0)+ROW()-MATCH("RUBRO ITEM",A:A,0)-1)</f>
        <v>2.2</v>
      </c>
      <c r="B27" s="27" t="str">
        <f t="shared" ca="1" si="3"/>
        <v>ESTRUCTURA RESISTENTE</v>
      </c>
      <c r="C27" s="28"/>
      <c r="D27" s="13">
        <f t="shared" ca="1" si="4"/>
        <v>0</v>
      </c>
      <c r="E27" s="39"/>
      <c r="F27" s="418"/>
      <c r="G27" s="418"/>
      <c r="H27" s="22">
        <f t="shared" si="2"/>
        <v>0</v>
      </c>
    </row>
    <row r="28" spans="1:8" ht="20.100000000000001" customHeight="1" x14ac:dyDescent="0.2">
      <c r="A28" s="49" t="str">
        <f ca="1">INDIRECT("Datos!B"&amp;MATCH("RUBRO ITEM",Datos!B:B,0)+ROW()-MATCH("RUBRO ITEM",A:A,0)-1)</f>
        <v>2.2.1</v>
      </c>
      <c r="B28" s="27" t="str">
        <f t="shared" ca="1" si="3"/>
        <v xml:space="preserve">Hormigón H-21  </v>
      </c>
      <c r="C28" s="28"/>
      <c r="D28" s="13">
        <f t="shared" ca="1" si="4"/>
        <v>0</v>
      </c>
      <c r="E28" s="39"/>
      <c r="F28" s="418"/>
      <c r="G28" s="418"/>
      <c r="H28" s="22">
        <f t="shared" si="2"/>
        <v>0</v>
      </c>
    </row>
    <row r="29" spans="1:8" ht="20.100000000000001" customHeight="1" x14ac:dyDescent="0.2">
      <c r="A29" s="49" t="str">
        <f ca="1">INDIRECT("Datos!B"&amp;MATCH("RUBRO ITEM",Datos!B:B,0)+ROW()-MATCH("RUBRO ITEM",A:A,0)-1)</f>
        <v>2.2.2</v>
      </c>
      <c r="B29" s="27" t="str">
        <f t="shared" ca="1" si="3"/>
        <v>Armadura puesta en obra</v>
      </c>
      <c r="C29" s="28"/>
      <c r="D29" s="13">
        <f t="shared" ca="1" si="4"/>
        <v>0</v>
      </c>
      <c r="E29" s="39"/>
      <c r="F29" s="418"/>
      <c r="G29" s="418"/>
      <c r="H29" s="22">
        <f t="shared" si="2"/>
        <v>0</v>
      </c>
    </row>
    <row r="30" spans="1:8" ht="20.100000000000001" customHeight="1" x14ac:dyDescent="0.2">
      <c r="A30" s="49" t="str">
        <f ca="1">INDIRECT("Datos!B"&amp;MATCH("RUBRO ITEM",Datos!B:B,0)+ROW()-MATCH("RUBRO ITEM",A:A,0)-1)</f>
        <v>2.2.3</v>
      </c>
      <c r="B30" s="27" t="str">
        <f t="shared" ca="1" si="3"/>
        <v>Anclajes Químicos</v>
      </c>
      <c r="C30" s="28"/>
      <c r="D30" s="13">
        <f t="shared" ca="1" si="4"/>
        <v>0</v>
      </c>
      <c r="E30" s="39"/>
      <c r="F30" s="418"/>
      <c r="G30" s="418"/>
      <c r="H30" s="22">
        <f t="shared" si="2"/>
        <v>0</v>
      </c>
    </row>
    <row r="31" spans="1:8" ht="20.100000000000001" customHeight="1" x14ac:dyDescent="0.2">
      <c r="A31" s="49" t="str">
        <f ca="1">INDIRECT("Datos!B"&amp;MATCH("RUBRO ITEM",Datos!B:B,0)+ROW()-MATCH("RUBRO ITEM",A:A,0)-1)</f>
        <v>2.2.4</v>
      </c>
      <c r="B31" s="27" t="str">
        <f t="shared" ca="1" si="3"/>
        <v>Puente de Adherencia</v>
      </c>
      <c r="C31" s="28"/>
      <c r="D31" s="13">
        <f t="shared" ca="1" si="4"/>
        <v>0</v>
      </c>
      <c r="E31" s="39"/>
      <c r="F31" s="418"/>
      <c r="G31" s="418"/>
      <c r="H31" s="22">
        <f t="shared" si="2"/>
        <v>0</v>
      </c>
    </row>
    <row r="32" spans="1:8" ht="20.100000000000001" customHeight="1" x14ac:dyDescent="0.2">
      <c r="A32" s="49">
        <f ca="1">INDIRECT("Datos!B"&amp;MATCH("RUBRO ITEM",Datos!B:B,0)+ROW()-MATCH("RUBRO ITEM",A:A,0)-1)</f>
        <v>3</v>
      </c>
      <c r="B32" s="27" t="str">
        <f t="shared" ca="1" si="3"/>
        <v>RECRECIMIENTO C. PASTORIZA-VIDELA</v>
      </c>
      <c r="C32" s="28"/>
      <c r="D32" s="13">
        <f t="shared" ca="1" si="4"/>
        <v>0</v>
      </c>
      <c r="E32" s="39"/>
      <c r="F32" s="418"/>
      <c r="G32" s="418"/>
      <c r="H32" s="22">
        <f t="shared" si="2"/>
        <v>0</v>
      </c>
    </row>
    <row r="33" spans="1:8" ht="20.100000000000001" customHeight="1" x14ac:dyDescent="0.2">
      <c r="A33" s="49" t="str">
        <f ca="1">INDIRECT("Datos!B"&amp;MATCH("RUBRO ITEM",Datos!B:B,0)+ROW()-MATCH("RUBRO ITEM",A:A,0)-1)</f>
        <v>3.1</v>
      </c>
      <c r="B33" s="27" t="str">
        <f t="shared" ca="1" si="3"/>
        <v>Trabajos Preparatorios</v>
      </c>
      <c r="C33" s="28"/>
      <c r="D33" s="13">
        <f t="shared" ca="1" si="4"/>
        <v>0</v>
      </c>
      <c r="E33" s="39"/>
      <c r="F33" s="418"/>
      <c r="G33" s="418"/>
      <c r="H33" s="22">
        <f t="shared" si="2"/>
        <v>0</v>
      </c>
    </row>
    <row r="34" spans="1:8" ht="20.100000000000001" customHeight="1" x14ac:dyDescent="0.2">
      <c r="A34" s="49" t="str">
        <f ca="1">INDIRECT("Datos!B"&amp;MATCH("RUBRO ITEM",Datos!B:B,0)+ROW()-MATCH("RUBRO ITEM",A:A,0)-1)</f>
        <v>3.1.1</v>
      </c>
      <c r="B34" s="27" t="str">
        <f t="shared" ca="1" si="3"/>
        <v>Preparación y Limpieza de Superf.</v>
      </c>
      <c r="C34" s="28"/>
      <c r="D34" s="13">
        <f t="shared" ca="1" si="4"/>
        <v>0</v>
      </c>
      <c r="E34" s="39"/>
      <c r="F34" s="418"/>
      <c r="G34" s="418"/>
      <c r="H34" s="22">
        <f t="shared" si="2"/>
        <v>0</v>
      </c>
    </row>
    <row r="35" spans="1:8" ht="20.100000000000001" customHeight="1" x14ac:dyDescent="0.2">
      <c r="A35" s="49" t="str">
        <f ca="1">INDIRECT("Datos!B"&amp;MATCH("RUBRO ITEM",Datos!B:B,0)+ROW()-MATCH("RUBRO ITEM",A:A,0)-1)</f>
        <v>3.1.2</v>
      </c>
      <c r="B35" s="27" t="str">
        <f t="shared" ca="1" si="3"/>
        <v>Replanteo</v>
      </c>
      <c r="C35" s="28"/>
      <c r="D35" s="13">
        <f t="shared" ca="1" si="4"/>
        <v>0</v>
      </c>
      <c r="E35" s="39"/>
      <c r="F35" s="418"/>
      <c r="G35" s="418"/>
      <c r="H35" s="22">
        <f t="shared" si="2"/>
        <v>0</v>
      </c>
    </row>
    <row r="36" spans="1:8" ht="20.100000000000001" customHeight="1" x14ac:dyDescent="0.2">
      <c r="A36" s="49" t="str">
        <f ca="1">INDIRECT("Datos!B"&amp;MATCH("RUBRO ITEM",Datos!B:B,0)+ROW()-MATCH("RUBRO ITEM",A:A,0)-1)</f>
        <v>3.2</v>
      </c>
      <c r="B36" s="27" t="str">
        <f t="shared" ca="1" si="3"/>
        <v>Estructura Resistente Recrecimiento</v>
      </c>
      <c r="C36" s="28"/>
      <c r="D36" s="13">
        <f t="shared" ca="1" si="4"/>
        <v>0</v>
      </c>
      <c r="E36" s="39"/>
      <c r="F36" s="418"/>
      <c r="G36" s="418"/>
      <c r="H36" s="22">
        <f t="shared" si="2"/>
        <v>0</v>
      </c>
    </row>
    <row r="37" spans="1:8" ht="20.100000000000001" customHeight="1" x14ac:dyDescent="0.2">
      <c r="A37" s="49" t="str">
        <f ca="1">INDIRECT("Datos!B"&amp;MATCH("RUBRO ITEM",Datos!B:B,0)+ROW()-MATCH("RUBRO ITEM",A:A,0)-1)</f>
        <v>3.2.1</v>
      </c>
      <c r="B37" s="27" t="str">
        <f t="shared" ca="1" si="3"/>
        <v xml:space="preserve">Hormigón H-21  </v>
      </c>
      <c r="C37" s="28"/>
      <c r="D37" s="13">
        <f t="shared" ca="1" si="4"/>
        <v>0</v>
      </c>
      <c r="E37" s="39"/>
      <c r="F37" s="418"/>
      <c r="G37" s="418"/>
      <c r="H37" s="22">
        <f t="shared" si="2"/>
        <v>0</v>
      </c>
    </row>
    <row r="38" spans="1:8" ht="20.100000000000001" customHeight="1" x14ac:dyDescent="0.2">
      <c r="A38" s="49" t="str">
        <f ca="1">INDIRECT("Datos!B"&amp;MATCH("RUBRO ITEM",Datos!B:B,0)+ROW()-MATCH("RUBRO ITEM",A:A,0)-1)</f>
        <v>3.2.2</v>
      </c>
      <c r="B38" s="27" t="str">
        <f t="shared" ca="1" si="3"/>
        <v>Armadura puesta en obra</v>
      </c>
      <c r="C38" s="28"/>
      <c r="D38" s="13">
        <f t="shared" ca="1" si="4"/>
        <v>0</v>
      </c>
      <c r="E38" s="39"/>
      <c r="F38" s="418"/>
      <c r="G38" s="418"/>
      <c r="H38" s="22">
        <f t="shared" si="2"/>
        <v>0</v>
      </c>
    </row>
    <row r="39" spans="1:8" ht="20.100000000000001" customHeight="1" x14ac:dyDescent="0.2">
      <c r="A39" s="49" t="str">
        <f ca="1">INDIRECT("Datos!B"&amp;MATCH("RUBRO ITEM",Datos!B:B,0)+ROW()-MATCH("RUBRO ITEM",A:A,0)-1)</f>
        <v>3.2.3</v>
      </c>
      <c r="B39" s="27" t="str">
        <f t="shared" ca="1" si="3"/>
        <v>Anclajes Químicos</v>
      </c>
      <c r="C39" s="28"/>
      <c r="D39" s="13">
        <f t="shared" ca="1" si="4"/>
        <v>0</v>
      </c>
      <c r="E39" s="39"/>
      <c r="F39" s="418"/>
      <c r="G39" s="418"/>
      <c r="H39" s="22">
        <f t="shared" si="2"/>
        <v>0</v>
      </c>
    </row>
    <row r="40" spans="1:8" ht="20.100000000000001" customHeight="1" x14ac:dyDescent="0.2">
      <c r="A40" s="49" t="str">
        <f ca="1">INDIRECT("Datos!B"&amp;MATCH("RUBRO ITEM",Datos!B:B,0)+ROW()-MATCH("RUBRO ITEM",A:A,0)-1)</f>
        <v>3.2.4</v>
      </c>
      <c r="B40" s="27" t="str">
        <f t="shared" ca="1" si="3"/>
        <v>Puente de Adherencia</v>
      </c>
      <c r="C40" s="28"/>
      <c r="D40" s="13">
        <f t="shared" ca="1" si="4"/>
        <v>0</v>
      </c>
      <c r="E40" s="39"/>
      <c r="F40" s="418"/>
      <c r="G40" s="418"/>
      <c r="H40" s="22">
        <f t="shared" si="2"/>
        <v>0</v>
      </c>
    </row>
    <row r="41" spans="1:8" ht="20.100000000000001" customHeight="1" x14ac:dyDescent="0.2">
      <c r="A41" s="49" t="str">
        <f ca="1">INDIRECT("Datos!B"&amp;MATCH("RUBRO ITEM",Datos!B:B,0)+ROW()-MATCH("RUBRO ITEM",A:A,0)-1)</f>
        <v>3.3</v>
      </c>
      <c r="B41" s="27" t="str">
        <f t="shared" ca="1" si="3"/>
        <v>REEMPLAZO DE PAÑOS DE H° C. PASTORIZA-VIDELA</v>
      </c>
      <c r="C41" s="28"/>
      <c r="D41" s="13">
        <f t="shared" ca="1" si="4"/>
        <v>0</v>
      </c>
      <c r="E41" s="39"/>
      <c r="F41" s="418"/>
      <c r="G41" s="418"/>
      <c r="H41" s="22">
        <f t="shared" si="2"/>
        <v>0</v>
      </c>
    </row>
    <row r="42" spans="1:8" ht="20.100000000000001" customHeight="1" x14ac:dyDescent="0.2">
      <c r="A42" s="49" t="str">
        <f ca="1">INDIRECT("Datos!B"&amp;MATCH("RUBRO ITEM",Datos!B:B,0)+ROW()-MATCH("RUBRO ITEM",A:A,0)-1)</f>
        <v>3.3.1</v>
      </c>
      <c r="B42" s="27" t="str">
        <f t="shared" ca="1" si="3"/>
        <v>Demolicion</v>
      </c>
      <c r="C42" s="28"/>
      <c r="D42" s="13">
        <f t="shared" ca="1" si="4"/>
        <v>0</v>
      </c>
      <c r="E42" s="39"/>
      <c r="F42" s="418"/>
      <c r="G42" s="418"/>
      <c r="H42" s="22">
        <f t="shared" si="2"/>
        <v>0</v>
      </c>
    </row>
    <row r="43" spans="1:8" ht="20.100000000000001" customHeight="1" x14ac:dyDescent="0.2">
      <c r="A43" s="49" t="str">
        <f ca="1">INDIRECT("Datos!B"&amp;MATCH("RUBRO ITEM",Datos!B:B,0)+ROW()-MATCH("RUBRO ITEM",A:A,0)-1)</f>
        <v>3.3.2</v>
      </c>
      <c r="B43" s="27" t="str">
        <f t="shared" ca="1" si="3"/>
        <v>Relleno y Compactacion</v>
      </c>
      <c r="C43" s="28"/>
      <c r="D43" s="13">
        <f t="shared" ca="1" si="4"/>
        <v>0</v>
      </c>
      <c r="E43" s="39"/>
      <c r="F43" s="418"/>
      <c r="G43" s="418"/>
      <c r="H43" s="22">
        <f t="shared" si="2"/>
        <v>0</v>
      </c>
    </row>
    <row r="44" spans="1:8" ht="20.100000000000001" customHeight="1" x14ac:dyDescent="0.2">
      <c r="A44" s="49" t="str">
        <f ca="1">INDIRECT("Datos!B"&amp;MATCH("RUBRO ITEM",Datos!B:B,0)+ROW()-MATCH("RUBRO ITEM",A:A,0)-1)</f>
        <v>3.3.3</v>
      </c>
      <c r="B44" s="27" t="str">
        <f t="shared" ca="1" si="3"/>
        <v xml:space="preserve">Hormigón H-21  </v>
      </c>
      <c r="C44" s="28"/>
      <c r="D44" s="13">
        <f t="shared" ca="1" si="4"/>
        <v>0</v>
      </c>
      <c r="E44" s="39"/>
      <c r="F44" s="418"/>
      <c r="G44" s="418"/>
      <c r="H44" s="22">
        <f t="shared" si="2"/>
        <v>0</v>
      </c>
    </row>
    <row r="45" spans="1:8" ht="20.100000000000001" customHeight="1" x14ac:dyDescent="0.2">
      <c r="A45" s="49" t="str">
        <f ca="1">INDIRECT("Datos!B"&amp;MATCH("RUBRO ITEM",Datos!B:B,0)+ROW()-MATCH("RUBRO ITEM",A:A,0)-1)</f>
        <v>3.3.4</v>
      </c>
      <c r="B45" s="27" t="str">
        <f t="shared" ca="1" si="3"/>
        <v>Armadura puesta en obra</v>
      </c>
      <c r="C45" s="28"/>
      <c r="D45" s="13">
        <f t="shared" ca="1" si="4"/>
        <v>0</v>
      </c>
      <c r="E45" s="39"/>
      <c r="F45" s="418"/>
      <c r="G45" s="418"/>
      <c r="H45" s="22">
        <f t="shared" si="2"/>
        <v>0</v>
      </c>
    </row>
    <row r="46" spans="1:8" ht="20.100000000000001" customHeight="1" x14ac:dyDescent="0.2">
      <c r="A46" s="49" t="str">
        <f ca="1">INDIRECT("Datos!B"&amp;MATCH("RUBRO ITEM",Datos!B:B,0)+ROW()-MATCH("RUBRO ITEM",A:A,0)-1)</f>
        <v>3.3.5</v>
      </c>
      <c r="B46" s="27" t="str">
        <f t="shared" ca="1" si="3"/>
        <v>Puente de Adherencia</v>
      </c>
      <c r="C46" s="28"/>
      <c r="D46" s="13">
        <f t="shared" ca="1" si="4"/>
        <v>0</v>
      </c>
      <c r="E46" s="39"/>
      <c r="F46" s="418"/>
      <c r="G46" s="418"/>
      <c r="H46" s="22">
        <f t="shared" si="2"/>
        <v>0</v>
      </c>
    </row>
    <row r="47" spans="1:8" ht="20.100000000000001" customHeight="1" x14ac:dyDescent="0.2">
      <c r="A47" s="49" t="str">
        <f ca="1">INDIRECT("Datos!B"&amp;MATCH("RUBRO ITEM",Datos!B:B,0)+ROW()-MATCH("RUBRO ITEM",A:A,0)-1)</f>
        <v>3.3.6</v>
      </c>
      <c r="B47" s="27" t="str">
        <f t="shared" ca="1" si="3"/>
        <v>Juntas de Construccion y Dilatacion</v>
      </c>
      <c r="C47" s="28"/>
      <c r="D47" s="13">
        <f t="shared" ca="1" si="4"/>
        <v>0</v>
      </c>
      <c r="E47" s="39"/>
      <c r="F47" s="751"/>
      <c r="G47" s="751"/>
      <c r="H47" s="22">
        <f t="shared" si="2"/>
        <v>0</v>
      </c>
    </row>
    <row r="48" spans="1:8" ht="20.100000000000001" customHeight="1" x14ac:dyDescent="0.2">
      <c r="A48" s="44" t="s">
        <v>3</v>
      </c>
      <c r="B48" s="42" t="s">
        <v>7</v>
      </c>
      <c r="C48" s="46"/>
      <c r="D48" s="41">
        <f ca="1">SUM(D13:D47)</f>
        <v>0</v>
      </c>
      <c r="E48" s="40"/>
      <c r="F48" s="750"/>
      <c r="G48" s="750"/>
    </row>
    <row r="49" spans="1:8" ht="20.100000000000001" customHeight="1" x14ac:dyDescent="0.2">
      <c r="A49" s="5"/>
      <c r="B49" s="5"/>
      <c r="C49" s="5"/>
      <c r="D49" s="5"/>
      <c r="E49" s="5"/>
      <c r="F49" s="5"/>
    </row>
    <row r="50" spans="1:8" ht="20.100000000000001" customHeight="1" x14ac:dyDescent="0.2">
      <c r="A50" s="5"/>
      <c r="B50" s="5"/>
      <c r="C50" s="5"/>
      <c r="D50" s="31" t="s">
        <v>18</v>
      </c>
      <c r="E50" s="5">
        <v>0</v>
      </c>
      <c r="F50" s="32">
        <f ca="1">SUMPRODUCT($D$13:$D$25,F13:F25)</f>
        <v>0</v>
      </c>
      <c r="G50" s="32">
        <f ca="1">SUMPRODUCT($D$13:$D$25,G13:G25)</f>
        <v>0</v>
      </c>
    </row>
    <row r="51" spans="1:8" ht="20.100000000000001" customHeight="1" x14ac:dyDescent="0.2">
      <c r="A51" s="5"/>
      <c r="B51" s="5"/>
      <c r="C51" s="5"/>
      <c r="D51" s="31" t="s">
        <v>19</v>
      </c>
      <c r="E51" s="5">
        <v>0</v>
      </c>
      <c r="F51" s="32">
        <f ca="1">+F50</f>
        <v>0</v>
      </c>
      <c r="G51" s="32">
        <f ca="1">F51+G50</f>
        <v>0</v>
      </c>
    </row>
    <row r="52" spans="1:8" ht="20.100000000000001" customHeight="1" x14ac:dyDescent="0.2">
      <c r="A52" s="5"/>
      <c r="B52" s="5"/>
      <c r="C52" s="5"/>
      <c r="D52" s="33"/>
      <c r="E52" s="34" t="s">
        <v>918</v>
      </c>
      <c r="F52" s="635"/>
    </row>
    <row r="53" spans="1:8" ht="20.100000000000001" customHeight="1" x14ac:dyDescent="0.2">
      <c r="A53" s="5"/>
      <c r="B53" s="5"/>
      <c r="C53" s="5"/>
      <c r="D53" s="31" t="s">
        <v>20</v>
      </c>
      <c r="E53" s="35">
        <f ca="1">Anticipo_Financiero*Monto_Oferta</f>
        <v>0</v>
      </c>
      <c r="F53" s="35">
        <f ca="1">Monto_Oferta*F50</f>
        <v>0</v>
      </c>
      <c r="G53" s="35">
        <f ca="1">Monto_Oferta*G50</f>
        <v>0</v>
      </c>
      <c r="H53" s="9"/>
    </row>
    <row r="54" spans="1:8" ht="20.100000000000001" customHeight="1" x14ac:dyDescent="0.2">
      <c r="A54" s="5"/>
      <c r="B54" s="5"/>
      <c r="C54" s="5"/>
      <c r="D54" s="31" t="s">
        <v>890</v>
      </c>
      <c r="E54" s="35">
        <f ca="1">E53</f>
        <v>0</v>
      </c>
      <c r="F54" s="35">
        <f t="shared" ref="F54:G54" ca="1" si="5">E54+F53*(1-Anticipo_Financiero)</f>
        <v>0</v>
      </c>
      <c r="G54" s="35">
        <f t="shared" ca="1" si="5"/>
        <v>0</v>
      </c>
    </row>
    <row r="55" spans="1:8" ht="20.100000000000001" customHeight="1" x14ac:dyDescent="0.2">
      <c r="E55" s="23">
        <v>0</v>
      </c>
      <c r="F55" s="636"/>
    </row>
    <row r="56" spans="1:8" ht="20.100000000000001" customHeight="1" x14ac:dyDescent="0.2">
      <c r="E56" s="23">
        <v>0</v>
      </c>
    </row>
  </sheetData>
  <mergeCells count="5">
    <mergeCell ref="A8:D8"/>
    <mergeCell ref="H10:H11"/>
    <mergeCell ref="A10:A11"/>
    <mergeCell ref="B10:C11"/>
    <mergeCell ref="D10:D11"/>
  </mergeCells>
  <conditionalFormatting sqref="B13:B47 A48">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C13:C4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A13:A4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2"/>
  <sheetViews>
    <sheetView workbookViewId="0">
      <selection activeCell="B10" sqref="B10"/>
    </sheetView>
  </sheetViews>
  <sheetFormatPr baseColWidth="10" defaultRowHeight="19.5" customHeight="1" x14ac:dyDescent="0.2"/>
  <cols>
    <col min="2" max="2" width="43.28515625" customWidth="1"/>
    <col min="3" max="3" width="52.28515625" bestFit="1" customWidth="1"/>
  </cols>
  <sheetData>
    <row r="1" spans="1:4" ht="19.5" customHeight="1" x14ac:dyDescent="0.2">
      <c r="A1" s="586" t="s">
        <v>10</v>
      </c>
      <c r="B1" s="586"/>
      <c r="C1" s="586"/>
      <c r="D1" s="586"/>
    </row>
    <row r="2" spans="1:4" ht="19.5" customHeight="1" x14ac:dyDescent="0.2">
      <c r="A2" s="586" t="s">
        <v>41</v>
      </c>
      <c r="B2" s="586"/>
      <c r="C2" s="587">
        <f ca="1">+Propuesta!G51</f>
        <v>0</v>
      </c>
      <c r="D2" s="586"/>
    </row>
    <row r="3" spans="1:4" ht="19.5" customHeight="1" x14ac:dyDescent="0.2">
      <c r="A3" s="586"/>
      <c r="B3" s="586"/>
      <c r="C3" s="586"/>
      <c r="D3" s="586"/>
    </row>
    <row r="4" spans="1:4" ht="19.5" customHeight="1" x14ac:dyDescent="0.2">
      <c r="A4" s="700" t="s">
        <v>2022</v>
      </c>
      <c r="B4" s="700"/>
      <c r="C4" s="700"/>
      <c r="D4" s="700"/>
    </row>
    <row r="5" spans="1:4" ht="19.5" customHeight="1" thickBot="1" x14ac:dyDescent="0.25">
      <c r="A5" s="586"/>
      <c r="B5" s="586"/>
      <c r="C5" s="586"/>
      <c r="D5" s="586"/>
    </row>
    <row r="6" spans="1:4" ht="19.5" customHeight="1" x14ac:dyDescent="0.2">
      <c r="A6" s="752" t="s">
        <v>1943</v>
      </c>
      <c r="B6" s="753" t="s">
        <v>577</v>
      </c>
      <c r="C6" s="753" t="s">
        <v>578</v>
      </c>
      <c r="D6" s="754" t="s">
        <v>1944</v>
      </c>
    </row>
    <row r="7" spans="1:4" ht="19.5" customHeight="1" x14ac:dyDescent="0.2">
      <c r="A7" s="755">
        <v>1</v>
      </c>
      <c r="B7" s="756" t="s">
        <v>2015</v>
      </c>
      <c r="C7" s="756" t="s">
        <v>2017</v>
      </c>
      <c r="D7" s="757">
        <v>0.28000000000000003</v>
      </c>
    </row>
    <row r="8" spans="1:4" ht="19.5" customHeight="1" x14ac:dyDescent="0.2">
      <c r="A8" s="755">
        <v>2</v>
      </c>
      <c r="B8" s="756" t="s">
        <v>2023</v>
      </c>
      <c r="C8" s="756" t="s">
        <v>2018</v>
      </c>
      <c r="D8" s="757">
        <v>0.36</v>
      </c>
    </row>
    <row r="9" spans="1:4" ht="19.5" customHeight="1" x14ac:dyDescent="0.2">
      <c r="A9" s="755">
        <v>3</v>
      </c>
      <c r="B9" s="756" t="s">
        <v>2024</v>
      </c>
      <c r="C9" s="756" t="s">
        <v>2019</v>
      </c>
      <c r="D9" s="757">
        <v>0.11</v>
      </c>
    </row>
    <row r="10" spans="1:4" ht="19.5" customHeight="1" x14ac:dyDescent="0.2">
      <c r="A10" s="755">
        <v>4</v>
      </c>
      <c r="B10" s="756" t="s">
        <v>2016</v>
      </c>
      <c r="C10" s="756" t="s">
        <v>2020</v>
      </c>
      <c r="D10" s="757">
        <v>0.15</v>
      </c>
    </row>
    <row r="11" spans="1:4" ht="19.5" customHeight="1" x14ac:dyDescent="0.2">
      <c r="A11" s="755">
        <v>5</v>
      </c>
      <c r="B11" s="756" t="s">
        <v>914</v>
      </c>
      <c r="C11" s="756" t="s">
        <v>2021</v>
      </c>
      <c r="D11" s="757">
        <v>0.1</v>
      </c>
    </row>
    <row r="12" spans="1:4" ht="19.5" customHeight="1" x14ac:dyDescent="0.2">
      <c r="A12" t="s">
        <v>917</v>
      </c>
    </row>
  </sheetData>
  <mergeCells count="1">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Equipos</vt:lpstr>
      <vt:lpstr>Insumos</vt:lpstr>
      <vt:lpstr>PTyCI</vt:lpstr>
      <vt:lpstr>Polinomica</vt:lpstr>
      <vt:lpstr>MED SIGOP</vt:lpstr>
      <vt:lpstr>MED OBRA</vt:lpstr>
      <vt:lpstr>Rendimiento Equipo</vt:lpstr>
      <vt:lpstr>Avance Obra</vt:lpstr>
      <vt:lpstr>Curva Inversiones</vt:lpstr>
      <vt:lpstr>Gastos Generales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Eugenio Montes</cp:lastModifiedBy>
  <cp:lastPrinted>2018-11-10T14:53:10Z</cp:lastPrinted>
  <dcterms:created xsi:type="dcterms:W3CDTF">2016-09-02T20:54:46Z</dcterms:created>
  <dcterms:modified xsi:type="dcterms:W3CDTF">2023-01-13T15:15:10Z</dcterms:modified>
</cp:coreProperties>
</file>